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showInkAnnotation="0" autoCompressPictures="0"/>
  <bookViews>
    <workbookView xWindow="16155" yWindow="480" windowWidth="20640" windowHeight="11760" tabRatio="500" activeTab="1"/>
  </bookViews>
  <sheets>
    <sheet name="Purchase" sheetId="1" r:id="rId1"/>
    <sheet name="Sale" sheetId="4" r:id="rId2"/>
    <sheet name="Refinance" sheetId="6" r:id="rId3"/>
    <sheet name="Private Mortgages" sheetId="8" r:id="rId4"/>
    <sheet name="Reference" sheetId="2" r:id="rId5"/>
  </sheets>
  <calcPr calcId="125725" concurrentCalc="0"/>
</workbook>
</file>

<file path=xl/calcChain.xml><?xml version="1.0" encoding="utf-8"?>
<calcChain xmlns="http://schemas.openxmlformats.org/spreadsheetml/2006/main">
  <c r="E9" i="4"/>
  <c r="E10"/>
  <c r="E11"/>
  <c r="D17"/>
  <c r="D5"/>
  <c r="F2"/>
  <c r="E2"/>
  <c r="D2"/>
  <c r="D3" i="6"/>
  <c r="G11" i="8"/>
  <c r="D3"/>
  <c r="G34"/>
  <c r="D4"/>
  <c r="D7"/>
  <c r="D8"/>
  <c r="D11"/>
  <c r="D12"/>
  <c r="D13"/>
  <c r="D15"/>
  <c r="D16"/>
  <c r="D21"/>
  <c r="D25"/>
  <c r="E3"/>
  <c r="E4"/>
  <c r="E8"/>
  <c r="E18"/>
  <c r="E19"/>
  <c r="E20"/>
  <c r="E21"/>
  <c r="D26"/>
  <c r="F3"/>
  <c r="F4"/>
  <c r="E11"/>
  <c r="E12"/>
  <c r="E13"/>
  <c r="E15"/>
  <c r="E16"/>
  <c r="D27"/>
  <c r="G3"/>
  <c r="G4"/>
  <c r="F11"/>
  <c r="F12"/>
  <c r="F13"/>
  <c r="F15"/>
  <c r="F16"/>
  <c r="D28"/>
  <c r="G12"/>
  <c r="G13"/>
  <c r="G14"/>
  <c r="G15"/>
  <c r="G16"/>
  <c r="D29"/>
  <c r="D30"/>
  <c r="F25"/>
  <c r="F26"/>
  <c r="F28"/>
  <c r="F29"/>
  <c r="F30"/>
  <c r="G30"/>
  <c r="G14" i="1"/>
  <c r="F9" i="4"/>
  <c r="G24"/>
  <c r="G12" i="6"/>
  <c r="G13"/>
  <c r="G14"/>
  <c r="G15"/>
  <c r="G16"/>
  <c r="G11"/>
  <c r="G17"/>
  <c r="D30"/>
  <c r="F30"/>
  <c r="F13"/>
  <c r="F14"/>
  <c r="F16"/>
  <c r="F11"/>
  <c r="F17"/>
  <c r="G3"/>
  <c r="G4"/>
  <c r="D29"/>
  <c r="E13"/>
  <c r="E14"/>
  <c r="E16"/>
  <c r="E11"/>
  <c r="E17"/>
  <c r="F3"/>
  <c r="F4"/>
  <c r="D28"/>
  <c r="E20"/>
  <c r="E19"/>
  <c r="E21"/>
  <c r="E22"/>
  <c r="E3"/>
  <c r="E4"/>
  <c r="D27"/>
  <c r="D13"/>
  <c r="D14"/>
  <c r="D16"/>
  <c r="D11"/>
  <c r="D17"/>
  <c r="D4"/>
  <c r="D7"/>
  <c r="D8"/>
  <c r="D26"/>
  <c r="E8"/>
  <c r="G35"/>
  <c r="D22"/>
  <c r="D31"/>
  <c r="F26"/>
  <c r="F27"/>
  <c r="F29"/>
  <c r="F31"/>
  <c r="G31"/>
  <c r="D6" i="4"/>
  <c r="D9"/>
  <c r="D10"/>
  <c r="D11"/>
  <c r="E3"/>
  <c r="D16"/>
  <c r="F10"/>
  <c r="F11"/>
  <c r="D18"/>
  <c r="F16"/>
  <c r="F18"/>
  <c r="E50" i="2"/>
  <c r="E51"/>
  <c r="E52"/>
  <c r="E53"/>
  <c r="E54"/>
  <c r="F8" i="1"/>
  <c r="F10"/>
  <c r="F11"/>
  <c r="D38"/>
  <c r="E64" i="2"/>
  <c r="E65"/>
  <c r="E66"/>
  <c r="E67"/>
  <c r="G8" i="1"/>
  <c r="G10"/>
  <c r="G11"/>
  <c r="D39"/>
  <c r="D40"/>
  <c r="G40"/>
  <c r="G17"/>
  <c r="G18"/>
  <c r="G16"/>
  <c r="G19"/>
  <c r="G20"/>
  <c r="G21"/>
  <c r="G15"/>
  <c r="G22"/>
  <c r="D35"/>
  <c r="D18"/>
  <c r="D19"/>
  <c r="D21"/>
  <c r="D15"/>
  <c r="D22"/>
  <c r="D3"/>
  <c r="D4"/>
  <c r="D9"/>
  <c r="D11"/>
  <c r="D27"/>
  <c r="D31"/>
  <c r="E18"/>
  <c r="E16"/>
  <c r="E19"/>
  <c r="E21"/>
  <c r="E22"/>
  <c r="F3"/>
  <c r="F4"/>
  <c r="D33"/>
  <c r="F18"/>
  <c r="F16"/>
  <c r="F19"/>
  <c r="F21"/>
  <c r="F22"/>
  <c r="G3"/>
  <c r="G4"/>
  <c r="D34"/>
  <c r="E3"/>
  <c r="E4"/>
  <c r="E24"/>
  <c r="E25"/>
  <c r="E26"/>
  <c r="E27"/>
  <c r="D32"/>
  <c r="D36"/>
  <c r="F35"/>
  <c r="F31"/>
  <c r="F34"/>
  <c r="F32"/>
  <c r="F36"/>
  <c r="G36"/>
  <c r="E6" i="4"/>
  <c r="F3"/>
  <c r="E58" i="2"/>
  <c r="E59"/>
  <c r="E60"/>
  <c r="E61"/>
  <c r="E71"/>
  <c r="E72"/>
  <c r="E73"/>
  <c r="E74"/>
  <c r="E75"/>
  <c r="V105"/>
  <c r="U105"/>
  <c r="T105"/>
  <c r="S105"/>
  <c r="R105"/>
  <c r="V104"/>
  <c r="U104"/>
  <c r="T104"/>
  <c r="S104"/>
  <c r="R104"/>
  <c r="V103"/>
  <c r="U103"/>
  <c r="T103"/>
  <c r="S103"/>
  <c r="R103"/>
  <c r="P105"/>
  <c r="P104"/>
  <c r="P103"/>
  <c r="V100"/>
  <c r="V99"/>
  <c r="V98"/>
  <c r="V95"/>
  <c r="V94"/>
  <c r="V93"/>
  <c r="V89"/>
  <c r="V88"/>
  <c r="V87"/>
  <c r="V84"/>
  <c r="V83"/>
  <c r="V82"/>
  <c r="U100"/>
  <c r="U99"/>
  <c r="U98"/>
  <c r="U95"/>
  <c r="U94"/>
  <c r="U93"/>
  <c r="U89"/>
  <c r="U88"/>
  <c r="U87"/>
  <c r="U84"/>
  <c r="U83"/>
  <c r="U82"/>
  <c r="T100"/>
  <c r="T99"/>
  <c r="T98"/>
  <c r="T95"/>
  <c r="T94"/>
  <c r="T93"/>
  <c r="T89"/>
  <c r="T88"/>
  <c r="T87"/>
  <c r="T84"/>
  <c r="T83"/>
  <c r="T82"/>
  <c r="R100"/>
  <c r="R99"/>
  <c r="R98"/>
  <c r="R95"/>
  <c r="R94"/>
  <c r="R93"/>
  <c r="R89"/>
  <c r="R88"/>
  <c r="R87"/>
  <c r="R84"/>
  <c r="R83"/>
  <c r="R82"/>
  <c r="S100"/>
  <c r="S99"/>
  <c r="S98"/>
  <c r="S95"/>
  <c r="S94"/>
  <c r="S93"/>
  <c r="S89"/>
  <c r="S88"/>
  <c r="S87"/>
  <c r="S84"/>
  <c r="S83"/>
  <c r="S82"/>
  <c r="Q100"/>
  <c r="Q99"/>
  <c r="Q98"/>
  <c r="Q95"/>
  <c r="Q94"/>
  <c r="Q93"/>
  <c r="Q89"/>
  <c r="Q88"/>
  <c r="Q87"/>
  <c r="Q84"/>
  <c r="Q83"/>
  <c r="Q82"/>
  <c r="P100"/>
  <c r="P99"/>
  <c r="P98"/>
  <c r="P95"/>
  <c r="P94"/>
  <c r="P93"/>
  <c r="P89"/>
  <c r="P88"/>
  <c r="P87"/>
  <c r="P84"/>
  <c r="P83"/>
  <c r="P82"/>
  <c r="D3" i="4"/>
  <c r="D15"/>
  <c r="F15"/>
  <c r="F20"/>
  <c r="D20"/>
  <c r="G20"/>
</calcChain>
</file>

<file path=xl/sharedStrings.xml><?xml version="1.0" encoding="utf-8"?>
<sst xmlns="http://schemas.openxmlformats.org/spreadsheetml/2006/main" count="376" uniqueCount="150">
  <si>
    <t>Yes</t>
  </si>
  <si>
    <t>No</t>
  </si>
  <si>
    <t>Ontario Land Transfer Tax is:</t>
  </si>
  <si>
    <t>Over $400,000</t>
  </si>
  <si>
    <t>Over $40,000,000</t>
  </si>
  <si>
    <t>Over $250,000</t>
  </si>
  <si>
    <t>Over $55,000 to $250,000</t>
  </si>
  <si>
    <t>Over $250,000 to $400,000</t>
  </si>
  <si>
    <t>Contains 1 or 2 Single Family Residences</t>
  </si>
  <si>
    <t>Upto</t>
  </si>
  <si>
    <t>Contains more than 2 Family Residences or is not a Residential property</t>
  </si>
  <si>
    <t>Total</t>
  </si>
  <si>
    <t>Over $55,000 to $400,000</t>
  </si>
  <si>
    <t>Over $400,000 to $40,000,000</t>
  </si>
  <si>
    <t>Is your property located in the Municipality of Toronto? (i.e. the GTA)</t>
  </si>
  <si>
    <t>What is the total purchase price and all consideration you are paying to purchase your property from the seller, less any HST? (i.e. if you are purchasing a resale then most likely the purchase price is the total consideration you are paying to the seller, if however you are purchasing a new-build then you must backout the net HST you are payiing, which is usually the Gross HST less the Rebate credit the builder/vendor is granting you, however you should also add back any additional consideration you are paying such as upgrades) *If you are not sure just enter the face value of your purchase price and we will adjust the land transfer taxes down once we speak with the seller's lawyer.</t>
  </si>
  <si>
    <t>Tax Cert</t>
  </si>
  <si>
    <t>Building Search</t>
  </si>
  <si>
    <t>Purchase Price</t>
  </si>
  <si>
    <t>What percent of all purchasers are first time home buyers and are moving in as their principle residence?  (If all are enter 100%.  In order to qualify for the first time home buyer land transfer tax refund a purchaser must have never owned a home (commercial or investment properties are not included) anywhere in the world, and you must occupy the home within 9 months of closing as your principle residence.  If you are a first time home buyer and your spouse is not then neither of you qualify, please enter 0%.  If your spouse sold his or her home prior to becoming your spouse and did not own a home anytime while being your spouse then both of you will qualify for the full refund if you as well quaify as a first time home buyer, please enter 100%.  If you and your co-purchaser are not spouses and only one of you qualify as a first time home buyer then please enter 50%.)</t>
  </si>
  <si>
    <t>Ontario Land Tranfer Tax Refund Max is:</t>
  </si>
  <si>
    <t>Toronto Land Transfer Tax Refund Max is:</t>
  </si>
  <si>
    <t>Toronto Land Transfer Tax:</t>
  </si>
  <si>
    <t>Searches &amp; Due Diligence</t>
  </si>
  <si>
    <t>Second Mortgage or Financing</t>
  </si>
  <si>
    <t>Title Insurance</t>
  </si>
  <si>
    <t>Yes/No Drop Down</t>
  </si>
  <si>
    <t>Purchase</t>
  </si>
  <si>
    <t>Resale</t>
  </si>
  <si>
    <t>$0 to $55,000</t>
  </si>
  <si>
    <t>$0 to $200,000</t>
  </si>
  <si>
    <t>$200,000 to $500,000</t>
  </si>
  <si>
    <t>$500,000+</t>
  </si>
  <si>
    <t>New</t>
  </si>
  <si>
    <t>House</t>
  </si>
  <si>
    <t>Condo</t>
  </si>
  <si>
    <t>Limits</t>
  </si>
  <si>
    <t>Premium</t>
  </si>
  <si>
    <t>Connecting Counsel Fee</t>
  </si>
  <si>
    <t>Taxes</t>
  </si>
  <si>
    <t>w/Mortgage</t>
  </si>
  <si>
    <t>w/o Mortgage</t>
  </si>
  <si>
    <t>Amount Due</t>
  </si>
  <si>
    <t>*Discount Rate</t>
  </si>
  <si>
    <t>w/Private Mtg</t>
  </si>
  <si>
    <t>*Add Rate</t>
  </si>
  <si>
    <t>w/Blanket Prop.</t>
  </si>
  <si>
    <t>w/Private 2nd Mtg</t>
  </si>
  <si>
    <t>w/2nd Mtg</t>
  </si>
  <si>
    <t>w/Private 2nd Mtg &amp; Blanket Prop.</t>
  </si>
  <si>
    <t>W/2nd Mtg</t>
  </si>
  <si>
    <t>i/Private Mtg</t>
  </si>
  <si>
    <t>Refinance</t>
  </si>
  <si>
    <t>$0 to $50,000</t>
  </si>
  <si>
    <t>$50,000 to $750,000</t>
  </si>
  <si>
    <t>$750,000+</t>
  </si>
  <si>
    <t>Blanket Mortgage Security</t>
  </si>
  <si>
    <r>
      <t xml:space="preserve">Will you be obtaining a </t>
    </r>
    <r>
      <rPr>
        <b/>
        <sz val="12"/>
        <color theme="1"/>
        <rFont val="Calibri"/>
        <family val="2"/>
        <scheme val="minor"/>
      </rPr>
      <t>first</t>
    </r>
    <r>
      <rPr>
        <sz val="12"/>
        <color theme="1"/>
        <rFont val="Calibri"/>
        <family val="2"/>
        <scheme val="minor"/>
      </rPr>
      <t xml:space="preserve"> mortgage, line of credit or other form of financing, which we will be acting on?</t>
    </r>
  </si>
  <si>
    <r>
      <t xml:space="preserve">Is this </t>
    </r>
    <r>
      <rPr>
        <b/>
        <sz val="12"/>
        <color theme="1"/>
        <rFont val="Calibri"/>
        <family val="2"/>
        <scheme val="minor"/>
      </rPr>
      <t>first</t>
    </r>
    <r>
      <rPr>
        <sz val="12"/>
        <color theme="1"/>
        <rFont val="Calibri"/>
        <family val="2"/>
        <scheme val="minor"/>
      </rPr>
      <t xml:space="preserve"> mortgage, line of credit or other form of financing, which we will be acting on from a private lender? (i.e. not a Bank, Trust Company, Credit Union or other financial lending institution)</t>
    </r>
  </si>
  <si>
    <r>
      <t xml:space="preserve">Will this </t>
    </r>
    <r>
      <rPr>
        <b/>
        <sz val="12"/>
        <color theme="1"/>
        <rFont val="Calibri"/>
        <family val="2"/>
        <scheme val="minor"/>
      </rPr>
      <t>first</t>
    </r>
    <r>
      <rPr>
        <sz val="12"/>
        <color theme="1"/>
        <rFont val="Calibri"/>
        <family val="2"/>
        <scheme val="minor"/>
      </rPr>
      <t xml:space="preserve"> mortgage be registered against more than one property? (i.e. will this mortgage need to be secured against not just the property you are purchasing but another property you own or someone has provided as collateral security?)</t>
    </r>
  </si>
  <si>
    <r>
      <t xml:space="preserve">Will you be obtaining a </t>
    </r>
    <r>
      <rPr>
        <b/>
        <sz val="12"/>
        <color theme="1"/>
        <rFont val="Calibri"/>
        <family val="2"/>
        <scheme val="minor"/>
      </rPr>
      <t>second</t>
    </r>
    <r>
      <rPr>
        <sz val="12"/>
        <color theme="1"/>
        <rFont val="Calibri"/>
        <family val="2"/>
        <scheme val="minor"/>
      </rPr>
      <t xml:space="preserve"> mortgage, second line of credit, bridge loan or other form of additional financing, which we will be acting on in addition to your first mortgage?</t>
    </r>
  </si>
  <si>
    <r>
      <t xml:space="preserve">Will this </t>
    </r>
    <r>
      <rPr>
        <b/>
        <sz val="12"/>
        <color theme="1"/>
        <rFont val="Calibri"/>
        <family val="2"/>
        <scheme val="minor"/>
      </rPr>
      <t>second</t>
    </r>
    <r>
      <rPr>
        <sz val="12"/>
        <color theme="1"/>
        <rFont val="Calibri"/>
        <family val="2"/>
        <scheme val="minor"/>
      </rPr>
      <t xml:space="preserve"> mortgage be registered against more than one property? (i.e. will this </t>
    </r>
    <r>
      <rPr>
        <b/>
        <sz val="12"/>
        <color theme="1"/>
        <rFont val="Calibri"/>
        <family val="2"/>
        <scheme val="minor"/>
      </rPr>
      <t>second</t>
    </r>
    <r>
      <rPr>
        <sz val="12"/>
        <color theme="1"/>
        <rFont val="Calibri"/>
        <family val="2"/>
        <scheme val="minor"/>
      </rPr>
      <t xml:space="preserve"> mortgage need to be secured against not just the property you are purchasing but another property you own or someone has provided as collateral security?)</t>
    </r>
  </si>
  <si>
    <r>
      <t xml:space="preserve">Is this </t>
    </r>
    <r>
      <rPr>
        <b/>
        <sz val="12"/>
        <color theme="1"/>
        <rFont val="Calibri"/>
        <family val="2"/>
        <scheme val="minor"/>
      </rPr>
      <t>second</t>
    </r>
    <r>
      <rPr>
        <sz val="12"/>
        <color theme="1"/>
        <rFont val="Calibri"/>
        <family val="2"/>
        <scheme val="minor"/>
      </rPr>
      <t xml:space="preserve"> mortgage, line of credit or other form of financing, which we will be acting on from a private lender? (i.e. not a Bank, Trust Company, Credit Union or other financial lending institution)</t>
    </r>
  </si>
  <si>
    <t>Is the property you are purchasing a NEW property from the builder who is also the seller? (i.e. are you buying a new build? Like a house that was recently torn down and rebuilt, or a home in a subdivison from the original builder directly, or a new build condominium from the builder directly)</t>
  </si>
  <si>
    <t>Is this property a condominium?  (i.e. is a condominium or does it have condominium common elements, this could still be a townhome or low/highrise building)</t>
  </si>
  <si>
    <t>Title Insurance Calculator</t>
  </si>
  <si>
    <t>PST</t>
  </si>
  <si>
    <t>w/Private Lender</t>
  </si>
  <si>
    <t>w/Additional Property</t>
  </si>
  <si>
    <t>w/2nd Mortgage</t>
  </si>
  <si>
    <t>All</t>
  </si>
  <si>
    <t>Add-On</t>
  </si>
  <si>
    <t>New &amp; Resale</t>
  </si>
  <si>
    <t>w or w/o Mortgage</t>
  </si>
  <si>
    <t>For Purchases</t>
  </si>
  <si>
    <t>Title Insurance &amp; Mortgages</t>
  </si>
  <si>
    <t>Fee</t>
  </si>
  <si>
    <t>Disbursement</t>
  </si>
  <si>
    <t>Occupancy Fee</t>
  </si>
  <si>
    <t>Does your property contain at least one but not more than two, single family residences? (i.e. is your property residential and is no more than a duplex or made up of no more than two (2) apartments? If it’s a triplex or more or not residential (e.g. commercial) than your answer should be no)</t>
  </si>
  <si>
    <t>Tenant Acknowledgements</t>
  </si>
  <si>
    <t>Courier &amp; Postage</t>
  </si>
  <si>
    <t>Photocopy</t>
  </si>
  <si>
    <t>Software Transaction Charge</t>
  </si>
  <si>
    <t>Teranet Searches</t>
  </si>
  <si>
    <r>
      <t xml:space="preserve">Do you want a Property Tax Certificate ordered? (Recommended for resales or custom new built homes) (As the new owner you inherit all past property taxes and thus will be responsible to pay all arears plus interest and penalties, often times the sellers are dishonest or have lost track of what they owe, or may have substantially renovated or built new the property you are buying thus resulting in Supplemnetary or Omitted Tax Bills that have been recently issued or overlooked; yes title insurance will cover what was not discovered during closing, however, this is a long and tedious process after closing. Furthermore, many lawyers will not give you this option and strictly rely on the title insurance they ordered for you, and then leave you in the dark after closing while you try to figure out how to apply for the title insurance to reimburse you.  This may not be necessary for newly built condos or subdivision homes purchased directly from the builder.  </t>
    </r>
    <r>
      <rPr>
        <sz val="12"/>
        <color rgb="FFFF0000"/>
        <rFont val="Calibri"/>
        <family val="2"/>
        <scheme val="minor"/>
      </rPr>
      <t>However, otherwise this is highly recommended!</t>
    </r>
    <r>
      <rPr>
        <sz val="12"/>
        <rFont val="Calibri"/>
        <family val="2"/>
        <scheme val="minor"/>
      </rPr>
      <t>)</t>
    </r>
  </si>
  <si>
    <t>Legal Fees</t>
  </si>
  <si>
    <t>$3,000,000+</t>
  </si>
  <si>
    <t>Sale</t>
  </si>
  <si>
    <t>Conveyancer Searches</t>
  </si>
  <si>
    <t>Taxes: HST</t>
  </si>
  <si>
    <t>Sale Price</t>
  </si>
  <si>
    <t>What is the total sale price and all consideration you are receiving to sell your property to the buyer?</t>
  </si>
  <si>
    <t>Law Society Transaction Levy</t>
  </si>
  <si>
    <t>LSUC Transaction Levy</t>
  </si>
  <si>
    <t>Are there any non-arm's length mortgages from your family members or similar that would require us to to discharge/remove the mortgage from title? (i.e. not a mortgage from a Bank, Trust Company, Credit Union or other financial lending institution or private lender for which you were dealing with at arm's length)</t>
  </si>
  <si>
    <t>Will you be requiring us to make any corrections on titles?  (most likely not if the lawyer you used to purchase your property had addressed all possible issues and since then there have been no unexpected title matters, if you are not sure we will let you know once we begin work or hear from the purchaser's lawyer as to their findings)</t>
  </si>
  <si>
    <t>Correcting Title</t>
  </si>
  <si>
    <t>Discharing Mortgage (non-arm's length)</t>
  </si>
  <si>
    <t>Title Matters</t>
  </si>
  <si>
    <t>For Refinances</t>
  </si>
  <si>
    <t>Types of Property</t>
  </si>
  <si>
    <t>Tenancies (up to six (6) units)</t>
  </si>
  <si>
    <t>Land Transfer Taxes &amp; Tenancies (up to six (6) units)</t>
  </si>
  <si>
    <t>Fees</t>
  </si>
  <si>
    <t>HST (Taxes)</t>
  </si>
  <si>
    <t>Registration</t>
  </si>
  <si>
    <t>ELRSA</t>
  </si>
  <si>
    <t>Statutory*</t>
  </si>
  <si>
    <t>Disbursements</t>
  </si>
  <si>
    <t>Registration - Statutory</t>
  </si>
  <si>
    <t>Registration - ELRSA</t>
  </si>
  <si>
    <t>Ontario</t>
  </si>
  <si>
    <t>Toronto</t>
  </si>
  <si>
    <t>Land Transfer Taxes*</t>
  </si>
  <si>
    <t>Total Fees  &amp; Disbursements</t>
  </si>
  <si>
    <t>Legal Fees, Disbursements &amp; Land Transfer Taxes</t>
  </si>
  <si>
    <t>Total Land Transfer Taxes &amp; Credits</t>
  </si>
  <si>
    <t>Registration - Statutory*</t>
  </si>
  <si>
    <t xml:space="preserve">Registration </t>
  </si>
  <si>
    <t>Selling Price</t>
  </si>
  <si>
    <t>Not Applicable</t>
  </si>
  <si>
    <t>Refinance Amount (New Mortgage Amount)</t>
  </si>
  <si>
    <t>What is the total amount of your new mortgage including any insurance premiums such as CMHC fees?</t>
  </si>
  <si>
    <t>If your property is a residential multi-plex made up of more than one (1) single family residence but up to six (6) residences, please enter how many tenants there are (e.g. if your property has more than six (6) single family residences, in other words, more than six (6) apartments please contact us for a quote, otherwise enter the number of tenants.  If there are no tenants enter "0" (zero))</t>
  </si>
  <si>
    <t>If your property is a residential multi-plex made up of more than one (1) single family residence but up to six (6) residences, please enter how many tenants there are (e.g. if your property has more than six (6) single family residences, in other words, more than six (6) apartments please contact us for a quote, otherwise enter the number of tenants. If there are no tenants enter "0" (zero))</t>
  </si>
  <si>
    <t>Will you be transfering title to a spouse? (If you intend to transfer title to anyone other than your spouse then we will need to treat this like a purchase, and depending on how you are doing the transfer you may or may not be obligated to pay land transfer taxes.  Please call us to discuss, possible solutions.)</t>
  </si>
  <si>
    <t>Preparation of Transfer of Title</t>
  </si>
  <si>
    <r>
      <t xml:space="preserve">Is this new </t>
    </r>
    <r>
      <rPr>
        <b/>
        <sz val="12"/>
        <color theme="1"/>
        <rFont val="Calibri"/>
        <family val="2"/>
        <scheme val="minor"/>
      </rPr>
      <t>first</t>
    </r>
    <r>
      <rPr>
        <sz val="12"/>
        <color theme="1"/>
        <rFont val="Calibri"/>
        <family val="2"/>
        <scheme val="minor"/>
      </rPr>
      <t xml:space="preserve"> mortgage, line of credit or other form of financing, which we will be acting on from a private lender? (i.e. not a Bank, Trust Company, Credit Union or other financial lending institution)</t>
    </r>
  </si>
  <si>
    <r>
      <t xml:space="preserve">Will this new </t>
    </r>
    <r>
      <rPr>
        <b/>
        <sz val="12"/>
        <color theme="1"/>
        <rFont val="Calibri"/>
        <family val="2"/>
        <scheme val="minor"/>
      </rPr>
      <t>first</t>
    </r>
    <r>
      <rPr>
        <sz val="12"/>
        <color theme="1"/>
        <rFont val="Calibri"/>
        <family val="2"/>
        <scheme val="minor"/>
      </rPr>
      <t xml:space="preserve"> mortgage be registered against more than one property? (i.e. will this mortgage need to be secured against not just the property you are refinancing but another property you own or someone has provided as collateral security?)</t>
    </r>
  </si>
  <si>
    <r>
      <t xml:space="preserve">Will you be obtaining a new </t>
    </r>
    <r>
      <rPr>
        <b/>
        <sz val="12"/>
        <color theme="1"/>
        <rFont val="Calibri"/>
        <family val="2"/>
        <scheme val="minor"/>
      </rPr>
      <t>second</t>
    </r>
    <r>
      <rPr>
        <sz val="12"/>
        <color theme="1"/>
        <rFont val="Calibri"/>
        <family val="2"/>
        <scheme val="minor"/>
      </rPr>
      <t xml:space="preserve"> mortgage, second line of credit, bridge loan or other form of additional financing, which we will be acting on in addition to your first mortgage?</t>
    </r>
  </si>
  <si>
    <r>
      <t xml:space="preserve">Is this new </t>
    </r>
    <r>
      <rPr>
        <b/>
        <sz val="12"/>
        <color theme="1"/>
        <rFont val="Calibri"/>
        <family val="2"/>
        <scheme val="minor"/>
      </rPr>
      <t>second</t>
    </r>
    <r>
      <rPr>
        <sz val="12"/>
        <color theme="1"/>
        <rFont val="Calibri"/>
        <family val="2"/>
        <scheme val="minor"/>
      </rPr>
      <t xml:space="preserve"> mortgage, line of credit or other form of financing, which we will be acting on from a private lender? (i.e. not a Bank, Trust Company, Credit Union or other financial lending institution)</t>
    </r>
  </si>
  <si>
    <r>
      <t xml:space="preserve">Will this new </t>
    </r>
    <r>
      <rPr>
        <b/>
        <sz val="12"/>
        <color theme="1"/>
        <rFont val="Calibri"/>
        <family val="2"/>
        <scheme val="minor"/>
      </rPr>
      <t>second</t>
    </r>
    <r>
      <rPr>
        <sz val="12"/>
        <color theme="1"/>
        <rFont val="Calibri"/>
        <family val="2"/>
        <scheme val="minor"/>
      </rPr>
      <t xml:space="preserve"> mortgage be registered against more than one property? (i.e. will this </t>
    </r>
    <r>
      <rPr>
        <b/>
        <sz val="12"/>
        <color theme="1"/>
        <rFont val="Calibri"/>
        <family val="2"/>
        <scheme val="minor"/>
      </rPr>
      <t>second</t>
    </r>
    <r>
      <rPr>
        <sz val="12"/>
        <color theme="1"/>
        <rFont val="Calibri"/>
        <family val="2"/>
        <scheme val="minor"/>
      </rPr>
      <t xml:space="preserve"> mortgage need to be secured against not just the property you are refinancing but another property you own or someone has provided as collateral security?)</t>
    </r>
  </si>
  <si>
    <t>*HST does not apply.</t>
  </si>
  <si>
    <t>When you retain us for your closing we will review and request amendments/changes to your Agreement of Purchase and Sale at no charge, as well as review and advise you on your condominium Status Certificate at no charge. Yes, that's all for Free!</t>
  </si>
  <si>
    <t>When you retain us for your closing we will review and request amendments/changes to your Agreement of Purchase and Sale at no charge. Yes, that's for Free!</t>
  </si>
  <si>
    <t>When you retain us for your closing we will review your mortgage commitment at no charge. Yes, that's for Free!</t>
  </si>
  <si>
    <t>Do you want a Property Information Report? (Recommended for custom new built homes, homes that have been renovated or look like they had some work done) (As the new owner you inherit all active building permits, violations, work orders and the zoning designation that apply to the property, this could cost you thousands to remedy and possibly requiring you to retain architects, planners and lawyers as well.  The seller may also not be around or easily willing to accept responsibility (as if often the case). The letter describes what the property is zoned for, if there are any applicable by-laws and if there is anything active on the property (e.g. active building, heating and plumbing notices or orders to comply, it will identify any outstanding work orders, previous Committee of Adjustment applications or building activity, as well as anything related. This may not be necessary for newly built condos or subdivision homes purchased directly from the builder.).</t>
  </si>
  <si>
    <t>Do you want a thorough Property Title Search and Off-Title Search? (Recommended for properties that are NOT condos or subdivison homes, average cost is $250 for simple single family dwellings, more so for larger parcels of lands and buildings) (As the new owner you inherit the entire history of ownership, such as encumbrences, right-of-ways, easements and planning act violations, most of which cannot be discovered by a simple title search of your property only.  Most lawyers will only pull title to your specific property, without studying the abbuting lands bordering your property lines and their history of ownership.  These lawyers will require you to rely on the title insurance they ordered for you instead.  This often results in an incomplete conveyance of title, whereby a severe planning act violation resulted in a nulliefied transfer some-time in the past, resulting in the seller never having the right or conset to sell you the property or acquire the property himself when he did.  Not to mention complications when shared laneways, driveways, access roads or paths are never registered on title or are not exactly as they appear to be when you visited the property.  Often times lawyers will not know what to look for without studying the abbuting lands and their right-of-ways.  And although the seller may have been enjoying the use of a neighbors driveway or lanway, it was never registered on title to either property, and therefore can be taken away at any time.  Hence often times buyers are paying for something that can be taken away at anytime.  Also title insurance may not be that quick to help, like all insurance companies you need to first show that the problem falls within their coverage and that you are either being sued because of the problem or that you are able to quantify the actual dollar value of the damages you have suffered because of the problem.  This may be extremly difficult if its a laneway you thought you had access to but do not and thus need to use a different laneway that is further away from your property to bring your car in. And although the seller told you that it can be used, you now discover that your neighbor is building something over it. And yes it was only a matter of convenience to you - something that cannot be necessarily quantified for title insurance coverage - it may have been a significant inducement to you purchasing the property in the first place.)</t>
  </si>
  <si>
    <t>Private</t>
  </si>
  <si>
    <t>This applies for when acting for both the lender and you in a convetional refinance with a bank or other institutional lender.</t>
  </si>
  <si>
    <t>Will you be transfering title to a spouse? (If you intend to transfer title to anyone other than your spouse then we will need to treat this like a purchase as well in addition to, and depending on how you are doing the transfer you may or may not be obligated to pay land transfer taxes.  Please call us to discuss, possible solutions.)</t>
  </si>
  <si>
    <t>This applies when acting for a private lender only, where the loan is greather than $50,000. And in acting for both the private lender and borrower where the loan is equal to or less than $50,000. (Also by private lender we mean NOT a Bank, Trust Company, Credit Union or other financial lending institution)</t>
  </si>
  <si>
    <t>Do you want a Property Tax Certificate ordered? (Recommended in situations where you suspect the borrower/owner has not paid the property taxes for a while and are uncertain of what is owed exactly.) (As the owner they inherit all past property taxes and thus will be responsible to pay all arears plus interest and penalties, often times its easy to loose track of what they owe, or they may have substantially renovated or built new the property you are lending against, thus resulting in Supplemnetary or Omitted Tax Bills that have been recently issued or overlooked.  Remember Property Taxes take precedence over mortgages even if your mortgage was registered prior to the property tax lien.)</t>
  </si>
  <si>
    <t>Do you want a Property Tax Certificate ordered? (Recommended in situations where you have not paid your property taxes for a while and are uncertain of what is owed exactly.) (As the owner you inherit all past property taxes and thus will be responsible to pay all arears plus interest and penalties, often times its easy to loose track of what they owe, or you may have substantially renovated or built new the property you are in thus resulting in Supplemnetary or Omitted Tax Bills that have been recently issued or overlooked. Remember Property Taxes take precedence over mortgages even if the mortgage was registered prior to the property tax lien.  This will jeopardize the mortgage and push it into default even if you make your monthly mortgage payments on time.)</t>
  </si>
  <si>
    <t>Do you want a Property Information Report? (Recommended for custom new built homes, homes that have been renovated or look like they had some work done) (As the owner you inherit all active building permits, violations, work orders and the zoning designation that apply to the property, this could cost you thousands to remedy and possibly requiring you to retain architects, planners and lawyers as well.  The letter describes what the property is zoned for, if there are any applicable by-laws and if there is anything active on the property (e.g. active building, heating and plumbing notices or orders to comply, it will identify any outstanding work orders, previous Committee of Adjustment applications or building activity, as well as anything related. For example, outstanding workorders and open permits could mean thousands of dollars are required to rememdy the issue, thus resulting in lowering the marketability of the property reducing its overall value and therefore the lender's Loan To Value will be higher than expected thus again pushing your mortgage into default.)</t>
  </si>
  <si>
    <t>Do you want a Property Information Report? (Recommended for custom new built homes, homes that have been renovated or look like they had some work done) (The borrower/owner inherits all active building permits, violations, work orders and the zoning designation that apply to the property, this could cost thousands to remedy and possibly requiring one to retain architects, planners and lawyers as well.  The letter describes what the property is zoned for, if there are any applicable by-laws and if there is anything active on the property (e.g. active building, heating and plumbing notices or orders to comply, it will identify any outstanding work orders, previous Committee of Adjustment applications or building activity, as well as anything related. For example, outstanding workorders and open permits could mean thousands of dollars are required to rememdy the issue, thus resulting in lowering the marketability of the property reducing its overall value and therefore your Loan To Value as a lender will be higher.)</t>
  </si>
  <si>
    <t>Do you want a thorough Property Title Search and Off-Title Search? (Recommended for properties that are NOT condos or subdivison homes, average cost is $250 for simple single family dwellings, more so for larger parcels of lands and buildings) (The borrower/owner inherits the entire history of ownership, such as encumbrences, right-of-ways, easements and planning act violations, most of which cannot be discovered by a simple title search of the property only.  Most lawyers will only pull title to mortgaged property, without studying the abbuting lands bordering the property lines and their history of ownership.  These lawyers will require the borrower/owner and lender to rely on the title insurance they ordered for you instead.  This often results in an incomplete conveyance of title, whereby a severe planning act violation resulted in a nulliefied transfer some-time in the past, resulting in the seller never having the right or conset to have sold the borrower/owner the property or acquire the property himself when he did (Yes, a very scary situation).  Not to mention complications when shared laneways, driveways, access roads or paths are never registered on title or are not exactly as they appear to be when the borrower/owner or the lender visited the property.  Often times lawyers will not know what to look for without studying the abbuting lands and their right-of-ways.  And although the original seller may have been enjoying the use of a neighbors driveway or lanway, it was never registered on title to either property, and therefore can be taken away at any time.  Hence often times buyers are paying for something that can be taken away at anytime.  Also title insurance may not be that quick to help, like all insurance companies you need to first show that the problem falls within their coverage and that you are either being sued because of the problem or that you are able to quantify the actual dollar value of the damages you have suffered because of the problem.  This may be extremly difficult if its a laneway the borrower/owner thought they had access to but do not and thus need to use a different laneway that is further away from the property to bring their car in. And although the original seller told the borrower/owner that it can be used, they now discover that the neighbor is building something over it. And yes it was only a matter of convenience to the borrower/owner - something that cannot be necessarily quantified for title insurance coverage - it may have been a significant inducement to purchasing the property in the first place.  This can now result is a lower marketability of the property reducing its value, therefore increasing the lender's loan to value. )</t>
  </si>
  <si>
    <t>Do you want a thorough Property Title Search and Off-Title Search? (Recommended for properties that are NOT condos or subdivison homes, average cost is $250 for simple single family dwellings, more so for larger parcels of lands and buildings) (As the owner you inherit the entire history of ownership, such as encumbrences, right-of-ways, easements and planning act violations, most of which cannot be discovered by a simple title search of your property only.  Most lawyers will only pull title to your specific property, without studying the abbuting lands bordering your property lines and their history of ownership.  These lawyers will require you to rely on the title insurance they originally ordered for you instead.  This often results in an incomplete conveyance of title, whereby a severe planning act violation resulted in a nulliefied transfer some-time in the past, resulting in the seller never having the right or conset to have sold you the property or acquire the property himself when he did (Yes, a very scary situation).  Not to mention complications when shared laneways, driveways, access roads or paths are never registered on title or are not exactly as they appear to be when you visited the property.  Often times lawyers will not know what to look for without studying the abbuting lands and their right-of-ways.  And although the original seller may have been enjoying the use of a neighbors driveway or lanway, it was never registered on title to either property, and therefore can be taken away at any time.  Hence often times buyers are paying for something that can be taken away at anytime.  Also title insurance may not be that quick to help, like all insurance companies you need to first show that the problem falls within their coverage and that you are either being sued because of the problem or that you are able to quantify the actual dollar value of the damages you have suffered because of the problem.  This may be extremly difficult if its a laneway you thought you had access to but do not and thus need to use a different laneway that is further away from your property to bring your car in. And although the original seller told you that it can be used, you now discover that your neighbor is building something over it. And yes it was only a matter of convenience to you - something that cannot be necessarily quantified for title insurance coverage - it may have been a significant inducement to you purchasing the property in the first place. This can now result is a lower marketability of the property reducing its value, therefore increasing the lender's loan to value and pushing your mortgage into default.)</t>
  </si>
  <si>
    <t>no</t>
  </si>
</sst>
</file>

<file path=xl/styles.xml><?xml version="1.0" encoding="utf-8"?>
<styleSheet xmlns="http://schemas.openxmlformats.org/spreadsheetml/2006/main">
  <numFmts count="4">
    <numFmt numFmtId="44" formatCode="_(&quot;$&quot;* #,##0.00_);_(&quot;$&quot;* \(#,##0.00\);_(&quot;$&quot;* &quot;-&quot;??_);_(@_)"/>
    <numFmt numFmtId="164" formatCode="_-&quot;$&quot;* #,##0.00_-;\-&quot;$&quot;* #,##0.00_-;_-&quot;$&quot;* &quot;-&quot;??_-;_-@_-"/>
    <numFmt numFmtId="165" formatCode="0.0%"/>
    <numFmt numFmtId="166" formatCode="&quot;$&quot;#,##0.00"/>
  </numFmts>
  <fonts count="20">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u/>
      <sz val="12"/>
      <color theme="1"/>
      <name val="Calibri"/>
      <family val="2"/>
      <scheme val="minor"/>
    </font>
    <font>
      <u val="singleAccounting"/>
      <sz val="12"/>
      <color theme="1"/>
      <name val="Calibri"/>
      <family val="2"/>
      <scheme val="minor"/>
    </font>
    <font>
      <u val="singleAccounting"/>
      <sz val="12"/>
      <color rgb="FFFF0000"/>
      <name val="Calibri"/>
      <family val="2"/>
      <scheme val="minor"/>
    </font>
    <font>
      <b/>
      <sz val="12"/>
      <name val="Calibri"/>
      <family val="2"/>
      <scheme val="minor"/>
    </font>
    <font>
      <sz val="12"/>
      <color rgb="FF0070C0"/>
      <name val="Calibri"/>
      <family val="2"/>
      <scheme val="minor"/>
    </font>
    <font>
      <b/>
      <sz val="12"/>
      <color rgb="FF0070C0"/>
      <name val="Calibri"/>
      <family val="2"/>
      <scheme val="minor"/>
    </font>
    <font>
      <sz val="12"/>
      <name val="Calibri"/>
      <family val="2"/>
      <scheme val="minor"/>
    </font>
    <font>
      <sz val="12"/>
      <color rgb="FFFF0000"/>
      <name val="Calibri"/>
      <family val="2"/>
      <scheme val="minor"/>
    </font>
    <font>
      <u/>
      <sz val="12"/>
      <color rgb="FF0070C0"/>
      <name val="Calibri"/>
      <family val="2"/>
      <scheme val="minor"/>
    </font>
    <font>
      <u val="singleAccounting"/>
      <sz val="12"/>
      <color rgb="FF0070C0"/>
      <name val="Calibri"/>
      <family val="2"/>
      <scheme val="minor"/>
    </font>
    <font>
      <b/>
      <u val="singleAccounting"/>
      <sz val="12"/>
      <color theme="1"/>
      <name val="Calibri"/>
      <family val="2"/>
      <scheme val="minor"/>
    </font>
    <font>
      <b/>
      <u val="singleAccounting"/>
      <sz val="14"/>
      <color theme="1"/>
      <name val="Calibri"/>
      <family val="2"/>
      <scheme val="minor"/>
    </font>
    <font>
      <i/>
      <sz val="12"/>
      <color theme="1"/>
      <name val="Calibri"/>
      <family val="2"/>
      <scheme val="minor"/>
    </font>
    <font>
      <b/>
      <i/>
      <sz val="12"/>
      <color theme="1"/>
      <name val="Calibri"/>
      <family val="2"/>
      <scheme val="minor"/>
    </font>
    <font>
      <u/>
      <sz val="12"/>
      <color theme="1"/>
      <name val="Calibri"/>
      <family val="2"/>
      <scheme val="minor"/>
    </font>
  </fonts>
  <fills count="2">
    <fill>
      <patternFill patternType="none"/>
    </fill>
    <fill>
      <patternFill patternType="gray125"/>
    </fill>
  </fills>
  <borders count="3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auto="1"/>
      </left>
      <right/>
      <top style="medium">
        <color indexed="64"/>
      </top>
      <bottom/>
      <diagonal/>
    </border>
    <border>
      <left/>
      <right style="thin">
        <color auto="1"/>
      </right>
      <top style="medium">
        <color indexed="64"/>
      </top>
      <bottom/>
      <diagonal/>
    </border>
    <border>
      <left/>
      <right style="medium">
        <color indexed="64"/>
      </right>
      <top/>
      <bottom style="thin">
        <color auto="1"/>
      </bottom>
      <diagonal/>
    </border>
    <border>
      <left/>
      <right style="medium">
        <color indexed="64"/>
      </right>
      <top style="thin">
        <color auto="1"/>
      </top>
      <bottom/>
      <diagonal/>
    </border>
    <border>
      <left style="thin">
        <color indexed="64"/>
      </left>
      <right style="thin">
        <color indexed="64"/>
      </right>
      <top/>
      <bottom style="medium">
        <color indexed="64"/>
      </bottom>
      <diagonal/>
    </border>
    <border>
      <left style="thin">
        <color auto="1"/>
      </left>
      <right/>
      <top/>
      <bottom style="medium">
        <color indexed="64"/>
      </bottom>
      <diagonal/>
    </border>
    <border>
      <left/>
      <right style="thin">
        <color auto="1"/>
      </right>
      <top/>
      <bottom style="medium">
        <color indexed="64"/>
      </bottom>
      <diagonal/>
    </border>
    <border>
      <left style="thin">
        <color indexed="64"/>
      </left>
      <right style="thin">
        <color indexed="64"/>
      </right>
      <top style="thin">
        <color indexed="64"/>
      </top>
      <bottom style="thin">
        <color indexed="64"/>
      </bottom>
      <diagonal/>
    </border>
    <border>
      <left style="medium">
        <color auto="1"/>
      </left>
      <right/>
      <top style="thin">
        <color indexed="64"/>
      </top>
      <bottom/>
      <diagonal/>
    </border>
  </borders>
  <cellStyleXfs count="2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7">
    <xf numFmtId="0" fontId="0" fillId="0" borderId="0" xfId="0"/>
    <xf numFmtId="44" fontId="0" fillId="0" borderId="0" xfId="1" applyFont="1"/>
    <xf numFmtId="0" fontId="0" fillId="0" borderId="0" xfId="0" applyAlignment="1">
      <alignment vertical="center"/>
    </xf>
    <xf numFmtId="0" fontId="0" fillId="0" borderId="2" xfId="0" applyBorder="1"/>
    <xf numFmtId="0" fontId="0" fillId="0" borderId="0" xfId="0" applyBorder="1" applyAlignment="1">
      <alignment vertical="center" wrapText="1"/>
    </xf>
    <xf numFmtId="44" fontId="0" fillId="0" borderId="0" xfId="1" applyFont="1" applyBorder="1"/>
    <xf numFmtId="0" fontId="0" fillId="0" borderId="0" xfId="0" applyBorder="1" applyAlignment="1">
      <alignment vertical="center"/>
    </xf>
    <xf numFmtId="0" fontId="0" fillId="0" borderId="10" xfId="0" applyBorder="1" applyAlignment="1">
      <alignment vertical="center"/>
    </xf>
    <xf numFmtId="0" fontId="0" fillId="0" borderId="0" xfId="0"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center" vertical="center"/>
    </xf>
    <xf numFmtId="44" fontId="7" fillId="0" borderId="0" xfId="1" applyFont="1" applyBorder="1" applyAlignment="1">
      <alignment horizontal="center"/>
    </xf>
    <xf numFmtId="44" fontId="0" fillId="0" borderId="0" xfId="1" applyFont="1" applyBorder="1" applyAlignment="1">
      <alignment horizontal="center" vertical="center"/>
    </xf>
    <xf numFmtId="0" fontId="2" fillId="0" borderId="0" xfId="0" applyFont="1" applyAlignment="1">
      <alignment horizontal="center" vertical="center"/>
    </xf>
    <xf numFmtId="0" fontId="0" fillId="0" borderId="1" xfId="0" applyBorder="1"/>
    <xf numFmtId="44" fontId="0" fillId="0" borderId="2" xfId="1" applyFont="1" applyBorder="1"/>
    <xf numFmtId="0" fontId="0" fillId="0" borderId="3" xfId="0" applyBorder="1"/>
    <xf numFmtId="0" fontId="0" fillId="0" borderId="4" xfId="0" applyBorder="1" applyAlignment="1">
      <alignment vertical="center"/>
    </xf>
    <xf numFmtId="0" fontId="5" fillId="0" borderId="0" xfId="0" applyFont="1" applyBorder="1" applyAlignment="1">
      <alignment horizontal="center" vertical="center"/>
    </xf>
    <xf numFmtId="0" fontId="0" fillId="0" borderId="5" xfId="0" applyBorder="1" applyAlignment="1">
      <alignment horizontal="center" vertical="center"/>
    </xf>
    <xf numFmtId="0" fontId="2" fillId="0" borderId="4" xfId="0" applyFont="1" applyBorder="1" applyAlignment="1">
      <alignment vertical="center"/>
    </xf>
    <xf numFmtId="0" fontId="0" fillId="0" borderId="0" xfId="0" quotePrefix="1" applyBorder="1" applyAlignment="1">
      <alignment horizontal="center" vertical="center"/>
    </xf>
    <xf numFmtId="44" fontId="0" fillId="0" borderId="0" xfId="1" quotePrefix="1" applyFont="1" applyBorder="1" applyAlignment="1">
      <alignment horizontal="center" vertical="center"/>
    </xf>
    <xf numFmtId="165" fontId="0" fillId="0" borderId="0" xfId="2" applyNumberFormat="1" applyFont="1" applyBorder="1" applyAlignment="1">
      <alignment horizontal="center" vertical="center"/>
    </xf>
    <xf numFmtId="44" fontId="0" fillId="0" borderId="5" xfId="1" applyFont="1" applyBorder="1" applyAlignment="1">
      <alignment horizontal="center" vertical="center"/>
    </xf>
    <xf numFmtId="44" fontId="6" fillId="0" borderId="5" xfId="1" applyFont="1" applyBorder="1" applyAlignment="1">
      <alignment horizontal="center" vertical="center"/>
    </xf>
    <xf numFmtId="44" fontId="2" fillId="0" borderId="5" xfId="0" applyNumberFormat="1" applyFont="1" applyBorder="1" applyAlignment="1">
      <alignment horizontal="center" vertical="center"/>
    </xf>
    <xf numFmtId="0" fontId="0" fillId="0" borderId="4" xfId="0" applyBorder="1"/>
    <xf numFmtId="44" fontId="0" fillId="0" borderId="5" xfId="0" applyNumberFormat="1" applyBorder="1" applyAlignment="1">
      <alignment horizontal="center" vertical="center"/>
    </xf>
    <xf numFmtId="0" fontId="5" fillId="0" borderId="0" xfId="0" applyFont="1" applyBorder="1" applyAlignment="1">
      <alignment horizontal="center" vertical="center" wrapText="1"/>
    </xf>
    <xf numFmtId="0" fontId="0" fillId="0" borderId="6" xfId="0" applyBorder="1" applyAlignment="1">
      <alignment vertical="center"/>
    </xf>
    <xf numFmtId="0" fontId="0" fillId="0" borderId="7" xfId="0" applyBorder="1" applyAlignment="1">
      <alignment horizontal="center" vertical="center"/>
    </xf>
    <xf numFmtId="0" fontId="2" fillId="0" borderId="7" xfId="0" applyFont="1" applyBorder="1" applyAlignment="1">
      <alignment horizontal="center" vertical="center"/>
    </xf>
    <xf numFmtId="44" fontId="2" fillId="0" borderId="8" xfId="0" applyNumberFormat="1" applyFont="1" applyBorder="1" applyAlignment="1">
      <alignment horizontal="center" vertical="center"/>
    </xf>
    <xf numFmtId="44" fontId="0" fillId="0" borderId="5" xfId="1" applyFont="1" applyBorder="1"/>
    <xf numFmtId="44" fontId="0" fillId="0" borderId="8" xfId="1" applyFont="1" applyBorder="1"/>
    <xf numFmtId="0" fontId="0" fillId="0" borderId="15" xfId="0" applyBorder="1" applyAlignment="1">
      <alignment vertical="center" wrapText="1"/>
    </xf>
    <xf numFmtId="44" fontId="2" fillId="0" borderId="13" xfId="0" applyNumberFormat="1" applyFont="1" applyBorder="1" applyAlignment="1">
      <alignment horizontal="center" vertical="center"/>
    </xf>
    <xf numFmtId="44" fontId="2" fillId="0" borderId="16" xfId="0" applyNumberFormat="1" applyFont="1" applyBorder="1" applyAlignment="1">
      <alignment horizontal="center" vertical="center"/>
    </xf>
    <xf numFmtId="0" fontId="0" fillId="0" borderId="6" xfId="0" applyFill="1" applyBorder="1"/>
    <xf numFmtId="44" fontId="2" fillId="0" borderId="13" xfId="1"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0" fillId="0" borderId="5" xfId="0" applyBorder="1"/>
    <xf numFmtId="44" fontId="0" fillId="0" borderId="4" xfId="1" applyFont="1" applyBorder="1"/>
    <xf numFmtId="44" fontId="0" fillId="0" borderId="4" xfId="1" applyFont="1" applyBorder="1" applyAlignment="1">
      <alignment horizontal="right"/>
    </xf>
    <xf numFmtId="44" fontId="0" fillId="0" borderId="5" xfId="1" applyFont="1" applyBorder="1" applyAlignment="1">
      <alignment horizontal="right"/>
    </xf>
    <xf numFmtId="44" fontId="0" fillId="0" borderId="6" xfId="1" applyFont="1" applyBorder="1"/>
    <xf numFmtId="9" fontId="0" fillId="0" borderId="21" xfId="2" applyFont="1" applyBorder="1"/>
    <xf numFmtId="9" fontId="0" fillId="0" borderId="22" xfId="2" applyFont="1" applyBorder="1"/>
    <xf numFmtId="0" fontId="0" fillId="0" borderId="20" xfId="0" applyBorder="1"/>
    <xf numFmtId="0" fontId="0" fillId="0" borderId="21" xfId="0" applyBorder="1"/>
    <xf numFmtId="44" fontId="0" fillId="0" borderId="21" xfId="1" applyFont="1" applyBorder="1"/>
    <xf numFmtId="44" fontId="0" fillId="0" borderId="22" xfId="1" applyFont="1" applyBorder="1"/>
    <xf numFmtId="0" fontId="0" fillId="0" borderId="22" xfId="0" applyBorder="1"/>
    <xf numFmtId="0" fontId="0" fillId="0" borderId="0" xfId="0" applyBorder="1"/>
    <xf numFmtId="44" fontId="0" fillId="0" borderId="0" xfId="1" applyFont="1" applyBorder="1" applyAlignment="1">
      <alignment horizontal="right"/>
    </xf>
    <xf numFmtId="44" fontId="0" fillId="0" borderId="7" xfId="1" applyFont="1" applyBorder="1"/>
    <xf numFmtId="0" fontId="0" fillId="0" borderId="0" xfId="0" applyFill="1" applyBorder="1"/>
    <xf numFmtId="0" fontId="0" fillId="0" borderId="9" xfId="0" applyBorder="1"/>
    <xf numFmtId="0" fontId="0" fillId="0" borderId="10" xfId="0" applyBorder="1"/>
    <xf numFmtId="0" fontId="0" fillId="0" borderId="23" xfId="0" applyBorder="1"/>
    <xf numFmtId="0" fontId="0" fillId="0" borderId="23" xfId="0" applyBorder="1" applyAlignment="1">
      <alignment horizontal="center"/>
    </xf>
    <xf numFmtId="0" fontId="0" fillId="0" borderId="12" xfId="0" applyBorder="1"/>
    <xf numFmtId="0" fontId="0" fillId="0" borderId="13" xfId="0" applyFill="1" applyBorder="1" applyAlignment="1">
      <alignment wrapText="1"/>
    </xf>
    <xf numFmtId="0" fontId="0" fillId="0" borderId="13" xfId="0" applyBorder="1"/>
    <xf numFmtId="44" fontId="0" fillId="0" borderId="13" xfId="1" applyFont="1" applyBorder="1"/>
    <xf numFmtId="44" fontId="0" fillId="0" borderId="26" xfId="1" applyFont="1" applyBorder="1"/>
    <xf numFmtId="0" fontId="0" fillId="0" borderId="27" xfId="0" applyBorder="1"/>
    <xf numFmtId="0" fontId="0" fillId="0" borderId="14" xfId="0" applyBorder="1"/>
    <xf numFmtId="0" fontId="0" fillId="0" borderId="15" xfId="0" applyBorder="1"/>
    <xf numFmtId="0" fontId="0" fillId="0" borderId="28" xfId="0" applyBorder="1"/>
    <xf numFmtId="44" fontId="0" fillId="0" borderId="28" xfId="1" applyFont="1" applyBorder="1"/>
    <xf numFmtId="44" fontId="0" fillId="0" borderId="29" xfId="1" applyFont="1" applyBorder="1"/>
    <xf numFmtId="44" fontId="0" fillId="0" borderId="15" xfId="1" applyFont="1" applyBorder="1"/>
    <xf numFmtId="44" fontId="0" fillId="0" borderId="30" xfId="1" applyFont="1" applyBorder="1"/>
    <xf numFmtId="9" fontId="0" fillId="0" borderId="28" xfId="2" applyFont="1" applyBorder="1"/>
    <xf numFmtId="44" fontId="0" fillId="0" borderId="16" xfId="1" applyFont="1" applyBorder="1"/>
    <xf numFmtId="44" fontId="2" fillId="0" borderId="0" xfId="0" applyNumberFormat="1" applyFont="1" applyBorder="1" applyAlignment="1">
      <alignment horizontal="center" vertical="center"/>
    </xf>
    <xf numFmtId="0" fontId="0" fillId="0" borderId="0" xfId="0" applyFont="1" applyBorder="1" applyAlignment="1">
      <alignment horizontal="center" vertical="center"/>
    </xf>
    <xf numFmtId="44" fontId="0" fillId="0" borderId="0" xfId="1" applyFont="1" applyFill="1" applyBorder="1" applyAlignment="1">
      <alignment horizontal="center" vertical="center"/>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Border="1" applyAlignment="1">
      <alignment horizontal="right" vertical="center"/>
    </xf>
    <xf numFmtId="0" fontId="2" fillId="0" borderId="0" xfId="0" applyFont="1" applyBorder="1" applyAlignment="1">
      <alignment vertical="center"/>
    </xf>
    <xf numFmtId="44" fontId="0" fillId="0" borderId="0" xfId="0" applyNumberFormat="1" applyFont="1" applyBorder="1" applyAlignment="1">
      <alignment horizontal="center" vertical="center" wrapText="1"/>
    </xf>
    <xf numFmtId="0" fontId="0" fillId="0" borderId="4" xfId="0" applyBorder="1" applyAlignment="1">
      <alignment horizontal="center" vertical="center"/>
    </xf>
    <xf numFmtId="9" fontId="0" fillId="0" borderId="5" xfId="2" applyFont="1" applyBorder="1" applyAlignment="1">
      <alignment wrapText="1"/>
    </xf>
    <xf numFmtId="44" fontId="0" fillId="0" borderId="4" xfId="1" applyFont="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44" fontId="0" fillId="0" borderId="21" xfId="1" applyFont="1" applyBorder="1" applyAlignment="1">
      <alignment horizontal="center" vertical="center"/>
    </xf>
    <xf numFmtId="44" fontId="0" fillId="0" borderId="22" xfId="1" applyFont="1" applyBorder="1" applyAlignment="1">
      <alignment horizontal="right" vertical="center"/>
    </xf>
    <xf numFmtId="0" fontId="0" fillId="0" borderId="5" xfId="0" applyBorder="1" applyAlignment="1">
      <alignment horizontal="center"/>
    </xf>
    <xf numFmtId="0" fontId="0" fillId="0" borderId="5" xfId="0" applyBorder="1" applyAlignment="1">
      <alignment wrapText="1"/>
    </xf>
    <xf numFmtId="44" fontId="0" fillId="0" borderId="4" xfId="1" applyFont="1" applyFill="1" applyBorder="1" applyAlignment="1">
      <alignment horizontal="center" vertical="center"/>
    </xf>
    <xf numFmtId="44" fontId="0" fillId="0" borderId="5" xfId="1" applyFont="1" applyFill="1" applyBorder="1" applyAlignment="1">
      <alignment horizontal="center" vertical="center"/>
    </xf>
    <xf numFmtId="44" fontId="0" fillId="0" borderId="8" xfId="1" applyFont="1" applyFill="1"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xf>
    <xf numFmtId="0" fontId="2" fillId="0" borderId="0" xfId="0" applyFont="1" applyBorder="1" applyAlignment="1">
      <alignment horizontal="right" vertical="center"/>
    </xf>
    <xf numFmtId="44" fontId="0" fillId="0" borderId="6" xfId="1" applyFont="1" applyFill="1" applyBorder="1" applyAlignment="1">
      <alignment horizontal="center" vertical="center"/>
    </xf>
    <xf numFmtId="44" fontId="0" fillId="0" borderId="7" xfId="1" applyFont="1" applyFill="1" applyBorder="1" applyAlignment="1">
      <alignment horizontal="center" vertical="center"/>
    </xf>
    <xf numFmtId="44" fontId="9" fillId="0" borderId="0" xfId="1" applyFont="1"/>
    <xf numFmtId="0" fontId="5" fillId="0" borderId="10" xfId="0" applyFont="1" applyBorder="1" applyAlignment="1">
      <alignment horizontal="center"/>
    </xf>
    <xf numFmtId="0" fontId="0" fillId="0" borderId="0" xfId="0" applyBorder="1" applyAlignment="1">
      <alignment horizontal="left" vertical="center" wrapText="1"/>
    </xf>
    <xf numFmtId="44" fontId="0" fillId="0" borderId="0" xfId="1" applyFont="1" applyAlignment="1">
      <alignment horizontal="center" vertical="center"/>
    </xf>
    <xf numFmtId="44" fontId="0" fillId="0" borderId="15" xfId="1" applyFont="1" applyBorder="1" applyAlignment="1">
      <alignment horizontal="center" vertical="center"/>
    </xf>
    <xf numFmtId="44" fontId="9" fillId="0" borderId="0" xfId="1" applyFont="1" applyBorder="1" applyAlignment="1">
      <alignment horizontal="center" vertical="center"/>
    </xf>
    <xf numFmtId="44" fontId="10" fillId="0" borderId="0" xfId="0" applyNumberFormat="1" applyFont="1" applyBorder="1" applyAlignment="1">
      <alignment horizontal="center" vertical="center"/>
    </xf>
    <xf numFmtId="44" fontId="10" fillId="0" borderId="0" xfId="1" applyFont="1" applyBorder="1" applyAlignment="1">
      <alignment horizontal="center" vertical="center"/>
    </xf>
    <xf numFmtId="44" fontId="9" fillId="0" borderId="15" xfId="1" applyFont="1" applyBorder="1" applyAlignment="1">
      <alignment horizontal="center" vertical="center"/>
    </xf>
    <xf numFmtId="44" fontId="12" fillId="0" borderId="0" xfId="1" applyFont="1" applyBorder="1" applyAlignment="1">
      <alignment horizontal="center" vertical="center"/>
    </xf>
    <xf numFmtId="44" fontId="13" fillId="0" borderId="0" xfId="1" applyFont="1" applyBorder="1" applyAlignment="1">
      <alignment horizontal="center" vertical="center"/>
    </xf>
    <xf numFmtId="0" fontId="0" fillId="0" borderId="4" xfId="0" applyFill="1" applyBorder="1"/>
    <xf numFmtId="164" fontId="0" fillId="0" borderId="0" xfId="0" applyNumberFormat="1"/>
    <xf numFmtId="44" fontId="10" fillId="0" borderId="15" xfId="1" applyFont="1" applyBorder="1" applyAlignment="1">
      <alignment horizontal="center" vertical="center"/>
    </xf>
    <xf numFmtId="44" fontId="14" fillId="0" borderId="0" xfId="1" applyFont="1" applyBorder="1" applyAlignment="1">
      <alignment horizontal="center" vertical="center"/>
    </xf>
    <xf numFmtId="0" fontId="5" fillId="0" borderId="0" xfId="0" applyFont="1" applyBorder="1" applyAlignment="1">
      <alignment horizontal="center"/>
    </xf>
    <xf numFmtId="44" fontId="5" fillId="0" borderId="0" xfId="1" applyFont="1" applyBorder="1" applyAlignment="1">
      <alignment horizontal="center"/>
    </xf>
    <xf numFmtId="2" fontId="2" fillId="0" borderId="0" xfId="0" applyNumberFormat="1" applyFont="1" applyBorder="1" applyAlignment="1">
      <alignment horizontal="center" vertical="center"/>
    </xf>
    <xf numFmtId="0" fontId="2" fillId="0" borderId="15" xfId="0" applyFont="1" applyBorder="1" applyAlignment="1">
      <alignment horizontal="center" vertical="center" wrapText="1"/>
    </xf>
    <xf numFmtId="0" fontId="5" fillId="0" borderId="0" xfId="0" applyFont="1" applyBorder="1" applyAlignment="1">
      <alignment horizontal="center" wrapText="1"/>
    </xf>
    <xf numFmtId="44" fontId="2" fillId="0" borderId="15" xfId="1" applyFont="1" applyBorder="1" applyAlignment="1">
      <alignment horizontal="center" vertical="center"/>
    </xf>
    <xf numFmtId="0" fontId="0" fillId="0" borderId="1" xfId="0" applyFill="1" applyBorder="1"/>
    <xf numFmtId="0" fontId="0" fillId="0" borderId="17" xfId="0" applyFill="1" applyBorder="1"/>
    <xf numFmtId="44" fontId="0" fillId="0" borderId="20" xfId="1" applyFont="1" applyBorder="1"/>
    <xf numFmtId="9" fontId="0" fillId="0" borderId="31" xfId="2" applyFont="1" applyBorder="1"/>
    <xf numFmtId="0" fontId="5" fillId="0" borderId="13" xfId="0" applyFont="1" applyBorder="1" applyAlignment="1">
      <alignment horizont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32" xfId="0" applyBorder="1"/>
    <xf numFmtId="0" fontId="0" fillId="0" borderId="17" xfId="0" applyFill="1" applyBorder="1" applyAlignment="1">
      <alignment horizontal="center"/>
    </xf>
    <xf numFmtId="44" fontId="0" fillId="0" borderId="22" xfId="1" applyFont="1" applyBorder="1" applyAlignment="1">
      <alignment horizontal="right"/>
    </xf>
    <xf numFmtId="44" fontId="0" fillId="0" borderId="31" xfId="1" applyFont="1"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44" fontId="10" fillId="0" borderId="15" xfId="0" applyNumberFormat="1" applyFont="1"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4" xfId="0" applyBorder="1" applyAlignment="1">
      <alignment horizontal="center" vertical="center"/>
    </xf>
    <xf numFmtId="44" fontId="0" fillId="0" borderId="4" xfId="1" applyFont="1" applyBorder="1"/>
    <xf numFmtId="9" fontId="0" fillId="0" borderId="5" xfId="2" applyFont="1" applyBorder="1" applyAlignment="1">
      <alignment horizontal="center" vertical="center" wrapText="1"/>
    </xf>
    <xf numFmtId="0" fontId="0" fillId="0" borderId="0" xfId="0" applyAlignment="1">
      <alignment horizontal="right" vertical="center"/>
    </xf>
    <xf numFmtId="166" fontId="0" fillId="0" borderId="0" xfId="0" applyNumberFormat="1" applyAlignment="1">
      <alignment horizontal="center" vertical="center"/>
    </xf>
    <xf numFmtId="44" fontId="0" fillId="0" borderId="0" xfId="0" applyNumberFormat="1" applyAlignment="1">
      <alignment horizontal="right" vertical="center"/>
    </xf>
    <xf numFmtId="44" fontId="6" fillId="0" borderId="0" xfId="0" applyNumberFormat="1" applyFont="1" applyAlignment="1">
      <alignment horizontal="right" vertical="center"/>
    </xf>
    <xf numFmtId="44" fontId="13" fillId="0" borderId="13" xfId="1" applyFont="1" applyBorder="1" applyAlignment="1">
      <alignment horizontal="center" vertical="center"/>
    </xf>
    <xf numFmtId="44" fontId="9" fillId="0" borderId="16" xfId="0" applyNumberFormat="1" applyFont="1" applyBorder="1" applyAlignment="1">
      <alignment horizontal="center" vertical="center"/>
    </xf>
    <xf numFmtId="0" fontId="5" fillId="0" borderId="12" xfId="0" applyFont="1" applyBorder="1" applyAlignment="1">
      <alignment horizontal="center" wrapText="1"/>
    </xf>
    <xf numFmtId="0" fontId="5" fillId="0" borderId="12" xfId="0" applyFont="1" applyBorder="1" applyAlignment="1">
      <alignment horizontal="center" vertical="center"/>
    </xf>
    <xf numFmtId="0" fontId="2" fillId="0" borderId="12" xfId="0" applyFont="1" applyBorder="1" applyAlignment="1">
      <alignment horizontal="center" vertical="center"/>
    </xf>
    <xf numFmtId="44" fontId="8" fillId="0" borderId="12" xfId="0" applyNumberFormat="1" applyFont="1" applyBorder="1" applyAlignment="1">
      <alignment horizontal="center" vertical="center"/>
    </xf>
    <xf numFmtId="44" fontId="2" fillId="0" borderId="12" xfId="1" applyFont="1" applyBorder="1" applyAlignment="1">
      <alignment horizontal="center" vertical="center"/>
    </xf>
    <xf numFmtId="44" fontId="2" fillId="0" borderId="12" xfId="0" applyNumberFormat="1" applyFont="1" applyBorder="1" applyAlignment="1">
      <alignment horizontal="center" vertical="center"/>
    </xf>
    <xf numFmtId="44" fontId="2" fillId="0" borderId="30" xfId="1" applyFont="1" applyBorder="1" applyAlignment="1">
      <alignment horizontal="center" vertical="center"/>
    </xf>
    <xf numFmtId="44" fontId="14" fillId="0" borderId="21" xfId="1" applyFont="1" applyBorder="1" applyAlignment="1">
      <alignment horizontal="center" vertical="center"/>
    </xf>
    <xf numFmtId="44" fontId="9" fillId="0" borderId="28" xfId="1" applyFont="1" applyBorder="1" applyAlignment="1">
      <alignment horizontal="center" vertical="center"/>
    </xf>
    <xf numFmtId="2" fontId="2" fillId="0" borderId="5" xfId="0" applyNumberFormat="1" applyFont="1" applyBorder="1" applyAlignment="1">
      <alignment horizontal="center" vertical="center"/>
    </xf>
    <xf numFmtId="9" fontId="0" fillId="0" borderId="5" xfId="2" applyFont="1" applyBorder="1" applyAlignment="1">
      <alignment horizontal="center" vertical="center"/>
    </xf>
    <xf numFmtId="0" fontId="5" fillId="0" borderId="23" xfId="0" applyFont="1" applyBorder="1" applyAlignment="1">
      <alignment horizontal="center" wrapText="1"/>
    </xf>
    <xf numFmtId="44" fontId="5" fillId="0" borderId="21" xfId="1" applyFont="1" applyBorder="1" applyAlignment="1">
      <alignment horizontal="center" vertical="center"/>
    </xf>
    <xf numFmtId="44" fontId="10" fillId="0" borderId="21" xfId="1" applyFont="1" applyBorder="1" applyAlignment="1">
      <alignment horizontal="center" vertical="center"/>
    </xf>
    <xf numFmtId="44" fontId="9" fillId="0" borderId="21" xfId="1" applyFont="1" applyBorder="1" applyAlignment="1">
      <alignment horizontal="center" vertical="center"/>
    </xf>
    <xf numFmtId="44" fontId="10" fillId="0" borderId="28" xfId="1" applyFont="1" applyBorder="1" applyAlignment="1">
      <alignment horizontal="center" vertical="center"/>
    </xf>
    <xf numFmtId="0" fontId="2" fillId="0" borderId="5" xfId="0" applyFont="1" applyBorder="1" applyAlignment="1">
      <alignment horizontal="center" vertical="center"/>
    </xf>
    <xf numFmtId="164" fontId="0" fillId="0" borderId="0" xfId="0" applyNumberFormat="1" applyAlignment="1">
      <alignment horizontal="right" vertical="center"/>
    </xf>
    <xf numFmtId="44" fontId="2" fillId="0" borderId="0" xfId="1" applyFont="1" applyAlignment="1">
      <alignment horizontal="center" vertical="center"/>
    </xf>
    <xf numFmtId="44" fontId="15" fillId="0" borderId="0" xfId="1" applyFont="1" applyAlignment="1">
      <alignment horizontal="center" vertical="center"/>
    </xf>
    <xf numFmtId="0" fontId="5" fillId="0" borderId="0" xfId="0" applyFont="1" applyAlignment="1">
      <alignment horizontal="center" vertical="center"/>
    </xf>
    <xf numFmtId="44" fontId="0" fillId="0" borderId="0" xfId="0" applyNumberFormat="1" applyFont="1" applyAlignment="1">
      <alignment horizontal="right" vertical="center"/>
    </xf>
    <xf numFmtId="44" fontId="6" fillId="0" borderId="0" xfId="1" applyFont="1" applyAlignment="1">
      <alignment horizontal="center" vertical="center"/>
    </xf>
    <xf numFmtId="44" fontId="2" fillId="0" borderId="0" xfId="0" applyNumberFormat="1" applyFont="1" applyAlignment="1">
      <alignment horizontal="center" vertical="center"/>
    </xf>
    <xf numFmtId="0" fontId="2" fillId="0" borderId="30" xfId="0" applyFont="1" applyBorder="1" applyAlignment="1">
      <alignment horizontal="center" vertical="center" wrapText="1"/>
    </xf>
    <xf numFmtId="44" fontId="13" fillId="0" borderId="21" xfId="1" applyFont="1" applyBorder="1" applyAlignment="1">
      <alignment horizontal="center" vertical="center"/>
    </xf>
    <xf numFmtId="0" fontId="5" fillId="0" borderId="4" xfId="0" applyFont="1" applyBorder="1" applyAlignment="1">
      <alignment horizontal="center" wrapText="1"/>
    </xf>
    <xf numFmtId="0" fontId="5" fillId="0" borderId="5" xfId="0" applyFont="1" applyBorder="1" applyAlignment="1">
      <alignment horizontal="center" wrapText="1"/>
    </xf>
    <xf numFmtId="44" fontId="9" fillId="0" borderId="4" xfId="1" applyFont="1" applyBorder="1" applyAlignment="1">
      <alignment horizontal="center" vertical="center"/>
    </xf>
    <xf numFmtId="44" fontId="9" fillId="0" borderId="5" xfId="1" applyFont="1" applyBorder="1" applyAlignment="1">
      <alignment horizontal="center" vertical="center"/>
    </xf>
    <xf numFmtId="44" fontId="13" fillId="0" borderId="4" xfId="1" applyFont="1" applyBorder="1" applyAlignment="1">
      <alignment horizontal="center" vertical="center"/>
    </xf>
    <xf numFmtId="44" fontId="13" fillId="0" borderId="5" xfId="1" applyFont="1" applyBorder="1" applyAlignment="1">
      <alignment horizontal="center" vertical="center"/>
    </xf>
    <xf numFmtId="44" fontId="10" fillId="0" borderId="29" xfId="1" applyFont="1" applyBorder="1" applyAlignment="1">
      <alignment horizontal="center" vertical="center"/>
    </xf>
    <xf numFmtId="44" fontId="10" fillId="0" borderId="30" xfId="1" applyFont="1" applyBorder="1" applyAlignment="1">
      <alignment horizontal="center" vertical="center"/>
    </xf>
    <xf numFmtId="0" fontId="0" fillId="0" borderId="25" xfId="0" applyBorder="1" applyAlignment="1">
      <alignment horizontal="center" vertical="center"/>
    </xf>
    <xf numFmtId="44" fontId="14" fillId="0" borderId="21" xfId="1" applyFont="1" applyBorder="1" applyAlignment="1">
      <alignment horizontal="center"/>
    </xf>
    <xf numFmtId="44" fontId="16" fillId="0" borderId="0" xfId="0" applyNumberFormat="1" applyFont="1" applyAlignment="1">
      <alignment horizontal="center" vertical="center"/>
    </xf>
    <xf numFmtId="44" fontId="14" fillId="0" borderId="13" xfId="1" applyFont="1" applyBorder="1" applyAlignment="1">
      <alignment horizontal="center" vertical="center"/>
    </xf>
    <xf numFmtId="44" fontId="5" fillId="0" borderId="13" xfId="1" applyFont="1" applyBorder="1" applyAlignment="1">
      <alignment horizontal="center"/>
    </xf>
    <xf numFmtId="44" fontId="9" fillId="0" borderId="13" xfId="1" applyFont="1" applyBorder="1" applyAlignment="1">
      <alignment horizontal="center" vertical="center"/>
    </xf>
    <xf numFmtId="44" fontId="10" fillId="0" borderId="16" xfId="1" applyFont="1" applyBorder="1" applyAlignment="1">
      <alignment horizontal="center" vertical="center"/>
    </xf>
    <xf numFmtId="44" fontId="2" fillId="0" borderId="0" xfId="0" applyNumberFormat="1" applyFont="1" applyAlignment="1">
      <alignment vertical="center"/>
    </xf>
    <xf numFmtId="0" fontId="2" fillId="0" borderId="0" xfId="0" applyFont="1" applyAlignment="1">
      <alignment horizontal="right" vertical="center"/>
    </xf>
    <xf numFmtId="44" fontId="2" fillId="0" borderId="0" xfId="0" applyNumberFormat="1" applyFont="1" applyAlignment="1">
      <alignment horizontal="right" vertical="center"/>
    </xf>
    <xf numFmtId="44" fontId="2" fillId="0" borderId="0" xfId="1" applyFont="1" applyAlignment="1">
      <alignment horizontal="right" vertical="center"/>
    </xf>
    <xf numFmtId="0" fontId="0" fillId="0" borderId="0" xfId="0" applyAlignment="1">
      <alignment horizontal="right" vertical="center"/>
    </xf>
    <xf numFmtId="0" fontId="5" fillId="0" borderId="23" xfId="0" applyFont="1" applyBorder="1" applyAlignment="1">
      <alignment horizontal="center" wrapText="1"/>
    </xf>
    <xf numFmtId="0" fontId="0" fillId="0" borderId="25" xfId="0" applyBorder="1" applyAlignment="1">
      <alignment horizontal="center" vertical="center"/>
    </xf>
    <xf numFmtId="0" fontId="0" fillId="0" borderId="5" xfId="0" applyBorder="1" applyAlignment="1">
      <alignment horizontal="center" vertical="center"/>
    </xf>
    <xf numFmtId="0" fontId="5" fillId="0" borderId="0" xfId="0" applyFont="1" applyBorder="1" applyAlignment="1">
      <alignment horizontal="center" wrapText="1"/>
    </xf>
    <xf numFmtId="0" fontId="5" fillId="0" borderId="5" xfId="0" applyFont="1" applyBorder="1" applyAlignment="1">
      <alignment horizontal="center" wrapText="1"/>
    </xf>
    <xf numFmtId="44" fontId="10" fillId="0" borderId="16" xfId="0" applyNumberFormat="1" applyFont="1" applyBorder="1" applyAlignment="1">
      <alignment horizontal="center" vertical="center"/>
    </xf>
    <xf numFmtId="0" fontId="0" fillId="0" borderId="0" xfId="0" applyBorder="1" applyAlignment="1">
      <alignment horizontal="center" vertical="center"/>
    </xf>
    <xf numFmtId="0" fontId="5" fillId="0" borderId="11" xfId="0" applyFont="1" applyBorder="1" applyAlignment="1">
      <alignment horizontal="center" wrapText="1"/>
    </xf>
    <xf numFmtId="0" fontId="17" fillId="0" borderId="0" xfId="0" applyFont="1" applyAlignment="1">
      <alignment vertical="center"/>
    </xf>
    <xf numFmtId="0" fontId="18" fillId="0" borderId="10" xfId="0" applyFont="1" applyBorder="1" applyAlignment="1">
      <alignment vertical="center" wrapText="1"/>
    </xf>
    <xf numFmtId="0" fontId="18" fillId="0" borderId="10" xfId="0" applyFont="1" applyBorder="1" applyAlignment="1">
      <alignment vertical="center"/>
    </xf>
    <xf numFmtId="0" fontId="0" fillId="0" borderId="31" xfId="0" applyBorder="1" applyAlignment="1">
      <alignment horizontal="center"/>
    </xf>
    <xf numFmtId="0" fontId="5" fillId="0" borderId="0" xfId="0" applyFont="1" applyBorder="1" applyAlignment="1">
      <alignment vertical="center" wrapText="1"/>
    </xf>
    <xf numFmtId="0" fontId="19" fillId="0" borderId="0" xfId="0" applyFont="1" applyBorder="1" applyAlignment="1">
      <alignment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wrapText="1"/>
    </xf>
    <xf numFmtId="0" fontId="5" fillId="0" borderId="23" xfId="0" applyFont="1" applyBorder="1" applyAlignment="1">
      <alignment horizontal="center" wrapText="1"/>
    </xf>
    <xf numFmtId="0" fontId="5" fillId="0" borderId="21" xfId="0" applyFont="1" applyBorder="1" applyAlignment="1">
      <alignment horizontal="center" wrapText="1"/>
    </xf>
    <xf numFmtId="0" fontId="5" fillId="0" borderId="24" xfId="0" applyFont="1" applyBorder="1" applyAlignment="1">
      <alignment horizontal="center" wrapText="1"/>
    </xf>
    <xf numFmtId="0" fontId="5" fillId="0" borderId="25" xfId="0" applyFont="1" applyBorder="1" applyAlignment="1">
      <alignment horizontal="center" wrapText="1"/>
    </xf>
    <xf numFmtId="44" fontId="5" fillId="0" borderId="11" xfId="1" applyFont="1" applyBorder="1" applyAlignment="1">
      <alignment horizontal="center" wrapText="1"/>
    </xf>
    <xf numFmtId="44" fontId="5" fillId="0" borderId="13" xfId="1" applyFont="1" applyBorder="1" applyAlignment="1">
      <alignment horizontal="center" wrapText="1"/>
    </xf>
    <xf numFmtId="44" fontId="2" fillId="0" borderId="25" xfId="1" applyFont="1" applyBorder="1" applyAlignment="1">
      <alignment horizontal="center" vertical="center"/>
    </xf>
    <xf numFmtId="44" fontId="2" fillId="0" borderId="5" xfId="1" applyFont="1" applyBorder="1" applyAlignment="1">
      <alignment horizontal="center" vertical="center"/>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25"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23" xfId="0" applyFont="1" applyBorder="1" applyAlignment="1">
      <alignment horizontal="center"/>
    </xf>
    <xf numFmtId="0" fontId="5" fillId="0" borderId="21" xfId="0" applyFont="1" applyBorder="1" applyAlignment="1">
      <alignment horizontal="center"/>
    </xf>
    <xf numFmtId="0" fontId="5" fillId="0" borderId="25" xfId="0" applyFont="1" applyBorder="1" applyAlignment="1">
      <alignment horizontal="center"/>
    </xf>
    <xf numFmtId="0" fontId="5" fillId="0" borderId="5" xfId="0" applyFont="1" applyBorder="1" applyAlignment="1">
      <alignment horizontal="center"/>
    </xf>
    <xf numFmtId="44" fontId="8" fillId="0" borderId="24" xfId="1" applyFont="1" applyBorder="1" applyAlignment="1">
      <alignment horizontal="center" vertical="center"/>
    </xf>
    <xf numFmtId="44" fontId="8" fillId="0" borderId="11" xfId="1" applyFont="1" applyBorder="1" applyAlignment="1">
      <alignment horizontal="center" vertical="center"/>
    </xf>
    <xf numFmtId="0" fontId="5" fillId="0" borderId="0" xfId="0" applyFont="1" applyAlignment="1">
      <alignment horizontal="right" vertical="center"/>
    </xf>
    <xf numFmtId="0" fontId="0" fillId="0" borderId="0" xfId="0" applyAlignment="1">
      <alignment horizontal="right" vertical="center"/>
    </xf>
    <xf numFmtId="0" fontId="5" fillId="0" borderId="0" xfId="0" applyFont="1" applyBorder="1" applyAlignment="1">
      <alignment horizontal="center" wrapText="1"/>
    </xf>
    <xf numFmtId="0" fontId="5" fillId="0" borderId="5" xfId="0" applyFont="1" applyBorder="1" applyAlignment="1">
      <alignment horizontal="center" wrapText="1"/>
    </xf>
    <xf numFmtId="0" fontId="0" fillId="0" borderId="24" xfId="0" applyBorder="1" applyAlignment="1">
      <alignment horizontal="center" wrapText="1"/>
    </xf>
    <xf numFmtId="0" fontId="0" fillId="0" borderId="10" xfId="0" applyBorder="1" applyAlignment="1">
      <alignment horizontal="center" wrapText="1"/>
    </xf>
    <xf numFmtId="0" fontId="0" fillId="0" borderId="25" xfId="0" applyBorder="1" applyAlignment="1">
      <alignment horizontal="center" wrapText="1"/>
    </xf>
    <xf numFmtId="0" fontId="0" fillId="0" borderId="10" xfId="0" applyBorder="1" applyAlignment="1">
      <alignment horizontal="center"/>
    </xf>
    <xf numFmtId="0" fontId="0" fillId="0" borderId="11" xfId="0" applyBorder="1" applyAlignment="1">
      <alignment horizont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0" xfId="0" applyBorder="1" applyAlignment="1">
      <alignment horizontal="center" vertical="center"/>
    </xf>
    <xf numFmtId="0" fontId="0" fillId="0" borderId="21" xfId="0" applyBorder="1" applyAlignment="1">
      <alignment horizontal="center" vertical="center"/>
    </xf>
  </cellXfs>
  <cellStyles count="25">
    <cellStyle name="Currency" xfId="1"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K41"/>
  <sheetViews>
    <sheetView topLeftCell="A19" zoomScale="90" zoomScaleNormal="90" workbookViewId="0">
      <selection activeCell="B25" sqref="B25"/>
    </sheetView>
  </sheetViews>
  <sheetFormatPr defaultColWidth="11" defaultRowHeight="15.75"/>
  <cols>
    <col min="1" max="1" width="12.875" customWidth="1"/>
    <col min="2" max="2" width="98" style="2" customWidth="1"/>
    <col min="3" max="3" width="18.875" style="10" customWidth="1"/>
    <col min="4" max="4" width="16.625" style="10" customWidth="1"/>
    <col min="5" max="5" width="13.375" style="10" customWidth="1"/>
    <col min="6" max="6" width="15.5" style="107" customWidth="1"/>
    <col min="7" max="7" width="19.375" style="13" customWidth="1"/>
    <col min="8" max="8" width="12.125" bestFit="1" customWidth="1"/>
  </cols>
  <sheetData>
    <row r="1" spans="1:9" ht="45" customHeight="1">
      <c r="A1" s="210" t="s">
        <v>18</v>
      </c>
      <c r="B1" s="205" t="s">
        <v>134</v>
      </c>
      <c r="C1" s="231" t="s">
        <v>18</v>
      </c>
      <c r="D1" s="229" t="s">
        <v>76</v>
      </c>
      <c r="E1" s="229" t="s">
        <v>77</v>
      </c>
      <c r="F1" s="227" t="s">
        <v>106</v>
      </c>
      <c r="G1" s="228"/>
    </row>
    <row r="2" spans="1:9" ht="28.5" customHeight="1">
      <c r="A2" s="211"/>
      <c r="B2" s="6"/>
      <c r="C2" s="232"/>
      <c r="D2" s="230"/>
      <c r="E2" s="230"/>
      <c r="F2" s="123" t="s">
        <v>108</v>
      </c>
      <c r="G2" s="129" t="s">
        <v>107</v>
      </c>
    </row>
    <row r="3" spans="1:9" ht="123.95" customHeight="1">
      <c r="A3" s="211"/>
      <c r="B3" s="4" t="s">
        <v>15</v>
      </c>
      <c r="C3" s="24">
        <v>1878656</v>
      </c>
      <c r="D3" s="157">
        <f>IF(Purchase!C3&gt;Reference!B29,Reference!C30,IF(Purchase!C3&gt;Reference!B28,Reference!C29,IF(Purchase!C3&gt;Reference!B27,Reference!C28,IF(Purchase!C3&gt;Reference!B26,Reference!C27,IF(Purchase!C3&gt;Reference!B25,Reference!C26,IF(Purchase!C3&gt;Reference!B24,Reference!C25,Reference!C24))))))</f>
        <v>1095</v>
      </c>
      <c r="E3" s="157">
        <f>Reference!B16+Reference!B17+Reference!B18+Reference!B19</f>
        <v>250</v>
      </c>
      <c r="F3" s="118">
        <f>Reference!B3</f>
        <v>60</v>
      </c>
      <c r="G3" s="148">
        <f>Reference!B4</f>
        <v>10</v>
      </c>
    </row>
    <row r="4" spans="1:9" ht="20.25" customHeight="1" thickBot="1">
      <c r="A4" s="212"/>
      <c r="B4" s="36"/>
      <c r="C4" s="156" t="s">
        <v>11</v>
      </c>
      <c r="D4" s="165">
        <f>SUM(D3)</f>
        <v>1095</v>
      </c>
      <c r="E4" s="165">
        <f t="shared" ref="E4" si="0">SUM(E3)</f>
        <v>250</v>
      </c>
      <c r="F4" s="117">
        <f>SUM(F3)</f>
        <v>60</v>
      </c>
      <c r="G4" s="201">
        <f>SUM(G3)</f>
        <v>10</v>
      </c>
    </row>
    <row r="5" spans="1:9" ht="20.25" customHeight="1">
      <c r="A5" s="210" t="s">
        <v>103</v>
      </c>
      <c r="B5" s="221"/>
      <c r="C5" s="219"/>
      <c r="D5" s="213" t="s">
        <v>76</v>
      </c>
      <c r="E5" s="213" t="s">
        <v>77</v>
      </c>
      <c r="F5" s="233" t="s">
        <v>114</v>
      </c>
      <c r="G5" s="234"/>
    </row>
    <row r="6" spans="1:9" ht="19.5" customHeight="1">
      <c r="A6" s="211"/>
      <c r="B6" s="222"/>
      <c r="C6" s="220"/>
      <c r="D6" s="214"/>
      <c r="E6" s="214"/>
      <c r="F6" s="119" t="s">
        <v>112</v>
      </c>
      <c r="G6" s="120" t="s">
        <v>113</v>
      </c>
      <c r="H6" s="150"/>
    </row>
    <row r="7" spans="1:9" ht="27" customHeight="1">
      <c r="A7" s="211"/>
      <c r="B7" s="6" t="s">
        <v>14</v>
      </c>
      <c r="C7" s="139" t="s">
        <v>0</v>
      </c>
      <c r="D7" s="162"/>
      <c r="E7" s="162"/>
      <c r="F7" s="119"/>
      <c r="G7" s="120"/>
      <c r="H7" s="151"/>
    </row>
    <row r="8" spans="1:9" ht="66" customHeight="1">
      <c r="A8" s="211"/>
      <c r="B8" s="4" t="s">
        <v>79</v>
      </c>
      <c r="C8" s="139" t="s">
        <v>0</v>
      </c>
      <c r="D8" s="163"/>
      <c r="E8" s="163"/>
      <c r="F8" s="109">
        <f>IF(Purchase!C8="Yes",Reference!E54,Reference!E61)</f>
        <v>34048.119999999995</v>
      </c>
      <c r="G8" s="109">
        <f>IF(Purchase!C7="Yes",IF(Purchase!C8="Yes",Reference!E67,Reference!E75),0)</f>
        <v>33298.119999999995</v>
      </c>
      <c r="H8" s="152"/>
    </row>
    <row r="9" spans="1:9" ht="73.5" customHeight="1">
      <c r="A9" s="211"/>
      <c r="B9" s="4" t="s">
        <v>125</v>
      </c>
      <c r="C9" s="159">
        <v>1</v>
      </c>
      <c r="D9" s="164">
        <f>IF(Purchase!C9&lt;=6,Purchase!C9*Reference!B15,"Call Us To Discuss")</f>
        <v>35</v>
      </c>
      <c r="E9" s="163"/>
      <c r="F9" s="109"/>
      <c r="G9" s="109"/>
      <c r="H9" s="152"/>
    </row>
    <row r="10" spans="1:9" ht="131.1" customHeight="1">
      <c r="A10" s="211"/>
      <c r="B10" s="4" t="s">
        <v>19</v>
      </c>
      <c r="C10" s="160">
        <v>1</v>
      </c>
      <c r="D10" s="157"/>
      <c r="E10" s="157"/>
      <c r="F10" s="11">
        <f>-Purchase!C10*(IF(Purchase!C8="Yes",IF(Reference!E54&gt;Reference!B55,Reference!B55,Reference!E54),0))</f>
        <v>-2000</v>
      </c>
      <c r="G10" s="11">
        <f>-Purchase!C10*(IF(Purchase!C7="Yes",IF(Purchase!C8="Yes",IF(Reference!E67&gt;Reference!B68,Reference!B68,Reference!E67),0),0))</f>
        <v>-3725</v>
      </c>
      <c r="H10" s="152"/>
    </row>
    <row r="11" spans="1:9" ht="18.95" customHeight="1" thickBot="1">
      <c r="A11" s="211"/>
      <c r="B11" s="6"/>
      <c r="C11" s="166" t="s">
        <v>11</v>
      </c>
      <c r="D11" s="163">
        <f>SUM(D7:D10)</f>
        <v>35</v>
      </c>
      <c r="E11" s="163"/>
      <c r="F11" s="110">
        <f>F8+F10</f>
        <v>32048.119999999995</v>
      </c>
      <c r="G11" s="111">
        <f>G8+G10</f>
        <v>29573.119999999995</v>
      </c>
      <c r="H11" s="153"/>
    </row>
    <row r="12" spans="1:9" ht="35.25" customHeight="1">
      <c r="A12" s="210" t="s">
        <v>75</v>
      </c>
      <c r="B12" s="225"/>
      <c r="C12" s="223"/>
      <c r="D12" s="213" t="s">
        <v>76</v>
      </c>
      <c r="E12" s="215" t="s">
        <v>106</v>
      </c>
      <c r="F12" s="216"/>
      <c r="G12" s="217" t="s">
        <v>25</v>
      </c>
      <c r="H12" s="150"/>
    </row>
    <row r="13" spans="1:9" ht="35.25" customHeight="1">
      <c r="A13" s="211"/>
      <c r="B13" s="226"/>
      <c r="C13" s="224"/>
      <c r="D13" s="214"/>
      <c r="E13" s="176" t="s">
        <v>108</v>
      </c>
      <c r="F13" s="177" t="s">
        <v>107</v>
      </c>
      <c r="G13" s="218"/>
      <c r="H13" s="150"/>
    </row>
    <row r="14" spans="1:9" ht="50.1" customHeight="1">
      <c r="A14" s="211"/>
      <c r="B14" s="106" t="s">
        <v>64</v>
      </c>
      <c r="C14" s="139" t="s">
        <v>1</v>
      </c>
      <c r="D14" s="164"/>
      <c r="E14" s="178"/>
      <c r="F14" s="179"/>
      <c r="G14" s="113">
        <f>-(IF(Purchase!C14="Yes",Reference!L36,IF(Purchase!C16="Yes",Reference!J36,Reference!K36)))/(1+Reference!M36)</f>
        <v>-69.444444444444443</v>
      </c>
      <c r="H14" s="154"/>
      <c r="I14" s="104"/>
    </row>
    <row r="15" spans="1:9" ht="50.1" customHeight="1">
      <c r="A15" s="211"/>
      <c r="B15" s="4" t="s">
        <v>63</v>
      </c>
      <c r="C15" s="139" t="s">
        <v>1</v>
      </c>
      <c r="D15" s="164">
        <f>IF(Purchase!C14="Yes",IF(Purchase!C15="Yes",Reference!B13,0),0)</f>
        <v>0</v>
      </c>
      <c r="E15" s="178"/>
      <c r="F15" s="179"/>
      <c r="G15" s="109">
        <f>IF(Purchase!C14="Yes",IF(Purchase!C3&gt;Reference!B37,(Reference!E38*(Purchase!C3-Reference!B37)/1000+Reference!E37),IF(Purchase!C3&gt;=Reference!B36,Reference!E37,Reference!E36)),IF(Purchase!C15="Yes",IF(Purchase!C3&gt;Reference!B37,(Reference!C38*(Purchase!C3-Reference!B37)/1000+Reference!C37),IF(Purchase!C3&gt;=Reference!B36,Reference!C37,Reference!C36)),IF(Purchase!C3&gt;Reference!B37,(Reference!D38*(Purchase!C3-Reference!B37)/1000+Reference!D37),IF(Purchase!C3&gt;=Reference!B36,Reference!D37,Reference!D36))))</f>
        <v>1728.6559999999999</v>
      </c>
      <c r="H15" s="154"/>
      <c r="I15" s="104"/>
    </row>
    <row r="16" spans="1:9" ht="50.1" customHeight="1">
      <c r="A16" s="211"/>
      <c r="B16" s="4" t="s">
        <v>57</v>
      </c>
      <c r="C16" s="139" t="s">
        <v>1</v>
      </c>
      <c r="D16" s="164"/>
      <c r="E16" s="178">
        <f>IF(Purchase!C16="Yes",Reference!B3,0)</f>
        <v>0</v>
      </c>
      <c r="F16" s="179">
        <f>IF(Purchase!C16="Yes",Reference!B4,0)</f>
        <v>0</v>
      </c>
      <c r="G16" s="113">
        <f>IF(Purchase!C16="Yes",0,Reference!F36)</f>
        <v>-50</v>
      </c>
      <c r="H16" s="155"/>
      <c r="I16" s="104"/>
    </row>
    <row r="17" spans="1:11" ht="45" customHeight="1">
      <c r="A17" s="211"/>
      <c r="B17" s="4" t="s">
        <v>58</v>
      </c>
      <c r="C17" s="139" t="s">
        <v>1</v>
      </c>
      <c r="D17" s="164"/>
      <c r="E17" s="178"/>
      <c r="F17" s="179"/>
      <c r="G17" s="109">
        <f>IF(Purchase!C16="Yes",IF(Purchase!C17="Yes",Reference!H36,0),0)</f>
        <v>0</v>
      </c>
      <c r="H17" s="155"/>
      <c r="I17" s="104"/>
    </row>
    <row r="18" spans="1:11" ht="45" customHeight="1">
      <c r="A18" s="211"/>
      <c r="B18" s="4" t="s">
        <v>59</v>
      </c>
      <c r="C18" s="139" t="s">
        <v>1</v>
      </c>
      <c r="D18" s="164">
        <f>IF(Purchase!C16="Yes",IF(Purchase!C18="Yes",Reference!B9,0),0)</f>
        <v>0</v>
      </c>
      <c r="E18" s="178">
        <f>IF(Purchase!C16="Yes",IF(Purchase!C18="Yes",Reference!B3,0),0)</f>
        <v>0</v>
      </c>
      <c r="F18" s="179">
        <f>IF(Purchase!C16="Yes",IF(Purchase!C18="Yes",Reference!B4,0),0)</f>
        <v>0</v>
      </c>
      <c r="G18" s="109">
        <f>IF(Purchase!C16="Yes",IF(Purchase!C18="Yes",Reference!G36,0),0)</f>
        <v>0</v>
      </c>
      <c r="H18" s="154"/>
      <c r="I18" s="104"/>
    </row>
    <row r="19" spans="1:11" ht="51.75" customHeight="1">
      <c r="A19" s="211"/>
      <c r="B19" s="4" t="s">
        <v>60</v>
      </c>
      <c r="C19" s="139" t="s">
        <v>0</v>
      </c>
      <c r="D19" s="164">
        <f>IF(Purchase!C16="Yes",IF(Purchase!C19="Yes",Reference!B10,0),0)</f>
        <v>0</v>
      </c>
      <c r="E19" s="178">
        <f>IF(Purchase!C16="Yes",IF(Purchase!C19="Yes",Reference!B3,0),0)</f>
        <v>0</v>
      </c>
      <c r="F19" s="179">
        <f>IF(Purchase!C16="Yes",IF(Purchase!C19="Yes",Reference!B4,0),0)</f>
        <v>0</v>
      </c>
      <c r="G19" s="109">
        <f>IF(Purchase!C16="Yes",IF(Purchase!C19="Yes",Reference!I36,0),0)</f>
        <v>0</v>
      </c>
      <c r="H19" s="154"/>
      <c r="I19" s="104"/>
    </row>
    <row r="20" spans="1:11" ht="48" customHeight="1">
      <c r="A20" s="211"/>
      <c r="B20" s="4" t="s">
        <v>62</v>
      </c>
      <c r="C20" s="139" t="s">
        <v>1</v>
      </c>
      <c r="D20" s="164"/>
      <c r="E20" s="178"/>
      <c r="F20" s="179"/>
      <c r="G20" s="109">
        <f>IF(Purchase!C16="Yes",IF(Purchase!C19="Yes",IF(Purchase!C20="Yes",Reference!H36,0),0),0)</f>
        <v>0</v>
      </c>
      <c r="H20" s="154"/>
      <c r="I20" s="104"/>
    </row>
    <row r="21" spans="1:11" ht="51" customHeight="1">
      <c r="A21" s="211"/>
      <c r="B21" s="4" t="s">
        <v>61</v>
      </c>
      <c r="C21" s="139" t="s">
        <v>1</v>
      </c>
      <c r="D21" s="175">
        <f>IF(Purchase!C16="Yes",IF(Purchase!C19="Yes",IF(Purchase!C21="Yes",Reference!B9,0),0),0)</f>
        <v>0</v>
      </c>
      <c r="E21" s="180">
        <f>IF(Purchase!C16="Yes",IF(Purchase!C19="Yes",IF(Purchase!C21="Yes",Reference!B3,0),0),0)</f>
        <v>0</v>
      </c>
      <c r="F21" s="181">
        <f>IF(Purchase!C16="Yes",IF(Purchase!C19="Yes",IF(Purchase!C21="Yes",Reference!B4,0),0),0)</f>
        <v>0</v>
      </c>
      <c r="G21" s="114">
        <f>IF(Purchase!C16="Yes",IF(Purchase!C19="Yes",IF(Purchase!C21="Yes",Reference!G36,0),0),0)</f>
        <v>0</v>
      </c>
      <c r="H21" s="154"/>
      <c r="I21" s="104"/>
    </row>
    <row r="22" spans="1:11" ht="31.5" customHeight="1" thickBot="1">
      <c r="A22" s="212"/>
      <c r="B22" s="36"/>
      <c r="C22" s="174" t="s">
        <v>11</v>
      </c>
      <c r="D22" s="165">
        <f>SUM(D14:D21)</f>
        <v>0</v>
      </c>
      <c r="E22" s="182">
        <f>SUM(E14:E21)</f>
        <v>0</v>
      </c>
      <c r="F22" s="183">
        <f>SUM(F14:F21)</f>
        <v>0</v>
      </c>
      <c r="G22" s="117">
        <f>SUM(G14:G21)</f>
        <v>1609.2115555555556</v>
      </c>
      <c r="H22" s="154"/>
      <c r="I22" s="104"/>
      <c r="K22" s="116"/>
    </row>
    <row r="23" spans="1:11" ht="33.75" customHeight="1">
      <c r="A23" s="210" t="s">
        <v>23</v>
      </c>
      <c r="B23" s="4"/>
      <c r="C23" s="184"/>
      <c r="D23" s="161" t="s">
        <v>76</v>
      </c>
      <c r="E23" s="161" t="s">
        <v>77</v>
      </c>
      <c r="F23" s="111"/>
      <c r="G23" s="40"/>
      <c r="H23" s="104"/>
      <c r="J23" s="116"/>
    </row>
    <row r="24" spans="1:11" ht="147" customHeight="1">
      <c r="A24" s="211"/>
      <c r="B24" s="4" t="s">
        <v>85</v>
      </c>
      <c r="C24" s="139" t="s">
        <v>0</v>
      </c>
      <c r="D24" s="164"/>
      <c r="E24" s="164">
        <f>IF(Purchase!C24="Yes",Reference!B7,0)</f>
        <v>85</v>
      </c>
      <c r="F24" s="12"/>
      <c r="G24" s="37"/>
    </row>
    <row r="25" spans="1:11" ht="141.75">
      <c r="A25" s="211"/>
      <c r="B25" s="4" t="s">
        <v>137</v>
      </c>
      <c r="C25" s="139" t="s">
        <v>0</v>
      </c>
      <c r="D25" s="164"/>
      <c r="E25" s="164">
        <f>IF(Purchase!C25="Yes",Reference!B8,0)</f>
        <v>175</v>
      </c>
      <c r="F25" s="12"/>
      <c r="G25" s="37"/>
    </row>
    <row r="26" spans="1:11" ht="157.5">
      <c r="A26" s="211"/>
      <c r="B26" s="4" t="s">
        <v>138</v>
      </c>
      <c r="C26" s="139" t="s">
        <v>0</v>
      </c>
      <c r="D26" s="157"/>
      <c r="E26" s="185">
        <f>IF(Purchase!C26="Yes",Reference!B6,0)</f>
        <v>250</v>
      </c>
      <c r="F26" s="12"/>
      <c r="G26" s="37"/>
    </row>
    <row r="27" spans="1:11" ht="22.5" customHeight="1" thickBot="1">
      <c r="A27" s="212"/>
      <c r="B27" s="36"/>
      <c r="C27" s="174" t="s">
        <v>11</v>
      </c>
      <c r="D27" s="165">
        <f>SUM(D24:D26)</f>
        <v>0</v>
      </c>
      <c r="E27" s="165">
        <f>SUM(E24:E26)</f>
        <v>510</v>
      </c>
      <c r="F27" s="108"/>
      <c r="G27" s="38"/>
    </row>
    <row r="28" spans="1:11">
      <c r="B28" s="204" t="s">
        <v>133</v>
      </c>
    </row>
    <row r="30" spans="1:11" ht="18">
      <c r="B30" s="235" t="s">
        <v>116</v>
      </c>
      <c r="C30" s="235"/>
      <c r="D30" s="235"/>
      <c r="E30" s="235"/>
      <c r="F30" s="169" t="s">
        <v>105</v>
      </c>
      <c r="G30" s="170" t="s">
        <v>11</v>
      </c>
    </row>
    <row r="31" spans="1:11">
      <c r="B31" s="144"/>
      <c r="C31" s="144" t="s">
        <v>104</v>
      </c>
      <c r="D31" s="146">
        <f>D4+D11+D22+D27</f>
        <v>1130</v>
      </c>
      <c r="F31" s="107">
        <f>Purchase!D31*Reference!B20</f>
        <v>146.9</v>
      </c>
    </row>
    <row r="32" spans="1:11">
      <c r="B32" s="144"/>
      <c r="C32" s="144" t="s">
        <v>109</v>
      </c>
      <c r="D32" s="167">
        <f>E4+E11+E27</f>
        <v>760</v>
      </c>
      <c r="F32" s="107">
        <f>Purchase!D32*Reference!B20</f>
        <v>98.8</v>
      </c>
    </row>
    <row r="33" spans="2:7">
      <c r="B33" s="144"/>
      <c r="C33" s="144" t="s">
        <v>118</v>
      </c>
      <c r="D33" s="146">
        <f>F4+E22</f>
        <v>60</v>
      </c>
      <c r="F33" s="107">
        <v>0</v>
      </c>
    </row>
    <row r="34" spans="2:7">
      <c r="B34" s="144"/>
      <c r="C34" s="144" t="s">
        <v>111</v>
      </c>
      <c r="D34" s="146">
        <f>G4+F22</f>
        <v>10</v>
      </c>
      <c r="F34" s="107">
        <f>Purchase!D34*Reference!B20</f>
        <v>1.3</v>
      </c>
    </row>
    <row r="35" spans="2:7" ht="18">
      <c r="B35" s="144"/>
      <c r="C35" s="144" t="s">
        <v>25</v>
      </c>
      <c r="D35" s="147">
        <f>G22</f>
        <v>1609.2115555555556</v>
      </c>
      <c r="F35" s="172">
        <f>Purchase!D35*Reference!M36</f>
        <v>128.73692444444444</v>
      </c>
    </row>
    <row r="36" spans="2:7" ht="23.25">
      <c r="B36" s="144"/>
      <c r="C36" s="192" t="s">
        <v>115</v>
      </c>
      <c r="D36" s="191">
        <f>SUM(D31:D35)</f>
        <v>3569.2115555555556</v>
      </c>
      <c r="E36" s="173"/>
      <c r="F36" s="168">
        <f>SUM(F31:F35)</f>
        <v>375.73692444444441</v>
      </c>
      <c r="G36" s="186">
        <f>SUM(D36:F36)</f>
        <v>3944.94848</v>
      </c>
    </row>
    <row r="37" spans="2:7" ht="18">
      <c r="B37" s="236" t="s">
        <v>114</v>
      </c>
      <c r="C37" s="236"/>
      <c r="D37" s="147"/>
    </row>
    <row r="38" spans="2:7">
      <c r="B38" s="144"/>
      <c r="C38" s="144" t="s">
        <v>112</v>
      </c>
      <c r="D38" s="171">
        <f>F11</f>
        <v>32048.119999999995</v>
      </c>
      <c r="F38" s="107">
        <v>0</v>
      </c>
    </row>
    <row r="39" spans="2:7" ht="18">
      <c r="B39" s="144"/>
      <c r="C39" s="144" t="s">
        <v>113</v>
      </c>
      <c r="D39" s="147">
        <f>G11</f>
        <v>29573.119999999995</v>
      </c>
      <c r="F39" s="172">
        <v>0</v>
      </c>
    </row>
    <row r="40" spans="2:7" ht="23.25">
      <c r="B40" s="144"/>
      <c r="C40" s="192" t="s">
        <v>117</v>
      </c>
      <c r="D40" s="193">
        <f>SUM(D38:D39)</f>
        <v>61621.239999999991</v>
      </c>
      <c r="E40" s="173"/>
      <c r="F40" s="168">
        <v>0</v>
      </c>
      <c r="G40" s="186">
        <f>SUM(D40:F40)</f>
        <v>61621.239999999991</v>
      </c>
    </row>
    <row r="41" spans="2:7">
      <c r="B41" s="144"/>
      <c r="C41" s="145"/>
      <c r="D41" s="145"/>
    </row>
  </sheetData>
  <mergeCells count="20">
    <mergeCell ref="A23:A27"/>
    <mergeCell ref="A5:A11"/>
    <mergeCell ref="B30:E30"/>
    <mergeCell ref="B37:C37"/>
    <mergeCell ref="A1:A4"/>
    <mergeCell ref="D12:D13"/>
    <mergeCell ref="E12:F12"/>
    <mergeCell ref="G12:G13"/>
    <mergeCell ref="C5:C6"/>
    <mergeCell ref="B5:B6"/>
    <mergeCell ref="C12:C13"/>
    <mergeCell ref="B12:B13"/>
    <mergeCell ref="F1:G1"/>
    <mergeCell ref="D1:D2"/>
    <mergeCell ref="E1:E2"/>
    <mergeCell ref="C1:C2"/>
    <mergeCell ref="D5:D6"/>
    <mergeCell ref="E5:E6"/>
    <mergeCell ref="F5:G5"/>
    <mergeCell ref="A12:A22"/>
  </mergeCell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disablePrompts="1" count="1">
        <x14:dataValidation type="list" showInputMessage="1" showErrorMessage="1">
          <x14:formula1>
            <xm:f>Reference!$B$1:$C$1</xm:f>
          </x14:formula1>
          <xm:sqref>C7:C8 C14:C21 C23:C26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24"/>
  <sheetViews>
    <sheetView tabSelected="1" topLeftCell="A10" zoomScale="90" zoomScaleNormal="90" workbookViewId="0">
      <selection activeCell="D15" sqref="D15"/>
    </sheetView>
  </sheetViews>
  <sheetFormatPr defaultColWidth="11" defaultRowHeight="15.75"/>
  <cols>
    <col min="1" max="1" width="12.875" customWidth="1"/>
    <col min="2" max="2" width="98" style="2" customWidth="1"/>
    <col min="3" max="4" width="16.625" style="10" customWidth="1"/>
    <col min="5" max="5" width="13.375" style="10" customWidth="1"/>
    <col min="6" max="6" width="15.5" style="107" customWidth="1"/>
    <col min="7" max="7" width="19.375" style="13" customWidth="1"/>
    <col min="8" max="8" width="12.125" bestFit="1" customWidth="1"/>
  </cols>
  <sheetData>
    <row r="1" spans="1:9" ht="37.5" customHeight="1">
      <c r="A1" s="210" t="s">
        <v>91</v>
      </c>
      <c r="B1" s="205" t="s">
        <v>135</v>
      </c>
      <c r="C1" s="105" t="s">
        <v>120</v>
      </c>
      <c r="D1" s="105" t="s">
        <v>76</v>
      </c>
      <c r="E1" s="105" t="s">
        <v>77</v>
      </c>
      <c r="F1" s="203" t="s">
        <v>93</v>
      </c>
      <c r="G1"/>
    </row>
    <row r="2" spans="1:9" ht="39.75" customHeight="1">
      <c r="A2" s="211"/>
      <c r="B2" s="4" t="s">
        <v>92</v>
      </c>
      <c r="C2" s="12">
        <v>25</v>
      </c>
      <c r="D2" s="118">
        <f>IF(Sale!C2&gt;Reference!B29,Reference!D30,IF(Sale!C2&gt;Reference!B28,Reference!D29,IF(Sale!C2&gt;Reference!B27,Reference!D28,IF(Sale!C2&gt;Reference!B26,Reference!D27,IF(Sale!C2&gt;Reference!B25,Reference!D26,IF(Sale!C2&gt;Reference!B24,Reference!D25,Reference!D24))))))</f>
        <v>645</v>
      </c>
      <c r="E2" s="118">
        <f>F2</f>
        <v>65</v>
      </c>
      <c r="F2" s="187">
        <f>Reference!B5</f>
        <v>65</v>
      </c>
      <c r="G2"/>
    </row>
    <row r="3" spans="1:9" ht="20.25" customHeight="1" thickBot="1">
      <c r="A3" s="212"/>
      <c r="B3" s="36"/>
      <c r="C3" s="124" t="s">
        <v>11</v>
      </c>
      <c r="D3" s="117">
        <f>SUM(D2)</f>
        <v>645</v>
      </c>
      <c r="E3" s="117">
        <f t="shared" ref="E3:F3" si="0">SUM(E2)</f>
        <v>65</v>
      </c>
      <c r="F3" s="190">
        <f t="shared" si="0"/>
        <v>65</v>
      </c>
      <c r="G3"/>
    </row>
    <row r="4" spans="1:9" ht="33" customHeight="1">
      <c r="A4" s="210" t="s">
        <v>102</v>
      </c>
      <c r="B4" s="4"/>
      <c r="C4" s="12"/>
      <c r="D4" s="123" t="s">
        <v>76</v>
      </c>
      <c r="E4" s="119" t="s">
        <v>77</v>
      </c>
      <c r="F4" s="188"/>
      <c r="G4"/>
    </row>
    <row r="5" spans="1:9" ht="73.5" customHeight="1">
      <c r="A5" s="211"/>
      <c r="B5" s="4" t="s">
        <v>125</v>
      </c>
      <c r="C5" s="121">
        <v>8</v>
      </c>
      <c r="D5" s="118" t="str">
        <f>IF(Sale!C5&lt;=6,Sale!C5*Reference!B15,"Call Us To Discuss")</f>
        <v>Call Us To Discuss</v>
      </c>
      <c r="E5" s="109">
        <v>0</v>
      </c>
      <c r="F5" s="189"/>
      <c r="G5"/>
    </row>
    <row r="6" spans="1:9" ht="18.95" customHeight="1" thickBot="1">
      <c r="A6" s="212"/>
      <c r="B6" s="6"/>
      <c r="C6" s="9" t="s">
        <v>11</v>
      </c>
      <c r="D6" s="111">
        <f>SUM(D5:D5)</f>
        <v>0</v>
      </c>
      <c r="E6" s="138">
        <f>SUM(E5)</f>
        <v>0</v>
      </c>
      <c r="F6" s="190"/>
      <c r="G6"/>
    </row>
    <row r="7" spans="1:9" ht="35.25" customHeight="1">
      <c r="A7" s="210" t="s">
        <v>99</v>
      </c>
      <c r="B7" s="7"/>
      <c r="C7" s="225"/>
      <c r="D7" s="227" t="s">
        <v>76</v>
      </c>
      <c r="E7" s="227" t="s">
        <v>119</v>
      </c>
      <c r="F7" s="228"/>
      <c r="G7"/>
    </row>
    <row r="8" spans="1:9" ht="35.25" customHeight="1">
      <c r="A8" s="211"/>
      <c r="B8" s="6"/>
      <c r="C8" s="226"/>
      <c r="D8" s="237"/>
      <c r="E8" s="123" t="s">
        <v>108</v>
      </c>
      <c r="F8" s="129" t="s">
        <v>107</v>
      </c>
      <c r="G8"/>
    </row>
    <row r="9" spans="1:9" ht="50.1" customHeight="1">
      <c r="A9" s="211"/>
      <c r="B9" s="4" t="s">
        <v>96</v>
      </c>
      <c r="C9" s="131" t="s">
        <v>1</v>
      </c>
      <c r="D9" s="109">
        <f>IF(Sale!C9="Yes",Reference!B11,0)</f>
        <v>0</v>
      </c>
      <c r="E9" s="109">
        <f>IF(Sale!C9="Yes",Reference!B3,0)</f>
        <v>0</v>
      </c>
      <c r="F9" s="189">
        <f>IF(Sale!C9="Yes",Reference!B4,0)</f>
        <v>0</v>
      </c>
      <c r="G9" s="104"/>
    </row>
    <row r="10" spans="1:9" ht="51" customHeight="1">
      <c r="A10" s="211"/>
      <c r="B10" s="4" t="s">
        <v>95</v>
      </c>
      <c r="C10" s="202" t="s">
        <v>149</v>
      </c>
      <c r="D10" s="118">
        <f>IF(Sale!C10="Yes",Reference!B12,0)</f>
        <v>0</v>
      </c>
      <c r="E10" s="118">
        <f>IF(Sale!C10="Yes",Reference!B3,0)</f>
        <v>0</v>
      </c>
      <c r="F10" s="187">
        <f>IF(Sale!C10="Yes",Reference!B4,0)</f>
        <v>0</v>
      </c>
      <c r="G10" s="104"/>
    </row>
    <row r="11" spans="1:9" ht="31.5" customHeight="1" thickBot="1">
      <c r="A11" s="212"/>
      <c r="B11" s="36"/>
      <c r="C11" s="122" t="s">
        <v>11</v>
      </c>
      <c r="D11" s="117">
        <f>SUM(D9:D10)</f>
        <v>0</v>
      </c>
      <c r="E11" s="117">
        <f>SUM(E9:E10)</f>
        <v>0</v>
      </c>
      <c r="F11" s="190">
        <f>SUM(F9:F10)</f>
        <v>0</v>
      </c>
      <c r="G11" s="104"/>
      <c r="I11" s="116"/>
    </row>
    <row r="12" spans="1:9">
      <c r="B12" s="204" t="s">
        <v>133</v>
      </c>
    </row>
    <row r="13" spans="1:9">
      <c r="B13" s="144"/>
    </row>
    <row r="14" spans="1:9" ht="18">
      <c r="B14" s="235" t="s">
        <v>116</v>
      </c>
      <c r="C14" s="235"/>
      <c r="D14" s="235"/>
      <c r="E14" s="235"/>
      <c r="F14" s="169" t="s">
        <v>105</v>
      </c>
      <c r="G14" s="170" t="s">
        <v>11</v>
      </c>
    </row>
    <row r="15" spans="1:9">
      <c r="B15" s="144"/>
      <c r="C15" s="144" t="s">
        <v>104</v>
      </c>
      <c r="D15" s="146">
        <f>D3+D6+D11</f>
        <v>645</v>
      </c>
      <c r="F15" s="107">
        <f>Sale!D15*Reference!B20</f>
        <v>83.850000000000009</v>
      </c>
    </row>
    <row r="16" spans="1:9">
      <c r="B16" s="144"/>
      <c r="C16" s="144" t="s">
        <v>109</v>
      </c>
      <c r="D16" s="167">
        <f>E3+E6</f>
        <v>65</v>
      </c>
      <c r="F16" s="107">
        <f>Sale!D16*Reference!B20</f>
        <v>8.4500000000000011</v>
      </c>
    </row>
    <row r="17" spans="2:7">
      <c r="B17" s="144"/>
      <c r="C17" s="144" t="s">
        <v>118</v>
      </c>
      <c r="D17" s="146">
        <f>E11</f>
        <v>0</v>
      </c>
      <c r="F17" s="107">
        <v>0</v>
      </c>
    </row>
    <row r="18" spans="2:7">
      <c r="B18" s="144"/>
      <c r="C18" s="144" t="s">
        <v>111</v>
      </c>
      <c r="D18" s="146">
        <f>F11</f>
        <v>0</v>
      </c>
      <c r="F18" s="107">
        <f>Sale!D18*Reference!B20</f>
        <v>0</v>
      </c>
    </row>
    <row r="19" spans="2:7" ht="18">
      <c r="B19" s="144"/>
      <c r="C19" s="144" t="s">
        <v>25</v>
      </c>
      <c r="D19" s="147" t="s">
        <v>121</v>
      </c>
      <c r="F19" s="172">
        <v>0</v>
      </c>
    </row>
    <row r="20" spans="2:7" ht="23.25">
      <c r="B20" s="144"/>
      <c r="C20" s="192" t="s">
        <v>115</v>
      </c>
      <c r="D20" s="193">
        <f>SUM(D15:D18)</f>
        <v>710</v>
      </c>
      <c r="E20" s="173"/>
      <c r="F20" s="168">
        <f>SUM(F15:F19)</f>
        <v>92.300000000000011</v>
      </c>
      <c r="G20" s="186">
        <f>SUM(D20:F20)</f>
        <v>802.3</v>
      </c>
    </row>
    <row r="21" spans="2:7" ht="18">
      <c r="B21" s="236" t="s">
        <v>114</v>
      </c>
      <c r="C21" s="236"/>
      <c r="D21" s="147"/>
    </row>
    <row r="22" spans="2:7">
      <c r="B22" s="144"/>
      <c r="C22" s="144" t="s">
        <v>112</v>
      </c>
      <c r="D22" s="171" t="s">
        <v>121</v>
      </c>
      <c r="F22" s="107">
        <v>0</v>
      </c>
    </row>
    <row r="23" spans="2:7" ht="18">
      <c r="B23" s="144"/>
      <c r="C23" s="144" t="s">
        <v>113</v>
      </c>
      <c r="D23" s="147" t="s">
        <v>121</v>
      </c>
      <c r="F23" s="172">
        <v>0</v>
      </c>
    </row>
    <row r="24" spans="2:7" ht="23.25">
      <c r="B24" s="144"/>
      <c r="C24" s="192" t="s">
        <v>117</v>
      </c>
      <c r="D24" s="194" t="s">
        <v>121</v>
      </c>
      <c r="E24" s="173"/>
      <c r="F24" s="168">
        <v>0</v>
      </c>
      <c r="G24" s="186">
        <f>SUM(D24:F24)</f>
        <v>0</v>
      </c>
    </row>
  </sheetData>
  <mergeCells count="8">
    <mergeCell ref="B14:E14"/>
    <mergeCell ref="B21:C21"/>
    <mergeCell ref="A7:A11"/>
    <mergeCell ref="A1:A3"/>
    <mergeCell ref="A4:A6"/>
    <mergeCell ref="E7:F7"/>
    <mergeCell ref="D7:D8"/>
    <mergeCell ref="C7:C8"/>
  </mergeCell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showInputMessage="1" showErrorMessage="1">
          <x14:formula1>
            <xm:f>Reference!$B$1:$C$1</xm:f>
          </x14:formula1>
          <xm:sqref>C9:C10</xm:sqref>
        </x14:dataValidation>
      </x14:dataValidations>
    </ext>
  </extLst>
</worksheet>
</file>

<file path=xl/worksheets/sheet3.xml><?xml version="1.0" encoding="utf-8"?>
<worksheet xmlns="http://schemas.openxmlformats.org/spreadsheetml/2006/main" xmlns:r="http://schemas.openxmlformats.org/officeDocument/2006/relationships">
  <dimension ref="A1:K36"/>
  <sheetViews>
    <sheetView topLeftCell="C28" zoomScale="90" zoomScaleNormal="90" workbookViewId="0">
      <selection activeCell="F20" sqref="F20"/>
    </sheetView>
  </sheetViews>
  <sheetFormatPr defaultColWidth="11" defaultRowHeight="15.75"/>
  <cols>
    <col min="1" max="1" width="14.5" customWidth="1"/>
    <col min="2" max="2" width="98" style="2" customWidth="1"/>
    <col min="3" max="3" width="18.875" style="10" customWidth="1"/>
    <col min="4" max="4" width="16.625" style="10" customWidth="1"/>
    <col min="5" max="5" width="13.375" style="10" customWidth="1"/>
    <col min="6" max="6" width="15.5" style="107" customWidth="1"/>
    <col min="7" max="7" width="19.375" style="13" customWidth="1"/>
    <col min="8" max="8" width="12.125" bestFit="1" customWidth="1"/>
  </cols>
  <sheetData>
    <row r="1" spans="1:9" ht="24" customHeight="1">
      <c r="A1" s="210" t="s">
        <v>122</v>
      </c>
      <c r="B1" s="206" t="s">
        <v>136</v>
      </c>
      <c r="C1" s="216" t="s">
        <v>122</v>
      </c>
      <c r="D1" s="229" t="s">
        <v>76</v>
      </c>
      <c r="E1" s="229" t="s">
        <v>77</v>
      </c>
      <c r="F1" s="227" t="s">
        <v>106</v>
      </c>
      <c r="G1" s="228"/>
    </row>
    <row r="2" spans="1:9" ht="35.25" customHeight="1">
      <c r="A2" s="211"/>
      <c r="B2" s="208" t="s">
        <v>140</v>
      </c>
      <c r="C2" s="238"/>
      <c r="D2" s="230"/>
      <c r="E2" s="230"/>
      <c r="F2" s="123" t="s">
        <v>108</v>
      </c>
      <c r="G2" s="129" t="s">
        <v>107</v>
      </c>
    </row>
    <row r="3" spans="1:9" ht="36" customHeight="1">
      <c r="A3" s="211"/>
      <c r="B3" s="4" t="s">
        <v>123</v>
      </c>
      <c r="C3" s="24">
        <v>500000</v>
      </c>
      <c r="D3" s="157">
        <f>IF(Refinance!C3&gt;Reference!B29,Reference!E30,IF(Refinance!C3&gt;Reference!B28,Reference!E29,IF(Refinance!C3&gt;Reference!B27,Reference!E28,IF(Refinance!C3&gt;Reference!B26,Reference!E27,IF(Refinance!C3&gt;Reference!B25,Reference!E26,IF(Refinance!C3&gt;Reference!B24,Reference!E25,Reference!E24))))))</f>
        <v>445</v>
      </c>
      <c r="E3" s="157">
        <f>Reference!B16+Reference!B17+Reference!B18+Reference!B19</f>
        <v>250</v>
      </c>
      <c r="F3" s="118">
        <f>Reference!B3</f>
        <v>60</v>
      </c>
      <c r="G3" s="148">
        <f>Reference!B4</f>
        <v>10</v>
      </c>
    </row>
    <row r="4" spans="1:9" ht="20.25" customHeight="1" thickBot="1">
      <c r="A4" s="212"/>
      <c r="B4" s="36"/>
      <c r="C4" s="156" t="s">
        <v>11</v>
      </c>
      <c r="D4" s="158">
        <f>SUM(D3)</f>
        <v>445</v>
      </c>
      <c r="E4" s="158">
        <f t="shared" ref="E4" si="0">SUM(E3)</f>
        <v>250</v>
      </c>
      <c r="F4" s="112">
        <f>SUM(F3)</f>
        <v>60</v>
      </c>
      <c r="G4" s="149">
        <f>SUM(G3)</f>
        <v>10</v>
      </c>
    </row>
    <row r="5" spans="1:9" ht="20.25" customHeight="1">
      <c r="A5" s="210" t="s">
        <v>102</v>
      </c>
      <c r="B5" s="221"/>
      <c r="C5" s="219"/>
      <c r="D5" s="213" t="s">
        <v>76</v>
      </c>
      <c r="E5" s="213" t="s">
        <v>77</v>
      </c>
      <c r="F5" s="233"/>
      <c r="G5" s="234"/>
    </row>
    <row r="6" spans="1:9" ht="19.5" customHeight="1">
      <c r="A6" s="211"/>
      <c r="B6" s="222"/>
      <c r="C6" s="220"/>
      <c r="D6" s="214"/>
      <c r="E6" s="214"/>
      <c r="F6" s="119"/>
      <c r="G6" s="120"/>
      <c r="H6" s="150"/>
    </row>
    <row r="7" spans="1:9" ht="73.5" customHeight="1">
      <c r="A7" s="211"/>
      <c r="B7" s="4" t="s">
        <v>124</v>
      </c>
      <c r="C7" s="159">
        <v>0</v>
      </c>
      <c r="D7" s="164">
        <f>IF(Refinance!C7&lt;=6,Refinance!C7*Reference!B15,"Call Us To Discuss")</f>
        <v>0</v>
      </c>
      <c r="E7" s="163"/>
      <c r="F7" s="109"/>
      <c r="G7" s="109"/>
      <c r="H7" s="152"/>
    </row>
    <row r="8" spans="1:9" ht="18.95" customHeight="1" thickBot="1">
      <c r="A8" s="211"/>
      <c r="B8" s="6"/>
      <c r="C8" s="166" t="s">
        <v>11</v>
      </c>
      <c r="D8" s="163">
        <f>SUM(D7:D7)</f>
        <v>0</v>
      </c>
      <c r="E8" s="163">
        <f>SUM(E7:E7)</f>
        <v>0</v>
      </c>
      <c r="F8" s="110"/>
      <c r="G8" s="111"/>
      <c r="H8" s="153"/>
    </row>
    <row r="9" spans="1:9" ht="35.25" customHeight="1">
      <c r="A9" s="210" t="s">
        <v>75</v>
      </c>
      <c r="B9" s="225"/>
      <c r="C9" s="223"/>
      <c r="D9" s="213" t="s">
        <v>76</v>
      </c>
      <c r="E9" s="215" t="s">
        <v>106</v>
      </c>
      <c r="F9" s="216"/>
      <c r="G9" s="217" t="s">
        <v>25</v>
      </c>
      <c r="H9" s="150"/>
    </row>
    <row r="10" spans="1:9" ht="35.25" customHeight="1">
      <c r="A10" s="211"/>
      <c r="B10" s="226"/>
      <c r="C10" s="224"/>
      <c r="D10" s="214"/>
      <c r="E10" s="176" t="s">
        <v>108</v>
      </c>
      <c r="F10" s="177" t="s">
        <v>107</v>
      </c>
      <c r="G10" s="218"/>
      <c r="H10" s="150"/>
    </row>
    <row r="11" spans="1:9" ht="50.1" customHeight="1">
      <c r="A11" s="211"/>
      <c r="B11" s="4" t="s">
        <v>126</v>
      </c>
      <c r="C11" s="139" t="s">
        <v>1</v>
      </c>
      <c r="D11" s="164">
        <f>IF(Refinance!C11="Yes",Reference!B14,0)</f>
        <v>0</v>
      </c>
      <c r="E11" s="178">
        <f>IF(Refinance!C11="Yes",Reference!B3,0)</f>
        <v>0</v>
      </c>
      <c r="F11" s="179">
        <f>IF(Refinance!C11="Yes",Reference!B4,0)</f>
        <v>0</v>
      </c>
      <c r="G11" s="109">
        <f>IF(Refinance!C3&gt;Reference!B44,(Reference!C45*(Refinance!C3-Reference!B44)/1000+Reference!C44),IF(Refinance!C3&gt;=Reference!B43,Reference!C44,Reference!C43))-Reference!G43/(1+Reference!H43)</f>
        <v>116.5925925925926</v>
      </c>
      <c r="H11" s="155"/>
      <c r="I11" s="104"/>
    </row>
    <row r="12" spans="1:9" ht="45" customHeight="1">
      <c r="A12" s="211"/>
      <c r="B12" s="4" t="s">
        <v>128</v>
      </c>
      <c r="C12" s="139" t="s">
        <v>1</v>
      </c>
      <c r="D12" s="164"/>
      <c r="E12" s="178"/>
      <c r="F12" s="179"/>
      <c r="G12" s="109">
        <f>IF(Refinance!C12="Yes",Reference!E43,0)</f>
        <v>0</v>
      </c>
      <c r="H12" s="155"/>
      <c r="I12" s="104"/>
    </row>
    <row r="13" spans="1:9" ht="45" customHeight="1">
      <c r="A13" s="211"/>
      <c r="B13" s="4" t="s">
        <v>129</v>
      </c>
      <c r="C13" s="139" t="s">
        <v>1</v>
      </c>
      <c r="D13" s="164">
        <f>IF(Refinance!C13="Yes",Reference!B9,0)</f>
        <v>0</v>
      </c>
      <c r="E13" s="178">
        <f>IF(Refinance!C13="Yes",Reference!B3,0)</f>
        <v>0</v>
      </c>
      <c r="F13" s="179">
        <f>IF(Refinance!C13="Yes",Reference!B4,0)</f>
        <v>0</v>
      </c>
      <c r="G13" s="109">
        <f>IF(Refinance!C13="Yes",Reference!D43,0)</f>
        <v>0</v>
      </c>
      <c r="H13" s="154"/>
      <c r="I13" s="104"/>
    </row>
    <row r="14" spans="1:9" ht="51.75" customHeight="1">
      <c r="A14" s="211"/>
      <c r="B14" s="4" t="s">
        <v>130</v>
      </c>
      <c r="C14" s="139" t="s">
        <v>1</v>
      </c>
      <c r="D14" s="164">
        <f>IF(Refinance!C14="Yes",Reference!B10,0)</f>
        <v>0</v>
      </c>
      <c r="E14" s="178">
        <f>IF(Refinance!C14="Yes",Reference!B3,0)</f>
        <v>0</v>
      </c>
      <c r="F14" s="179">
        <f>IF(Refinance!C14="Yes",Reference!B4,0)</f>
        <v>0</v>
      </c>
      <c r="G14" s="109">
        <f>IF(Refinance!C14="Yes",Reference!F43,0)</f>
        <v>0</v>
      </c>
      <c r="H14" s="154"/>
      <c r="I14" s="104"/>
    </row>
    <row r="15" spans="1:9" ht="48" customHeight="1">
      <c r="A15" s="211"/>
      <c r="B15" s="4" t="s">
        <v>131</v>
      </c>
      <c r="C15" s="139" t="s">
        <v>1</v>
      </c>
      <c r="D15" s="164"/>
      <c r="E15" s="178"/>
      <c r="F15" s="179"/>
      <c r="G15" s="109">
        <f>IF(Refinance!C14="Yes",IF(Refinance!C15="Yes",Reference!E43,0),0)</f>
        <v>0</v>
      </c>
      <c r="H15" s="154"/>
      <c r="I15" s="104"/>
    </row>
    <row r="16" spans="1:9" ht="51" customHeight="1">
      <c r="A16" s="211"/>
      <c r="B16" s="4" t="s">
        <v>132</v>
      </c>
      <c r="C16" s="139" t="s">
        <v>1</v>
      </c>
      <c r="D16" s="175">
        <f>IF(Refinance!C14="Yes",IF(Refinance!C16="Yes",Reference!B9,0),0)</f>
        <v>0</v>
      </c>
      <c r="E16" s="180">
        <f>IF(Refinance!C14="Yes",IF(Refinance!C16="Yes",Reference!B3,0),0)</f>
        <v>0</v>
      </c>
      <c r="F16" s="181">
        <f>IF(Refinance!C14="Yes",IF(Refinance!C16="Yes",Reference!B4,0),0)</f>
        <v>0</v>
      </c>
      <c r="G16" s="114">
        <f>IF(Refinance!C14="Yes",IF(Refinance!C16="Yes",Reference!D43,0),0)</f>
        <v>0</v>
      </c>
      <c r="H16" s="154"/>
      <c r="I16" s="104"/>
    </row>
    <row r="17" spans="1:11" ht="31.5" customHeight="1" thickBot="1">
      <c r="A17" s="212"/>
      <c r="B17" s="36"/>
      <c r="C17" s="174" t="s">
        <v>11</v>
      </c>
      <c r="D17" s="165">
        <f>SUM(D11:D16)</f>
        <v>0</v>
      </c>
      <c r="E17" s="182">
        <f>SUM(E11:E16)</f>
        <v>0</v>
      </c>
      <c r="F17" s="183">
        <f>SUM(F11:F16)</f>
        <v>0</v>
      </c>
      <c r="G17" s="117">
        <f>SUM(G11:G16)</f>
        <v>116.5925925925926</v>
      </c>
      <c r="H17" s="154"/>
      <c r="I17" s="104"/>
      <c r="K17" s="116"/>
    </row>
    <row r="18" spans="1:11" ht="17.25" customHeight="1">
      <c r="A18" s="210" t="s">
        <v>23</v>
      </c>
      <c r="B18" s="4"/>
      <c r="C18" s="184"/>
      <c r="D18" s="161" t="s">
        <v>76</v>
      </c>
      <c r="E18" s="161" t="s">
        <v>77</v>
      </c>
      <c r="F18" s="111"/>
      <c r="G18" s="40"/>
      <c r="H18" s="104"/>
      <c r="J18" s="116"/>
    </row>
    <row r="19" spans="1:11" ht="115.5" customHeight="1">
      <c r="A19" s="211"/>
      <c r="B19" s="4" t="s">
        <v>144</v>
      </c>
      <c r="C19" s="139" t="s">
        <v>1</v>
      </c>
      <c r="D19" s="164"/>
      <c r="E19" s="164">
        <f>IF(Refinance!C19="Yes",Reference!B7,0)</f>
        <v>0</v>
      </c>
      <c r="F19" s="12"/>
      <c r="G19" s="37"/>
    </row>
    <row r="20" spans="1:11" ht="157.5">
      <c r="A20" s="211"/>
      <c r="B20" s="4" t="s">
        <v>145</v>
      </c>
      <c r="C20" s="139" t="s">
        <v>1</v>
      </c>
      <c r="D20" s="164"/>
      <c r="E20" s="164">
        <f>IF(Refinance!C20="Yes",Reference!B8,0)</f>
        <v>0</v>
      </c>
      <c r="F20" s="12"/>
      <c r="G20" s="37"/>
    </row>
    <row r="21" spans="1:11" ht="157.5">
      <c r="A21" s="211"/>
      <c r="B21" s="4" t="s">
        <v>148</v>
      </c>
      <c r="C21" s="139" t="s">
        <v>1</v>
      </c>
      <c r="D21" s="157"/>
      <c r="E21" s="185">
        <f>IF(Refinance!C21="Yes",Reference!B6,0)</f>
        <v>0</v>
      </c>
      <c r="F21" s="12"/>
      <c r="G21" s="37"/>
    </row>
    <row r="22" spans="1:11" ht="22.5" customHeight="1" thickBot="1">
      <c r="A22" s="212"/>
      <c r="B22" s="36"/>
      <c r="C22" s="174" t="s">
        <v>11</v>
      </c>
      <c r="D22" s="165">
        <f>SUM(D19:D21)</f>
        <v>0</v>
      </c>
      <c r="E22" s="165">
        <f>SUM(E19:E21)</f>
        <v>0</v>
      </c>
      <c r="F22" s="108"/>
      <c r="G22" s="38"/>
    </row>
    <row r="23" spans="1:11">
      <c r="B23" s="204" t="s">
        <v>133</v>
      </c>
    </row>
    <row r="25" spans="1:11" ht="18">
      <c r="B25" s="235" t="s">
        <v>116</v>
      </c>
      <c r="C25" s="235"/>
      <c r="D25" s="235"/>
      <c r="E25" s="235"/>
      <c r="F25" s="169" t="s">
        <v>105</v>
      </c>
      <c r="G25" s="170" t="s">
        <v>11</v>
      </c>
    </row>
    <row r="26" spans="1:11">
      <c r="B26" s="144"/>
      <c r="C26" s="144" t="s">
        <v>104</v>
      </c>
      <c r="D26" s="146">
        <f>D4+D8+D17+D22</f>
        <v>445</v>
      </c>
      <c r="F26" s="107">
        <f>Refinance!D26*Reference!B20</f>
        <v>57.85</v>
      </c>
    </row>
    <row r="27" spans="1:11">
      <c r="B27" s="144"/>
      <c r="C27" s="144" t="s">
        <v>109</v>
      </c>
      <c r="D27" s="167">
        <f>E4+E8+E22</f>
        <v>250</v>
      </c>
      <c r="F27" s="107">
        <f>Refinance!D27*Reference!B20</f>
        <v>32.5</v>
      </c>
    </row>
    <row r="28" spans="1:11">
      <c r="B28" s="144"/>
      <c r="C28" s="144" t="s">
        <v>118</v>
      </c>
      <c r="D28" s="146">
        <f>F4+E17</f>
        <v>60</v>
      </c>
      <c r="F28" s="107">
        <v>0</v>
      </c>
    </row>
    <row r="29" spans="1:11">
      <c r="B29" s="144"/>
      <c r="C29" s="144" t="s">
        <v>111</v>
      </c>
      <c r="D29" s="146">
        <f>G4+F17</f>
        <v>10</v>
      </c>
      <c r="F29" s="107">
        <f>Refinance!D29*Reference!B20</f>
        <v>1.3</v>
      </c>
    </row>
    <row r="30" spans="1:11" ht="18">
      <c r="B30" s="144"/>
      <c r="C30" s="144" t="s">
        <v>25</v>
      </c>
      <c r="D30" s="147">
        <f>G17</f>
        <v>116.5925925925926</v>
      </c>
      <c r="F30" s="172">
        <f>Refinance!D30*Reference!H43</f>
        <v>9.3274074074074083</v>
      </c>
    </row>
    <row r="31" spans="1:11" ht="23.25">
      <c r="B31" s="144"/>
      <c r="C31" s="192" t="s">
        <v>115</v>
      </c>
      <c r="D31" s="191">
        <f>SUM(D26:D30)</f>
        <v>881.59259259259261</v>
      </c>
      <c r="E31" s="173"/>
      <c r="F31" s="168">
        <f>SUM(F26:F30)</f>
        <v>100.9774074074074</v>
      </c>
      <c r="G31" s="186">
        <f>SUM(D31:F31)</f>
        <v>982.57</v>
      </c>
    </row>
    <row r="32" spans="1:11" ht="18">
      <c r="B32" s="236" t="s">
        <v>114</v>
      </c>
      <c r="C32" s="236"/>
      <c r="D32" s="147"/>
    </row>
    <row r="33" spans="2:7">
      <c r="B33" s="144"/>
      <c r="C33" s="144" t="s">
        <v>112</v>
      </c>
      <c r="D33" s="171" t="s">
        <v>121</v>
      </c>
      <c r="F33" s="107">
        <v>0</v>
      </c>
    </row>
    <row r="34" spans="2:7" ht="18">
      <c r="B34" s="144"/>
      <c r="C34" s="144" t="s">
        <v>113</v>
      </c>
      <c r="D34" s="147" t="s">
        <v>121</v>
      </c>
      <c r="F34" s="172">
        <v>0</v>
      </c>
    </row>
    <row r="35" spans="2:7" ht="23.25">
      <c r="B35" s="144"/>
      <c r="C35" s="192" t="s">
        <v>117</v>
      </c>
      <c r="D35" s="193" t="s">
        <v>121</v>
      </c>
      <c r="E35" s="173"/>
      <c r="F35" s="168">
        <v>0</v>
      </c>
      <c r="G35" s="186">
        <f>SUM(D35:F35)</f>
        <v>0</v>
      </c>
    </row>
    <row r="36" spans="2:7">
      <c r="B36" s="144"/>
      <c r="C36" s="145"/>
      <c r="D36" s="145"/>
    </row>
  </sheetData>
  <mergeCells count="20">
    <mergeCell ref="A1:A4"/>
    <mergeCell ref="C1:C2"/>
    <mergeCell ref="D1:D2"/>
    <mergeCell ref="E1:E2"/>
    <mergeCell ref="F1:G1"/>
    <mergeCell ref="A18:A22"/>
    <mergeCell ref="B25:E25"/>
    <mergeCell ref="B32:C32"/>
    <mergeCell ref="F5:G5"/>
    <mergeCell ref="A9:A17"/>
    <mergeCell ref="B9:B10"/>
    <mergeCell ref="C9:C10"/>
    <mergeCell ref="D9:D10"/>
    <mergeCell ref="E9:F9"/>
    <mergeCell ref="G9:G10"/>
    <mergeCell ref="A5:A8"/>
    <mergeCell ref="B5:B6"/>
    <mergeCell ref="C5:C6"/>
    <mergeCell ref="D5:D6"/>
    <mergeCell ref="E5:E6"/>
  </mergeCell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disablePrompts="1" count="1">
        <x14:dataValidation type="list" showInputMessage="1" showErrorMessage="1">
          <x14:formula1>
            <xm:f>Reference!$B$1:$C$1</xm:f>
          </x14:formula1>
          <xm:sqref>C18:C21 C11:C16</xm:sqref>
        </x14:dataValidation>
      </x14:dataValidations>
    </ext>
  </extLst>
</worksheet>
</file>

<file path=xl/worksheets/sheet4.xml><?xml version="1.0" encoding="utf-8"?>
<worksheet xmlns="http://schemas.openxmlformats.org/spreadsheetml/2006/main" xmlns:r="http://schemas.openxmlformats.org/officeDocument/2006/relationships">
  <dimension ref="A1:K35"/>
  <sheetViews>
    <sheetView zoomScale="90" zoomScaleNormal="90" workbookViewId="0">
      <selection activeCell="H35" sqref="A1:H35"/>
    </sheetView>
  </sheetViews>
  <sheetFormatPr defaultColWidth="11" defaultRowHeight="15.75"/>
  <cols>
    <col min="1" max="1" width="14.5" customWidth="1"/>
    <col min="2" max="2" width="98" style="2" customWidth="1"/>
    <col min="3" max="3" width="18.875" style="10" customWidth="1"/>
    <col min="4" max="4" width="16.625" style="10" customWidth="1"/>
    <col min="5" max="5" width="13.375" style="10" customWidth="1"/>
    <col min="6" max="6" width="15.5" style="107" customWidth="1"/>
    <col min="7" max="7" width="19.375" style="13" customWidth="1"/>
    <col min="8" max="8" width="12.125" bestFit="1" customWidth="1"/>
  </cols>
  <sheetData>
    <row r="1" spans="1:11" ht="24" customHeight="1">
      <c r="A1" s="210" t="s">
        <v>122</v>
      </c>
      <c r="B1" s="206" t="s">
        <v>136</v>
      </c>
      <c r="C1" s="216" t="s">
        <v>122</v>
      </c>
      <c r="D1" s="229" t="s">
        <v>76</v>
      </c>
      <c r="E1" s="229" t="s">
        <v>77</v>
      </c>
      <c r="F1" s="227" t="s">
        <v>106</v>
      </c>
      <c r="G1" s="228"/>
    </row>
    <row r="2" spans="1:11" ht="49.5" customHeight="1">
      <c r="A2" s="211"/>
      <c r="B2" s="209" t="s">
        <v>142</v>
      </c>
      <c r="C2" s="238"/>
      <c r="D2" s="230"/>
      <c r="E2" s="230"/>
      <c r="F2" s="199" t="s">
        <v>108</v>
      </c>
      <c r="G2" s="129" t="s">
        <v>107</v>
      </c>
    </row>
    <row r="3" spans="1:11" ht="36" customHeight="1">
      <c r="A3" s="211"/>
      <c r="B3" s="4" t="s">
        <v>123</v>
      </c>
      <c r="C3" s="24">
        <v>3100000</v>
      </c>
      <c r="D3" s="157">
        <f>IF('Private Mortgages'!C3&gt;Reference!B29,Reference!F30,IF('Private Mortgages'!C3&gt;Reference!B28,Reference!F29,IF('Private Mortgages'!C3&gt;Reference!B27,Reference!F28,IF('Private Mortgages'!C3&gt;Reference!B26,Reference!F27,IF('Private Mortgages'!C3&gt;Reference!B25,Reference!F26,IF('Private Mortgages'!C3&gt;Reference!B24,Reference!F25,Reference!F24))))))</f>
        <v>1695</v>
      </c>
      <c r="E3" s="157">
        <f>Reference!B16+Reference!B17+Reference!B18+Reference!B19</f>
        <v>250</v>
      </c>
      <c r="F3" s="118">
        <f>Reference!B3</f>
        <v>60</v>
      </c>
      <c r="G3" s="148">
        <f>Reference!B4</f>
        <v>10</v>
      </c>
    </row>
    <row r="4" spans="1:11" ht="20.25" customHeight="1" thickBot="1">
      <c r="A4" s="212"/>
      <c r="B4" s="36"/>
      <c r="C4" s="156" t="s">
        <v>11</v>
      </c>
      <c r="D4" s="158">
        <f>SUM(D3)</f>
        <v>1695</v>
      </c>
      <c r="E4" s="158">
        <f t="shared" ref="E4" si="0">SUM(E3)</f>
        <v>250</v>
      </c>
      <c r="F4" s="112">
        <f>SUM(F3)</f>
        <v>60</v>
      </c>
      <c r="G4" s="149">
        <f>SUM(G3)</f>
        <v>10</v>
      </c>
    </row>
    <row r="5" spans="1:11" ht="20.25" customHeight="1">
      <c r="A5" s="210" t="s">
        <v>102</v>
      </c>
      <c r="B5" s="221"/>
      <c r="C5" s="219"/>
      <c r="D5" s="213" t="s">
        <v>76</v>
      </c>
      <c r="E5" s="213" t="s">
        <v>77</v>
      </c>
      <c r="F5" s="233"/>
      <c r="G5" s="234"/>
    </row>
    <row r="6" spans="1:11" ht="19.5" customHeight="1">
      <c r="A6" s="211"/>
      <c r="B6" s="222"/>
      <c r="C6" s="220"/>
      <c r="D6" s="214"/>
      <c r="E6" s="214"/>
      <c r="F6" s="119"/>
      <c r="G6" s="120"/>
      <c r="H6" s="150"/>
    </row>
    <row r="7" spans="1:11" ht="73.5" customHeight="1">
      <c r="A7" s="211"/>
      <c r="B7" s="4" t="s">
        <v>124</v>
      </c>
      <c r="C7" s="159">
        <v>0</v>
      </c>
      <c r="D7" s="164">
        <f>IF('Private Mortgages'!C7&lt;=6,'Private Mortgages'!C7*Reference!B15,"Call Us To Discuss")</f>
        <v>0</v>
      </c>
      <c r="E7" s="163"/>
      <c r="F7" s="109"/>
      <c r="G7" s="109"/>
      <c r="H7" s="152"/>
    </row>
    <row r="8" spans="1:11" ht="18.95" customHeight="1" thickBot="1">
      <c r="A8" s="211"/>
      <c r="B8" s="6"/>
      <c r="C8" s="166" t="s">
        <v>11</v>
      </c>
      <c r="D8" s="163">
        <f>SUM(D7:D7)</f>
        <v>0</v>
      </c>
      <c r="E8" s="163">
        <f>SUM(E7:E7)</f>
        <v>0</v>
      </c>
      <c r="F8" s="110"/>
      <c r="G8" s="111"/>
      <c r="H8" s="153"/>
    </row>
    <row r="9" spans="1:11" ht="35.25" customHeight="1">
      <c r="A9" s="210" t="s">
        <v>75</v>
      </c>
      <c r="B9" s="225"/>
      <c r="C9" s="223"/>
      <c r="D9" s="213" t="s">
        <v>76</v>
      </c>
      <c r="E9" s="215" t="s">
        <v>106</v>
      </c>
      <c r="F9" s="216"/>
      <c r="G9" s="217" t="s">
        <v>25</v>
      </c>
      <c r="H9" s="150"/>
    </row>
    <row r="10" spans="1:11" ht="35.25" customHeight="1">
      <c r="A10" s="211"/>
      <c r="B10" s="226"/>
      <c r="C10" s="224"/>
      <c r="D10" s="214"/>
      <c r="E10" s="176" t="s">
        <v>108</v>
      </c>
      <c r="F10" s="200" t="s">
        <v>107</v>
      </c>
      <c r="G10" s="218"/>
      <c r="H10" s="150"/>
    </row>
    <row r="11" spans="1:11" ht="50.1" customHeight="1">
      <c r="A11" s="211"/>
      <c r="B11" s="4" t="s">
        <v>141</v>
      </c>
      <c r="C11" s="198" t="s">
        <v>1</v>
      </c>
      <c r="D11" s="164">
        <f>IF('Private Mortgages'!C11="Yes",Reference!B14,0)</f>
        <v>0</v>
      </c>
      <c r="E11" s="178">
        <f>IF('Private Mortgages'!C11="Yes",Reference!B3,0)</f>
        <v>0</v>
      </c>
      <c r="F11" s="179">
        <f>IF('Private Mortgages'!C11="Yes",Reference!B4,0)</f>
        <v>0</v>
      </c>
      <c r="G11" s="109">
        <f>IF('Private Mortgages'!C3&gt;Reference!B44,(Reference!C45*('Private Mortgages'!C3-Reference!B44)/1000+Reference!C44),IF('Private Mortgages'!C3&gt;=Reference!B43,Reference!C44,Reference!C43))+Reference!E43-Reference!G43/(1+Reference!H43)</f>
        <v>2516.5925925925926</v>
      </c>
      <c r="H11" s="155"/>
      <c r="I11" s="104"/>
    </row>
    <row r="12" spans="1:11" ht="55.5" customHeight="1">
      <c r="A12" s="211"/>
      <c r="B12" s="4" t="s">
        <v>129</v>
      </c>
      <c r="C12" s="198" t="s">
        <v>0</v>
      </c>
      <c r="D12" s="164">
        <f>IF('Private Mortgages'!C12="Yes",Reference!B9,0)</f>
        <v>100</v>
      </c>
      <c r="E12" s="178">
        <f>IF('Private Mortgages'!C12="Yes",Reference!B3,0)</f>
        <v>60</v>
      </c>
      <c r="F12" s="179">
        <f>IF('Private Mortgages'!C12="Yes",Reference!B4,0)</f>
        <v>10</v>
      </c>
      <c r="G12" s="109">
        <f>IF('Private Mortgages'!C12="Yes",Reference!D43,0)</f>
        <v>50</v>
      </c>
      <c r="H12" s="154"/>
      <c r="I12" s="104"/>
    </row>
    <row r="13" spans="1:11" ht="51.75" customHeight="1">
      <c r="A13" s="211"/>
      <c r="B13" s="4" t="s">
        <v>130</v>
      </c>
      <c r="C13" s="198" t="s">
        <v>0</v>
      </c>
      <c r="D13" s="164">
        <f>IF('Private Mortgages'!C13="Yes",Reference!B10,0)</f>
        <v>200</v>
      </c>
      <c r="E13" s="178">
        <f>IF('Private Mortgages'!C13="Yes",Reference!B3,0)</f>
        <v>60</v>
      </c>
      <c r="F13" s="179">
        <f>IF('Private Mortgages'!C13="Yes",Reference!B4,0)</f>
        <v>10</v>
      </c>
      <c r="G13" s="109">
        <f>IF('Private Mortgages'!C13="Yes",Reference!F43,0)</f>
        <v>50</v>
      </c>
      <c r="H13" s="154"/>
      <c r="I13" s="104"/>
    </row>
    <row r="14" spans="1:11" ht="48" customHeight="1">
      <c r="A14" s="211"/>
      <c r="B14" s="4" t="s">
        <v>131</v>
      </c>
      <c r="C14" s="198" t="s">
        <v>0</v>
      </c>
      <c r="D14" s="164"/>
      <c r="E14" s="178"/>
      <c r="F14" s="179"/>
      <c r="G14" s="109">
        <f>IF('Private Mortgages'!C13="Yes",IF('Private Mortgages'!C14="Yes",Reference!E43,0),0)</f>
        <v>50</v>
      </c>
      <c r="H14" s="154"/>
      <c r="I14" s="104"/>
    </row>
    <row r="15" spans="1:11" ht="51" customHeight="1">
      <c r="A15" s="211"/>
      <c r="B15" s="4" t="s">
        <v>132</v>
      </c>
      <c r="C15" s="198" t="s">
        <v>0</v>
      </c>
      <c r="D15" s="175">
        <f>IF('Private Mortgages'!C13="Yes",IF('Private Mortgages'!C15="Yes",Reference!B9,0),0)</f>
        <v>100</v>
      </c>
      <c r="E15" s="180">
        <f>IF('Private Mortgages'!C13="Yes",IF('Private Mortgages'!C15="Yes",Reference!B3,0),0)</f>
        <v>60</v>
      </c>
      <c r="F15" s="181">
        <f>IF('Private Mortgages'!C13="Yes",IF('Private Mortgages'!C15="Yes",Reference!B4,0),0)</f>
        <v>10</v>
      </c>
      <c r="G15" s="114">
        <f>IF('Private Mortgages'!C13="Yes",IF('Private Mortgages'!C15="Yes",Reference!D43,0),0)</f>
        <v>50</v>
      </c>
      <c r="H15" s="154"/>
      <c r="I15" s="104"/>
    </row>
    <row r="16" spans="1:11" ht="31.5" customHeight="1" thickBot="1">
      <c r="A16" s="212"/>
      <c r="B16" s="36"/>
      <c r="C16" s="174" t="s">
        <v>11</v>
      </c>
      <c r="D16" s="165">
        <f>SUM(D11:D15)</f>
        <v>400</v>
      </c>
      <c r="E16" s="182">
        <f>SUM(E11:E15)</f>
        <v>180</v>
      </c>
      <c r="F16" s="183">
        <f>SUM(F11:F15)</f>
        <v>30</v>
      </c>
      <c r="G16" s="117">
        <f>SUM(G11:G15)</f>
        <v>2716.5925925925926</v>
      </c>
      <c r="H16" s="154"/>
      <c r="I16" s="104"/>
      <c r="K16" s="116"/>
    </row>
    <row r="17" spans="1:10" ht="17.25" customHeight="1">
      <c r="A17" s="210" t="s">
        <v>23</v>
      </c>
      <c r="B17" s="4"/>
      <c r="C17" s="197"/>
      <c r="D17" s="196" t="s">
        <v>76</v>
      </c>
      <c r="E17" s="196" t="s">
        <v>77</v>
      </c>
      <c r="F17" s="111"/>
      <c r="G17" s="40"/>
      <c r="H17" s="104"/>
      <c r="J17" s="116"/>
    </row>
    <row r="18" spans="1:10" ht="102.75" customHeight="1">
      <c r="A18" s="211"/>
      <c r="B18" s="4" t="s">
        <v>143</v>
      </c>
      <c r="C18" s="198" t="s">
        <v>1</v>
      </c>
      <c r="D18" s="164"/>
      <c r="E18" s="164">
        <f>IF('Private Mortgages'!C18="Yes",Reference!B7,0)</f>
        <v>0</v>
      </c>
      <c r="F18" s="12"/>
      <c r="G18" s="37"/>
    </row>
    <row r="19" spans="1:10" ht="141.75">
      <c r="A19" s="211"/>
      <c r="B19" s="4" t="s">
        <v>146</v>
      </c>
      <c r="C19" s="198" t="s">
        <v>1</v>
      </c>
      <c r="D19" s="164"/>
      <c r="E19" s="164">
        <f>IF('Private Mortgages'!C19="Yes",Reference!B8,0)</f>
        <v>0</v>
      </c>
      <c r="F19" s="12"/>
      <c r="G19" s="37"/>
    </row>
    <row r="20" spans="1:10" ht="157.5">
      <c r="A20" s="211"/>
      <c r="B20" s="4" t="s">
        <v>147</v>
      </c>
      <c r="C20" s="198" t="s">
        <v>1</v>
      </c>
      <c r="D20" s="157"/>
      <c r="E20" s="185">
        <f>IF('Private Mortgages'!C20="Yes",Reference!B6,0)</f>
        <v>0</v>
      </c>
      <c r="F20" s="12"/>
      <c r="G20" s="37"/>
    </row>
    <row r="21" spans="1:10" ht="22.5" customHeight="1" thickBot="1">
      <c r="A21" s="212"/>
      <c r="B21" s="36"/>
      <c r="C21" s="174" t="s">
        <v>11</v>
      </c>
      <c r="D21" s="165">
        <f>SUM(D18:D20)</f>
        <v>0</v>
      </c>
      <c r="E21" s="165">
        <f>SUM(E18:E20)</f>
        <v>0</v>
      </c>
      <c r="F21" s="108"/>
      <c r="G21" s="38"/>
    </row>
    <row r="22" spans="1:10">
      <c r="B22" s="204" t="s">
        <v>133</v>
      </c>
    </row>
    <row r="24" spans="1:10" ht="18">
      <c r="B24" s="235" t="s">
        <v>116</v>
      </c>
      <c r="C24" s="235"/>
      <c r="D24" s="235"/>
      <c r="E24" s="235"/>
      <c r="F24" s="169" t="s">
        <v>105</v>
      </c>
      <c r="G24" s="170" t="s">
        <v>11</v>
      </c>
    </row>
    <row r="25" spans="1:10">
      <c r="B25" s="195"/>
      <c r="C25" s="195" t="s">
        <v>104</v>
      </c>
      <c r="D25" s="146">
        <f>D4+D8+D16+D21</f>
        <v>2095</v>
      </c>
      <c r="F25" s="107">
        <f>'Private Mortgages'!D25*Reference!B20</f>
        <v>272.35000000000002</v>
      </c>
    </row>
    <row r="26" spans="1:10">
      <c r="B26" s="195"/>
      <c r="C26" s="195" t="s">
        <v>109</v>
      </c>
      <c r="D26" s="167">
        <f>E4+E8+E21</f>
        <v>250</v>
      </c>
      <c r="F26" s="107">
        <f>'Private Mortgages'!D26*Reference!B20</f>
        <v>32.5</v>
      </c>
    </row>
    <row r="27" spans="1:10">
      <c r="B27" s="195"/>
      <c r="C27" s="195" t="s">
        <v>118</v>
      </c>
      <c r="D27" s="146">
        <f>F4+E16</f>
        <v>240</v>
      </c>
      <c r="F27" s="107">
        <v>0</v>
      </c>
    </row>
    <row r="28" spans="1:10">
      <c r="B28" s="195"/>
      <c r="C28" s="195" t="s">
        <v>111</v>
      </c>
      <c r="D28" s="146">
        <f>G4+F16</f>
        <v>40</v>
      </c>
      <c r="F28" s="107">
        <f>'Private Mortgages'!D28*Reference!B20</f>
        <v>5.2</v>
      </c>
    </row>
    <row r="29" spans="1:10" ht="18">
      <c r="B29" s="195"/>
      <c r="C29" s="195" t="s">
        <v>25</v>
      </c>
      <c r="D29" s="147">
        <f>G16</f>
        <v>2716.5925925925926</v>
      </c>
      <c r="F29" s="172">
        <f>'Private Mortgages'!D29*Reference!H43</f>
        <v>217.32740740740741</v>
      </c>
    </row>
    <row r="30" spans="1:10" ht="23.25">
      <c r="B30" s="195"/>
      <c r="C30" s="192" t="s">
        <v>115</v>
      </c>
      <c r="D30" s="191">
        <f>SUM(D25:D29)</f>
        <v>5341.5925925925931</v>
      </c>
      <c r="E30" s="173"/>
      <c r="F30" s="168">
        <f>SUM(F25:F29)</f>
        <v>527.37740740740742</v>
      </c>
      <c r="G30" s="186">
        <f>SUM(D30:F30)</f>
        <v>5868.97</v>
      </c>
    </row>
    <row r="31" spans="1:10" ht="18">
      <c r="B31" s="236" t="s">
        <v>114</v>
      </c>
      <c r="C31" s="236"/>
      <c r="D31" s="147"/>
    </row>
    <row r="32" spans="1:10">
      <c r="B32" s="195"/>
      <c r="C32" s="195" t="s">
        <v>112</v>
      </c>
      <c r="D32" s="171" t="s">
        <v>121</v>
      </c>
      <c r="F32" s="107">
        <v>0</v>
      </c>
    </row>
    <row r="33" spans="2:7" ht="18">
      <c r="B33" s="195"/>
      <c r="C33" s="195" t="s">
        <v>113</v>
      </c>
      <c r="D33" s="147" t="s">
        <v>121</v>
      </c>
      <c r="F33" s="172">
        <v>0</v>
      </c>
    </row>
    <row r="34" spans="2:7" ht="23.25">
      <c r="B34" s="195"/>
      <c r="C34" s="192" t="s">
        <v>117</v>
      </c>
      <c r="D34" s="193" t="s">
        <v>121</v>
      </c>
      <c r="E34" s="173"/>
      <c r="F34" s="168">
        <v>0</v>
      </c>
      <c r="G34" s="186">
        <f>SUM(D34:F34)</f>
        <v>0</v>
      </c>
    </row>
    <row r="35" spans="2:7">
      <c r="B35" s="195"/>
      <c r="C35" s="145"/>
      <c r="D35" s="145"/>
    </row>
  </sheetData>
  <mergeCells count="20">
    <mergeCell ref="A1:A4"/>
    <mergeCell ref="C1:C2"/>
    <mergeCell ref="D1:D2"/>
    <mergeCell ref="E1:E2"/>
    <mergeCell ref="F1:G1"/>
    <mergeCell ref="A17:A21"/>
    <mergeCell ref="B24:E24"/>
    <mergeCell ref="B31:C31"/>
    <mergeCell ref="F5:G5"/>
    <mergeCell ref="A9:A16"/>
    <mergeCell ref="B9:B10"/>
    <mergeCell ref="C9:C10"/>
    <mergeCell ref="D9:D10"/>
    <mergeCell ref="E9:F9"/>
    <mergeCell ref="G9:G10"/>
    <mergeCell ref="A5:A8"/>
    <mergeCell ref="B5:B6"/>
    <mergeCell ref="C5:C6"/>
    <mergeCell ref="D5:D6"/>
    <mergeCell ref="E5:E6"/>
  </mergeCell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disablePrompts="1" count="1">
        <x14:dataValidation type="list" showInputMessage="1" showErrorMessage="1">
          <x14:formula1>
            <xm:f>Reference!$B$1:$C$1</xm:f>
          </x14:formula1>
          <xm:sqref>C17:C20 C11:C15</xm:sqref>
        </x14:dataValidation>
      </x14:dataValidations>
    </ext>
  </extLst>
</worksheet>
</file>

<file path=xl/worksheets/sheet5.xml><?xml version="1.0" encoding="utf-8"?>
<worksheet xmlns="http://schemas.openxmlformats.org/spreadsheetml/2006/main" xmlns:r="http://schemas.openxmlformats.org/officeDocument/2006/relationships">
  <dimension ref="A1:V105"/>
  <sheetViews>
    <sheetView topLeftCell="A9" workbookViewId="0">
      <selection activeCell="B12" sqref="B12"/>
    </sheetView>
  </sheetViews>
  <sheetFormatPr defaultColWidth="11" defaultRowHeight="15.75"/>
  <cols>
    <col min="1" max="1" width="36" customWidth="1"/>
    <col min="2" max="2" width="29.125" customWidth="1"/>
    <col min="3" max="3" width="17.625" customWidth="1"/>
    <col min="4" max="4" width="13.25" customWidth="1"/>
    <col min="5" max="5" width="19.125" customWidth="1"/>
    <col min="6" max="6" width="13.625" customWidth="1"/>
    <col min="7" max="7" width="16" customWidth="1"/>
    <col min="8" max="8" width="12.375" customWidth="1"/>
    <col min="9" max="9" width="13.875" customWidth="1"/>
    <col min="10" max="10" width="12.25" customWidth="1"/>
    <col min="11" max="11" width="12.375" customWidth="1"/>
    <col min="12" max="12" width="15" customWidth="1"/>
    <col min="13" max="14" width="12.25" customWidth="1"/>
    <col min="15" max="15" width="12.625" customWidth="1"/>
    <col min="16" max="16" width="15.875" customWidth="1"/>
    <col min="17" max="17" width="14.25" customWidth="1"/>
    <col min="18" max="18" width="13.375" customWidth="1"/>
    <col min="19" max="19" width="12.375" customWidth="1"/>
    <col min="20" max="20" width="12.625" customWidth="1"/>
    <col min="21" max="21" width="15.75" customWidth="1"/>
    <col min="22" max="22" width="13" customWidth="1"/>
  </cols>
  <sheetData>
    <row r="1" spans="1:8">
      <c r="A1" s="41" t="s">
        <v>26</v>
      </c>
      <c r="B1" s="42" t="s">
        <v>1</v>
      </c>
      <c r="C1" s="43" t="s">
        <v>0</v>
      </c>
    </row>
    <row r="3" spans="1:8">
      <c r="A3" s="14" t="s">
        <v>110</v>
      </c>
      <c r="B3" s="127">
        <v>60</v>
      </c>
    </row>
    <row r="4" spans="1:8">
      <c r="A4" s="27" t="s">
        <v>111</v>
      </c>
      <c r="B4" s="53">
        <v>10</v>
      </c>
    </row>
    <row r="5" spans="1:8">
      <c r="A5" s="27" t="s">
        <v>94</v>
      </c>
      <c r="B5" s="53">
        <v>65</v>
      </c>
    </row>
    <row r="6" spans="1:8">
      <c r="A6" s="27" t="s">
        <v>89</v>
      </c>
      <c r="B6" s="53">
        <v>250</v>
      </c>
    </row>
    <row r="7" spans="1:8">
      <c r="A7" s="27" t="s">
        <v>16</v>
      </c>
      <c r="B7" s="53">
        <v>85</v>
      </c>
      <c r="H7" s="80"/>
    </row>
    <row r="8" spans="1:8">
      <c r="A8" s="27" t="s">
        <v>17</v>
      </c>
      <c r="B8" s="53">
        <v>175</v>
      </c>
      <c r="H8" s="12"/>
    </row>
    <row r="9" spans="1:8">
      <c r="A9" s="27" t="s">
        <v>56</v>
      </c>
      <c r="B9" s="53">
        <v>100</v>
      </c>
      <c r="H9" s="12"/>
    </row>
    <row r="10" spans="1:8">
      <c r="A10" s="115" t="s">
        <v>24</v>
      </c>
      <c r="B10" s="53">
        <v>200</v>
      </c>
      <c r="H10" s="1"/>
    </row>
    <row r="11" spans="1:8">
      <c r="A11" s="115" t="s">
        <v>97</v>
      </c>
      <c r="B11" s="53">
        <v>100</v>
      </c>
      <c r="H11" s="1"/>
    </row>
    <row r="12" spans="1:8">
      <c r="A12" s="115" t="s">
        <v>98</v>
      </c>
      <c r="B12" s="53">
        <v>100</v>
      </c>
      <c r="H12" s="1"/>
    </row>
    <row r="13" spans="1:8">
      <c r="A13" s="115" t="s">
        <v>78</v>
      </c>
      <c r="B13" s="53">
        <v>200</v>
      </c>
      <c r="H13" s="1"/>
    </row>
    <row r="14" spans="1:8">
      <c r="A14" s="115" t="s">
        <v>127</v>
      </c>
      <c r="B14" s="53">
        <v>150</v>
      </c>
      <c r="H14" s="1"/>
    </row>
    <row r="15" spans="1:8">
      <c r="A15" s="39" t="s">
        <v>80</v>
      </c>
      <c r="B15" s="54">
        <v>35</v>
      </c>
      <c r="H15" s="1"/>
    </row>
    <row r="16" spans="1:8">
      <c r="A16" s="115" t="s">
        <v>81</v>
      </c>
      <c r="B16" s="53">
        <v>100</v>
      </c>
      <c r="H16" s="1"/>
    </row>
    <row r="17" spans="1:8">
      <c r="A17" s="115" t="s">
        <v>82</v>
      </c>
      <c r="B17" s="53">
        <v>10</v>
      </c>
      <c r="H17" s="1"/>
    </row>
    <row r="18" spans="1:8">
      <c r="A18" s="115" t="s">
        <v>84</v>
      </c>
      <c r="B18" s="53">
        <v>120</v>
      </c>
      <c r="H18" s="1"/>
    </row>
    <row r="19" spans="1:8">
      <c r="A19" s="115" t="s">
        <v>83</v>
      </c>
      <c r="B19" s="53">
        <v>20</v>
      </c>
      <c r="H19" s="1"/>
    </row>
    <row r="20" spans="1:8">
      <c r="A20" s="126" t="s">
        <v>90</v>
      </c>
      <c r="B20" s="128">
        <v>0.13</v>
      </c>
      <c r="H20" s="1"/>
    </row>
    <row r="21" spans="1:8">
      <c r="A21" s="115"/>
      <c r="B21" s="53"/>
      <c r="H21" s="1"/>
    </row>
    <row r="22" spans="1:8">
      <c r="A22" s="115"/>
      <c r="B22" s="53"/>
      <c r="H22" s="1"/>
    </row>
    <row r="23" spans="1:8">
      <c r="A23" s="133" t="s">
        <v>86</v>
      </c>
      <c r="B23" s="135" t="s">
        <v>36</v>
      </c>
      <c r="C23" s="136" t="s">
        <v>27</v>
      </c>
      <c r="D23" s="207" t="s">
        <v>88</v>
      </c>
      <c r="E23" s="207" t="s">
        <v>52</v>
      </c>
      <c r="F23" s="137" t="s">
        <v>139</v>
      </c>
      <c r="H23" s="1"/>
    </row>
    <row r="24" spans="1:8">
      <c r="A24" s="125"/>
      <c r="B24" s="127">
        <v>500000</v>
      </c>
      <c r="C24" s="127">
        <v>745</v>
      </c>
      <c r="D24" s="127">
        <v>645</v>
      </c>
      <c r="E24" s="127">
        <v>445</v>
      </c>
      <c r="F24" s="127">
        <v>795</v>
      </c>
      <c r="H24" s="1"/>
    </row>
    <row r="25" spans="1:8">
      <c r="A25" s="115"/>
      <c r="B25" s="53">
        <v>1000000</v>
      </c>
      <c r="C25" s="53">
        <v>895</v>
      </c>
      <c r="D25" s="53">
        <v>745</v>
      </c>
      <c r="E25" s="53">
        <v>495</v>
      </c>
      <c r="F25" s="53">
        <v>995</v>
      </c>
      <c r="H25" s="1"/>
    </row>
    <row r="26" spans="1:8">
      <c r="A26" s="115"/>
      <c r="B26" s="53">
        <v>1500000</v>
      </c>
      <c r="C26" s="53">
        <v>995</v>
      </c>
      <c r="D26" s="53">
        <v>795</v>
      </c>
      <c r="E26" s="53">
        <v>595</v>
      </c>
      <c r="F26" s="53">
        <v>1295</v>
      </c>
      <c r="H26" s="1"/>
    </row>
    <row r="27" spans="1:8">
      <c r="A27" s="115"/>
      <c r="B27" s="53">
        <v>2000000</v>
      </c>
      <c r="C27" s="53">
        <v>1095</v>
      </c>
      <c r="D27" s="53">
        <v>895</v>
      </c>
      <c r="E27" s="53">
        <v>695</v>
      </c>
      <c r="F27" s="53">
        <v>1395</v>
      </c>
      <c r="H27" s="1"/>
    </row>
    <row r="28" spans="1:8">
      <c r="A28" s="115"/>
      <c r="B28" s="53">
        <v>2500000</v>
      </c>
      <c r="C28" s="53">
        <v>1195</v>
      </c>
      <c r="D28" s="53">
        <v>995</v>
      </c>
      <c r="E28" s="53">
        <v>795</v>
      </c>
      <c r="F28" s="53">
        <v>1495</v>
      </c>
      <c r="H28" s="1"/>
    </row>
    <row r="29" spans="1:8">
      <c r="A29" s="115"/>
      <c r="B29" s="53">
        <v>3000000</v>
      </c>
      <c r="C29" s="53">
        <v>1295</v>
      </c>
      <c r="D29" s="53">
        <v>1095</v>
      </c>
      <c r="E29" s="53">
        <v>895</v>
      </c>
      <c r="F29" s="53">
        <v>1595</v>
      </c>
      <c r="H29" s="1"/>
    </row>
    <row r="30" spans="1:8">
      <c r="A30" s="39"/>
      <c r="B30" s="134" t="s">
        <v>87</v>
      </c>
      <c r="C30" s="54">
        <v>1395</v>
      </c>
      <c r="D30" s="54">
        <v>1195</v>
      </c>
      <c r="E30" s="54">
        <v>995</v>
      </c>
      <c r="F30" s="54">
        <v>1695</v>
      </c>
      <c r="H30" s="1"/>
    </row>
    <row r="31" spans="1:8">
      <c r="A31" s="59"/>
      <c r="B31" s="5"/>
      <c r="H31" s="1"/>
    </row>
    <row r="33" spans="1:13">
      <c r="A33" s="85" t="s">
        <v>25</v>
      </c>
      <c r="B33" s="90" t="s">
        <v>18</v>
      </c>
      <c r="C33" s="245" t="s">
        <v>37</v>
      </c>
      <c r="D33" s="246"/>
      <c r="E33" s="246"/>
      <c r="F33" s="246"/>
      <c r="G33" s="246"/>
      <c r="H33" s="246"/>
      <c r="I33" s="247"/>
      <c r="J33" s="250" t="s">
        <v>38</v>
      </c>
      <c r="K33" s="251"/>
      <c r="L33" s="252"/>
      <c r="M33" s="99" t="s">
        <v>39</v>
      </c>
    </row>
    <row r="34" spans="1:13">
      <c r="A34" s="101" t="s">
        <v>74</v>
      </c>
      <c r="B34" s="91"/>
      <c r="C34" s="244" t="s">
        <v>40</v>
      </c>
      <c r="D34" s="226"/>
      <c r="E34" s="226"/>
      <c r="F34" s="8" t="s">
        <v>41</v>
      </c>
      <c r="G34" s="226" t="s">
        <v>71</v>
      </c>
      <c r="H34" s="226"/>
      <c r="I34" s="224"/>
      <c r="J34" s="248" t="s">
        <v>72</v>
      </c>
      <c r="K34" s="249"/>
      <c r="L34" s="94" t="s">
        <v>35</v>
      </c>
      <c r="M34" s="52"/>
    </row>
    <row r="35" spans="1:13" ht="31.5">
      <c r="A35" s="84"/>
      <c r="B35" s="91" t="s">
        <v>36</v>
      </c>
      <c r="C35" s="87" t="s">
        <v>33</v>
      </c>
      <c r="D35" s="8" t="s">
        <v>28</v>
      </c>
      <c r="E35" s="8" t="s">
        <v>35</v>
      </c>
      <c r="F35" s="86" t="s">
        <v>70</v>
      </c>
      <c r="G35" s="82" t="s">
        <v>68</v>
      </c>
      <c r="H35" s="83" t="s">
        <v>67</v>
      </c>
      <c r="I35" s="88" t="s">
        <v>69</v>
      </c>
      <c r="J35" s="27" t="s">
        <v>40</v>
      </c>
      <c r="K35" s="56" t="s">
        <v>41</v>
      </c>
      <c r="L35" s="95" t="s">
        <v>73</v>
      </c>
      <c r="M35" s="100" t="s">
        <v>66</v>
      </c>
    </row>
    <row r="36" spans="1:13">
      <c r="A36" s="84"/>
      <c r="B36" s="92">
        <v>200000</v>
      </c>
      <c r="C36" s="89">
        <v>250</v>
      </c>
      <c r="D36" s="12">
        <v>300</v>
      </c>
      <c r="E36" s="12">
        <v>150</v>
      </c>
      <c r="F36" s="12">
        <v>-50</v>
      </c>
      <c r="G36" s="81">
        <v>50</v>
      </c>
      <c r="H36" s="81">
        <v>50</v>
      </c>
      <c r="I36" s="97">
        <v>50</v>
      </c>
      <c r="J36" s="96">
        <v>125</v>
      </c>
      <c r="K36" s="81">
        <v>75</v>
      </c>
      <c r="L36" s="97">
        <v>16.95</v>
      </c>
      <c r="M36" s="49">
        <v>0.08</v>
      </c>
    </row>
    <row r="37" spans="1:13">
      <c r="A37" s="84"/>
      <c r="B37" s="92">
        <v>500000</v>
      </c>
      <c r="C37" s="89">
        <v>300</v>
      </c>
      <c r="D37" s="12">
        <v>350</v>
      </c>
      <c r="E37" s="12">
        <v>179</v>
      </c>
      <c r="F37" s="12">
        <v>-50</v>
      </c>
      <c r="G37" s="81">
        <v>50</v>
      </c>
      <c r="H37" s="81">
        <v>50</v>
      </c>
      <c r="I37" s="97">
        <v>50</v>
      </c>
      <c r="J37" s="96">
        <v>125</v>
      </c>
      <c r="K37" s="81">
        <v>75</v>
      </c>
      <c r="L37" s="97">
        <v>16.95</v>
      </c>
      <c r="M37" s="49">
        <v>0.08</v>
      </c>
    </row>
    <row r="38" spans="1:13">
      <c r="A38" s="84"/>
      <c r="B38" s="93" t="s">
        <v>32</v>
      </c>
      <c r="C38" s="48">
        <v>1</v>
      </c>
      <c r="D38" s="58">
        <v>1</v>
      </c>
      <c r="E38" s="58">
        <v>1</v>
      </c>
      <c r="F38" s="58">
        <v>-50</v>
      </c>
      <c r="G38" s="103">
        <v>50</v>
      </c>
      <c r="H38" s="103">
        <v>50</v>
      </c>
      <c r="I38" s="98">
        <v>50</v>
      </c>
      <c r="J38" s="102">
        <v>125</v>
      </c>
      <c r="K38" s="103">
        <v>75</v>
      </c>
      <c r="L38" s="98">
        <v>16.95</v>
      </c>
      <c r="M38" s="50">
        <v>0.08</v>
      </c>
    </row>
    <row r="39" spans="1:13">
      <c r="A39" s="84"/>
      <c r="B39" s="8"/>
      <c r="C39" s="8"/>
      <c r="D39" s="9"/>
      <c r="E39" s="79"/>
      <c r="H39" s="1"/>
    </row>
    <row r="40" spans="1:13">
      <c r="A40" s="85"/>
      <c r="B40" s="90" t="s">
        <v>18</v>
      </c>
      <c r="C40" s="245" t="s">
        <v>37</v>
      </c>
      <c r="D40" s="246"/>
      <c r="E40" s="246"/>
      <c r="F40" s="247"/>
      <c r="G40" s="253" t="s">
        <v>38</v>
      </c>
      <c r="H40" s="255" t="s">
        <v>39</v>
      </c>
    </row>
    <row r="41" spans="1:13">
      <c r="A41" s="101" t="s">
        <v>100</v>
      </c>
      <c r="B41" s="91"/>
      <c r="C41" s="141" t="s">
        <v>70</v>
      </c>
      <c r="D41" s="226" t="s">
        <v>71</v>
      </c>
      <c r="E41" s="226"/>
      <c r="F41" s="224"/>
      <c r="G41" s="254"/>
      <c r="H41" s="256"/>
    </row>
    <row r="42" spans="1:13" ht="31.5">
      <c r="A42" s="84"/>
      <c r="B42" s="91" t="s">
        <v>36</v>
      </c>
      <c r="C42" s="130" t="s">
        <v>101</v>
      </c>
      <c r="D42" s="82" t="s">
        <v>68</v>
      </c>
      <c r="E42" s="83" t="s">
        <v>67</v>
      </c>
      <c r="F42" s="143" t="s">
        <v>69</v>
      </c>
      <c r="G42" s="141" t="s">
        <v>40</v>
      </c>
      <c r="H42" s="140" t="s">
        <v>66</v>
      </c>
    </row>
    <row r="43" spans="1:13">
      <c r="A43" s="84"/>
      <c r="B43" s="92">
        <v>50000</v>
      </c>
      <c r="C43" s="142">
        <v>99</v>
      </c>
      <c r="D43" s="81">
        <v>50</v>
      </c>
      <c r="E43" s="81">
        <v>50</v>
      </c>
      <c r="F43" s="97">
        <v>50</v>
      </c>
      <c r="G43" s="96">
        <v>35</v>
      </c>
      <c r="H43" s="49">
        <v>0.08</v>
      </c>
    </row>
    <row r="44" spans="1:13">
      <c r="A44" s="84"/>
      <c r="B44" s="92">
        <v>750000</v>
      </c>
      <c r="C44" s="142">
        <v>149</v>
      </c>
      <c r="D44" s="81">
        <v>50</v>
      </c>
      <c r="E44" s="81">
        <v>50</v>
      </c>
      <c r="F44" s="97">
        <v>50</v>
      </c>
      <c r="G44" s="96">
        <v>35</v>
      </c>
      <c r="H44" s="49">
        <v>0.08</v>
      </c>
    </row>
    <row r="45" spans="1:13">
      <c r="A45" s="84"/>
      <c r="B45" s="93" t="s">
        <v>55</v>
      </c>
      <c r="C45" s="48">
        <v>1</v>
      </c>
      <c r="D45" s="103">
        <v>50</v>
      </c>
      <c r="E45" s="103">
        <v>50</v>
      </c>
      <c r="F45" s="98">
        <v>50</v>
      </c>
      <c r="G45" s="102">
        <v>35</v>
      </c>
      <c r="H45" s="50">
        <v>0.08</v>
      </c>
    </row>
    <row r="47" spans="1:13">
      <c r="B47" s="1"/>
    </row>
    <row r="48" spans="1:13">
      <c r="A48" s="14"/>
      <c r="B48" s="15"/>
      <c r="C48" s="3"/>
      <c r="D48" s="3"/>
      <c r="E48" s="16"/>
    </row>
    <row r="49" spans="1:5" ht="31.5">
      <c r="A49" s="17"/>
      <c r="B49" s="29" t="s">
        <v>8</v>
      </c>
      <c r="C49" s="18" t="s">
        <v>9</v>
      </c>
      <c r="D49" s="8"/>
      <c r="E49" s="19"/>
    </row>
    <row r="50" spans="1:5">
      <c r="A50" s="20" t="s">
        <v>2</v>
      </c>
      <c r="B50" s="21" t="s">
        <v>29</v>
      </c>
      <c r="C50" s="22">
        <v>55000</v>
      </c>
      <c r="D50" s="23">
        <v>5.0000000000000001E-3</v>
      </c>
      <c r="E50" s="24">
        <f>IF(Purchase!C3&lt;=C50,D50*Purchase!C3,D50*C50)</f>
        <v>275</v>
      </c>
    </row>
    <row r="51" spans="1:5">
      <c r="A51" s="17"/>
      <c r="B51" s="8" t="s">
        <v>6</v>
      </c>
      <c r="C51" s="12">
        <v>250000</v>
      </c>
      <c r="D51" s="23">
        <v>0.01</v>
      </c>
      <c r="E51" s="24">
        <f>IF(Purchase!C3&gt;C50, IF(Purchase!C3&lt;=C51, D51*(Purchase!C3-C50),D51*(C51-C50)),0)</f>
        <v>1950</v>
      </c>
    </row>
    <row r="52" spans="1:5">
      <c r="A52" s="17"/>
      <c r="B52" s="8" t="s">
        <v>7</v>
      </c>
      <c r="C52" s="12">
        <v>400000</v>
      </c>
      <c r="D52" s="23">
        <v>1.4999999999999999E-2</v>
      </c>
      <c r="E52" s="24">
        <f>IF(Purchase!C3&gt;C51, IF(Purchase!C3&lt;=C52, D52*(Purchase!C3-C51),D52*(C52-C51)),0)</f>
        <v>2250</v>
      </c>
    </row>
    <row r="53" spans="1:5" ht="18">
      <c r="A53" s="17"/>
      <c r="B53" s="8" t="s">
        <v>3</v>
      </c>
      <c r="C53" s="12"/>
      <c r="D53" s="23">
        <v>0.02</v>
      </c>
      <c r="E53" s="25">
        <f>IF(Purchase!C3&gt;C52,D53*(Purchase!C3-C52),0)</f>
        <v>29573.119999999999</v>
      </c>
    </row>
    <row r="54" spans="1:5">
      <c r="A54" s="17"/>
      <c r="B54" s="8"/>
      <c r="C54" s="8"/>
      <c r="D54" s="9" t="s">
        <v>11</v>
      </c>
      <c r="E54" s="26">
        <f>SUM(E50:E53)</f>
        <v>34048.119999999995</v>
      </c>
    </row>
    <row r="55" spans="1:5">
      <c r="A55" s="27" t="s">
        <v>20</v>
      </c>
      <c r="B55" s="5">
        <v>2000</v>
      </c>
      <c r="C55" s="8"/>
      <c r="D55" s="8"/>
      <c r="E55" s="28"/>
    </row>
    <row r="56" spans="1:5">
      <c r="A56" s="17"/>
      <c r="B56" s="8"/>
      <c r="C56" s="8"/>
      <c r="D56" s="8"/>
      <c r="E56" s="28"/>
    </row>
    <row r="57" spans="1:5" ht="30" customHeight="1">
      <c r="A57" s="17"/>
      <c r="B57" s="29" t="s">
        <v>10</v>
      </c>
      <c r="C57" s="8"/>
      <c r="D57" s="8"/>
      <c r="E57" s="19"/>
    </row>
    <row r="58" spans="1:5">
      <c r="A58" s="17"/>
      <c r="B58" s="21" t="s">
        <v>29</v>
      </c>
      <c r="C58" s="22">
        <v>55000</v>
      </c>
      <c r="D58" s="23">
        <v>5.0000000000000001E-3</v>
      </c>
      <c r="E58" s="24">
        <f>IF(Purchase!C3&lt;=C58,D58*Purchase!C3,D58*C58)</f>
        <v>275</v>
      </c>
    </row>
    <row r="59" spans="1:5">
      <c r="A59" s="17"/>
      <c r="B59" s="8" t="s">
        <v>6</v>
      </c>
      <c r="C59" s="12">
        <v>250000</v>
      </c>
      <c r="D59" s="23">
        <v>0.01</v>
      </c>
      <c r="E59" s="24">
        <f>IF(Purchase!C3&gt;C58, IF(Purchase!C3&lt;=C59, D59*(Purchase!C3-C58),D59*(C59-C58)),0)</f>
        <v>1950</v>
      </c>
    </row>
    <row r="60" spans="1:5" ht="18">
      <c r="A60" s="17"/>
      <c r="B60" s="8" t="s">
        <v>5</v>
      </c>
      <c r="C60" s="12"/>
      <c r="D60" s="23">
        <v>1.4999999999999999E-2</v>
      </c>
      <c r="E60" s="25">
        <f>IF(Purchase!C3&gt;C59,D60*(Purchase!C3-C59),0)</f>
        <v>24429.84</v>
      </c>
    </row>
    <row r="61" spans="1:5">
      <c r="A61" s="17"/>
      <c r="B61" s="8"/>
      <c r="C61" s="8"/>
      <c r="D61" s="9" t="s">
        <v>11</v>
      </c>
      <c r="E61" s="26">
        <f>SUM(E58:E60)</f>
        <v>26654.84</v>
      </c>
    </row>
    <row r="62" spans="1:5">
      <c r="A62" s="17"/>
      <c r="B62" s="8"/>
      <c r="C62" s="8"/>
      <c r="D62" s="8"/>
      <c r="E62" s="19"/>
    </row>
    <row r="63" spans="1:5" ht="31.5">
      <c r="A63" s="17"/>
      <c r="B63" s="29" t="s">
        <v>8</v>
      </c>
      <c r="C63" s="8" t="s">
        <v>9</v>
      </c>
      <c r="D63" s="8"/>
      <c r="E63" s="19"/>
    </row>
    <row r="64" spans="1:5">
      <c r="A64" s="20" t="s">
        <v>22</v>
      </c>
      <c r="B64" s="21" t="s">
        <v>29</v>
      </c>
      <c r="C64" s="22">
        <v>55000</v>
      </c>
      <c r="D64" s="23">
        <v>5.0000000000000001E-3</v>
      </c>
      <c r="E64" s="24">
        <f>IF(Purchase!C3&lt;=C64,D64*Purchase!C3,D64*C64)</f>
        <v>275</v>
      </c>
    </row>
    <row r="65" spans="1:22">
      <c r="A65" s="17"/>
      <c r="B65" s="8" t="s">
        <v>12</v>
      </c>
      <c r="C65" s="12">
        <v>400000</v>
      </c>
      <c r="D65" s="23">
        <v>0.01</v>
      </c>
      <c r="E65" s="24">
        <f>IF(Purchase!C3&gt;C64, IF(Purchase!C3&lt;=C65, D65*(Purchase!C3-C64),D65*(C65-C64)),0)</f>
        <v>3450</v>
      </c>
    </row>
    <row r="66" spans="1:22" ht="18">
      <c r="A66" s="17"/>
      <c r="B66" s="8" t="s">
        <v>3</v>
      </c>
      <c r="C66" s="12"/>
      <c r="D66" s="23">
        <v>0.02</v>
      </c>
      <c r="E66" s="25">
        <f>IF(Purchase!C3&gt;C65,D66*(Purchase!C3-C65),0)</f>
        <v>29573.119999999999</v>
      </c>
    </row>
    <row r="67" spans="1:22">
      <c r="A67" s="17"/>
      <c r="B67" s="8"/>
      <c r="C67" s="8"/>
      <c r="D67" s="9" t="s">
        <v>11</v>
      </c>
      <c r="E67" s="26">
        <f>SUM(E64:E66)</f>
        <v>33298.119999999995</v>
      </c>
    </row>
    <row r="68" spans="1:22">
      <c r="A68" s="27" t="s">
        <v>21</v>
      </c>
      <c r="B68" s="5">
        <v>3725</v>
      </c>
      <c r="C68" s="8"/>
      <c r="D68" s="9"/>
      <c r="E68" s="26"/>
    </row>
    <row r="69" spans="1:22">
      <c r="A69" s="17"/>
      <c r="B69" s="8"/>
      <c r="C69" s="8"/>
      <c r="D69" s="8"/>
      <c r="E69" s="28"/>
    </row>
    <row r="70" spans="1:22" ht="30" customHeight="1">
      <c r="A70" s="17"/>
      <c r="B70" s="29" t="s">
        <v>10</v>
      </c>
      <c r="C70" s="8"/>
      <c r="D70" s="8"/>
      <c r="E70" s="19"/>
    </row>
    <row r="71" spans="1:22">
      <c r="A71" s="17"/>
      <c r="B71" s="21" t="s">
        <v>29</v>
      </c>
      <c r="C71" s="22">
        <v>55000</v>
      </c>
      <c r="D71" s="23">
        <v>5.0000000000000001E-3</v>
      </c>
      <c r="E71" s="24">
        <f>IF(Purchase!C3&lt;=C71,D71*Purchase!C3,D71*C71)</f>
        <v>275</v>
      </c>
    </row>
    <row r="72" spans="1:22">
      <c r="A72" s="17"/>
      <c r="B72" s="8" t="s">
        <v>12</v>
      </c>
      <c r="C72" s="12">
        <v>400000</v>
      </c>
      <c r="D72" s="23">
        <v>0.01</v>
      </c>
      <c r="E72" s="24">
        <f>IF(Purchase!C3&gt;C71, IF(Purchase!C3&lt;=C72, D72*(Purchase!C3-C71),D72*(C72-C71)),0)</f>
        <v>3450</v>
      </c>
    </row>
    <row r="73" spans="1:22">
      <c r="A73" s="17"/>
      <c r="B73" s="8" t="s">
        <v>13</v>
      </c>
      <c r="C73" s="12">
        <v>40000000</v>
      </c>
      <c r="D73" s="23">
        <v>1.4999999999999999E-2</v>
      </c>
      <c r="E73" s="24">
        <f>IF(Purchase!C3&gt;C72, IF(Purchase!C3&lt;=C73, D73*(Purchase!C3-C72),D73*(C73-C72)),0)</f>
        <v>22179.84</v>
      </c>
    </row>
    <row r="74" spans="1:22" ht="18">
      <c r="A74" s="17"/>
      <c r="B74" s="8" t="s">
        <v>4</v>
      </c>
      <c r="C74" s="12"/>
      <c r="D74" s="23">
        <v>0.01</v>
      </c>
      <c r="E74" s="25">
        <f>IF(Purchase!C3&gt;C73,D74*(Purchase!C3-C73),0)</f>
        <v>0</v>
      </c>
    </row>
    <row r="75" spans="1:22">
      <c r="A75" s="30"/>
      <c r="B75" s="31"/>
      <c r="C75" s="31"/>
      <c r="D75" s="32" t="s">
        <v>11</v>
      </c>
      <c r="E75" s="33">
        <f>SUM(E71:E74)</f>
        <v>25904.84</v>
      </c>
    </row>
    <row r="76" spans="1:22">
      <c r="A76" s="6"/>
      <c r="B76" s="8"/>
      <c r="C76" s="8"/>
      <c r="D76" s="9"/>
      <c r="E76" s="79"/>
    </row>
    <row r="77" spans="1:22" ht="16.5" thickBot="1"/>
    <row r="78" spans="1:22" ht="32.25" customHeight="1">
      <c r="A78" s="60" t="s">
        <v>65</v>
      </c>
      <c r="B78" s="61"/>
      <c r="C78" s="61"/>
      <c r="D78" s="61"/>
      <c r="E78" s="62" t="s">
        <v>18</v>
      </c>
      <c r="F78" s="62" t="s">
        <v>36</v>
      </c>
      <c r="G78" s="239" t="s">
        <v>37</v>
      </c>
      <c r="H78" s="240"/>
      <c r="I78" s="240"/>
      <c r="J78" s="240"/>
      <c r="K78" s="240"/>
      <c r="L78" s="241"/>
      <c r="M78" s="239" t="s">
        <v>38</v>
      </c>
      <c r="N78" s="241"/>
      <c r="O78" s="63" t="s">
        <v>39</v>
      </c>
      <c r="P78" s="242" t="s">
        <v>42</v>
      </c>
      <c r="Q78" s="242"/>
      <c r="R78" s="242"/>
      <c r="S78" s="242"/>
      <c r="T78" s="242"/>
      <c r="U78" s="242"/>
      <c r="V78" s="243"/>
    </row>
    <row r="79" spans="1:22" ht="47.25">
      <c r="A79" s="64"/>
      <c r="B79" s="56" t="s">
        <v>27</v>
      </c>
      <c r="C79" s="56"/>
      <c r="D79" s="56"/>
      <c r="E79" s="52"/>
      <c r="F79" s="52"/>
      <c r="G79" s="27" t="s">
        <v>40</v>
      </c>
      <c r="H79" s="56" t="s">
        <v>41</v>
      </c>
      <c r="I79" s="56" t="s">
        <v>46</v>
      </c>
      <c r="J79" s="59" t="s">
        <v>48</v>
      </c>
      <c r="K79" s="56" t="s">
        <v>44</v>
      </c>
      <c r="L79" s="44"/>
      <c r="M79" s="27" t="s">
        <v>40</v>
      </c>
      <c r="N79" s="44" t="s">
        <v>41</v>
      </c>
      <c r="O79" s="49"/>
      <c r="P79" s="56" t="s">
        <v>40</v>
      </c>
      <c r="Q79" s="56" t="s">
        <v>41</v>
      </c>
      <c r="R79" s="59" t="s">
        <v>46</v>
      </c>
      <c r="S79" s="59" t="s">
        <v>51</v>
      </c>
      <c r="T79" s="59" t="s">
        <v>50</v>
      </c>
      <c r="U79" s="59" t="s">
        <v>47</v>
      </c>
      <c r="V79" s="65" t="s">
        <v>49</v>
      </c>
    </row>
    <row r="80" spans="1:22">
      <c r="A80" s="64"/>
      <c r="B80" s="56"/>
      <c r="C80" s="56" t="s">
        <v>34</v>
      </c>
      <c r="D80" s="56"/>
      <c r="E80" s="52"/>
      <c r="F80" s="52"/>
      <c r="G80" s="27"/>
      <c r="H80" s="56" t="s">
        <v>43</v>
      </c>
      <c r="I80" s="56" t="s">
        <v>45</v>
      </c>
      <c r="J80" s="56" t="s">
        <v>45</v>
      </c>
      <c r="K80" s="56" t="s">
        <v>45</v>
      </c>
      <c r="L80" s="44"/>
      <c r="M80" s="27"/>
      <c r="N80" s="44"/>
      <c r="O80" s="49"/>
      <c r="P80" s="56"/>
      <c r="Q80" s="56"/>
      <c r="R80" s="56"/>
      <c r="S80" s="56"/>
      <c r="T80" s="56"/>
      <c r="U80" s="56"/>
      <c r="V80" s="66"/>
    </row>
    <row r="81" spans="1:22">
      <c r="A81" s="64"/>
      <c r="B81" s="56"/>
      <c r="C81" s="56"/>
      <c r="D81" s="56" t="s">
        <v>28</v>
      </c>
      <c r="E81" s="52"/>
      <c r="F81" s="52"/>
      <c r="G81" s="27"/>
      <c r="H81" s="56"/>
      <c r="I81" s="56"/>
      <c r="J81" s="56"/>
      <c r="K81" s="56"/>
      <c r="L81" s="44"/>
      <c r="M81" s="27"/>
      <c r="N81" s="44"/>
      <c r="O81" s="49"/>
      <c r="P81" s="56"/>
      <c r="Q81" s="56"/>
      <c r="R81" s="56"/>
      <c r="S81" s="56"/>
      <c r="T81" s="56"/>
      <c r="U81" s="56"/>
      <c r="V81" s="66"/>
    </row>
    <row r="82" spans="1:22">
      <c r="A82" s="64"/>
      <c r="B82" s="56"/>
      <c r="C82" s="56"/>
      <c r="D82" s="56"/>
      <c r="E82" s="52" t="s">
        <v>30</v>
      </c>
      <c r="F82" s="53">
        <v>200000</v>
      </c>
      <c r="G82" s="45">
        <v>300</v>
      </c>
      <c r="H82" s="5">
        <v>50</v>
      </c>
      <c r="I82" s="5">
        <v>54</v>
      </c>
      <c r="J82" s="5">
        <v>54</v>
      </c>
      <c r="K82" s="5">
        <v>54</v>
      </c>
      <c r="L82" s="34"/>
      <c r="M82" s="45">
        <v>125</v>
      </c>
      <c r="N82" s="34">
        <v>75</v>
      </c>
      <c r="O82" s="49">
        <v>0.08</v>
      </c>
      <c r="P82" s="5">
        <f>(IF(Purchase!C3&lt;Reference!F82,Reference!G82,0))*(1+O82)-(IF(Purchase!C3&lt;Reference!F82,M82,0))</f>
        <v>0</v>
      </c>
      <c r="Q82" s="5">
        <f>(IF(Purchase!C3&lt;Reference!F82,Reference!G82-H82,0))*(1+O82)-(IF(Purchase!C3&lt;Reference!F82,N82,0))</f>
        <v>0</v>
      </c>
      <c r="R82" s="5">
        <f>(IF(Purchase!C3&lt;Reference!F82,Reference!G82+I82,0))*(1+O82)-(IF(Purchase!C3&lt;Reference!F82,M82,0))</f>
        <v>0</v>
      </c>
      <c r="S82" s="5">
        <f>(IF(Purchase!C3&lt;Reference!F82,Reference!G82+K82,0))*(1+O82)-(IF(Purchase!C3&lt;Reference!F82,M82,0))</f>
        <v>0</v>
      </c>
      <c r="T82" s="5">
        <f>(IF(Purchase!C3&lt;Reference!F82,Reference!G82+J82,0))*(1+O82)-(IF(Purchase!C3&lt;Reference!F82,M82,0))</f>
        <v>0</v>
      </c>
      <c r="U82" s="5">
        <f>(IF(Purchase!C3&lt;Reference!F82,Reference!G82+K82+J82,0))*(1+O82)-(IF(Purchase!C3&lt;Reference!F82,M82,0))</f>
        <v>0</v>
      </c>
      <c r="V82" s="67">
        <f>(IF(Purchase!C3&lt;Reference!F82,Reference!G82+K82+J82+I82,0))*(1+O82)-(IF(Purchase!C3&lt;Reference!F82,M82,0))</f>
        <v>0</v>
      </c>
    </row>
    <row r="83" spans="1:22">
      <c r="A83" s="64"/>
      <c r="B83" s="56"/>
      <c r="C83" s="56"/>
      <c r="D83" s="56"/>
      <c r="E83" s="52" t="s">
        <v>31</v>
      </c>
      <c r="F83" s="53">
        <v>500000</v>
      </c>
      <c r="G83" s="45">
        <v>350</v>
      </c>
      <c r="H83" s="5">
        <v>50</v>
      </c>
      <c r="I83" s="5">
        <v>54</v>
      </c>
      <c r="J83" s="5">
        <v>54</v>
      </c>
      <c r="K83" s="5">
        <v>54</v>
      </c>
      <c r="L83" s="34"/>
      <c r="M83" s="45">
        <v>125</v>
      </c>
      <c r="N83" s="34">
        <v>75</v>
      </c>
      <c r="O83" s="49">
        <v>0.08</v>
      </c>
      <c r="P83" s="5">
        <f>(IF(Purchase!C3&gt;=Reference!F82,IF(Purchase!C3&lt;=Reference!F83,Reference!G83,0),0))*(1+O83)-(IF(Purchase!C3&gt;=Reference!F82,IF(Purchase!C3&lt;=Reference!F83,M83,0),0))</f>
        <v>0</v>
      </c>
      <c r="Q83" s="5">
        <f>(IF(Purchase!C3&gt;=Reference!F82,IF(Purchase!C3&lt;=Reference!F83,Reference!G83-H83,0),0))*(1+O83)-(IF(Purchase!C3&gt;=Reference!F82,IF(Purchase!C3&lt;=Reference!F83,N83,0),0))</f>
        <v>0</v>
      </c>
      <c r="R83" s="5">
        <f>(IF(Purchase!C3&gt;=Reference!F82,IF(Purchase!C3&lt;=Reference!F83,Reference!G83+I83,0),0))*(1+O83)-(IF(Purchase!C3&gt;=Reference!F82,IF(Purchase!C3&lt;=Reference!F83,M83,0),0))</f>
        <v>0</v>
      </c>
      <c r="S83" s="5">
        <f>(IF(Purchase!C3&gt;=Reference!F82,IF(Purchase!C3&lt;=Reference!F83,Reference!G83+K83,0),0))*(1+O83)-(IF(Purchase!C3&gt;=Reference!F82,IF(Purchase!C3&lt;=Reference!F83,M83,0),0))</f>
        <v>0</v>
      </c>
      <c r="T83" s="5">
        <f>(IF(Purchase!C3&gt;=Reference!F82,IF(Purchase!C3&lt;=Reference!F83,Reference!G83+J83,0),0))*(1+O83)-(IF(Purchase!C3&gt;=Reference!F82,IF(Purchase!C3&lt;=Reference!F83,M83,0),0))</f>
        <v>0</v>
      </c>
      <c r="U83" s="5">
        <f>(IF(Purchase!C3&gt;=Reference!F82,IF(Purchase!C3&lt;=Reference!F83,Reference!G83+K83+J83,0),0))*(1+O83)-(IF(Purchase!C3&gt;=Reference!F82,IF(Purchase!C3&lt;=Reference!F83,M83,0),0))</f>
        <v>0</v>
      </c>
      <c r="V83" s="67">
        <f>(IF(Purchase!C3&gt;=Reference!F82,IF(Purchase!C3&lt;=Reference!F83,Reference!G83+K83+J83+I83,0),0))*(1+O83)-(IF(Purchase!C3&gt;=Reference!F82,IF(Purchase!C3&lt;=Reference!F83,M83,0),0))</f>
        <v>0</v>
      </c>
    </row>
    <row r="84" spans="1:22">
      <c r="A84" s="64"/>
      <c r="B84" s="56"/>
      <c r="C84" s="56"/>
      <c r="D84" s="56"/>
      <c r="E84" s="52" t="s">
        <v>32</v>
      </c>
      <c r="F84" s="53"/>
      <c r="G84" s="46">
        <v>1</v>
      </c>
      <c r="H84" s="57">
        <v>50</v>
      </c>
      <c r="I84" s="5">
        <v>54</v>
      </c>
      <c r="J84" s="5">
        <v>54</v>
      </c>
      <c r="K84" s="5">
        <v>54</v>
      </c>
      <c r="L84" s="47"/>
      <c r="M84" s="46">
        <v>125</v>
      </c>
      <c r="N84" s="47">
        <v>75</v>
      </c>
      <c r="O84" s="49">
        <v>0.08</v>
      </c>
      <c r="P84" s="5">
        <f>(IF(Purchase!C3&gt;Reference!F83,G83+G84*(Purchase!C3-Reference!F83)/1000,0))*(1+O84)-(IF(Purchase!C3&gt;Reference!F83,M84,0))</f>
        <v>1741.94848</v>
      </c>
      <c r="Q84" s="5">
        <f>(IF(Purchase!C3&gt;Reference!F83,G83-H84+G84*(Purchase!C3-Reference!F83)/1000,0))*(1+O84)-(IF(Purchase!C3&gt;Reference!F83,N84,0))</f>
        <v>1737.94848</v>
      </c>
      <c r="R84" s="5">
        <f>(IF(Purchase!C3&gt;Reference!F83,G83+I84+G84*(Purchase!C3-Reference!F83)/1000,0))*(1+O84)-(IF(Purchase!C3&gt;Reference!F83,M84,0))</f>
        <v>1800.2684800000002</v>
      </c>
      <c r="S84" s="5">
        <f>(IF(Purchase!C3&gt;Reference!F83,G83+K84+G84*(Purchase!C3-Reference!F83)/1000,0))*(1+O84)-(IF(Purchase!C3&gt;Reference!F83,M84,0))</f>
        <v>1800.2684800000002</v>
      </c>
      <c r="T84" s="5">
        <f>(IF(Purchase!C3&gt;Reference!F83,G83+J84+G84*(Purchase!C3-Reference!F83)/1000,0))*(1+O84)-(IF(Purchase!C3&gt;Reference!F83,M84,0))</f>
        <v>1800.2684800000002</v>
      </c>
      <c r="U84" s="5">
        <f>(IF(Purchase!C3&gt;Reference!F83,G83+K84+J84+G84*(Purchase!C3-Reference!F83)/1000,0))*(1+O84)-(IF(Purchase!C3&gt;Reference!F83,M84,0))</f>
        <v>1858.5884800000001</v>
      </c>
      <c r="V84" s="67">
        <f>(IF(Purchase!C3&gt;Reference!F83,G83+K84+J84+I84+G84*(Purchase!C3-Reference!F83)/1000,0))*(1+O84)-(IF(Purchase!C3&gt;Reference!F83,M84,0))</f>
        <v>1916.9084800000001</v>
      </c>
    </row>
    <row r="85" spans="1:22">
      <c r="A85" s="64"/>
      <c r="B85" s="56"/>
      <c r="C85" s="56"/>
      <c r="D85" s="56"/>
      <c r="E85" s="52"/>
      <c r="F85" s="52"/>
      <c r="G85" s="45"/>
      <c r="H85" s="5"/>
      <c r="I85" s="5"/>
      <c r="J85" s="5"/>
      <c r="K85" s="5"/>
      <c r="L85" s="34"/>
      <c r="M85" s="45"/>
      <c r="N85" s="34"/>
      <c r="O85" s="49"/>
      <c r="P85" s="56"/>
      <c r="Q85" s="56"/>
      <c r="R85" s="56"/>
      <c r="S85" s="5"/>
      <c r="T85" s="56"/>
      <c r="U85" s="5"/>
      <c r="V85" s="67"/>
    </row>
    <row r="86" spans="1:22">
      <c r="A86" s="64"/>
      <c r="B86" s="56"/>
      <c r="C86" s="56"/>
      <c r="D86" s="56" t="s">
        <v>33</v>
      </c>
      <c r="E86" s="52"/>
      <c r="F86" s="52"/>
      <c r="G86" s="45"/>
      <c r="H86" s="5"/>
      <c r="I86" s="5"/>
      <c r="J86" s="5"/>
      <c r="K86" s="5"/>
      <c r="L86" s="34"/>
      <c r="M86" s="45"/>
      <c r="N86" s="34"/>
      <c r="O86" s="49"/>
      <c r="P86" s="56"/>
      <c r="Q86" s="56"/>
      <c r="R86" s="56"/>
      <c r="S86" s="5"/>
      <c r="T86" s="56"/>
      <c r="U86" s="5"/>
      <c r="V86" s="67"/>
    </row>
    <row r="87" spans="1:22">
      <c r="A87" s="64"/>
      <c r="B87" s="56"/>
      <c r="C87" s="56"/>
      <c r="D87" s="56"/>
      <c r="E87" s="52" t="s">
        <v>30</v>
      </c>
      <c r="F87" s="53">
        <v>200000</v>
      </c>
      <c r="G87" s="45">
        <v>250</v>
      </c>
      <c r="H87" s="5">
        <v>50</v>
      </c>
      <c r="I87" s="5">
        <v>54</v>
      </c>
      <c r="J87" s="5">
        <v>54</v>
      </c>
      <c r="K87" s="5">
        <v>54</v>
      </c>
      <c r="L87" s="34"/>
      <c r="M87" s="45">
        <v>125</v>
      </c>
      <c r="N87" s="34">
        <v>75</v>
      </c>
      <c r="O87" s="49">
        <v>0.08</v>
      </c>
      <c r="P87" s="5">
        <f>(IF(Purchase!C3&lt;Reference!F87,Reference!G87,0))*(1+O87)-(IF(Purchase!C3&lt;Reference!F87,M87,0))</f>
        <v>0</v>
      </c>
      <c r="Q87" s="5">
        <f>(IF(Purchase!C3&lt;Reference!F87,Reference!G87-H87,0))*(1+O87)-(IF(Purchase!C3&lt;Reference!F87,N87,0))</f>
        <v>0</v>
      </c>
      <c r="R87" s="5">
        <f>(IF(Purchase!C3&lt;Reference!F87,Reference!G87+I87,0))*(1+O87)-(IF(Purchase!C3&lt;Reference!F87,M87,0))</f>
        <v>0</v>
      </c>
      <c r="S87" s="5">
        <f>(IF(Purchase!C3&lt;Reference!F87,Reference!G87+K87,0))*(1+O87)-(IF(Purchase!C3&lt;Reference!F87,M87,0))</f>
        <v>0</v>
      </c>
      <c r="T87" s="5">
        <f>(IF(Purchase!C3&lt;Reference!F87,Reference!G87+J87,0))*(1+O87)-(IF(Purchase!C3&lt;Reference!F87,M87,0))</f>
        <v>0</v>
      </c>
      <c r="U87" s="5">
        <f>(IF(Purchase!C3&lt;Reference!F87,Reference!G87+K87+J87,0))*(1+O87)-(IF(Purchase!C3&lt;Reference!F87,M87,0))</f>
        <v>0</v>
      </c>
      <c r="V87" s="67">
        <f>(IF(Purchase!C3&lt;Reference!F87,Reference!G87+K87+J87+I87,0))*(1+O87)-(IF(Purchase!C3&lt;Reference!F87,M87,0))</f>
        <v>0</v>
      </c>
    </row>
    <row r="88" spans="1:22">
      <c r="A88" s="64"/>
      <c r="B88" s="56"/>
      <c r="C88" s="56"/>
      <c r="D88" s="56"/>
      <c r="E88" s="52" t="s">
        <v>31</v>
      </c>
      <c r="F88" s="53">
        <v>500000</v>
      </c>
      <c r="G88" s="45">
        <v>300</v>
      </c>
      <c r="H88" s="5">
        <v>50</v>
      </c>
      <c r="I88" s="5">
        <v>54</v>
      </c>
      <c r="J88" s="5">
        <v>54</v>
      </c>
      <c r="K88" s="5">
        <v>54</v>
      </c>
      <c r="L88" s="34"/>
      <c r="M88" s="45">
        <v>125</v>
      </c>
      <c r="N88" s="34">
        <v>75</v>
      </c>
      <c r="O88" s="49">
        <v>0.08</v>
      </c>
      <c r="P88" s="5">
        <f>(IF(Purchase!C3&gt;=Reference!F87,IF(Purchase!C3&lt;=Reference!F88,Reference!G88,0),0))*(1+O88)-(IF(Purchase!C3&gt;=Reference!F87,IF(Purchase!C3&lt;=Reference!F88,M88,0),0))</f>
        <v>0</v>
      </c>
      <c r="Q88" s="5">
        <f>(IF(Purchase!C3&gt;=Reference!F87,IF(Purchase!C3&lt;=Reference!F88,Reference!G88-H88,0),0))*(1+O88)-(IF(Purchase!C3&gt;=Reference!F87,IF(Purchase!C3&lt;=Reference!F88,N88,0),0))</f>
        <v>0</v>
      </c>
      <c r="R88" s="5">
        <f>(IF(Purchase!C3&gt;=Reference!F87,IF(Purchase!C3&lt;=Reference!F88,Reference!G88+I88,0),0))*(1+O88)-(IF(Purchase!C3&gt;=Reference!F87,IF(Purchase!C3&lt;=Reference!F88,M88,0),0))</f>
        <v>0</v>
      </c>
      <c r="S88" s="5">
        <f>(IF(Purchase!C3&gt;=Reference!F87,IF(Purchase!C3&lt;=Reference!F88,Reference!G88+K88,0),0))*(1+O88)-(IF(Purchase!C3&gt;=Reference!F87,IF(Purchase!C3&lt;=Reference!F88,M88,0),0))</f>
        <v>0</v>
      </c>
      <c r="T88" s="5">
        <f>(IF(Purchase!C3&gt;=Reference!F87,IF(Purchase!C3&lt;=Reference!F88,Reference!G88+J88,0),0))*(1+O88)-(IF(Purchase!C3&gt;=Reference!F87,IF(Purchase!C3&lt;=Reference!F88,M88,0),0))</f>
        <v>0</v>
      </c>
      <c r="U88" s="5">
        <f>(IF(Purchase!C3&gt;=Reference!F87,IF(Purchase!C3&lt;=Reference!F88,Reference!G88+K88+J88,0),0))*(1+O88)-(IF(Purchase!C3&gt;=Reference!F87,IF(Purchase!C3&lt;=Reference!F88,M88,0),0))</f>
        <v>0</v>
      </c>
      <c r="V88" s="67">
        <f>(IF(Purchase!C3&gt;=Reference!F87,IF(Purchase!C3&lt;=Reference!F88,Reference!G88+K88+J88+I88,0),0))*(1+O88)-(IF(Purchase!C3&gt;=Reference!F87,IF(Purchase!C3&lt;=Reference!F88,M88,0),0))</f>
        <v>0</v>
      </c>
    </row>
    <row r="89" spans="1:22">
      <c r="A89" s="64"/>
      <c r="B89" s="56"/>
      <c r="C89" s="56"/>
      <c r="D89" s="56"/>
      <c r="E89" s="52" t="s">
        <v>32</v>
      </c>
      <c r="F89" s="53"/>
      <c r="G89" s="45">
        <v>1</v>
      </c>
      <c r="H89" s="5">
        <v>50</v>
      </c>
      <c r="I89" s="5">
        <v>54</v>
      </c>
      <c r="J89" s="5">
        <v>54</v>
      </c>
      <c r="K89" s="5">
        <v>54</v>
      </c>
      <c r="L89" s="34"/>
      <c r="M89" s="45">
        <v>125</v>
      </c>
      <c r="N89" s="34">
        <v>75</v>
      </c>
      <c r="O89" s="49">
        <v>0.08</v>
      </c>
      <c r="P89" s="5">
        <f>(IF(Purchase!C3&gt;Reference!F88,G88+G89*(Purchase!C3-Reference!F88)/1000,0))*(1+O89)-(IF(Purchase!C3&gt;Reference!F88,M89,0))</f>
        <v>1687.94848</v>
      </c>
      <c r="Q89" s="5">
        <f>(IF(Purchase!C3&gt;Reference!F88,G88-H89+G89*(Purchase!C3-Reference!F88)/1000,0))*(1+O89)-(IF(Purchase!C3&gt;Reference!F88,N89,0))</f>
        <v>1683.94848</v>
      </c>
      <c r="R89" s="5">
        <f>(IF(Purchase!C3&gt;Reference!F88,G88+I89+G89*(Purchase!C3-Reference!F88)/1000,0))*(1+O89)-(IF(Purchase!C3&gt;Reference!F88,M89,0))</f>
        <v>1746.2684800000002</v>
      </c>
      <c r="S89" s="5">
        <f>(IF(Purchase!C3&gt;Reference!F88,G88+K89+G89*(Purchase!C3-Reference!F88)/1000,0))*(1+O89)-(IF(Purchase!C3&gt;Reference!F88,M89,0))</f>
        <v>1746.2684800000002</v>
      </c>
      <c r="T89" s="5">
        <f>(IF(Purchase!C3&gt;Reference!F88,G88+J89+G89*(Purchase!C3-Reference!F88)/1000,0))*(1+O89)-(IF(Purchase!C3&gt;Reference!F88,M89,0))</f>
        <v>1746.2684800000002</v>
      </c>
      <c r="U89" s="5">
        <f>(IF(Purchase!C3&gt;Reference!F88,G88+K89+J89+G89*(Purchase!C3-Reference!F88)/1000,0))*(1+O89)-(IF(Purchase!C3&gt;Reference!F88,M89,0))</f>
        <v>1804.5884800000001</v>
      </c>
      <c r="V89" s="67">
        <f>(IF(Purchase!C3&gt;Reference!F88,G88+K89+J89+I89+G89*(Purchase!C3-Reference!F88)/1000,0))*(1+O89)-(IF(Purchase!C3&gt;Reference!F88,M89,0))</f>
        <v>1862.9084800000001</v>
      </c>
    </row>
    <row r="90" spans="1:22">
      <c r="A90" s="64"/>
      <c r="B90" s="56"/>
      <c r="C90" s="56"/>
      <c r="D90" s="56"/>
      <c r="E90" s="52"/>
      <c r="F90" s="52"/>
      <c r="G90" s="27"/>
      <c r="H90" s="56"/>
      <c r="I90" s="56"/>
      <c r="J90" s="56"/>
      <c r="K90" s="56"/>
      <c r="L90" s="44"/>
      <c r="M90" s="27"/>
      <c r="N90" s="44"/>
      <c r="O90" s="49"/>
      <c r="P90" s="56"/>
      <c r="Q90" s="56"/>
      <c r="R90" s="56"/>
      <c r="S90" s="5"/>
      <c r="T90" s="56"/>
      <c r="U90" s="5"/>
      <c r="V90" s="67"/>
    </row>
    <row r="91" spans="1:22">
      <c r="A91" s="64"/>
      <c r="B91" s="56"/>
      <c r="C91" s="56" t="s">
        <v>35</v>
      </c>
      <c r="D91" s="56"/>
      <c r="E91" s="52"/>
      <c r="F91" s="52"/>
      <c r="G91" s="27"/>
      <c r="H91" s="56"/>
      <c r="I91" s="56"/>
      <c r="J91" s="56"/>
      <c r="K91" s="56"/>
      <c r="L91" s="44"/>
      <c r="M91" s="27"/>
      <c r="N91" s="44"/>
      <c r="O91" s="49"/>
      <c r="P91" s="56"/>
      <c r="Q91" s="56"/>
      <c r="R91" s="56"/>
      <c r="S91" s="5"/>
      <c r="T91" s="56"/>
      <c r="U91" s="5"/>
      <c r="V91" s="67"/>
    </row>
    <row r="92" spans="1:22">
      <c r="A92" s="64"/>
      <c r="B92" s="56"/>
      <c r="C92" s="56"/>
      <c r="D92" s="56" t="s">
        <v>28</v>
      </c>
      <c r="E92" s="52"/>
      <c r="F92" s="52"/>
      <c r="G92" s="27"/>
      <c r="H92" s="56"/>
      <c r="I92" s="56"/>
      <c r="J92" s="56"/>
      <c r="K92" s="56"/>
      <c r="L92" s="44"/>
      <c r="M92" s="27"/>
      <c r="N92" s="44"/>
      <c r="O92" s="49"/>
      <c r="P92" s="56"/>
      <c r="Q92" s="56"/>
      <c r="R92" s="56"/>
      <c r="S92" s="5"/>
      <c r="T92" s="56"/>
      <c r="U92" s="5"/>
      <c r="V92" s="67"/>
    </row>
    <row r="93" spans="1:22">
      <c r="A93" s="64"/>
      <c r="B93" s="56"/>
      <c r="C93" s="56"/>
      <c r="D93" s="56"/>
      <c r="E93" s="52" t="s">
        <v>30</v>
      </c>
      <c r="F93" s="53">
        <v>200000</v>
      </c>
      <c r="G93" s="45">
        <v>150</v>
      </c>
      <c r="H93" s="5">
        <v>50</v>
      </c>
      <c r="I93" s="5">
        <v>54</v>
      </c>
      <c r="J93" s="5">
        <v>54</v>
      </c>
      <c r="K93" s="5">
        <v>54</v>
      </c>
      <c r="L93" s="34"/>
      <c r="M93" s="45">
        <v>16.95</v>
      </c>
      <c r="N93" s="34">
        <v>16.95</v>
      </c>
      <c r="O93" s="49">
        <v>0.08</v>
      </c>
      <c r="P93" s="5">
        <f>(IF(Purchase!C3&lt;Reference!F93,Reference!G93,0))*(1+O93)-(IF(Purchase!C3&lt;Reference!F93,M93,0))</f>
        <v>0</v>
      </c>
      <c r="Q93" s="5">
        <f>(IF(Purchase!C3&lt;Reference!F93,Reference!G93-H93,0))*(1+O93)-(IF(Purchase!C3&lt;Reference!F93,N93,0))</f>
        <v>0</v>
      </c>
      <c r="R93" s="5">
        <f>(IF(Purchase!C3&lt;Reference!F93,Reference!G93+I93,0))*(1+O93)-(IF(Purchase!C3&lt;Reference!F93,M93,0))</f>
        <v>0</v>
      </c>
      <c r="S93" s="5">
        <f>(IF(Purchase!C3&lt;Reference!F93,Reference!G93+K93,0))*(1+O93)-(IF(Purchase!C3&lt;Reference!F93,M93,0))</f>
        <v>0</v>
      </c>
      <c r="T93" s="5">
        <f>(IF(Purchase!C3&lt;Reference!F93,Reference!G93+J93,0))*(1+O93)-(IF(Purchase!C3&lt;Reference!F93,M93,0))</f>
        <v>0</v>
      </c>
      <c r="U93" s="5">
        <f>(IF(Purchase!C3&lt;Reference!F93,Reference!G93+K93+J93,0))*(1+O93)-(IF(Purchase!C3&lt;Reference!F93,M93,0))</f>
        <v>0</v>
      </c>
      <c r="V93" s="67">
        <f>(IF(Purchase!C3&lt;Reference!F93,Reference!G93+K93+J93+I93,0))*(1+O93)-(IF(Purchase!C3&lt;Reference!F93,M93,0))</f>
        <v>0</v>
      </c>
    </row>
    <row r="94" spans="1:22">
      <c r="A94" s="64"/>
      <c r="B94" s="56"/>
      <c r="C94" s="56"/>
      <c r="D94" s="56"/>
      <c r="E94" s="52" t="s">
        <v>31</v>
      </c>
      <c r="F94" s="53">
        <v>500000</v>
      </c>
      <c r="G94" s="45">
        <v>179</v>
      </c>
      <c r="H94" s="5">
        <v>50</v>
      </c>
      <c r="I94" s="5">
        <v>54</v>
      </c>
      <c r="J94" s="5">
        <v>54</v>
      </c>
      <c r="K94" s="5">
        <v>54</v>
      </c>
      <c r="L94" s="34"/>
      <c r="M94" s="45">
        <v>16.95</v>
      </c>
      <c r="N94" s="34">
        <v>16.95</v>
      </c>
      <c r="O94" s="49">
        <v>0.08</v>
      </c>
      <c r="P94" s="5">
        <f>(IF(Purchase!C3&gt;=Reference!F93,IF(Purchase!C3&lt;=Reference!F94,Reference!G94,0),0))*(1+O94)-(IF(Purchase!C3&gt;=Reference!F93,IF(Purchase!C3&lt;=Reference!F94,M94,0),0))</f>
        <v>0</v>
      </c>
      <c r="Q94" s="5">
        <f>(IF(Purchase!C3&gt;=Reference!F93,IF(Purchase!C3&lt;=Reference!F94,Reference!G94-H94,0),0))*(1+O94)-(IF(Purchase!C3&gt;=Reference!F93,IF(Purchase!C3&lt;=Reference!F94,N94,0),0))</f>
        <v>0</v>
      </c>
      <c r="R94" s="5">
        <f>(IF(Purchase!C3&gt;=Reference!F93,IF(Purchase!C3&lt;=Reference!F94,Reference!G94+I94,0),0))*(1+O94)-(IF(Purchase!C3&gt;=Reference!F93,IF(Purchase!C3&lt;=Reference!F94,M94,0),0))</f>
        <v>0</v>
      </c>
      <c r="S94" s="5">
        <f>(IF(Purchase!C3&gt;=Reference!F93,IF(Purchase!C3&lt;=Reference!F94,Reference!G94+K94,0),0))*(1+O94)-(IF(Purchase!C3&gt;=Reference!F93,IF(Purchase!C3&lt;=Reference!F94,M94,0),0))</f>
        <v>0</v>
      </c>
      <c r="T94" s="5">
        <f>(IF(Purchase!C3&gt;=Reference!F93,IF(Purchase!C3&lt;=Reference!F94,Reference!G94+J94,0),0))*(1+O94)-(IF(Purchase!C3&gt;=Reference!F93,IF(Purchase!C3&lt;=Reference!F94,M94,0),0))</f>
        <v>0</v>
      </c>
      <c r="U94" s="5">
        <f>(IF(Purchase!C3&gt;=Reference!F93,IF(Purchase!C3&lt;=Reference!F94,Reference!G94+K94+J94,0),0))*(1+O94)-(IF(Purchase!C3&gt;=Reference!F93,IF(Purchase!C3&lt;=Reference!F94,M94,0),0))</f>
        <v>0</v>
      </c>
      <c r="V94" s="67">
        <f>(IF(Purchase!C3&gt;=Reference!F93,IF(Purchase!C3&lt;=Reference!F94,Reference!G94+K94+J94+I94,0),0))*(1+O94)-(IF(Purchase!C3&gt;=Reference!F93,IF(Purchase!C3&lt;=Reference!F94,M94,0),0))</f>
        <v>0</v>
      </c>
    </row>
    <row r="95" spans="1:22">
      <c r="A95" s="64"/>
      <c r="B95" s="56"/>
      <c r="C95" s="56"/>
      <c r="D95" s="56"/>
      <c r="E95" s="52" t="s">
        <v>32</v>
      </c>
      <c r="F95" s="53"/>
      <c r="G95" s="45">
        <v>1</v>
      </c>
      <c r="H95" s="5">
        <v>50</v>
      </c>
      <c r="I95" s="5">
        <v>54</v>
      </c>
      <c r="J95" s="5">
        <v>54</v>
      </c>
      <c r="K95" s="5">
        <v>54</v>
      </c>
      <c r="L95" s="34"/>
      <c r="M95" s="45">
        <v>16.95</v>
      </c>
      <c r="N95" s="34">
        <v>16.95</v>
      </c>
      <c r="O95" s="49">
        <v>0.08</v>
      </c>
      <c r="P95" s="5">
        <f>(IF(Purchase!C3&gt;Reference!F94,G94+G95*(Purchase!C3-Reference!F94)/1000,0))*(1+O95)-(IF(Purchase!C3&gt;Reference!F94,M95,0))</f>
        <v>1665.3184799999999</v>
      </c>
      <c r="Q95" s="5">
        <f>(IF(Purchase!C3&gt;Reference!F94,G94-H95+G95*(Purchase!C3-Reference!F94)/1000,0))*(1+O95)-(IF(Purchase!C3&gt;Reference!F94,N95,0))</f>
        <v>1611.3184799999999</v>
      </c>
      <c r="R95" s="5">
        <f>(IF(Purchase!C3&gt;Reference!F94,G94+I95+G95*(Purchase!C3-Reference!F94)/1000,0))*(1+O95)-(IF(Purchase!C3&gt;Reference!F94,M95,0))</f>
        <v>1723.6384800000001</v>
      </c>
      <c r="S95" s="5">
        <f>(IF(Purchase!C3&gt;Reference!F94,G94+K95+G95*(Purchase!C3-Reference!F94)/1000,0))*(1+O95)-(IF(Purchase!C3&gt;Reference!F94,M95,0))</f>
        <v>1723.6384800000001</v>
      </c>
      <c r="T95" s="5">
        <f>(IF(Purchase!C3&gt;Reference!F94,G94+J95+G95*(Purchase!C3-Reference!F94)/1000,0))*(1+O95)-(IF(Purchase!C3&gt;Reference!F94,M95,0))</f>
        <v>1723.6384800000001</v>
      </c>
      <c r="U95" s="5">
        <f>(IF(Purchase!C3&gt;Reference!F94,G94+K95+J95+G95*(Purchase!C3-Reference!F94)/1000,0))*(1+O95)-(IF(Purchase!C3&gt;Reference!F94,M95,0))</f>
        <v>1781.95848</v>
      </c>
      <c r="V95" s="67">
        <f>(IF(Purchase!C3&gt;Reference!F94,G94+K95+J95+I95+G95*(Purchase!C3-Reference!F94)/1000,0))*(1+O95)-(IF(Purchase!C3&gt;Reference!F94,M95,0))</f>
        <v>1840.2784799999999</v>
      </c>
    </row>
    <row r="96" spans="1:22">
      <c r="A96" s="64"/>
      <c r="B96" s="56"/>
      <c r="C96" s="56"/>
      <c r="D96" s="56"/>
      <c r="E96" s="52"/>
      <c r="F96" s="52"/>
      <c r="G96" s="45"/>
      <c r="H96" s="5"/>
      <c r="I96" s="5"/>
      <c r="J96" s="5"/>
      <c r="K96" s="5"/>
      <c r="L96" s="34"/>
      <c r="M96" s="45"/>
      <c r="N96" s="34"/>
      <c r="O96" s="49"/>
      <c r="P96" s="56"/>
      <c r="Q96" s="56"/>
      <c r="R96" s="56"/>
      <c r="S96" s="5"/>
      <c r="T96" s="56"/>
      <c r="U96" s="5"/>
      <c r="V96" s="67"/>
    </row>
    <row r="97" spans="1:22">
      <c r="A97" s="64"/>
      <c r="B97" s="56"/>
      <c r="C97" s="56"/>
      <c r="D97" s="56" t="s">
        <v>33</v>
      </c>
      <c r="E97" s="52"/>
      <c r="F97" s="52"/>
      <c r="G97" s="45"/>
      <c r="H97" s="5"/>
      <c r="I97" s="5"/>
      <c r="J97" s="5"/>
      <c r="K97" s="5"/>
      <c r="L97" s="34"/>
      <c r="M97" s="45"/>
      <c r="N97" s="34"/>
      <c r="O97" s="49"/>
      <c r="P97" s="56"/>
      <c r="Q97" s="56"/>
      <c r="R97" s="56"/>
      <c r="S97" s="5"/>
      <c r="T97" s="56"/>
      <c r="U97" s="5"/>
      <c r="V97" s="67"/>
    </row>
    <row r="98" spans="1:22">
      <c r="A98" s="64"/>
      <c r="B98" s="56"/>
      <c r="C98" s="56"/>
      <c r="D98" s="56"/>
      <c r="E98" s="52" t="s">
        <v>30</v>
      </c>
      <c r="F98" s="53">
        <v>200000</v>
      </c>
      <c r="G98" s="45">
        <v>150</v>
      </c>
      <c r="H98" s="5">
        <v>50</v>
      </c>
      <c r="I98" s="5">
        <v>54</v>
      </c>
      <c r="J98" s="5">
        <v>54</v>
      </c>
      <c r="K98" s="5">
        <v>54</v>
      </c>
      <c r="L98" s="34"/>
      <c r="M98" s="45">
        <v>16.95</v>
      </c>
      <c r="N98" s="34">
        <v>16.95</v>
      </c>
      <c r="O98" s="49">
        <v>0.08</v>
      </c>
      <c r="P98" s="5">
        <f>(IF(Purchase!C3&lt;Reference!F98,Reference!G98,0))*(1+O98)-(IF(Purchase!C3&lt;Reference!F98,M98,0))</f>
        <v>0</v>
      </c>
      <c r="Q98" s="5">
        <f>(IF(Purchase!C3&lt;Reference!F98,Reference!G98-H98,0))*(1+O98)-(IF(Purchase!C3&lt;Reference!F98,N98,0))</f>
        <v>0</v>
      </c>
      <c r="R98" s="5">
        <f>(IF(Purchase!C3&lt;Reference!F98,Reference!G98+I98,0))*(1+O98)-(IF(Purchase!C3&lt;Reference!F98,M98,0))</f>
        <v>0</v>
      </c>
      <c r="S98" s="5">
        <f>(IF(Purchase!C3&lt;Reference!F98,Reference!G98+K98,0))*(1+O98)-(IF(Purchase!C3&lt;Reference!F98,M98,0))</f>
        <v>0</v>
      </c>
      <c r="T98" s="5">
        <f>(IF(Purchase!C3&lt;Reference!F98,Reference!G98+J98,0))*(1+O98)-(IF(Purchase!C3&lt;Reference!F98,M98,0))</f>
        <v>0</v>
      </c>
      <c r="U98" s="5">
        <f>(IF(Purchase!C3&lt;Reference!F98,Reference!G98+K98+J98,0))*(1+O98)-(IF(Purchase!C3&lt;Reference!F98,M98,0))</f>
        <v>0</v>
      </c>
      <c r="V98" s="67">
        <f>(IF(Purchase!C3&lt;Reference!F98,Reference!G98+K98+J98+I98,0))*(1+O98)-(IF(Purchase!C3&lt;Reference!F98,M98,0))</f>
        <v>0</v>
      </c>
    </row>
    <row r="99" spans="1:22">
      <c r="A99" s="64"/>
      <c r="B99" s="56"/>
      <c r="C99" s="56"/>
      <c r="D99" s="56"/>
      <c r="E99" s="52" t="s">
        <v>31</v>
      </c>
      <c r="F99" s="53">
        <v>500000</v>
      </c>
      <c r="G99" s="45">
        <v>179</v>
      </c>
      <c r="H99" s="5">
        <v>50</v>
      </c>
      <c r="I99" s="5">
        <v>54</v>
      </c>
      <c r="J99" s="5">
        <v>54</v>
      </c>
      <c r="K99" s="5">
        <v>54</v>
      </c>
      <c r="L99" s="34"/>
      <c r="M99" s="45">
        <v>16.95</v>
      </c>
      <c r="N99" s="34">
        <v>16.95</v>
      </c>
      <c r="O99" s="49">
        <v>0.08</v>
      </c>
      <c r="P99" s="5">
        <f>(IF(Purchase!C3&gt;=Reference!F98,IF(Purchase!C3&lt;=Reference!F99,Reference!G99,0),0))*(1+O99)-(IF(Purchase!C3&gt;=Reference!F98,IF(Purchase!C3&lt;=Reference!F99,M99,0),0))</f>
        <v>0</v>
      </c>
      <c r="Q99" s="5">
        <f>(IF(Purchase!C3&gt;=Reference!F98,IF(Purchase!C3&lt;=Reference!F99,Reference!G99-H99,0),0))*(1+O99)-(IF(Purchase!C3&gt;=Reference!F98,IF(Purchase!C3&lt;=Reference!F99,N99,0),0))</f>
        <v>0</v>
      </c>
      <c r="R99" s="5">
        <f>(IF(Purchase!C3&gt;=Reference!F98,IF(Purchase!C3&lt;=Reference!F99,Reference!G99+I99,0),0))*(1+O99)-(IF(Purchase!C3&gt;=Reference!F98,IF(Purchase!C3&lt;=Reference!F99,M99,0),0))</f>
        <v>0</v>
      </c>
      <c r="S99" s="5">
        <f>(IF(Purchase!C3&gt;=Reference!F98,IF(Purchase!C3&lt;=Reference!F99,Reference!G99+K99,0),0))*(1+O99)-(IF(Purchase!C3&gt;=Reference!F98,IF(Purchase!C3&lt;=Reference!F99,M99,0),0))</f>
        <v>0</v>
      </c>
      <c r="T99" s="5">
        <f>(IF(Purchase!C3&gt;=Reference!F98,IF(Purchase!C3&lt;=Reference!F99,Reference!G99+J99,0),0))*(1+O99)-(IF(Purchase!C3&gt;=Reference!F98,IF(Purchase!C3&lt;=Reference!F99,M99,0),0))</f>
        <v>0</v>
      </c>
      <c r="U99" s="5">
        <f>(IF(Purchase!C3&gt;=Reference!F98,IF(Purchase!C3&lt;=Reference!F99,Reference!G99+K99+J99,0),0))*(1+O99)-(IF(Purchase!C3&gt;=Reference!F98,IF(Purchase!C3&lt;=Reference!F99,M99,0),0))</f>
        <v>0</v>
      </c>
      <c r="V99" s="67">
        <f>(IF(Purchase!C3&gt;=Reference!F98,IF(Purchase!C3&lt;=Reference!F99,Reference!G99+K99+J99+I99,0),0))*(1+O99)-(IF(Purchase!C3&gt;=Reference!F98,IF(Purchase!C3&lt;=Reference!F99,M99,0),0))</f>
        <v>0</v>
      </c>
    </row>
    <row r="100" spans="1:22">
      <c r="A100" s="64"/>
      <c r="B100" s="56"/>
      <c r="C100" s="56"/>
      <c r="D100" s="56"/>
      <c r="E100" s="55" t="s">
        <v>32</v>
      </c>
      <c r="F100" s="54"/>
      <c r="G100" s="48">
        <v>1</v>
      </c>
      <c r="H100" s="58">
        <v>50</v>
      </c>
      <c r="I100" s="58">
        <v>54</v>
      </c>
      <c r="J100" s="58">
        <v>54</v>
      </c>
      <c r="K100" s="58">
        <v>54</v>
      </c>
      <c r="L100" s="35"/>
      <c r="M100" s="48">
        <v>16.95</v>
      </c>
      <c r="N100" s="35">
        <v>16.95</v>
      </c>
      <c r="O100" s="50">
        <v>0.08</v>
      </c>
      <c r="P100" s="58">
        <f>(IF(Purchase!C3&gt;Reference!F99,G99+G100*(Purchase!C3-Reference!F99)/1000,0))*(1+O100)-(IF(Purchase!C3&gt;Reference!F99,M100,0))</f>
        <v>1665.3184799999999</v>
      </c>
      <c r="Q100" s="58">
        <f>(IF(Purchase!C3&gt;Reference!F99,G99-H100+G100*(Purchase!C3-Reference!F99)/1000,0))*(1+O100)-(IF(Purchase!C3&gt;Reference!F99,N100,0))</f>
        <v>1611.3184799999999</v>
      </c>
      <c r="R100" s="58">
        <f>(IF(Purchase!C3&gt;Reference!F99,G99+I100+G100*(Purchase!C3-Reference!F99)/1000,0))*(1+O100)-(IF(Purchase!C3&gt;Reference!F99,M100,0))</f>
        <v>1723.6384800000001</v>
      </c>
      <c r="S100" s="58">
        <f>(IF(Purchase!C3&gt;Reference!F99,G99+K100+G100*(Purchase!C3-Reference!F99)/1000,0))*(1+O100)-(IF(Purchase!C3&gt;Reference!F99,M100,0))</f>
        <v>1723.6384800000001</v>
      </c>
      <c r="T100" s="58">
        <f>(IF(Purchase!C3&gt;Reference!F99,G99+J100+G100*(Purchase!C3-Reference!F99)/1000,0))*(1+O100)-(IF(Purchase!C3&gt;Reference!F99,M100,0))</f>
        <v>1723.6384800000001</v>
      </c>
      <c r="U100" s="58">
        <f>(IF(Purchase!C3&gt;Reference!F99,G99+K100+J100+G100*(Purchase!C3-Reference!F99)/1000,0))*(1+O100)-(IF(Purchase!C3&gt;Reference!F99,M100,0))</f>
        <v>1781.95848</v>
      </c>
      <c r="V100" s="68">
        <f>(IF(Purchase!C3&gt;Reference!F99,G99+K100+J100+I100+G100*(Purchase!C3-Reference!F99)/1000,0))*(1+O100)-(IF(Purchase!C3&gt;Reference!F99,M100,0))</f>
        <v>1840.2784799999999</v>
      </c>
    </row>
    <row r="101" spans="1:22">
      <c r="A101" s="132"/>
      <c r="B101" s="3"/>
      <c r="C101" s="3"/>
      <c r="D101" s="16"/>
      <c r="E101" s="51"/>
      <c r="F101" s="51"/>
      <c r="G101" s="14"/>
      <c r="H101" s="3"/>
      <c r="I101" s="3"/>
      <c r="J101" s="3"/>
      <c r="K101" s="3"/>
      <c r="L101" s="16"/>
      <c r="M101" s="14"/>
      <c r="N101" s="16"/>
      <c r="O101" s="51"/>
      <c r="P101" s="3"/>
      <c r="Q101" s="3"/>
      <c r="R101" s="3"/>
      <c r="S101" s="3"/>
      <c r="T101" s="3"/>
      <c r="U101" s="3"/>
      <c r="V101" s="69"/>
    </row>
    <row r="102" spans="1:22">
      <c r="A102" s="64"/>
      <c r="B102" s="56" t="s">
        <v>52</v>
      </c>
      <c r="C102" s="56"/>
      <c r="D102" s="56"/>
      <c r="E102" s="52"/>
      <c r="F102" s="52"/>
      <c r="G102" s="27"/>
      <c r="H102" s="56"/>
      <c r="I102" s="56"/>
      <c r="J102" s="56"/>
      <c r="K102" s="56"/>
      <c r="L102" s="44"/>
      <c r="M102" s="27"/>
      <c r="N102" s="44"/>
      <c r="O102" s="52"/>
      <c r="P102" s="56"/>
      <c r="Q102" s="56"/>
      <c r="R102" s="56"/>
      <c r="S102" s="56"/>
      <c r="T102" s="56"/>
      <c r="U102" s="56"/>
      <c r="V102" s="66"/>
    </row>
    <row r="103" spans="1:22">
      <c r="A103" s="64"/>
      <c r="B103" s="56"/>
      <c r="C103" s="56"/>
      <c r="D103" s="56"/>
      <c r="E103" s="52" t="s">
        <v>53</v>
      </c>
      <c r="F103" s="53">
        <v>50000</v>
      </c>
      <c r="G103" s="45">
        <v>99</v>
      </c>
      <c r="H103" s="5"/>
      <c r="I103" s="5">
        <v>54</v>
      </c>
      <c r="J103" s="5">
        <v>54</v>
      </c>
      <c r="K103" s="5">
        <v>54</v>
      </c>
      <c r="L103" s="34"/>
      <c r="M103" s="45">
        <v>35</v>
      </c>
      <c r="N103" s="34"/>
      <c r="O103" s="49">
        <v>0.08</v>
      </c>
      <c r="P103" s="5">
        <f>(IF(Purchase!C3&lt;Reference!F103,Reference!G103,0))*(1+O103)-(IF(Purchase!C3&lt;Reference!F103,M103,0))</f>
        <v>0</v>
      </c>
      <c r="Q103" s="5"/>
      <c r="R103" s="5">
        <f>(IF(Purchase!C3&lt;Reference!F103,Reference!G103+I103,0))*(1+O103)-(IF(Purchase!C3&lt;Reference!F103,M103,0))</f>
        <v>0</v>
      </c>
      <c r="S103" s="5">
        <f>(IF(Purchase!C3&lt;Reference!F103,Reference!G103+K103,0))*(1+O103)-(IF(Purchase!C3&lt;Reference!F103,M103,0))</f>
        <v>0</v>
      </c>
      <c r="T103" s="5">
        <f>(IF(Purchase!C3&lt;Reference!F103,Reference!G103+J103,0))*(1+O103)-(IF(Purchase!C3&lt;Reference!F103,M103,0))</f>
        <v>0</v>
      </c>
      <c r="U103" s="5">
        <f>(IF(Purchase!C3&lt;Reference!F103,Reference!G103+K103+J103,0))*(1+O103)-(IF(Purchase!C3&lt;Reference!F103,M103,0))</f>
        <v>0</v>
      </c>
      <c r="V103" s="67">
        <f>(IF(Purchase!C3&lt;Reference!F103,Reference!G103+K103+J103+I103,0))*(1+O103)-(IF(Purchase!C3&lt;Reference!F103,M103,0))</f>
        <v>0</v>
      </c>
    </row>
    <row r="104" spans="1:22">
      <c r="A104" s="64"/>
      <c r="B104" s="56"/>
      <c r="C104" s="56"/>
      <c r="D104" s="56"/>
      <c r="E104" s="52" t="s">
        <v>54</v>
      </c>
      <c r="F104" s="53">
        <v>750000</v>
      </c>
      <c r="G104" s="45">
        <v>149</v>
      </c>
      <c r="H104" s="5"/>
      <c r="I104" s="5">
        <v>54</v>
      </c>
      <c r="J104" s="5">
        <v>54</v>
      </c>
      <c r="K104" s="5">
        <v>54</v>
      </c>
      <c r="L104" s="34"/>
      <c r="M104" s="45">
        <v>35</v>
      </c>
      <c r="N104" s="34"/>
      <c r="O104" s="49">
        <v>0.08</v>
      </c>
      <c r="P104" s="5">
        <f>(IF(Purchase!C3&gt;=Reference!F103,IF(Purchase!C3&lt;=Reference!F104,Reference!G104,0),0))*(1+O104)-(IF(Purchase!C3&gt;=Reference!F103,IF(Purchase!C3&lt;=Reference!F104,M104,0),0))</f>
        <v>0</v>
      </c>
      <c r="Q104" s="5"/>
      <c r="R104" s="5">
        <f>(IF(Purchase!C3&gt;=Reference!F103,IF(Purchase!C3&lt;=Reference!F104,Reference!G104+I104,0),0))*(1+O104)-(IF(Purchase!C3&gt;=Reference!F103,IF(Purchase!C3&lt;=Reference!F104,M104,0),0))</f>
        <v>0</v>
      </c>
      <c r="S104" s="5">
        <f>(IF(Purchase!C3&gt;=Reference!F103,IF(Purchase!C3&lt;=Reference!F104,Reference!G104+K104,0),0))*(1+O104)-(IF(Purchase!C3&gt;=Reference!F103,IF(Purchase!C3&lt;=Reference!F104,M104,0),0))</f>
        <v>0</v>
      </c>
      <c r="T104" s="5">
        <f>(IF(Purchase!C3&gt;=Reference!F103,IF(Purchase!C3&lt;=Reference!F104,Reference!G104+J104,0),0))*(1+O104)-(IF(Purchase!C3&gt;=Reference!F103,IF(Purchase!C3&lt;=Reference!F104,M104,0),0))</f>
        <v>0</v>
      </c>
      <c r="U104" s="5">
        <f>(IF(Purchase!C3&gt;=Reference!F103,IF(Purchase!C3&lt;=Reference!F104,Reference!G104+K104+J104,0),0))*(1+O104)-(IF(Purchase!C3&gt;=Reference!F103,IF(Purchase!C3&lt;=Reference!F104,M104,0),0))</f>
        <v>0</v>
      </c>
      <c r="V104" s="67">
        <f>(IF(Purchase!C3&gt;=Reference!F103,IF(Purchase!C3&lt;=Reference!F104,Reference!G104+K104+J104+I104,0),0))*(1+O104)-(IF(Purchase!C3&gt;=Reference!F103,IF(Purchase!C3&lt;=Reference!F104,M104,0),0))</f>
        <v>0</v>
      </c>
    </row>
    <row r="105" spans="1:22" ht="16.5" thickBot="1">
      <c r="A105" s="70"/>
      <c r="B105" s="71"/>
      <c r="C105" s="71"/>
      <c r="D105" s="71"/>
      <c r="E105" s="72" t="s">
        <v>55</v>
      </c>
      <c r="F105" s="73"/>
      <c r="G105" s="74">
        <v>1</v>
      </c>
      <c r="H105" s="75"/>
      <c r="I105" s="75">
        <v>54</v>
      </c>
      <c r="J105" s="75">
        <v>54</v>
      </c>
      <c r="K105" s="75">
        <v>54</v>
      </c>
      <c r="L105" s="76"/>
      <c r="M105" s="74">
        <v>35</v>
      </c>
      <c r="N105" s="76"/>
      <c r="O105" s="77">
        <v>0.08</v>
      </c>
      <c r="P105" s="75">
        <f>(IF(Purchase!C3&gt;Reference!F104,G104+G105*(Purchase!C3-Reference!F104)/1000,0))*(1+O105)-(IF(Purchase!C3&gt;Reference!F104,M105,0))</f>
        <v>1344.8684800000001</v>
      </c>
      <c r="Q105" s="75"/>
      <c r="R105" s="75">
        <f>(IF(Purchase!C3&gt;Reference!F104,G104+I105+G105*(Purchase!C3-Reference!F104)/1000,0))*(1+O105)-(IF(Purchase!C3&gt;Reference!F104,M105,0))</f>
        <v>1403.18848</v>
      </c>
      <c r="S105" s="75">
        <f>(IF(Purchase!C3&gt;Reference!F104,G104+K105+G105*(Purchase!C3-Reference!F104)/1000,0))*(1+O105)-(IF(Purchase!C3&gt;Reference!F104,M105,0))</f>
        <v>1403.18848</v>
      </c>
      <c r="T105" s="75">
        <f>(IF(Purchase!C3&gt;Reference!F104,G104+J105+G105*(Purchase!C3-Reference!F104)/1000,0))*(1+O105)-(IF(Purchase!C3&gt;Reference!F104,M105,0))</f>
        <v>1403.18848</v>
      </c>
      <c r="U105" s="75">
        <f>(IF(Purchase!C3&gt;Reference!F104,G104+K105+J105+G105*(Purchase!C3-Reference!F104)/1000,0))*(1+O105)-(IF(Purchase!C3&gt;Reference!F104,M105,0))</f>
        <v>1461.50848</v>
      </c>
      <c r="V105" s="78">
        <f>(IF(Purchase!C3&gt;Reference!F104,G104+K105+J105+I105+G105*(Purchase!C3-Reference!F104)/1000,0))*(1+O105)-(IF(Purchase!C3&gt;Reference!F104,M105,0))</f>
        <v>1519.8284800000001</v>
      </c>
    </row>
  </sheetData>
  <mergeCells count="12">
    <mergeCell ref="G78:L78"/>
    <mergeCell ref="M78:N78"/>
    <mergeCell ref="P78:V78"/>
    <mergeCell ref="C34:E34"/>
    <mergeCell ref="C33:I33"/>
    <mergeCell ref="G34:I34"/>
    <mergeCell ref="J34:K34"/>
    <mergeCell ref="J33:L33"/>
    <mergeCell ref="D41:F41"/>
    <mergeCell ref="C40:F40"/>
    <mergeCell ref="G40:G41"/>
    <mergeCell ref="H40:H41"/>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Purchase</vt:lpstr>
      <vt:lpstr>Sale</vt:lpstr>
      <vt:lpstr>Refinance</vt:lpstr>
      <vt:lpstr>Private Mortgages</vt:lpstr>
      <vt:lpstr>Reference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Levy</dc:creator>
  <cp:lastModifiedBy>Ankit</cp:lastModifiedBy>
  <dcterms:created xsi:type="dcterms:W3CDTF">2014-12-27T22:52:17Z</dcterms:created>
  <dcterms:modified xsi:type="dcterms:W3CDTF">2015-04-09T14:33:13Z</dcterms:modified>
</cp:coreProperties>
</file>