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alma\Downloads\Final Excel Project Walmart\Data Source\"/>
    </mc:Choice>
  </mc:AlternateContent>
  <xr:revisionPtr revIDLastSave="0" documentId="13_ncr:1_{4F150E18-289A-4F5D-9EDE-52F2B1DA2FAC}" xr6:coauthVersionLast="47" xr6:coauthVersionMax="47" xr10:uidLastSave="{00000000-0000-0000-0000-000000000000}"/>
  <bookViews>
    <workbookView xWindow="-108" yWindow="-108" windowWidth="23256" windowHeight="12456" tabRatio="933" activeTab="7" xr2:uid="{2BF3F526-1A6E-4EDA-9940-D61635FD4A82}"/>
  </bookViews>
  <sheets>
    <sheet name="Orders" sheetId="1" r:id="rId1"/>
    <sheet name="Products" sheetId="6" r:id="rId2"/>
    <sheet name="customers" sheetId="5" r:id="rId3"/>
    <sheet name="stores" sheetId="7" r:id="rId4"/>
    <sheet name="All columns &amp; ERD" sheetId="4" r:id="rId5"/>
    <sheet name="All Combined Data" sheetId="8" r:id="rId6"/>
    <sheet name="All Pivot Table" sheetId="11" r:id="rId7"/>
    <sheet name="Dashboard" sheetId="12" r:id="rId8"/>
    <sheet name="Final Data" sheetId="9" r:id="rId9"/>
    <sheet name="Null and Stats" sheetId="10" r:id="rId10"/>
  </sheets>
  <definedNames>
    <definedName name="_xlnm._FilterDatabase" localSheetId="5" hidden="1">'All Combined Data'!$AU$1:$BJ$1</definedName>
    <definedName name="_xlchart.v5.0" hidden="1">'All Pivot Table'!$K$46</definedName>
    <definedName name="_xlchart.v5.1" hidden="1">'All Pivot Table'!$K$47:$K$55</definedName>
    <definedName name="_xlchart.v5.2" hidden="1">'All Pivot Table'!$L$46</definedName>
    <definedName name="_xlchart.v5.3" hidden="1">'All Pivot Table'!$L$47:$L$55</definedName>
    <definedName name="_xlcn.WorksheetConnection_Orders.xlsxCombined_data1" hidden="1">Combined_data[]</definedName>
    <definedName name="ExternalData_1" localSheetId="2" hidden="1">'customers'!$A$1:$O$101</definedName>
    <definedName name="ExternalData_1" localSheetId="3" hidden="1">stores!$A$1:$P$101</definedName>
    <definedName name="ExternalData_2" localSheetId="1" hidden="1">Products!$A$1:$P$101</definedName>
    <definedName name="Slicer_Gender">#N/A</definedName>
    <definedName name="Slicer_Occupation">#N/A</definedName>
    <definedName name="Slicer_OrderStatus">#N/A</definedName>
    <definedName name="Slicer_PaymentMode">#N/A</definedName>
    <definedName name="Slicer_StoreType">#N/A</definedName>
  </definedNames>
  <calcPr calcId="191029"/>
  <pivotCaches>
    <pivotCache cacheId="58"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mbined_data" name="Combined_data" connection="WorksheetConnection_Orders.xlsx!Combin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4" i="11" l="1"/>
  <c r="Q24" i="11"/>
  <c r="P25" i="11"/>
  <c r="Q25" i="11"/>
  <c r="P26" i="11"/>
  <c r="Q26" i="11"/>
  <c r="P27" i="11"/>
  <c r="Q27" i="11"/>
  <c r="P28" i="11"/>
  <c r="Q28" i="11"/>
  <c r="P29" i="11"/>
  <c r="Q29" i="11"/>
  <c r="P30" i="11"/>
  <c r="Q30" i="11"/>
  <c r="P31" i="11"/>
  <c r="Q31" i="11"/>
  <c r="P32" i="11"/>
  <c r="Q32" i="11"/>
  <c r="Q23" i="11"/>
  <c r="P23" i="11"/>
  <c r="AG15" i="12"/>
  <c r="AC15" i="12"/>
  <c r="H40" i="11"/>
  <c r="AF10" i="12" s="1"/>
  <c r="H39" i="11"/>
  <c r="AC10" i="12" s="1"/>
  <c r="D39" i="11" a="1"/>
  <c r="D39" i="11" s="1"/>
  <c r="AC9" i="12" s="1"/>
  <c r="D40" i="11"/>
  <c r="AG9" i="12" s="1"/>
  <c r="C37" i="11"/>
  <c r="D37" i="11"/>
  <c r="E37" i="11"/>
  <c r="F37" i="11"/>
  <c r="G37" i="11"/>
  <c r="B37" i="11"/>
  <c r="H41" i="11" s="1"/>
  <c r="K48" i="11"/>
  <c r="K49" i="11"/>
  <c r="K50" i="11"/>
  <c r="K51" i="11"/>
  <c r="K52" i="11"/>
  <c r="K53" i="11"/>
  <c r="K54" i="11"/>
  <c r="K55" i="11"/>
  <c r="K47" i="11"/>
  <c r="F1" i="10"/>
  <c r="I14" i="9"/>
  <c r="B3" i="10" a="1"/>
  <c r="B3" i="10" s="1"/>
  <c r="A3" i="10" s="1" a="1"/>
  <c r="A3" i="10" s="1"/>
  <c r="AU1" i="8" a="1"/>
  <c r="AU1" i="8" s="1"/>
  <c r="AE1" i="8" a="1"/>
  <c r="P1" i="8" a="1"/>
  <c r="A1" i="8" a="1"/>
  <c r="AE96" i="8" s="1"/>
  <c r="AF98" i="9" s="1"/>
  <c r="L2" i="4" a="1"/>
  <c r="L2" i="4" s="1"/>
  <c r="K2" i="4" s="1" a="1"/>
  <c r="K2" i="4" s="1"/>
  <c r="H2" i="4" a="1"/>
  <c r="H2" i="4" s="1"/>
  <c r="G2" i="4" s="1" a="1"/>
  <c r="G2" i="4" s="1"/>
  <c r="E2" i="4" a="1"/>
  <c r="E2" i="4" s="1"/>
  <c r="D2" i="4" s="1" a="1"/>
  <c r="D2" i="4" s="1"/>
  <c r="B2" i="4" a="1"/>
  <c r="B2" i="4" s="1"/>
  <c r="A2" i="4" s="1" a="1"/>
  <c r="A2" i="4" s="1"/>
  <c r="AG16" i="12" l="1" a="1"/>
  <c r="AG16" i="12" s="1"/>
  <c r="AC16" i="12" a="1"/>
  <c r="AC16" i="12" s="1"/>
  <c r="D41" i="11"/>
  <c r="AI9" i="12" s="1"/>
  <c r="AE64" i="8"/>
  <c r="AF66" i="9" s="1"/>
  <c r="AE7" i="8"/>
  <c r="C4" i="9"/>
  <c r="G4" i="9"/>
  <c r="K4" i="9"/>
  <c r="O4" i="9"/>
  <c r="C5" i="9"/>
  <c r="G5" i="9"/>
  <c r="K5" i="9"/>
  <c r="O5" i="9"/>
  <c r="C6" i="9"/>
  <c r="G6" i="9"/>
  <c r="K6" i="9"/>
  <c r="O6" i="9"/>
  <c r="C7" i="9"/>
  <c r="G7" i="9"/>
  <c r="K7" i="9"/>
  <c r="O7" i="9"/>
  <c r="C8" i="9"/>
  <c r="G8" i="9"/>
  <c r="K8" i="9"/>
  <c r="O8" i="9"/>
  <c r="C9" i="9"/>
  <c r="G9" i="9"/>
  <c r="K9" i="9"/>
  <c r="O9" i="9"/>
  <c r="C10" i="9"/>
  <c r="G10" i="9"/>
  <c r="K10" i="9"/>
  <c r="O10" i="9"/>
  <c r="C11" i="9"/>
  <c r="G11" i="9"/>
  <c r="K11" i="9"/>
  <c r="O11" i="9"/>
  <c r="C12" i="9"/>
  <c r="G12" i="9"/>
  <c r="K12" i="9"/>
  <c r="O12" i="9"/>
  <c r="C13" i="9"/>
  <c r="G13" i="9"/>
  <c r="K13" i="9"/>
  <c r="O13" i="9"/>
  <c r="C14" i="9"/>
  <c r="G14" i="9"/>
  <c r="K14" i="9"/>
  <c r="O14" i="9"/>
  <c r="C15" i="9"/>
  <c r="G15" i="9"/>
  <c r="K15" i="9"/>
  <c r="O15" i="9"/>
  <c r="C16" i="9"/>
  <c r="G16" i="9"/>
  <c r="K16" i="9"/>
  <c r="O16" i="9"/>
  <c r="C17" i="9"/>
  <c r="G17" i="9"/>
  <c r="K17" i="9"/>
  <c r="O17" i="9"/>
  <c r="C18" i="9"/>
  <c r="G18" i="9"/>
  <c r="K18" i="9"/>
  <c r="O18" i="9"/>
  <c r="C19" i="9"/>
  <c r="G19" i="9"/>
  <c r="K19" i="9"/>
  <c r="O19" i="9"/>
  <c r="C20" i="9"/>
  <c r="G20" i="9"/>
  <c r="K20" i="9"/>
  <c r="O20" i="9"/>
  <c r="C21" i="9"/>
  <c r="G21" i="9"/>
  <c r="K21" i="9"/>
  <c r="O21" i="9"/>
  <c r="C22" i="9"/>
  <c r="G22" i="9"/>
  <c r="K22" i="9"/>
  <c r="O22" i="9"/>
  <c r="C23" i="9"/>
  <c r="D4" i="9"/>
  <c r="H4" i="9"/>
  <c r="L4" i="9"/>
  <c r="P4" i="9"/>
  <c r="D5" i="9"/>
  <c r="H5" i="9"/>
  <c r="L5" i="9"/>
  <c r="P5" i="9"/>
  <c r="D6" i="9"/>
  <c r="H6" i="9"/>
  <c r="L6" i="9"/>
  <c r="P6" i="9"/>
  <c r="D7" i="9"/>
  <c r="H7" i="9"/>
  <c r="L7" i="9"/>
  <c r="P7" i="9"/>
  <c r="D8" i="9"/>
  <c r="H8" i="9"/>
  <c r="L8" i="9"/>
  <c r="P8" i="9"/>
  <c r="D9" i="9"/>
  <c r="H9" i="9"/>
  <c r="L9" i="9"/>
  <c r="P9" i="9"/>
  <c r="D10" i="9"/>
  <c r="H10" i="9"/>
  <c r="L10" i="9"/>
  <c r="P10" i="9"/>
  <c r="D11" i="9"/>
  <c r="H11" i="9"/>
  <c r="L11" i="9"/>
  <c r="P11" i="9"/>
  <c r="D12" i="9"/>
  <c r="H12" i="9"/>
  <c r="L12" i="9"/>
  <c r="P12" i="9"/>
  <c r="D13" i="9"/>
  <c r="H13" i="9"/>
  <c r="L13" i="9"/>
  <c r="P13" i="9"/>
  <c r="D14" i="9"/>
  <c r="H14" i="9"/>
  <c r="BM14" i="9" s="1"/>
  <c r="L14" i="9"/>
  <c r="P14" i="9"/>
  <c r="D15" i="9"/>
  <c r="H15" i="9"/>
  <c r="L15" i="9"/>
  <c r="P15" i="9"/>
  <c r="D16" i="9"/>
  <c r="H16" i="9"/>
  <c r="L16" i="9"/>
  <c r="P16" i="9"/>
  <c r="D17" i="9"/>
  <c r="H17" i="9"/>
  <c r="L17" i="9"/>
  <c r="P17" i="9"/>
  <c r="D18" i="9"/>
  <c r="H18" i="9"/>
  <c r="L18" i="9"/>
  <c r="P18" i="9"/>
  <c r="D19" i="9"/>
  <c r="H19" i="9"/>
  <c r="L19" i="9"/>
  <c r="P19" i="9"/>
  <c r="D20" i="9"/>
  <c r="H20" i="9"/>
  <c r="L20" i="9"/>
  <c r="P20" i="9"/>
  <c r="D21" i="9"/>
  <c r="H21" i="9"/>
  <c r="L21" i="9"/>
  <c r="P21" i="9"/>
  <c r="D22" i="9"/>
  <c r="H22" i="9"/>
  <c r="L22" i="9"/>
  <c r="P22" i="9"/>
  <c r="F4" i="9"/>
  <c r="BL4" i="9" s="1"/>
  <c r="N4" i="9"/>
  <c r="F5" i="9"/>
  <c r="N5" i="9"/>
  <c r="F6" i="9"/>
  <c r="BL6" i="9" s="1"/>
  <c r="N6" i="9"/>
  <c r="F7" i="9"/>
  <c r="N7" i="9"/>
  <c r="F8" i="9"/>
  <c r="BL8" i="9" s="1"/>
  <c r="N8" i="9"/>
  <c r="F9" i="9"/>
  <c r="N9" i="9"/>
  <c r="F10" i="9"/>
  <c r="BL10" i="9" s="1"/>
  <c r="N10" i="9"/>
  <c r="F11" i="9"/>
  <c r="N11" i="9"/>
  <c r="F12" i="9"/>
  <c r="BL12" i="9" s="1"/>
  <c r="N12" i="9"/>
  <c r="F13" i="9"/>
  <c r="N13" i="9"/>
  <c r="F14" i="9"/>
  <c r="BL14" i="9" s="1"/>
  <c r="BN14" i="9" s="1"/>
  <c r="N14" i="9"/>
  <c r="F15" i="9"/>
  <c r="N15" i="9"/>
  <c r="F16" i="9"/>
  <c r="BL16" i="9" s="1"/>
  <c r="N16" i="9"/>
  <c r="F17" i="9"/>
  <c r="N17" i="9"/>
  <c r="F18" i="9"/>
  <c r="BL18" i="9" s="1"/>
  <c r="N18" i="9"/>
  <c r="F19" i="9"/>
  <c r="N19" i="9"/>
  <c r="F20" i="9"/>
  <c r="BL20" i="9" s="1"/>
  <c r="N20" i="9"/>
  <c r="F21" i="9"/>
  <c r="N21" i="9"/>
  <c r="F22" i="9"/>
  <c r="BL22" i="9" s="1"/>
  <c r="N22" i="9"/>
  <c r="E23" i="9"/>
  <c r="I23" i="9"/>
  <c r="M23" i="9"/>
  <c r="E24" i="9"/>
  <c r="I24" i="9"/>
  <c r="M24" i="9"/>
  <c r="E25" i="9"/>
  <c r="I25" i="9"/>
  <c r="M25" i="9"/>
  <c r="E26" i="9"/>
  <c r="I26" i="9"/>
  <c r="M26" i="9"/>
  <c r="E27" i="9"/>
  <c r="I27" i="9"/>
  <c r="M27" i="9"/>
  <c r="E28" i="9"/>
  <c r="I28" i="9"/>
  <c r="M28" i="9"/>
  <c r="E29" i="9"/>
  <c r="I29" i="9"/>
  <c r="M29" i="9"/>
  <c r="E30" i="9"/>
  <c r="I30" i="9"/>
  <c r="M30" i="9"/>
  <c r="E31" i="9"/>
  <c r="I31" i="9"/>
  <c r="M31" i="9"/>
  <c r="E32" i="9"/>
  <c r="I32" i="9"/>
  <c r="M32" i="9"/>
  <c r="E33" i="9"/>
  <c r="I33" i="9"/>
  <c r="M33" i="9"/>
  <c r="I4" i="9"/>
  <c r="I5" i="9"/>
  <c r="I6" i="9"/>
  <c r="I7" i="9"/>
  <c r="I8" i="9"/>
  <c r="I9" i="9"/>
  <c r="I10" i="9"/>
  <c r="I11" i="9"/>
  <c r="I12" i="9"/>
  <c r="I13" i="9"/>
  <c r="I15" i="9"/>
  <c r="I16" i="9"/>
  <c r="I17" i="9"/>
  <c r="I18" i="9"/>
  <c r="I19" i="9"/>
  <c r="I20" i="9"/>
  <c r="I21" i="9"/>
  <c r="I22" i="9"/>
  <c r="F23" i="9"/>
  <c r="J23" i="9"/>
  <c r="N23" i="9"/>
  <c r="F24" i="9"/>
  <c r="BL24" i="9" s="1"/>
  <c r="BN24" i="9" s="1"/>
  <c r="J24" i="9"/>
  <c r="N24" i="9"/>
  <c r="F25" i="9"/>
  <c r="J25" i="9"/>
  <c r="N25" i="9"/>
  <c r="F26" i="9"/>
  <c r="J26" i="9"/>
  <c r="N26" i="9"/>
  <c r="F27" i="9"/>
  <c r="J27" i="9"/>
  <c r="N27" i="9"/>
  <c r="F28" i="9"/>
  <c r="BL28" i="9" s="1"/>
  <c r="BN28" i="9" s="1"/>
  <c r="J28" i="9"/>
  <c r="N28" i="9"/>
  <c r="F29" i="9"/>
  <c r="J29" i="9"/>
  <c r="N29" i="9"/>
  <c r="F30" i="9"/>
  <c r="J30" i="9"/>
  <c r="N30" i="9"/>
  <c r="F31" i="9"/>
  <c r="J31" i="9"/>
  <c r="N31" i="9"/>
  <c r="F32" i="9"/>
  <c r="BL32" i="9" s="1"/>
  <c r="BN32" i="9" s="1"/>
  <c r="J32" i="9"/>
  <c r="N32" i="9"/>
  <c r="F33" i="9"/>
  <c r="J33" i="9"/>
  <c r="N33" i="9"/>
  <c r="M4" i="9"/>
  <c r="M5" i="9"/>
  <c r="M6" i="9"/>
  <c r="M7" i="9"/>
  <c r="M8" i="9"/>
  <c r="M9" i="9"/>
  <c r="M10" i="9"/>
  <c r="M11" i="9"/>
  <c r="M12" i="9"/>
  <c r="M13" i="9"/>
  <c r="M14" i="9"/>
  <c r="M15" i="9"/>
  <c r="M16" i="9"/>
  <c r="M17" i="9"/>
  <c r="M18" i="9"/>
  <c r="M19" i="9"/>
  <c r="M20" i="9"/>
  <c r="M21" i="9"/>
  <c r="M22" i="9"/>
  <c r="H23" i="9"/>
  <c r="P23" i="9"/>
  <c r="H24" i="9"/>
  <c r="BM24" i="9" s="1"/>
  <c r="P24" i="9"/>
  <c r="H25" i="9"/>
  <c r="BM25" i="9" s="1"/>
  <c r="P25" i="9"/>
  <c r="H26" i="9"/>
  <c r="P26" i="9"/>
  <c r="H27" i="9"/>
  <c r="P27" i="9"/>
  <c r="H28" i="9"/>
  <c r="BM28" i="9" s="1"/>
  <c r="P28" i="9"/>
  <c r="H29" i="9"/>
  <c r="BM29" i="9" s="1"/>
  <c r="P29" i="9"/>
  <c r="H30" i="9"/>
  <c r="P30" i="9"/>
  <c r="H31" i="9"/>
  <c r="P31" i="9"/>
  <c r="H32" i="9"/>
  <c r="BM32" i="9" s="1"/>
  <c r="P32" i="9"/>
  <c r="H33" i="9"/>
  <c r="BM33" i="9" s="1"/>
  <c r="P33" i="9"/>
  <c r="E34" i="9"/>
  <c r="I34" i="9"/>
  <c r="M34" i="9"/>
  <c r="E35" i="9"/>
  <c r="I35" i="9"/>
  <c r="M35" i="9"/>
  <c r="E36" i="9"/>
  <c r="I36" i="9"/>
  <c r="M36" i="9"/>
  <c r="E37" i="9"/>
  <c r="I37" i="9"/>
  <c r="M37" i="9"/>
  <c r="E38" i="9"/>
  <c r="I38" i="9"/>
  <c r="M38" i="9"/>
  <c r="E39" i="9"/>
  <c r="I39" i="9"/>
  <c r="M39" i="9"/>
  <c r="E40" i="9"/>
  <c r="I40" i="9"/>
  <c r="M40" i="9"/>
  <c r="E41" i="9"/>
  <c r="I41" i="9"/>
  <c r="M41" i="9"/>
  <c r="E42" i="9"/>
  <c r="I42" i="9"/>
  <c r="M42" i="9"/>
  <c r="E43" i="9"/>
  <c r="I43" i="9"/>
  <c r="M43" i="9"/>
  <c r="E44" i="9"/>
  <c r="I44" i="9"/>
  <c r="M44" i="9"/>
  <c r="E45" i="9"/>
  <c r="I45" i="9"/>
  <c r="M45" i="9"/>
  <c r="E46" i="9"/>
  <c r="I46" i="9"/>
  <c r="M46" i="9"/>
  <c r="E47" i="9"/>
  <c r="I47" i="9"/>
  <c r="M47" i="9"/>
  <c r="E48" i="9"/>
  <c r="I48" i="9"/>
  <c r="M48" i="9"/>
  <c r="E49" i="9"/>
  <c r="I49" i="9"/>
  <c r="M49" i="9"/>
  <c r="E50" i="9"/>
  <c r="I50" i="9"/>
  <c r="M50" i="9"/>
  <c r="E51" i="9"/>
  <c r="I51" i="9"/>
  <c r="M51" i="9"/>
  <c r="E52" i="9"/>
  <c r="I52" i="9"/>
  <c r="M52" i="9"/>
  <c r="E53" i="9"/>
  <c r="I53" i="9"/>
  <c r="M53" i="9"/>
  <c r="E54" i="9"/>
  <c r="I54" i="9"/>
  <c r="M54" i="9"/>
  <c r="E55" i="9"/>
  <c r="I55" i="9"/>
  <c r="M55" i="9"/>
  <c r="E56" i="9"/>
  <c r="I56" i="9"/>
  <c r="M56" i="9"/>
  <c r="E57" i="9"/>
  <c r="I57" i="9"/>
  <c r="M57" i="9"/>
  <c r="E58" i="9"/>
  <c r="I58" i="9"/>
  <c r="M58" i="9"/>
  <c r="E59" i="9"/>
  <c r="I59" i="9"/>
  <c r="M59" i="9"/>
  <c r="E60" i="9"/>
  <c r="I60" i="9"/>
  <c r="M60" i="9"/>
  <c r="E61" i="9"/>
  <c r="I61" i="9"/>
  <c r="M61" i="9"/>
  <c r="E62" i="9"/>
  <c r="I62" i="9"/>
  <c r="M62" i="9"/>
  <c r="E63" i="9"/>
  <c r="I63" i="9"/>
  <c r="M63" i="9"/>
  <c r="E64" i="9"/>
  <c r="I64" i="9"/>
  <c r="M64" i="9"/>
  <c r="E65" i="9"/>
  <c r="I65" i="9"/>
  <c r="M65" i="9"/>
  <c r="K23" i="9"/>
  <c r="C24" i="9"/>
  <c r="K24" i="9"/>
  <c r="C25" i="9"/>
  <c r="K25" i="9"/>
  <c r="C26" i="9"/>
  <c r="K26" i="9"/>
  <c r="C27" i="9"/>
  <c r="K27" i="9"/>
  <c r="C28" i="9"/>
  <c r="K28" i="9"/>
  <c r="C29" i="9"/>
  <c r="K29" i="9"/>
  <c r="C30" i="9"/>
  <c r="K30" i="9"/>
  <c r="C31" i="9"/>
  <c r="K31" i="9"/>
  <c r="C32" i="9"/>
  <c r="K32" i="9"/>
  <c r="C33" i="9"/>
  <c r="K33" i="9"/>
  <c r="F34" i="9"/>
  <c r="J34" i="9"/>
  <c r="N34" i="9"/>
  <c r="F35" i="9"/>
  <c r="J35" i="9"/>
  <c r="N35" i="9"/>
  <c r="F36" i="9"/>
  <c r="J36" i="9"/>
  <c r="N36" i="9"/>
  <c r="F37" i="9"/>
  <c r="J37" i="9"/>
  <c r="N37" i="9"/>
  <c r="F38" i="9"/>
  <c r="J38" i="9"/>
  <c r="N38" i="9"/>
  <c r="F39" i="9"/>
  <c r="J39" i="9"/>
  <c r="N39" i="9"/>
  <c r="F40" i="9"/>
  <c r="J40" i="9"/>
  <c r="N40" i="9"/>
  <c r="F41" i="9"/>
  <c r="J41" i="9"/>
  <c r="N41" i="9"/>
  <c r="F42" i="9"/>
  <c r="J42" i="9"/>
  <c r="N42" i="9"/>
  <c r="F43" i="9"/>
  <c r="J43" i="9"/>
  <c r="N43" i="9"/>
  <c r="F44" i="9"/>
  <c r="J44" i="9"/>
  <c r="N44" i="9"/>
  <c r="F45" i="9"/>
  <c r="J45" i="9"/>
  <c r="N45" i="9"/>
  <c r="F46" i="9"/>
  <c r="J46" i="9"/>
  <c r="N46" i="9"/>
  <c r="F47" i="9"/>
  <c r="J47" i="9"/>
  <c r="N47" i="9"/>
  <c r="F48" i="9"/>
  <c r="J48" i="9"/>
  <c r="N48" i="9"/>
  <c r="F49" i="9"/>
  <c r="J49" i="9"/>
  <c r="N49" i="9"/>
  <c r="F50" i="9"/>
  <c r="J50" i="9"/>
  <c r="N50" i="9"/>
  <c r="F51" i="9"/>
  <c r="J51" i="9"/>
  <c r="N51" i="9"/>
  <c r="F52" i="9"/>
  <c r="J52" i="9"/>
  <c r="N52" i="9"/>
  <c r="F53" i="9"/>
  <c r="J53" i="9"/>
  <c r="N53" i="9"/>
  <c r="F54" i="9"/>
  <c r="J54" i="9"/>
  <c r="N54" i="9"/>
  <c r="E5" i="9"/>
  <c r="E7" i="9"/>
  <c r="E9" i="9"/>
  <c r="E11" i="9"/>
  <c r="E13" i="9"/>
  <c r="E15" i="9"/>
  <c r="E17" i="9"/>
  <c r="E19" i="9"/>
  <c r="E21" i="9"/>
  <c r="D23" i="9"/>
  <c r="D24" i="9"/>
  <c r="D25" i="9"/>
  <c r="D26" i="9"/>
  <c r="D27" i="9"/>
  <c r="D28" i="9"/>
  <c r="D29" i="9"/>
  <c r="D30" i="9"/>
  <c r="D31" i="9"/>
  <c r="D32" i="9"/>
  <c r="D33" i="9"/>
  <c r="C34" i="9"/>
  <c r="K34" i="9"/>
  <c r="C35" i="9"/>
  <c r="K35" i="9"/>
  <c r="C36" i="9"/>
  <c r="K36" i="9"/>
  <c r="C37" i="9"/>
  <c r="K37" i="9"/>
  <c r="C38" i="9"/>
  <c r="K38" i="9"/>
  <c r="C39" i="9"/>
  <c r="K39" i="9"/>
  <c r="C40" i="9"/>
  <c r="K40" i="9"/>
  <c r="C41" i="9"/>
  <c r="K41" i="9"/>
  <c r="C42" i="9"/>
  <c r="K42" i="9"/>
  <c r="C43" i="9"/>
  <c r="K43" i="9"/>
  <c r="C44" i="9"/>
  <c r="K44" i="9"/>
  <c r="C45" i="9"/>
  <c r="K45" i="9"/>
  <c r="C46" i="9"/>
  <c r="K46" i="9"/>
  <c r="C47" i="9"/>
  <c r="K47" i="9"/>
  <c r="C48" i="9"/>
  <c r="K48" i="9"/>
  <c r="C49" i="9"/>
  <c r="K49" i="9"/>
  <c r="C50" i="9"/>
  <c r="K50" i="9"/>
  <c r="C51" i="9"/>
  <c r="K51" i="9"/>
  <c r="C52" i="9"/>
  <c r="K52" i="9"/>
  <c r="C53" i="9"/>
  <c r="K53" i="9"/>
  <c r="C54" i="9"/>
  <c r="K54" i="9"/>
  <c r="C55" i="9"/>
  <c r="H55" i="9"/>
  <c r="N55" i="9"/>
  <c r="C56" i="9"/>
  <c r="H56" i="9"/>
  <c r="BM56" i="9" s="1"/>
  <c r="N56" i="9"/>
  <c r="C57" i="9"/>
  <c r="H57" i="9"/>
  <c r="BM57" i="9" s="1"/>
  <c r="N57" i="9"/>
  <c r="C58" i="9"/>
  <c r="H58" i="9"/>
  <c r="N58" i="9"/>
  <c r="C59" i="9"/>
  <c r="H59" i="9"/>
  <c r="N59" i="9"/>
  <c r="C60" i="9"/>
  <c r="H60" i="9"/>
  <c r="BM60" i="9" s="1"/>
  <c r="N60" i="9"/>
  <c r="C61" i="9"/>
  <c r="H61" i="9"/>
  <c r="BM61" i="9" s="1"/>
  <c r="N61" i="9"/>
  <c r="C62" i="9"/>
  <c r="H62" i="9"/>
  <c r="N62" i="9"/>
  <c r="C63" i="9"/>
  <c r="H63" i="9"/>
  <c r="N63" i="9"/>
  <c r="C64" i="9"/>
  <c r="H64" i="9"/>
  <c r="BM64" i="9" s="1"/>
  <c r="N64" i="9"/>
  <c r="C65" i="9"/>
  <c r="H65" i="9"/>
  <c r="BM65" i="9" s="1"/>
  <c r="N65" i="9"/>
  <c r="F66" i="9"/>
  <c r="J66" i="9"/>
  <c r="N66" i="9"/>
  <c r="F67" i="9"/>
  <c r="J67" i="9"/>
  <c r="N67" i="9"/>
  <c r="F68" i="9"/>
  <c r="J68" i="9"/>
  <c r="N68" i="9"/>
  <c r="F69" i="9"/>
  <c r="J69" i="9"/>
  <c r="N69" i="9"/>
  <c r="F70" i="9"/>
  <c r="J70" i="9"/>
  <c r="N70" i="9"/>
  <c r="F71" i="9"/>
  <c r="J71" i="9"/>
  <c r="N71" i="9"/>
  <c r="F72" i="9"/>
  <c r="J72" i="9"/>
  <c r="N72" i="9"/>
  <c r="F73" i="9"/>
  <c r="J73" i="9"/>
  <c r="N73" i="9"/>
  <c r="F74" i="9"/>
  <c r="J74" i="9"/>
  <c r="N74" i="9"/>
  <c r="F75" i="9"/>
  <c r="J75" i="9"/>
  <c r="N75" i="9"/>
  <c r="F76" i="9"/>
  <c r="J76" i="9"/>
  <c r="N76" i="9"/>
  <c r="F77" i="9"/>
  <c r="J77" i="9"/>
  <c r="N77" i="9"/>
  <c r="F78" i="9"/>
  <c r="J78" i="9"/>
  <c r="N78" i="9"/>
  <c r="F79" i="9"/>
  <c r="J79" i="9"/>
  <c r="N79" i="9"/>
  <c r="F80" i="9"/>
  <c r="J80" i="9"/>
  <c r="N80" i="9"/>
  <c r="F81" i="9"/>
  <c r="J81" i="9"/>
  <c r="N81" i="9"/>
  <c r="F82" i="9"/>
  <c r="J82" i="9"/>
  <c r="N82" i="9"/>
  <c r="F83" i="9"/>
  <c r="J83" i="9"/>
  <c r="N83" i="9"/>
  <c r="F84" i="9"/>
  <c r="J84" i="9"/>
  <c r="N84" i="9"/>
  <c r="F85" i="9"/>
  <c r="J85" i="9"/>
  <c r="N85" i="9"/>
  <c r="F86" i="9"/>
  <c r="J86" i="9"/>
  <c r="N86" i="9"/>
  <c r="F87" i="9"/>
  <c r="J87" i="9"/>
  <c r="N87" i="9"/>
  <c r="F88" i="9"/>
  <c r="J88" i="9"/>
  <c r="N88" i="9"/>
  <c r="F89" i="9"/>
  <c r="J89" i="9"/>
  <c r="N89" i="9"/>
  <c r="F90" i="9"/>
  <c r="J90" i="9"/>
  <c r="N90" i="9"/>
  <c r="F91" i="9"/>
  <c r="J91" i="9"/>
  <c r="N91" i="9"/>
  <c r="F92" i="9"/>
  <c r="J92" i="9"/>
  <c r="N92" i="9"/>
  <c r="F93" i="9"/>
  <c r="J93" i="9"/>
  <c r="N93" i="9"/>
  <c r="F94" i="9"/>
  <c r="J94" i="9"/>
  <c r="N94" i="9"/>
  <c r="F95" i="9"/>
  <c r="J95" i="9"/>
  <c r="N95" i="9"/>
  <c r="F96" i="9"/>
  <c r="J96" i="9"/>
  <c r="N96" i="9"/>
  <c r="F97" i="9"/>
  <c r="J97" i="9"/>
  <c r="N97" i="9"/>
  <c r="F98" i="9"/>
  <c r="J98" i="9"/>
  <c r="N98" i="9"/>
  <c r="F99" i="9"/>
  <c r="J99" i="9"/>
  <c r="N99" i="9"/>
  <c r="F100" i="9"/>
  <c r="J100" i="9"/>
  <c r="N100" i="9"/>
  <c r="F101" i="9"/>
  <c r="J101" i="9"/>
  <c r="N101" i="9"/>
  <c r="F102" i="9"/>
  <c r="J102" i="9"/>
  <c r="N102" i="9"/>
  <c r="F103" i="9"/>
  <c r="J103" i="9"/>
  <c r="N103" i="9"/>
  <c r="B7" i="9"/>
  <c r="B11" i="9"/>
  <c r="B15" i="9"/>
  <c r="B19" i="9"/>
  <c r="B23" i="9"/>
  <c r="B27" i="9"/>
  <c r="B31" i="9"/>
  <c r="B35" i="9"/>
  <c r="B39" i="9"/>
  <c r="B43" i="9"/>
  <c r="B47" i="9"/>
  <c r="B51" i="9"/>
  <c r="B55" i="9"/>
  <c r="B59" i="9"/>
  <c r="B63" i="9"/>
  <c r="B67" i="9"/>
  <c r="B71" i="9"/>
  <c r="B75" i="9"/>
  <c r="B79" i="9"/>
  <c r="B83" i="9"/>
  <c r="B87" i="9"/>
  <c r="B91" i="9"/>
  <c r="B95" i="9"/>
  <c r="B99" i="9"/>
  <c r="B103" i="9"/>
  <c r="AE11" i="8"/>
  <c r="AE27" i="8"/>
  <c r="AE43" i="8"/>
  <c r="AF45" i="9" s="1"/>
  <c r="AE52" i="8"/>
  <c r="AF54" i="9" s="1"/>
  <c r="AE60" i="8"/>
  <c r="AE68" i="8"/>
  <c r="AE76" i="8"/>
  <c r="AF78" i="9" s="1"/>
  <c r="AE84" i="8"/>
  <c r="AF86" i="9" s="1"/>
  <c r="AE92" i="8"/>
  <c r="AE100" i="8"/>
  <c r="G66" i="9"/>
  <c r="G83" i="9"/>
  <c r="C84" i="9"/>
  <c r="O84" i="9"/>
  <c r="G85" i="9"/>
  <c r="C86" i="9"/>
  <c r="J5" i="9"/>
  <c r="J7" i="9"/>
  <c r="J9" i="9"/>
  <c r="J11" i="9"/>
  <c r="J13" i="9"/>
  <c r="J15" i="9"/>
  <c r="J17" i="9"/>
  <c r="J19" i="9"/>
  <c r="J21" i="9"/>
  <c r="G23" i="9"/>
  <c r="G24" i="9"/>
  <c r="G25" i="9"/>
  <c r="G26" i="9"/>
  <c r="G27" i="9"/>
  <c r="G28" i="9"/>
  <c r="G29" i="9"/>
  <c r="G30" i="9"/>
  <c r="G31" i="9"/>
  <c r="G32" i="9"/>
  <c r="G33" i="9"/>
  <c r="D34" i="9"/>
  <c r="L34" i="9"/>
  <c r="D35" i="9"/>
  <c r="L35" i="9"/>
  <c r="D36" i="9"/>
  <c r="L36" i="9"/>
  <c r="D37" i="9"/>
  <c r="L37" i="9"/>
  <c r="D38" i="9"/>
  <c r="L38" i="9"/>
  <c r="D39" i="9"/>
  <c r="L39" i="9"/>
  <c r="D40" i="9"/>
  <c r="L40" i="9"/>
  <c r="D41" i="9"/>
  <c r="L41" i="9"/>
  <c r="D42" i="9"/>
  <c r="L42" i="9"/>
  <c r="D43" i="9"/>
  <c r="L43" i="9"/>
  <c r="D44" i="9"/>
  <c r="L44" i="9"/>
  <c r="D45" i="9"/>
  <c r="L45" i="9"/>
  <c r="D46" i="9"/>
  <c r="L46" i="9"/>
  <c r="D47" i="9"/>
  <c r="L47" i="9"/>
  <c r="D48" i="9"/>
  <c r="L48" i="9"/>
  <c r="D49" i="9"/>
  <c r="L49" i="9"/>
  <c r="D50" i="9"/>
  <c r="L50" i="9"/>
  <c r="D51" i="9"/>
  <c r="L51" i="9"/>
  <c r="D52" i="9"/>
  <c r="L52" i="9"/>
  <c r="D53" i="9"/>
  <c r="L53" i="9"/>
  <c r="D54" i="9"/>
  <c r="L54" i="9"/>
  <c r="D55" i="9"/>
  <c r="J55" i="9"/>
  <c r="O55" i="9"/>
  <c r="D56" i="9"/>
  <c r="J56" i="9"/>
  <c r="O56" i="9"/>
  <c r="D57" i="9"/>
  <c r="J57" i="9"/>
  <c r="O57" i="9"/>
  <c r="D58" i="9"/>
  <c r="J58" i="9"/>
  <c r="O58" i="9"/>
  <c r="D59" i="9"/>
  <c r="J59" i="9"/>
  <c r="O59" i="9"/>
  <c r="D60" i="9"/>
  <c r="J60" i="9"/>
  <c r="O60" i="9"/>
  <c r="D61" i="9"/>
  <c r="J61" i="9"/>
  <c r="O61" i="9"/>
  <c r="D62" i="9"/>
  <c r="J62" i="9"/>
  <c r="O62" i="9"/>
  <c r="D63" i="9"/>
  <c r="J63" i="9"/>
  <c r="O63" i="9"/>
  <c r="D64" i="9"/>
  <c r="J64" i="9"/>
  <c r="O64" i="9"/>
  <c r="D65" i="9"/>
  <c r="J65" i="9"/>
  <c r="O65" i="9"/>
  <c r="C66" i="9"/>
  <c r="K66" i="9"/>
  <c r="O66" i="9"/>
  <c r="C67" i="9"/>
  <c r="G67" i="9"/>
  <c r="K67" i="9"/>
  <c r="O67" i="9"/>
  <c r="C68" i="9"/>
  <c r="G68" i="9"/>
  <c r="K68" i="9"/>
  <c r="O68" i="9"/>
  <c r="C69" i="9"/>
  <c r="G69" i="9"/>
  <c r="K69" i="9"/>
  <c r="O69" i="9"/>
  <c r="C70" i="9"/>
  <c r="G70" i="9"/>
  <c r="K70" i="9"/>
  <c r="O70" i="9"/>
  <c r="C71" i="9"/>
  <c r="G71" i="9"/>
  <c r="K71" i="9"/>
  <c r="O71" i="9"/>
  <c r="C72" i="9"/>
  <c r="G72" i="9"/>
  <c r="K72" i="9"/>
  <c r="O72" i="9"/>
  <c r="C73" i="9"/>
  <c r="G73" i="9"/>
  <c r="K73" i="9"/>
  <c r="O73" i="9"/>
  <c r="C74" i="9"/>
  <c r="G74" i="9"/>
  <c r="K74" i="9"/>
  <c r="O74" i="9"/>
  <c r="C75" i="9"/>
  <c r="G75" i="9"/>
  <c r="K75" i="9"/>
  <c r="O75" i="9"/>
  <c r="C76" i="9"/>
  <c r="G76" i="9"/>
  <c r="K76" i="9"/>
  <c r="O76" i="9"/>
  <c r="C77" i="9"/>
  <c r="G77" i="9"/>
  <c r="K77" i="9"/>
  <c r="O77" i="9"/>
  <c r="C78" i="9"/>
  <c r="G78" i="9"/>
  <c r="K78" i="9"/>
  <c r="O78" i="9"/>
  <c r="C79" i="9"/>
  <c r="G79" i="9"/>
  <c r="K79" i="9"/>
  <c r="O79" i="9"/>
  <c r="C80" i="9"/>
  <c r="G80" i="9"/>
  <c r="K80" i="9"/>
  <c r="O80" i="9"/>
  <c r="C81" i="9"/>
  <c r="G81" i="9"/>
  <c r="K81" i="9"/>
  <c r="O81" i="9"/>
  <c r="C82" i="9"/>
  <c r="G82" i="9"/>
  <c r="K82" i="9"/>
  <c r="O82" i="9"/>
  <c r="C83" i="9"/>
  <c r="K83" i="9"/>
  <c r="O83" i="9"/>
  <c r="G84" i="9"/>
  <c r="K84" i="9"/>
  <c r="C85" i="9"/>
  <c r="K85" i="9"/>
  <c r="E4" i="9"/>
  <c r="E8" i="9"/>
  <c r="E12" i="9"/>
  <c r="E16" i="9"/>
  <c r="E20" i="9"/>
  <c r="L23" i="9"/>
  <c r="L25" i="9"/>
  <c r="L27" i="9"/>
  <c r="L29" i="9"/>
  <c r="L31" i="9"/>
  <c r="L33" i="9"/>
  <c r="O34" i="9"/>
  <c r="O35" i="9"/>
  <c r="O36" i="9"/>
  <c r="O37" i="9"/>
  <c r="O38" i="9"/>
  <c r="O39" i="9"/>
  <c r="O40" i="9"/>
  <c r="O41" i="9"/>
  <c r="O42" i="9"/>
  <c r="O43" i="9"/>
  <c r="O44" i="9"/>
  <c r="O45" i="9"/>
  <c r="O46" i="9"/>
  <c r="O47" i="9"/>
  <c r="O48" i="9"/>
  <c r="O49" i="9"/>
  <c r="O50" i="9"/>
  <c r="O51" i="9"/>
  <c r="O52" i="9"/>
  <c r="O53" i="9"/>
  <c r="O54" i="9"/>
  <c r="K55" i="9"/>
  <c r="F56" i="9"/>
  <c r="P56" i="9"/>
  <c r="K57" i="9"/>
  <c r="F58" i="9"/>
  <c r="P58" i="9"/>
  <c r="K59" i="9"/>
  <c r="F60" i="9"/>
  <c r="P60" i="9"/>
  <c r="K61" i="9"/>
  <c r="F62" i="9"/>
  <c r="P62" i="9"/>
  <c r="K63" i="9"/>
  <c r="F64" i="9"/>
  <c r="P64" i="9"/>
  <c r="K65" i="9"/>
  <c r="D66" i="9"/>
  <c r="L66" i="9"/>
  <c r="D67" i="9"/>
  <c r="L67" i="9"/>
  <c r="D68" i="9"/>
  <c r="L68" i="9"/>
  <c r="D69" i="9"/>
  <c r="L69" i="9"/>
  <c r="D70" i="9"/>
  <c r="L70" i="9"/>
  <c r="D71" i="9"/>
  <c r="L71" i="9"/>
  <c r="D72" i="9"/>
  <c r="L72" i="9"/>
  <c r="D73" i="9"/>
  <c r="L73" i="9"/>
  <c r="D74" i="9"/>
  <c r="L74" i="9"/>
  <c r="D75" i="9"/>
  <c r="L75" i="9"/>
  <c r="D76" i="9"/>
  <c r="L76" i="9"/>
  <c r="D77" i="9"/>
  <c r="L77" i="9"/>
  <c r="D78" i="9"/>
  <c r="L78" i="9"/>
  <c r="D79" i="9"/>
  <c r="L79" i="9"/>
  <c r="D80" i="9"/>
  <c r="L80" i="9"/>
  <c r="D81" i="9"/>
  <c r="L81" i="9"/>
  <c r="D82" i="9"/>
  <c r="L82" i="9"/>
  <c r="D83" i="9"/>
  <c r="L83" i="9"/>
  <c r="D84" i="9"/>
  <c r="L84" i="9"/>
  <c r="D85" i="9"/>
  <c r="L85" i="9"/>
  <c r="H86" i="9"/>
  <c r="M86" i="9"/>
  <c r="C87" i="9"/>
  <c r="H87" i="9"/>
  <c r="M87" i="9"/>
  <c r="C88" i="9"/>
  <c r="H88" i="9"/>
  <c r="M88" i="9"/>
  <c r="C89" i="9"/>
  <c r="H89" i="9"/>
  <c r="M89" i="9"/>
  <c r="C90" i="9"/>
  <c r="H90" i="9"/>
  <c r="M90" i="9"/>
  <c r="C91" i="9"/>
  <c r="H91" i="9"/>
  <c r="M91" i="9"/>
  <c r="C92" i="9"/>
  <c r="H92" i="9"/>
  <c r="M92" i="9"/>
  <c r="C93" i="9"/>
  <c r="H93" i="9"/>
  <c r="M93" i="9"/>
  <c r="C94" i="9"/>
  <c r="H94" i="9"/>
  <c r="M94" i="9"/>
  <c r="C95" i="9"/>
  <c r="H95" i="9"/>
  <c r="M95" i="9"/>
  <c r="C96" i="9"/>
  <c r="H96" i="9"/>
  <c r="M96" i="9"/>
  <c r="C97" i="9"/>
  <c r="H97" i="9"/>
  <c r="M97" i="9"/>
  <c r="C98" i="9"/>
  <c r="H98" i="9"/>
  <c r="M98" i="9"/>
  <c r="C99" i="9"/>
  <c r="H99" i="9"/>
  <c r="M99" i="9"/>
  <c r="C100" i="9"/>
  <c r="H100" i="9"/>
  <c r="M100" i="9"/>
  <c r="C101" i="9"/>
  <c r="H101" i="9"/>
  <c r="M101" i="9"/>
  <c r="C102" i="9"/>
  <c r="H102" i="9"/>
  <c r="M102" i="9"/>
  <c r="C103" i="9"/>
  <c r="H103" i="9"/>
  <c r="M103" i="9"/>
  <c r="B4" i="9"/>
  <c r="B9" i="9"/>
  <c r="B14" i="9"/>
  <c r="B20" i="9"/>
  <c r="B25" i="9"/>
  <c r="B30" i="9"/>
  <c r="B36" i="9"/>
  <c r="B41" i="9"/>
  <c r="B46" i="9"/>
  <c r="B52" i="9"/>
  <c r="B57" i="9"/>
  <c r="B62" i="9"/>
  <c r="B68" i="9"/>
  <c r="B73" i="9"/>
  <c r="B78" i="9"/>
  <c r="B84" i="9"/>
  <c r="B89" i="9"/>
  <c r="B94" i="9"/>
  <c r="B100" i="9"/>
  <c r="AE3" i="8"/>
  <c r="AE25" i="8"/>
  <c r="AF27" i="9" s="1"/>
  <c r="AE47" i="8"/>
  <c r="AF49" i="9" s="1"/>
  <c r="AE56" i="8"/>
  <c r="AE67" i="8"/>
  <c r="AF69" i="9" s="1"/>
  <c r="AE79" i="8"/>
  <c r="AF81" i="9" s="1"/>
  <c r="AE88" i="8"/>
  <c r="AF90" i="9" s="1"/>
  <c r="AE99" i="8"/>
  <c r="E10" i="9"/>
  <c r="E14" i="9"/>
  <c r="E18" i="9"/>
  <c r="E22" i="9"/>
  <c r="L24" i="9"/>
  <c r="L26" i="9"/>
  <c r="L28" i="9"/>
  <c r="L30" i="9"/>
  <c r="G34" i="9"/>
  <c r="G35" i="9"/>
  <c r="G37" i="9"/>
  <c r="G38" i="9"/>
  <c r="G41" i="9"/>
  <c r="G42" i="9"/>
  <c r="G44" i="9"/>
  <c r="G45" i="9"/>
  <c r="G47" i="9"/>
  <c r="G49" i="9"/>
  <c r="G51" i="9"/>
  <c r="G53" i="9"/>
  <c r="F55" i="9"/>
  <c r="K56" i="9"/>
  <c r="P57" i="9"/>
  <c r="F59" i="9"/>
  <c r="F61" i="9"/>
  <c r="K62" i="9"/>
  <c r="P63" i="9"/>
  <c r="K64" i="9"/>
  <c r="P65" i="9"/>
  <c r="H66" i="9"/>
  <c r="H67" i="9"/>
  <c r="H68" i="9"/>
  <c r="H69" i="9"/>
  <c r="H70" i="9"/>
  <c r="P70" i="9"/>
  <c r="P71" i="9"/>
  <c r="P72" i="9"/>
  <c r="P73" i="9"/>
  <c r="H75" i="9"/>
  <c r="H76" i="9"/>
  <c r="H77" i="9"/>
  <c r="P77" i="9"/>
  <c r="P78" i="9"/>
  <c r="P79" i="9"/>
  <c r="H80" i="9"/>
  <c r="H81" i="9"/>
  <c r="H82" i="9"/>
  <c r="BM82" i="9" s="1"/>
  <c r="P83" i="9"/>
  <c r="H84" i="9"/>
  <c r="H85" i="9"/>
  <c r="E86" i="9"/>
  <c r="K86" i="9"/>
  <c r="E87" i="9"/>
  <c r="P87" i="9"/>
  <c r="K88" i="9"/>
  <c r="E89" i="9"/>
  <c r="P89" i="9"/>
  <c r="E90" i="9"/>
  <c r="P90" i="9"/>
  <c r="K91" i="9"/>
  <c r="E92" i="9"/>
  <c r="P92" i="9"/>
  <c r="K93" i="9"/>
  <c r="E94" i="9"/>
  <c r="P94" i="9"/>
  <c r="E95" i="9"/>
  <c r="P95" i="9"/>
  <c r="K96" i="9"/>
  <c r="E97" i="9"/>
  <c r="K97" i="9"/>
  <c r="E98" i="9"/>
  <c r="P98" i="9"/>
  <c r="K99" i="9"/>
  <c r="P99" i="9"/>
  <c r="K100" i="9"/>
  <c r="K101" i="9"/>
  <c r="E102" i="9"/>
  <c r="P102" i="9"/>
  <c r="K103" i="9"/>
  <c r="P103" i="9"/>
  <c r="B12" i="9"/>
  <c r="B22" i="9"/>
  <c r="B33" i="9"/>
  <c r="B44" i="9"/>
  <c r="B65" i="9"/>
  <c r="B76" i="9"/>
  <c r="B86" i="9"/>
  <c r="B97" i="9"/>
  <c r="AE35" i="8"/>
  <c r="AF37" i="9" s="1"/>
  <c r="AE51" i="8"/>
  <c r="AF53" i="9" s="1"/>
  <c r="AE72" i="8"/>
  <c r="AF74" i="9" s="1"/>
  <c r="AE95" i="8"/>
  <c r="J6" i="9"/>
  <c r="J18" i="9"/>
  <c r="O24" i="9"/>
  <c r="O28" i="9"/>
  <c r="O32" i="9"/>
  <c r="H34" i="9"/>
  <c r="H36" i="9"/>
  <c r="BM36" i="9" s="1"/>
  <c r="H37" i="9"/>
  <c r="BM37" i="9" s="1"/>
  <c r="H39" i="9"/>
  <c r="H40" i="9"/>
  <c r="BM40" i="9" s="1"/>
  <c r="H42" i="9"/>
  <c r="BM42" i="9" s="1"/>
  <c r="H44" i="9"/>
  <c r="BM44" i="9" s="1"/>
  <c r="H46" i="9"/>
  <c r="H48" i="9"/>
  <c r="BM48" i="9" s="1"/>
  <c r="H50" i="9"/>
  <c r="BM50" i="9" s="1"/>
  <c r="H52" i="9"/>
  <c r="BM52" i="9" s="1"/>
  <c r="G55" i="9"/>
  <c r="L56" i="9"/>
  <c r="G59" i="9"/>
  <c r="L60" i="9"/>
  <c r="G63" i="9"/>
  <c r="L64" i="9"/>
  <c r="I67" i="9"/>
  <c r="I68" i="9"/>
  <c r="I69" i="9"/>
  <c r="I70" i="9"/>
  <c r="I71" i="9"/>
  <c r="I72" i="9"/>
  <c r="I78" i="9"/>
  <c r="I79" i="9"/>
  <c r="I80" i="9"/>
  <c r="I81" i="9"/>
  <c r="I82" i="9"/>
  <c r="I83" i="9"/>
  <c r="I84" i="9"/>
  <c r="I85" i="9"/>
  <c r="G86" i="9"/>
  <c r="L87" i="9"/>
  <c r="G88" i="9"/>
  <c r="L89" i="9"/>
  <c r="L90" i="9"/>
  <c r="G91" i="9"/>
  <c r="L92" i="9"/>
  <c r="G93" i="9"/>
  <c r="L94" i="9"/>
  <c r="L95" i="9"/>
  <c r="G96" i="9"/>
  <c r="G97" i="9"/>
  <c r="G98" i="9"/>
  <c r="L99" i="9"/>
  <c r="L100" i="9"/>
  <c r="G101" i="9"/>
  <c r="L102" i="9"/>
  <c r="L103" i="9"/>
  <c r="B8" i="9"/>
  <c r="B18" i="9"/>
  <c r="B34" i="9"/>
  <c r="B45" i="9"/>
  <c r="B56" i="9"/>
  <c r="B66" i="9"/>
  <c r="B77" i="9"/>
  <c r="B88" i="9"/>
  <c r="B93" i="9"/>
  <c r="AE41" i="8"/>
  <c r="J4" i="9"/>
  <c r="J8" i="9"/>
  <c r="J12" i="9"/>
  <c r="J16" i="9"/>
  <c r="J20" i="9"/>
  <c r="O23" i="9"/>
  <c r="O25" i="9"/>
  <c r="O27" i="9"/>
  <c r="O29" i="9"/>
  <c r="O31" i="9"/>
  <c r="O33" i="9"/>
  <c r="P34" i="9"/>
  <c r="P35" i="9"/>
  <c r="P36" i="9"/>
  <c r="P37" i="9"/>
  <c r="P38" i="9"/>
  <c r="P39" i="9"/>
  <c r="P40" i="9"/>
  <c r="P41" i="9"/>
  <c r="P42" i="9"/>
  <c r="P43" i="9"/>
  <c r="P44" i="9"/>
  <c r="P45" i="9"/>
  <c r="P46" i="9"/>
  <c r="P47" i="9"/>
  <c r="P48" i="9"/>
  <c r="P49" i="9"/>
  <c r="P50" i="9"/>
  <c r="P51" i="9"/>
  <c r="P52" i="9"/>
  <c r="P53" i="9"/>
  <c r="P54" i="9"/>
  <c r="L55" i="9"/>
  <c r="G56" i="9"/>
  <c r="L57" i="9"/>
  <c r="G58" i="9"/>
  <c r="L59" i="9"/>
  <c r="G60" i="9"/>
  <c r="L61" i="9"/>
  <c r="G62" i="9"/>
  <c r="L63" i="9"/>
  <c r="G64" i="9"/>
  <c r="L65" i="9"/>
  <c r="E66" i="9"/>
  <c r="M66" i="9"/>
  <c r="E67" i="9"/>
  <c r="M67" i="9"/>
  <c r="E68" i="9"/>
  <c r="M68" i="9"/>
  <c r="E69" i="9"/>
  <c r="M69" i="9"/>
  <c r="E70" i="9"/>
  <c r="M70" i="9"/>
  <c r="E71" i="9"/>
  <c r="M71" i="9"/>
  <c r="E72" i="9"/>
  <c r="M72" i="9"/>
  <c r="E73" i="9"/>
  <c r="M73" i="9"/>
  <c r="E74" i="9"/>
  <c r="M74" i="9"/>
  <c r="E75" i="9"/>
  <c r="M75" i="9"/>
  <c r="E76" i="9"/>
  <c r="M76" i="9"/>
  <c r="E77" i="9"/>
  <c r="M77" i="9"/>
  <c r="E78" i="9"/>
  <c r="M78" i="9"/>
  <c r="E79" i="9"/>
  <c r="M79" i="9"/>
  <c r="E80" i="9"/>
  <c r="M80" i="9"/>
  <c r="E81" i="9"/>
  <c r="M81" i="9"/>
  <c r="E82" i="9"/>
  <c r="M82" i="9"/>
  <c r="E83" i="9"/>
  <c r="M83" i="9"/>
  <c r="E84" i="9"/>
  <c r="M84" i="9"/>
  <c r="E85" i="9"/>
  <c r="M85" i="9"/>
  <c r="D86" i="9"/>
  <c r="I86" i="9"/>
  <c r="O86" i="9"/>
  <c r="D87" i="9"/>
  <c r="I87" i="9"/>
  <c r="O87" i="9"/>
  <c r="D88" i="9"/>
  <c r="I88" i="9"/>
  <c r="O88" i="9"/>
  <c r="D89" i="9"/>
  <c r="I89" i="9"/>
  <c r="O89" i="9"/>
  <c r="D90" i="9"/>
  <c r="I90" i="9"/>
  <c r="O90" i="9"/>
  <c r="D91" i="9"/>
  <c r="I91" i="9"/>
  <c r="O91" i="9"/>
  <c r="D92" i="9"/>
  <c r="I92" i="9"/>
  <c r="O92" i="9"/>
  <c r="D93" i="9"/>
  <c r="I93" i="9"/>
  <c r="O93" i="9"/>
  <c r="D94" i="9"/>
  <c r="I94" i="9"/>
  <c r="O94" i="9"/>
  <c r="D95" i="9"/>
  <c r="I95" i="9"/>
  <c r="O95" i="9"/>
  <c r="D96" i="9"/>
  <c r="I96" i="9"/>
  <c r="O96" i="9"/>
  <c r="D97" i="9"/>
  <c r="I97" i="9"/>
  <c r="O97" i="9"/>
  <c r="D98" i="9"/>
  <c r="I98" i="9"/>
  <c r="O98" i="9"/>
  <c r="D99" i="9"/>
  <c r="I99" i="9"/>
  <c r="O99" i="9"/>
  <c r="D100" i="9"/>
  <c r="I100" i="9"/>
  <c r="O100" i="9"/>
  <c r="D101" i="9"/>
  <c r="I101" i="9"/>
  <c r="O101" i="9"/>
  <c r="D102" i="9"/>
  <c r="I102" i="9"/>
  <c r="O102" i="9"/>
  <c r="D103" i="9"/>
  <c r="I103" i="9"/>
  <c r="O103" i="9"/>
  <c r="B5" i="9"/>
  <c r="B10" i="9"/>
  <c r="B16" i="9"/>
  <c r="B21" i="9"/>
  <c r="B26" i="9"/>
  <c r="B32" i="9"/>
  <c r="B37" i="9"/>
  <c r="B42" i="9"/>
  <c r="B48" i="9"/>
  <c r="B53" i="9"/>
  <c r="B58" i="9"/>
  <c r="B64" i="9"/>
  <c r="B69" i="9"/>
  <c r="B74" i="9"/>
  <c r="B80" i="9"/>
  <c r="B85" i="9"/>
  <c r="B90" i="9"/>
  <c r="B96" i="9"/>
  <c r="B101" i="9"/>
  <c r="AE9" i="8"/>
  <c r="AE33" i="8"/>
  <c r="AF35" i="9" s="1"/>
  <c r="AE48" i="8"/>
  <c r="AF50" i="9" s="1"/>
  <c r="AE59" i="8"/>
  <c r="AE71" i="8"/>
  <c r="AF73" i="9" s="1"/>
  <c r="AE80" i="8"/>
  <c r="AF82" i="9" s="1"/>
  <c r="AE91" i="8"/>
  <c r="AF93" i="9" s="1"/>
  <c r="E6" i="9"/>
  <c r="L32" i="9"/>
  <c r="G36" i="9"/>
  <c r="G39" i="9"/>
  <c r="G40" i="9"/>
  <c r="G43" i="9"/>
  <c r="G46" i="9"/>
  <c r="G48" i="9"/>
  <c r="G50" i="9"/>
  <c r="G52" i="9"/>
  <c r="G54" i="9"/>
  <c r="P55" i="9"/>
  <c r="F57" i="9"/>
  <c r="K58" i="9"/>
  <c r="P59" i="9"/>
  <c r="K60" i="9"/>
  <c r="P61" i="9"/>
  <c r="F63" i="9"/>
  <c r="BL63" i="9" s="1"/>
  <c r="F65" i="9"/>
  <c r="P66" i="9"/>
  <c r="P67" i="9"/>
  <c r="P68" i="9"/>
  <c r="P69" i="9"/>
  <c r="H71" i="9"/>
  <c r="BM71" i="9" s="1"/>
  <c r="H72" i="9"/>
  <c r="BM72" i="9" s="1"/>
  <c r="H73" i="9"/>
  <c r="H74" i="9"/>
  <c r="P74" i="9"/>
  <c r="P75" i="9"/>
  <c r="P76" i="9"/>
  <c r="H78" i="9"/>
  <c r="BM78" i="9" s="1"/>
  <c r="H79" i="9"/>
  <c r="BM79" i="9" s="1"/>
  <c r="P80" i="9"/>
  <c r="P81" i="9"/>
  <c r="P82" i="9"/>
  <c r="H83" i="9"/>
  <c r="BM83" i="9" s="1"/>
  <c r="P84" i="9"/>
  <c r="O85" i="9"/>
  <c r="P86" i="9"/>
  <c r="K87" i="9"/>
  <c r="E88" i="9"/>
  <c r="P88" i="9"/>
  <c r="K89" i="9"/>
  <c r="K90" i="9"/>
  <c r="E91" i="9"/>
  <c r="P91" i="9"/>
  <c r="K92" i="9"/>
  <c r="E93" i="9"/>
  <c r="P93" i="9"/>
  <c r="K94" i="9"/>
  <c r="K95" i="9"/>
  <c r="E96" i="9"/>
  <c r="P96" i="9"/>
  <c r="P97" i="9"/>
  <c r="K98" i="9"/>
  <c r="E99" i="9"/>
  <c r="E100" i="9"/>
  <c r="P100" i="9"/>
  <c r="E101" i="9"/>
  <c r="P101" i="9"/>
  <c r="K102" i="9"/>
  <c r="E103" i="9"/>
  <c r="B6" i="9"/>
  <c r="B17" i="9"/>
  <c r="B28" i="9"/>
  <c r="B38" i="9"/>
  <c r="B49" i="9"/>
  <c r="B54" i="9"/>
  <c r="B60" i="9"/>
  <c r="B70" i="9"/>
  <c r="B81" i="9"/>
  <c r="B92" i="9"/>
  <c r="B102" i="9"/>
  <c r="AE17" i="8"/>
  <c r="AF19" i="9" s="1"/>
  <c r="AE63" i="8"/>
  <c r="AF65" i="9" s="1"/>
  <c r="AE83" i="8"/>
  <c r="AF85" i="9" s="1"/>
  <c r="J10" i="9"/>
  <c r="J14" i="9"/>
  <c r="J22" i="9"/>
  <c r="O26" i="9"/>
  <c r="O30" i="9"/>
  <c r="H35" i="9"/>
  <c r="H38" i="9"/>
  <c r="H41" i="9"/>
  <c r="BM41" i="9" s="1"/>
  <c r="H43" i="9"/>
  <c r="H45" i="9"/>
  <c r="BM45" i="9" s="1"/>
  <c r="H47" i="9"/>
  <c r="BM47" i="9" s="1"/>
  <c r="H49" i="9"/>
  <c r="BM49" i="9" s="1"/>
  <c r="H51" i="9"/>
  <c r="H53" i="9"/>
  <c r="BM53" i="9" s="1"/>
  <c r="H54" i="9"/>
  <c r="G57" i="9"/>
  <c r="L58" i="9"/>
  <c r="G61" i="9"/>
  <c r="L62" i="9"/>
  <c r="G65" i="9"/>
  <c r="I66" i="9"/>
  <c r="I73" i="9"/>
  <c r="I74" i="9"/>
  <c r="I75" i="9"/>
  <c r="I76" i="9"/>
  <c r="I77" i="9"/>
  <c r="P85" i="9"/>
  <c r="L86" i="9"/>
  <c r="G87" i="9"/>
  <c r="L88" i="9"/>
  <c r="G89" i="9"/>
  <c r="G90" i="9"/>
  <c r="L91" i="9"/>
  <c r="G92" i="9"/>
  <c r="L93" i="9"/>
  <c r="G94" i="9"/>
  <c r="G95" i="9"/>
  <c r="L96" i="9"/>
  <c r="L97" i="9"/>
  <c r="L98" i="9"/>
  <c r="G99" i="9"/>
  <c r="G100" i="9"/>
  <c r="L101" i="9"/>
  <c r="G102" i="9"/>
  <c r="G103" i="9"/>
  <c r="B13" i="9"/>
  <c r="B24" i="9"/>
  <c r="B29" i="9"/>
  <c r="B40" i="9"/>
  <c r="B50" i="9"/>
  <c r="B61" i="9"/>
  <c r="B72" i="9"/>
  <c r="B82" i="9"/>
  <c r="B98" i="9"/>
  <c r="AE19" i="8"/>
  <c r="AF21" i="9" s="1"/>
  <c r="AE55" i="8"/>
  <c r="AF57" i="9" s="1"/>
  <c r="AE87" i="8"/>
  <c r="AE75" i="8"/>
  <c r="AT72" i="8"/>
  <c r="AT92" i="8"/>
  <c r="AT87" i="8"/>
  <c r="AT55" i="8"/>
  <c r="AI87" i="8"/>
  <c r="AJ89" i="9" s="1"/>
  <c r="AT96" i="8"/>
  <c r="AT64" i="8"/>
  <c r="AT48" i="8"/>
  <c r="AN7" i="8"/>
  <c r="AO9" i="9" s="1"/>
  <c r="AP99" i="8"/>
  <c r="AQ101" i="9" s="1"/>
  <c r="AT52" i="8"/>
  <c r="AT41" i="8"/>
  <c r="AT9" i="8"/>
  <c r="AL91" i="8"/>
  <c r="AM93" i="9" s="1"/>
  <c r="AN41" i="8"/>
  <c r="AO43" i="9" s="1"/>
  <c r="AH96" i="8"/>
  <c r="AI98" i="9" s="1"/>
  <c r="AP96" i="8"/>
  <c r="AQ98" i="9" s="1"/>
  <c r="AL96" i="8"/>
  <c r="AM98" i="9" s="1"/>
  <c r="AK96" i="8"/>
  <c r="AL98" i="9" s="1"/>
  <c r="AO96" i="8"/>
  <c r="AP98" i="9" s="1"/>
  <c r="AF96" i="8"/>
  <c r="AG98" i="9" s="1"/>
  <c r="AS96" i="8"/>
  <c r="AT98" i="9" s="1"/>
  <c r="AS88" i="8"/>
  <c r="AT90" i="9" s="1"/>
  <c r="AG72" i="8"/>
  <c r="AH74" i="9" s="1"/>
  <c r="AM64" i="8"/>
  <c r="AN66" i="9" s="1"/>
  <c r="AF64" i="8"/>
  <c r="AG66" i="9" s="1"/>
  <c r="AK56" i="8"/>
  <c r="AL58" i="9" s="1"/>
  <c r="AQ56" i="8"/>
  <c r="AR58" i="9" s="1"/>
  <c r="AG96" i="8"/>
  <c r="AH98" i="9" s="1"/>
  <c r="AM95" i="8"/>
  <c r="AN97" i="9" s="1"/>
  <c r="AH95" i="8"/>
  <c r="AI97" i="9" s="1"/>
  <c r="AL95" i="8"/>
  <c r="AM97" i="9" s="1"/>
  <c r="AJ87" i="8"/>
  <c r="AK89" i="9" s="1"/>
  <c r="AN87" i="8"/>
  <c r="AO89" i="9" s="1"/>
  <c r="AH71" i="8"/>
  <c r="AI73" i="9" s="1"/>
  <c r="AN71" i="8"/>
  <c r="AO73" i="9" s="1"/>
  <c r="AF88" i="8"/>
  <c r="AG90" i="9" s="1"/>
  <c r="AI99" i="8"/>
  <c r="AJ101" i="9" s="1"/>
  <c r="AQ99" i="8"/>
  <c r="AR101" i="9" s="1"/>
  <c r="AL99" i="8"/>
  <c r="AM101" i="9" s="1"/>
  <c r="AI83" i="8"/>
  <c r="AJ85" i="9" s="1"/>
  <c r="AI67" i="8"/>
  <c r="AJ69" i="9" s="1"/>
  <c r="AQ67" i="8"/>
  <c r="AR69" i="9" s="1"/>
  <c r="AL92" i="8"/>
  <c r="AM94" i="9" s="1"/>
  <c r="AH92" i="8"/>
  <c r="AI94" i="9" s="1"/>
  <c r="AF92" i="8"/>
  <c r="AG94" i="9" s="1"/>
  <c r="AS92" i="8"/>
  <c r="AT94" i="9" s="1"/>
  <c r="AJ84" i="8"/>
  <c r="AK86" i="9" s="1"/>
  <c r="AF76" i="8"/>
  <c r="AG78" i="9" s="1"/>
  <c r="AH60" i="8"/>
  <c r="AI62" i="9" s="1"/>
  <c r="AO60" i="8"/>
  <c r="AP62" i="9" s="1"/>
  <c r="AF72" i="8"/>
  <c r="AG74" i="9" s="1"/>
  <c r="AE2" i="8"/>
  <c r="AF4" i="9" s="1"/>
  <c r="AE98" i="8"/>
  <c r="AF100" i="9" s="1"/>
  <c r="AE94" i="8"/>
  <c r="AF96" i="9" s="1"/>
  <c r="AE90" i="8"/>
  <c r="AF92" i="9" s="1"/>
  <c r="AE86" i="8"/>
  <c r="AF88" i="9" s="1"/>
  <c r="AE82" i="8"/>
  <c r="AM82" i="8" s="1"/>
  <c r="AN84" i="9" s="1"/>
  <c r="AE78" i="8"/>
  <c r="AF80" i="9" s="1"/>
  <c r="AE74" i="8"/>
  <c r="AF76" i="9" s="1"/>
  <c r="AE70" i="8"/>
  <c r="AF72" i="9" s="1"/>
  <c r="AE66" i="8"/>
  <c r="AF68" i="9" s="1"/>
  <c r="AE62" i="8"/>
  <c r="AE58" i="8"/>
  <c r="AF60" i="9" s="1"/>
  <c r="AE54" i="8"/>
  <c r="AF56" i="9" s="1"/>
  <c r="AE50" i="8"/>
  <c r="AF52" i="9" s="1"/>
  <c r="AE46" i="8"/>
  <c r="AE39" i="8"/>
  <c r="AF41" i="9" s="1"/>
  <c r="AE31" i="8"/>
  <c r="AF33" i="9" s="1"/>
  <c r="AE23" i="8"/>
  <c r="AM23" i="8" s="1"/>
  <c r="AN25" i="9" s="1"/>
  <c r="AE15" i="8"/>
  <c r="A1" i="8"/>
  <c r="AE4" i="8"/>
  <c r="AF6" i="9" s="1"/>
  <c r="AE8" i="8"/>
  <c r="AI8" i="8" s="1"/>
  <c r="AJ10" i="9" s="1"/>
  <c r="AE12" i="8"/>
  <c r="AF14" i="9" s="1"/>
  <c r="AE16" i="8"/>
  <c r="AF18" i="9" s="1"/>
  <c r="AE20" i="8"/>
  <c r="AF22" i="9" s="1"/>
  <c r="AE24" i="8"/>
  <c r="AP24" i="8" s="1"/>
  <c r="AQ26" i="9" s="1"/>
  <c r="AE28" i="8"/>
  <c r="AF30" i="9" s="1"/>
  <c r="AE32" i="8"/>
  <c r="AF34" i="9" s="1"/>
  <c r="AE36" i="8"/>
  <c r="AF38" i="9" s="1"/>
  <c r="AE40" i="8"/>
  <c r="AF42" i="9" s="1"/>
  <c r="AE44" i="8"/>
  <c r="AF46" i="9" s="1"/>
  <c r="AE6" i="8"/>
  <c r="AM6" i="8" s="1"/>
  <c r="AN8" i="9" s="1"/>
  <c r="AE10" i="8"/>
  <c r="AF12" i="9" s="1"/>
  <c r="AE14" i="8"/>
  <c r="AP14" i="8" s="1"/>
  <c r="AQ16" i="9" s="1"/>
  <c r="AE18" i="8"/>
  <c r="AE22" i="8"/>
  <c r="AT22" i="8" s="1"/>
  <c r="AE26" i="8"/>
  <c r="AF28" i="9" s="1"/>
  <c r="AE30" i="8"/>
  <c r="AQ30" i="8" s="1"/>
  <c r="AR32" i="9" s="1"/>
  <c r="AE34" i="8"/>
  <c r="AE38" i="8"/>
  <c r="AJ38" i="8" s="1"/>
  <c r="AK40" i="9" s="1"/>
  <c r="AE42" i="8"/>
  <c r="AF44" i="9" s="1"/>
  <c r="AE101" i="8"/>
  <c r="AF103" i="9" s="1"/>
  <c r="AE97" i="8"/>
  <c r="AF99" i="9" s="1"/>
  <c r="AE93" i="8"/>
  <c r="AF95" i="9" s="1"/>
  <c r="AE89" i="8"/>
  <c r="AF91" i="9" s="1"/>
  <c r="AE85" i="8"/>
  <c r="AF87" i="9" s="1"/>
  <c r="AE81" i="8"/>
  <c r="AF83" i="9" s="1"/>
  <c r="AE77" i="8"/>
  <c r="AF79" i="9" s="1"/>
  <c r="AE73" i="8"/>
  <c r="AF75" i="9" s="1"/>
  <c r="AE69" i="8"/>
  <c r="AF71" i="9" s="1"/>
  <c r="AE65" i="8"/>
  <c r="AF67" i="9" s="1"/>
  <c r="AE61" i="8"/>
  <c r="AF63" i="9" s="1"/>
  <c r="AE57" i="8"/>
  <c r="AF59" i="9" s="1"/>
  <c r="AE53" i="8"/>
  <c r="AF55" i="9" s="1"/>
  <c r="AE49" i="8"/>
  <c r="AE45" i="8"/>
  <c r="AF47" i="9" s="1"/>
  <c r="AE37" i="8"/>
  <c r="AF39" i="9" s="1"/>
  <c r="AE29" i="8"/>
  <c r="AR29" i="8" s="1"/>
  <c r="AS31" i="9" s="1"/>
  <c r="AE21" i="8"/>
  <c r="AE13" i="8"/>
  <c r="AO13" i="8" s="1"/>
  <c r="AP15" i="9" s="1"/>
  <c r="AE5" i="8"/>
  <c r="AF7" i="9" s="1"/>
  <c r="AE1" i="8"/>
  <c r="AI7" i="8"/>
  <c r="AJ9" i="9" s="1"/>
  <c r="AM7" i="8"/>
  <c r="AN9" i="9" s="1"/>
  <c r="AQ7" i="8"/>
  <c r="AR9" i="9" s="1"/>
  <c r="AO9" i="8"/>
  <c r="AP11" i="9" s="1"/>
  <c r="AI11" i="8"/>
  <c r="AJ13" i="9" s="1"/>
  <c r="AQ11" i="8"/>
  <c r="AR13" i="9" s="1"/>
  <c r="AK13" i="8"/>
  <c r="AL15" i="9" s="1"/>
  <c r="AJ14" i="8"/>
  <c r="AK16" i="9" s="1"/>
  <c r="AG17" i="8"/>
  <c r="AH19" i="9" s="1"/>
  <c r="AS17" i="8"/>
  <c r="AT19" i="9" s="1"/>
  <c r="AN18" i="8"/>
  <c r="AO20" i="9" s="1"/>
  <c r="AR22" i="8"/>
  <c r="AS24" i="9" s="1"/>
  <c r="AL28" i="8"/>
  <c r="AM30" i="9" s="1"/>
  <c r="AJ3" i="8"/>
  <c r="AK5" i="9" s="1"/>
  <c r="AS6" i="8"/>
  <c r="AT8" i="9" s="1"/>
  <c r="AP7" i="8"/>
  <c r="AQ9" i="9" s="1"/>
  <c r="AG11" i="8"/>
  <c r="AH13" i="9" s="1"/>
  <c r="AL11" i="8"/>
  <c r="AM13" i="9" s="1"/>
  <c r="AO12" i="8"/>
  <c r="AP14" i="9" s="1"/>
  <c r="AI17" i="8"/>
  <c r="AJ19" i="9" s="1"/>
  <c r="AL18" i="8"/>
  <c r="AM20" i="9" s="1"/>
  <c r="AP21" i="8"/>
  <c r="AQ23" i="9" s="1"/>
  <c r="AQ25" i="8"/>
  <c r="AR27" i="9" s="1"/>
  <c r="AG27" i="8"/>
  <c r="AH29" i="9" s="1"/>
  <c r="AJ28" i="8"/>
  <c r="AK30" i="9" s="1"/>
  <c r="AL33" i="8"/>
  <c r="AM35" i="9" s="1"/>
  <c r="AO34" i="8"/>
  <c r="AP36" i="9" s="1"/>
  <c r="AJ35" i="8"/>
  <c r="AK37" i="9" s="1"/>
  <c r="AG7" i="8"/>
  <c r="AH9" i="9" s="1"/>
  <c r="AL7" i="8"/>
  <c r="AM9" i="9" s="1"/>
  <c r="AR7" i="8"/>
  <c r="AS9" i="9" s="1"/>
  <c r="AM9" i="8"/>
  <c r="AN11" i="9" s="1"/>
  <c r="AN11" i="8"/>
  <c r="AO13" i="9" s="1"/>
  <c r="AK12" i="8"/>
  <c r="AL14" i="9" s="1"/>
  <c r="AQ14" i="8"/>
  <c r="AR16" i="9" s="1"/>
  <c r="AO15" i="8"/>
  <c r="AP17" i="9" s="1"/>
  <c r="AG16" i="8"/>
  <c r="AH18" i="9" s="1"/>
  <c r="AJ17" i="8"/>
  <c r="AK19" i="9" s="1"/>
  <c r="AP17" i="8"/>
  <c r="AQ19" i="9" s="1"/>
  <c r="AH18" i="8"/>
  <c r="AI20" i="9" s="1"/>
  <c r="AL21" i="8"/>
  <c r="AM23" i="9" s="1"/>
  <c r="AO22" i="8"/>
  <c r="AP24" i="9" s="1"/>
  <c r="AG23" i="8"/>
  <c r="AH25" i="9" s="1"/>
  <c r="AQ28" i="8"/>
  <c r="AR30" i="9" s="1"/>
  <c r="AR32" i="8"/>
  <c r="AS34" i="9" s="1"/>
  <c r="AL34" i="8"/>
  <c r="AM36" i="9" s="1"/>
  <c r="AO35" i="8"/>
  <c r="AP37" i="9" s="1"/>
  <c r="AP11" i="8"/>
  <c r="AQ13" i="9" s="1"/>
  <c r="AN12" i="8"/>
  <c r="AO14" i="9" s="1"/>
  <c r="AR15" i="8"/>
  <c r="AS17" i="9" s="1"/>
  <c r="AS28" i="8"/>
  <c r="AT30" i="9" s="1"/>
  <c r="AQ35" i="8"/>
  <c r="AR37" i="9" s="1"/>
  <c r="AS39" i="8"/>
  <c r="AT41" i="9" s="1"/>
  <c r="AM41" i="8"/>
  <c r="AN43" i="9" s="1"/>
  <c r="AQ41" i="8"/>
  <c r="AR43" i="9" s="1"/>
  <c r="AJ44" i="8"/>
  <c r="AK46" i="9" s="1"/>
  <c r="AR44" i="8"/>
  <c r="AS46" i="9" s="1"/>
  <c r="AH46" i="8"/>
  <c r="AI48" i="9" s="1"/>
  <c r="AO47" i="8"/>
  <c r="AP49" i="9" s="1"/>
  <c r="AR48" i="8"/>
  <c r="AS50" i="9" s="1"/>
  <c r="AQ49" i="8"/>
  <c r="AR51" i="9" s="1"/>
  <c r="AR52" i="8"/>
  <c r="AS54" i="9" s="1"/>
  <c r="AO55" i="8"/>
  <c r="AP57" i="9" s="1"/>
  <c r="AJ56" i="8"/>
  <c r="AK58" i="9" s="1"/>
  <c r="AN56" i="8"/>
  <c r="AO58" i="9" s="1"/>
  <c r="AR56" i="8"/>
  <c r="AS58" i="9" s="1"/>
  <c r="AG59" i="8"/>
  <c r="AH61" i="9" s="1"/>
  <c r="AK59" i="8"/>
  <c r="AL61" i="9" s="1"/>
  <c r="AO59" i="8"/>
  <c r="AP61" i="9" s="1"/>
  <c r="AJ60" i="8"/>
  <c r="AK62" i="9" s="1"/>
  <c r="AN60" i="8"/>
  <c r="AO62" i="9" s="1"/>
  <c r="AR60" i="8"/>
  <c r="AS62" i="9" s="1"/>
  <c r="AH62" i="8"/>
  <c r="AI64" i="9" s="1"/>
  <c r="AP62" i="8"/>
  <c r="AQ64" i="9" s="1"/>
  <c r="AJ64" i="8"/>
  <c r="AK66" i="9" s="1"/>
  <c r="AN64" i="8"/>
  <c r="AO66" i="9" s="1"/>
  <c r="AR64" i="8"/>
  <c r="AS66" i="9" s="1"/>
  <c r="AI65" i="8"/>
  <c r="AJ67" i="9" s="1"/>
  <c r="AQ65" i="8"/>
  <c r="AR67" i="9" s="1"/>
  <c r="AG67" i="8"/>
  <c r="AH69" i="9" s="1"/>
  <c r="AK67" i="8"/>
  <c r="AL69" i="9" s="1"/>
  <c r="AS71" i="8"/>
  <c r="AT73" i="9" s="1"/>
  <c r="AN72" i="8"/>
  <c r="AO74" i="9" s="1"/>
  <c r="AG75" i="8"/>
  <c r="AH77" i="9" s="1"/>
  <c r="AS7" i="8"/>
  <c r="AT9" i="9" s="1"/>
  <c r="AJ11" i="8"/>
  <c r="AK13" i="9" s="1"/>
  <c r="AL15" i="8"/>
  <c r="AM17" i="9" s="1"/>
  <c r="AR19" i="8"/>
  <c r="AS21" i="9" s="1"/>
  <c r="AN28" i="8"/>
  <c r="AO30" i="9" s="1"/>
  <c r="AN29" i="8"/>
  <c r="AO31" i="9" s="1"/>
  <c r="AL39" i="8"/>
  <c r="AM41" i="9" s="1"/>
  <c r="AG41" i="8"/>
  <c r="AH43" i="9" s="1"/>
  <c r="AL41" i="8"/>
  <c r="AM43" i="9" s="1"/>
  <c r="AR41" i="8"/>
  <c r="AS43" i="9" s="1"/>
  <c r="AM43" i="8"/>
  <c r="AN45" i="9" s="1"/>
  <c r="AR43" i="8"/>
  <c r="AS45" i="9" s="1"/>
  <c r="AP44" i="8"/>
  <c r="AQ46" i="9" s="1"/>
  <c r="AS45" i="8"/>
  <c r="AT47" i="9" s="1"/>
  <c r="AK46" i="8"/>
  <c r="AL48" i="9" s="1"/>
  <c r="AI47" i="8"/>
  <c r="AJ49" i="9" s="1"/>
  <c r="AQ48" i="8"/>
  <c r="AR50" i="9" s="1"/>
  <c r="AO49" i="8"/>
  <c r="AP51" i="9" s="1"/>
  <c r="AP51" i="8"/>
  <c r="AQ53" i="9" s="1"/>
  <c r="AH52" i="8"/>
  <c r="AI54" i="9" s="1"/>
  <c r="AQ55" i="8"/>
  <c r="AR57" i="9" s="1"/>
  <c r="AO56" i="8"/>
  <c r="AP58" i="9" s="1"/>
  <c r="AH59" i="8"/>
  <c r="AI61" i="9" s="1"/>
  <c r="AM59" i="8"/>
  <c r="AN61" i="9" s="1"/>
  <c r="AK60" i="8"/>
  <c r="AL62" i="9" s="1"/>
  <c r="AP60" i="8"/>
  <c r="AQ62" i="9" s="1"/>
  <c r="AQ62" i="8"/>
  <c r="AR64" i="9" s="1"/>
  <c r="AN63" i="8"/>
  <c r="AO65" i="9" s="1"/>
  <c r="AG64" i="8"/>
  <c r="AH66" i="9" s="1"/>
  <c r="AL64" i="8"/>
  <c r="AM66" i="9" s="1"/>
  <c r="AQ64" i="8"/>
  <c r="AR66" i="9" s="1"/>
  <c r="AJ65" i="8"/>
  <c r="AK67" i="9" s="1"/>
  <c r="AR66" i="8"/>
  <c r="AS68" i="9" s="1"/>
  <c r="AH68" i="8"/>
  <c r="AI70" i="9" s="1"/>
  <c r="AM68" i="8"/>
  <c r="AN70" i="9" s="1"/>
  <c r="AL71" i="8"/>
  <c r="AM73" i="9" s="1"/>
  <c r="AI72" i="8"/>
  <c r="AJ74" i="9" s="1"/>
  <c r="AH75" i="8"/>
  <c r="AI77" i="9" s="1"/>
  <c r="AG76" i="8"/>
  <c r="AH78" i="9" s="1"/>
  <c r="AK76" i="8"/>
  <c r="AL78" i="9" s="1"/>
  <c r="AI78" i="8"/>
  <c r="AJ80" i="9" s="1"/>
  <c r="AQ78" i="8"/>
  <c r="AR80" i="9" s="1"/>
  <c r="AG80" i="8"/>
  <c r="AH82" i="9" s="1"/>
  <c r="AK80" i="8"/>
  <c r="AL82" i="9" s="1"/>
  <c r="AJ81" i="8"/>
  <c r="AK83" i="9" s="1"/>
  <c r="AR81" i="8"/>
  <c r="AS83" i="9" s="1"/>
  <c r="AH83" i="8"/>
  <c r="AI85" i="9" s="1"/>
  <c r="AK84" i="8"/>
  <c r="AL86" i="9" s="1"/>
  <c r="AH87" i="8"/>
  <c r="AI89" i="9" s="1"/>
  <c r="AL87" i="8"/>
  <c r="AM89" i="9" s="1"/>
  <c r="AR3" i="8"/>
  <c r="AS5" i="9" s="1"/>
  <c r="AH7" i="8"/>
  <c r="AI9" i="9" s="1"/>
  <c r="AK11" i="8"/>
  <c r="AL13" i="9" s="1"/>
  <c r="AP15" i="8"/>
  <c r="AQ17" i="9" s="1"/>
  <c r="AM24" i="8"/>
  <c r="AN26" i="9" s="1"/>
  <c r="AR28" i="8"/>
  <c r="AS30" i="9" s="1"/>
  <c r="AG33" i="8"/>
  <c r="AH35" i="9" s="1"/>
  <c r="AM35" i="8"/>
  <c r="AN37" i="9" s="1"/>
  <c r="AK6" i="8"/>
  <c r="AL8" i="9" s="1"/>
  <c r="AS14" i="8"/>
  <c r="AT16" i="9" s="1"/>
  <c r="AG28" i="8"/>
  <c r="AH30" i="9" s="1"/>
  <c r="AJ33" i="8"/>
  <c r="AK35" i="9" s="1"/>
  <c r="AR34" i="8"/>
  <c r="AS36" i="9" s="1"/>
  <c r="AH41" i="8"/>
  <c r="AI43" i="9" s="1"/>
  <c r="AO41" i="8"/>
  <c r="AP43" i="9" s="1"/>
  <c r="AJ43" i="8"/>
  <c r="AK45" i="9" s="1"/>
  <c r="AL44" i="8"/>
  <c r="AM46" i="9" s="1"/>
  <c r="AN46" i="8"/>
  <c r="AO48" i="9" s="1"/>
  <c r="AH47" i="8"/>
  <c r="AI49" i="9" s="1"/>
  <c r="AR49" i="8"/>
  <c r="AS51" i="9" s="1"/>
  <c r="AJ55" i="8"/>
  <c r="AK57" i="9" s="1"/>
  <c r="AL56" i="8"/>
  <c r="AM58" i="9" s="1"/>
  <c r="AS56" i="8"/>
  <c r="AT58" i="9" s="1"/>
  <c r="AN58" i="8"/>
  <c r="AO60" i="9" s="1"/>
  <c r="AI59" i="8"/>
  <c r="AJ61" i="9" s="1"/>
  <c r="AP59" i="8"/>
  <c r="AQ61" i="9" s="1"/>
  <c r="AI60" i="8"/>
  <c r="AJ62" i="9" s="1"/>
  <c r="AQ60" i="8"/>
  <c r="AR62" i="9" s="1"/>
  <c r="AS62" i="8"/>
  <c r="AT64" i="9" s="1"/>
  <c r="AH64" i="8"/>
  <c r="AI66" i="9" s="1"/>
  <c r="AO64" i="8"/>
  <c r="AP66" i="9" s="1"/>
  <c r="AH65" i="8"/>
  <c r="AI67" i="9" s="1"/>
  <c r="AL67" i="8"/>
  <c r="AM69" i="9" s="1"/>
  <c r="AK72" i="8"/>
  <c r="AL74" i="9" s="1"/>
  <c r="AP76" i="8"/>
  <c r="AQ78" i="9" s="1"/>
  <c r="AK78" i="8"/>
  <c r="AL80" i="9" s="1"/>
  <c r="AS79" i="8"/>
  <c r="AT81" i="9" s="1"/>
  <c r="AL80" i="8"/>
  <c r="AM82" i="9" s="1"/>
  <c r="AO81" i="8"/>
  <c r="AP83" i="9" s="1"/>
  <c r="AJ83" i="8"/>
  <c r="AK85" i="9" s="1"/>
  <c r="AR84" i="8"/>
  <c r="AS86" i="9" s="1"/>
  <c r="AK87" i="8"/>
  <c r="AL89" i="9" s="1"/>
  <c r="AQ87" i="8"/>
  <c r="AR89" i="9" s="1"/>
  <c r="AI88" i="8"/>
  <c r="AJ90" i="9" s="1"/>
  <c r="AK90" i="8"/>
  <c r="AL92" i="9" s="1"/>
  <c r="AO90" i="8"/>
  <c r="AP92" i="9" s="1"/>
  <c r="AS90" i="8"/>
  <c r="AT92" i="9" s="1"/>
  <c r="AR91" i="8"/>
  <c r="AS93" i="9" s="1"/>
  <c r="AI92" i="8"/>
  <c r="AJ94" i="9" s="1"/>
  <c r="AM92" i="8"/>
  <c r="AN94" i="9" s="1"/>
  <c r="AQ92" i="8"/>
  <c r="AR94" i="9" s="1"/>
  <c r="AH93" i="8"/>
  <c r="AI95" i="9" s="1"/>
  <c r="AL93" i="8"/>
  <c r="AM95" i="9" s="1"/>
  <c r="AK94" i="8"/>
  <c r="AL96" i="9" s="1"/>
  <c r="AS94" i="8"/>
  <c r="AT96" i="9" s="1"/>
  <c r="AJ95" i="8"/>
  <c r="AK97" i="9" s="1"/>
  <c r="AN95" i="8"/>
  <c r="AO97" i="9" s="1"/>
  <c r="AR95" i="8"/>
  <c r="AS97" i="9" s="1"/>
  <c r="AI96" i="8"/>
  <c r="AJ98" i="9" s="1"/>
  <c r="AM96" i="8"/>
  <c r="AN98" i="9" s="1"/>
  <c r="AQ96" i="8"/>
  <c r="AR98" i="9" s="1"/>
  <c r="AL97" i="8"/>
  <c r="AM99" i="9" s="1"/>
  <c r="AJ99" i="8"/>
  <c r="AK101" i="9" s="1"/>
  <c r="AN99" i="8"/>
  <c r="AO101" i="9" s="1"/>
  <c r="AR99" i="8"/>
  <c r="AS101" i="9" s="1"/>
  <c r="AM100" i="8"/>
  <c r="AN102" i="9" s="1"/>
  <c r="AQ100" i="8"/>
  <c r="AR102" i="9" s="1"/>
  <c r="AF18" i="8"/>
  <c r="AG20" i="9" s="1"/>
  <c r="AF22" i="8"/>
  <c r="AG24" i="9" s="1"/>
  <c r="AF30" i="8"/>
  <c r="AG32" i="9" s="1"/>
  <c r="AF34" i="8"/>
  <c r="AG36" i="9" s="1"/>
  <c r="AF38" i="8"/>
  <c r="AG40" i="9" s="1"/>
  <c r="AF74" i="8"/>
  <c r="AG76" i="9" s="1"/>
  <c r="AL6" i="8"/>
  <c r="AM8" i="9" s="1"/>
  <c r="AS12" i="8"/>
  <c r="AT14" i="9" s="1"/>
  <c r="AL17" i="8"/>
  <c r="AM19" i="9" s="1"/>
  <c r="AN19" i="8"/>
  <c r="AO21" i="9" s="1"/>
  <c r="AR21" i="8"/>
  <c r="AS23" i="9" s="1"/>
  <c r="AR38" i="8"/>
  <c r="AS40" i="9" s="1"/>
  <c r="AN39" i="8"/>
  <c r="AO41" i="9" s="1"/>
  <c r="AJ41" i="8"/>
  <c r="AK43" i="9" s="1"/>
  <c r="AP41" i="8"/>
  <c r="AQ43" i="9" s="1"/>
  <c r="AL43" i="8"/>
  <c r="AM45" i="9" s="1"/>
  <c r="AG44" i="8"/>
  <c r="AH46" i="9" s="1"/>
  <c r="AG45" i="8"/>
  <c r="AH47" i="9" s="1"/>
  <c r="AO45" i="8"/>
  <c r="AP47" i="9" s="1"/>
  <c r="AI46" i="8"/>
  <c r="AJ48" i="9" s="1"/>
  <c r="AS48" i="8"/>
  <c r="AT50" i="9" s="1"/>
  <c r="AL49" i="8"/>
  <c r="AM51" i="9" s="1"/>
  <c r="AN51" i="8"/>
  <c r="AO53" i="9" s="1"/>
  <c r="AI52" i="8"/>
  <c r="AJ54" i="9" s="1"/>
  <c r="AG56" i="8"/>
  <c r="AH58" i="9" s="1"/>
  <c r="AM56" i="8"/>
  <c r="AN58" i="9" s="1"/>
  <c r="AI58" i="8"/>
  <c r="AJ60" i="9" s="1"/>
  <c r="AQ58" i="8"/>
  <c r="AR60" i="9" s="1"/>
  <c r="AJ59" i="8"/>
  <c r="AK61" i="9" s="1"/>
  <c r="AQ59" i="8"/>
  <c r="AR61" i="9" s="1"/>
  <c r="AL60" i="8"/>
  <c r="AM62" i="9" s="1"/>
  <c r="AS60" i="8"/>
  <c r="AT62" i="9" s="1"/>
  <c r="AL61" i="8"/>
  <c r="AM63" i="9" s="1"/>
  <c r="AN62" i="8"/>
  <c r="AO64" i="9" s="1"/>
  <c r="AP63" i="8"/>
  <c r="AQ65" i="9" s="1"/>
  <c r="AI64" i="8"/>
  <c r="AJ66" i="9" s="1"/>
  <c r="AP64" i="8"/>
  <c r="AQ66" i="9" s="1"/>
  <c r="AR65" i="8"/>
  <c r="AS67" i="9" s="1"/>
  <c r="AM67" i="8"/>
  <c r="AN69" i="9" s="1"/>
  <c r="AG68" i="8"/>
  <c r="AH70" i="9" s="1"/>
  <c r="AJ71" i="8"/>
  <c r="AK73" i="9" s="1"/>
  <c r="AG74" i="8"/>
  <c r="AH76" i="9" s="1"/>
  <c r="AN74" i="8"/>
  <c r="AO76" i="9" s="1"/>
  <c r="AN75" i="8"/>
  <c r="AO77" i="9" s="1"/>
  <c r="AS75" i="8"/>
  <c r="AT77" i="9" s="1"/>
  <c r="AL76" i="8"/>
  <c r="AM78" i="9" s="1"/>
  <c r="AI77" i="8"/>
  <c r="AJ79" i="9" s="1"/>
  <c r="AO77" i="8"/>
  <c r="AP79" i="9" s="1"/>
  <c r="AG78" i="8"/>
  <c r="AH80" i="9" s="1"/>
  <c r="AR78" i="8"/>
  <c r="AS80" i="9" s="1"/>
  <c r="AO79" i="8"/>
  <c r="AP81" i="9" s="1"/>
  <c r="AH80" i="8"/>
  <c r="AI82" i="9" s="1"/>
  <c r="AK81" i="8"/>
  <c r="AL83" i="9" s="1"/>
  <c r="AK83" i="8"/>
  <c r="AL85" i="9" s="1"/>
  <c r="AG85" i="8"/>
  <c r="AH87" i="9" s="1"/>
  <c r="AG87" i="8"/>
  <c r="AH89" i="9" s="1"/>
  <c r="AM87" i="8"/>
  <c r="AN89" i="9" s="1"/>
  <c r="AR87" i="8"/>
  <c r="AS89" i="9" s="1"/>
  <c r="AJ88" i="8"/>
  <c r="AK90" i="9" s="1"/>
  <c r="AH90" i="8"/>
  <c r="AI92" i="9" s="1"/>
  <c r="AL90" i="8"/>
  <c r="AM92" i="9" s="1"/>
  <c r="AP90" i="8"/>
  <c r="AQ92" i="9" s="1"/>
  <c r="AO91" i="8"/>
  <c r="AP93" i="9" s="1"/>
  <c r="AJ92" i="8"/>
  <c r="AK94" i="9" s="1"/>
  <c r="AN92" i="8"/>
  <c r="AO94" i="9" s="1"/>
  <c r="AR92" i="8"/>
  <c r="AS94" i="9" s="1"/>
  <c r="AI93" i="8"/>
  <c r="AJ95" i="9" s="1"/>
  <c r="AM93" i="8"/>
  <c r="AN95" i="9" s="1"/>
  <c r="AQ93" i="8"/>
  <c r="AR95" i="9" s="1"/>
  <c r="AH94" i="8"/>
  <c r="AI96" i="9" s="1"/>
  <c r="AP94" i="8"/>
  <c r="AQ96" i="9" s="1"/>
  <c r="AG95" i="8"/>
  <c r="AH97" i="9" s="1"/>
  <c r="AK95" i="8"/>
  <c r="AL97" i="9" s="1"/>
  <c r="AO95" i="8"/>
  <c r="AP97" i="9" s="1"/>
  <c r="AS95" i="8"/>
  <c r="AT97" i="9" s="1"/>
  <c r="AJ96" i="8"/>
  <c r="AK98" i="9" s="1"/>
  <c r="AN96" i="8"/>
  <c r="AO98" i="9" s="1"/>
  <c r="AR96" i="8"/>
  <c r="AS98" i="9" s="1"/>
  <c r="AI97" i="8"/>
  <c r="AJ99" i="9" s="1"/>
  <c r="AM97" i="8"/>
  <c r="AN99" i="9" s="1"/>
  <c r="AQ97" i="8"/>
  <c r="AR99" i="9" s="1"/>
  <c r="AP98" i="8"/>
  <c r="AQ100" i="9" s="1"/>
  <c r="AG99" i="8"/>
  <c r="AH101" i="9" s="1"/>
  <c r="AK99" i="8"/>
  <c r="AL101" i="9" s="1"/>
  <c r="AO99" i="8"/>
  <c r="AP101" i="9" s="1"/>
  <c r="AS99" i="8"/>
  <c r="AT101" i="9" s="1"/>
  <c r="AR100" i="8"/>
  <c r="AS102" i="9" s="1"/>
  <c r="AF3" i="8"/>
  <c r="AG5" i="9" s="1"/>
  <c r="AF7" i="8"/>
  <c r="AG9" i="9" s="1"/>
  <c r="AF11" i="8"/>
  <c r="AG13" i="9" s="1"/>
  <c r="AF15" i="8"/>
  <c r="AG17" i="9" s="1"/>
  <c r="AF19" i="8"/>
  <c r="AG21" i="9" s="1"/>
  <c r="AF23" i="8"/>
  <c r="AG25" i="9" s="1"/>
  <c r="AF39" i="8"/>
  <c r="AG41" i="9" s="1"/>
  <c r="AF51" i="8"/>
  <c r="AG53" i="9" s="1"/>
  <c r="AF59" i="8"/>
  <c r="AG61" i="9" s="1"/>
  <c r="AF63" i="8"/>
  <c r="AG65" i="9" s="1"/>
  <c r="AF71" i="8"/>
  <c r="AG73" i="9" s="1"/>
  <c r="AF75" i="8"/>
  <c r="AG77" i="9" s="1"/>
  <c r="AF87" i="8"/>
  <c r="AG89" i="9" s="1"/>
  <c r="AF95" i="8"/>
  <c r="AG97" i="9" s="1"/>
  <c r="AF99" i="8"/>
  <c r="AG101" i="9" s="1"/>
  <c r="AQ74" i="8"/>
  <c r="AR76" i="9" s="1"/>
  <c r="AI74" i="8"/>
  <c r="AJ76" i="9" s="1"/>
  <c r="AN67" i="8"/>
  <c r="AO69" i="9" s="1"/>
  <c r="AH67" i="8"/>
  <c r="AI69" i="9" s="1"/>
  <c r="AL65" i="8"/>
  <c r="AM67" i="9" s="1"/>
  <c r="AS64" i="8"/>
  <c r="AT66" i="9" s="1"/>
  <c r="AK64" i="8"/>
  <c r="AL66" i="9" s="1"/>
  <c r="AO62" i="8"/>
  <c r="AP64" i="9" s="1"/>
  <c r="AI62" i="8"/>
  <c r="AJ64" i="9" s="1"/>
  <c r="AO61" i="8"/>
  <c r="AP63" i="9" s="1"/>
  <c r="AG61" i="8"/>
  <c r="AH63" i="9" s="1"/>
  <c r="AM60" i="8"/>
  <c r="AN62" i="9" s="1"/>
  <c r="AG60" i="8"/>
  <c r="AH62" i="9" s="1"/>
  <c r="AL59" i="8"/>
  <c r="AM61" i="9" s="1"/>
  <c r="AR58" i="8"/>
  <c r="AS60" i="9" s="1"/>
  <c r="AK58" i="8"/>
  <c r="AL60" i="9" s="1"/>
  <c r="AP57" i="8"/>
  <c r="AQ59" i="9" s="1"/>
  <c r="AP56" i="8"/>
  <c r="AQ58" i="9" s="1"/>
  <c r="AH56" i="8"/>
  <c r="AI58" i="9" s="1"/>
  <c r="AH55" i="8"/>
  <c r="AI57" i="9" s="1"/>
  <c r="AQ51" i="8"/>
  <c r="AR53" i="9" s="1"/>
  <c r="AI51" i="8"/>
  <c r="AJ53" i="9" s="1"/>
  <c r="AN49" i="8"/>
  <c r="AO51" i="9" s="1"/>
  <c r="AG49" i="8"/>
  <c r="AH51" i="9" s="1"/>
  <c r="AM48" i="8"/>
  <c r="AN50" i="9" s="1"/>
  <c r="AR46" i="8"/>
  <c r="AS48" i="9" s="1"/>
  <c r="AP45" i="8"/>
  <c r="AQ47" i="9" s="1"/>
  <c r="AJ45" i="8"/>
  <c r="AK47" i="9" s="1"/>
  <c r="AO44" i="8"/>
  <c r="AP46" i="9" s="1"/>
  <c r="AN43" i="8"/>
  <c r="AO45" i="9" s="1"/>
  <c r="AS42" i="8"/>
  <c r="AT44" i="9" s="1"/>
  <c r="AS41" i="8"/>
  <c r="AT43" i="9" s="1"/>
  <c r="AK41" i="8"/>
  <c r="AL43" i="9" s="1"/>
  <c r="AP39" i="8"/>
  <c r="AQ41" i="9" s="1"/>
  <c r="AI39" i="8"/>
  <c r="AJ41" i="9" s="1"/>
  <c r="AK38" i="8"/>
  <c r="AL40" i="9" s="1"/>
  <c r="AP35" i="8"/>
  <c r="AQ37" i="9" s="1"/>
  <c r="AI34" i="8"/>
  <c r="AJ36" i="9" s="1"/>
  <c r="AL32" i="8"/>
  <c r="AM34" i="9" s="1"/>
  <c r="AP22" i="8"/>
  <c r="AQ24" i="9" s="1"/>
  <c r="AI18" i="8"/>
  <c r="AJ20" i="9" s="1"/>
  <c r="AI16" i="8"/>
  <c r="AJ18" i="9" s="1"/>
  <c r="AQ13" i="8"/>
  <c r="AR15" i="9" s="1"/>
  <c r="AO11" i="8"/>
  <c r="AP13" i="9" s="1"/>
  <c r="AJ7" i="8"/>
  <c r="AK9" i="9" s="1"/>
  <c r="AG3" i="8"/>
  <c r="AH5" i="9" s="1"/>
  <c r="P1" i="8"/>
  <c r="U2" i="8"/>
  <c r="V4" i="9" s="1"/>
  <c r="Y2" i="8"/>
  <c r="Z4" i="9" s="1"/>
  <c r="AC2" i="8"/>
  <c r="AD4" i="9" s="1"/>
  <c r="T3" i="8"/>
  <c r="U5" i="9" s="1"/>
  <c r="X3" i="8"/>
  <c r="Y5" i="9" s="1"/>
  <c r="AB3" i="8"/>
  <c r="AC5" i="9" s="1"/>
  <c r="S4" i="8"/>
  <c r="T6" i="9" s="1"/>
  <c r="W4" i="8"/>
  <c r="X6" i="9" s="1"/>
  <c r="AA4" i="8"/>
  <c r="AB6" i="9" s="1"/>
  <c r="R5" i="8"/>
  <c r="S7" i="9" s="1"/>
  <c r="V5" i="8"/>
  <c r="W7" i="9" s="1"/>
  <c r="Z5" i="8"/>
  <c r="AA7" i="9" s="1"/>
  <c r="AD5" i="8"/>
  <c r="AE7" i="9" s="1"/>
  <c r="U6" i="8"/>
  <c r="V8" i="9" s="1"/>
  <c r="Y6" i="8"/>
  <c r="Z8" i="9" s="1"/>
  <c r="AC6" i="8"/>
  <c r="AD8" i="9" s="1"/>
  <c r="T7" i="8"/>
  <c r="U9" i="9" s="1"/>
  <c r="X7" i="8"/>
  <c r="Y9" i="9" s="1"/>
  <c r="AB7" i="8"/>
  <c r="AC9" i="9" s="1"/>
  <c r="S8" i="8"/>
  <c r="T10" i="9" s="1"/>
  <c r="W8" i="8"/>
  <c r="X10" i="9" s="1"/>
  <c r="AA8" i="8"/>
  <c r="AB10" i="9" s="1"/>
  <c r="R9" i="8"/>
  <c r="S11" i="9" s="1"/>
  <c r="V9" i="8"/>
  <c r="W11" i="9" s="1"/>
  <c r="Z9" i="8"/>
  <c r="AA11" i="9" s="1"/>
  <c r="AD9" i="8"/>
  <c r="AE11" i="9" s="1"/>
  <c r="U10" i="8"/>
  <c r="V12" i="9" s="1"/>
  <c r="Y10" i="8"/>
  <c r="Z12" i="9" s="1"/>
  <c r="AC10" i="8"/>
  <c r="AD12" i="9" s="1"/>
  <c r="T11" i="8"/>
  <c r="U13" i="9" s="1"/>
  <c r="X11" i="8"/>
  <c r="Y13" i="9" s="1"/>
  <c r="AB11" i="8"/>
  <c r="AC13" i="9" s="1"/>
  <c r="S12" i="8"/>
  <c r="T14" i="9" s="1"/>
  <c r="W12" i="8"/>
  <c r="X14" i="9" s="1"/>
  <c r="AA12" i="8"/>
  <c r="AB14" i="9" s="1"/>
  <c r="R2" i="8"/>
  <c r="S4" i="9" s="1"/>
  <c r="V2" i="8"/>
  <c r="W4" i="9" s="1"/>
  <c r="Z2" i="8"/>
  <c r="AA4" i="9" s="1"/>
  <c r="AD2" i="8"/>
  <c r="AE4" i="9" s="1"/>
  <c r="U3" i="8"/>
  <c r="V5" i="9" s="1"/>
  <c r="Y3" i="8"/>
  <c r="Z5" i="9" s="1"/>
  <c r="AC3" i="8"/>
  <c r="AD5" i="9" s="1"/>
  <c r="T4" i="8"/>
  <c r="U6" i="9" s="1"/>
  <c r="W2" i="8"/>
  <c r="X4" i="9" s="1"/>
  <c r="R3" i="8"/>
  <c r="S5" i="9" s="1"/>
  <c r="Z3" i="8"/>
  <c r="AA5" i="9" s="1"/>
  <c r="U4" i="8"/>
  <c r="V6" i="9" s="1"/>
  <c r="Z4" i="8"/>
  <c r="AA6" i="9" s="1"/>
  <c r="S5" i="8"/>
  <c r="T7" i="9" s="1"/>
  <c r="X5" i="8"/>
  <c r="Y7" i="9" s="1"/>
  <c r="AC5" i="8"/>
  <c r="AD7" i="9" s="1"/>
  <c r="V6" i="8"/>
  <c r="W8" i="9" s="1"/>
  <c r="AA6" i="8"/>
  <c r="AB8" i="9" s="1"/>
  <c r="S7" i="8"/>
  <c r="T9" i="9" s="1"/>
  <c r="Y7" i="8"/>
  <c r="Z9" i="9" s="1"/>
  <c r="AD7" i="8"/>
  <c r="AE9" i="9" s="1"/>
  <c r="V8" i="8"/>
  <c r="W10" i="9" s="1"/>
  <c r="AB8" i="8"/>
  <c r="AC10" i="9" s="1"/>
  <c r="T9" i="8"/>
  <c r="U11" i="9" s="1"/>
  <c r="Y9" i="8"/>
  <c r="Z11" i="9" s="1"/>
  <c r="R10" i="8"/>
  <c r="S12" i="9" s="1"/>
  <c r="W10" i="8"/>
  <c r="X12" i="9" s="1"/>
  <c r="AB10" i="8"/>
  <c r="AC12" i="9" s="1"/>
  <c r="U11" i="8"/>
  <c r="V13" i="9" s="1"/>
  <c r="Z11" i="8"/>
  <c r="AA13" i="9" s="1"/>
  <c r="R12" i="8"/>
  <c r="S14" i="9" s="1"/>
  <c r="X12" i="8"/>
  <c r="Y14" i="9" s="1"/>
  <c r="AC12" i="8"/>
  <c r="AD14" i="9" s="1"/>
  <c r="T13" i="8"/>
  <c r="U15" i="9" s="1"/>
  <c r="X13" i="8"/>
  <c r="Y15" i="9" s="1"/>
  <c r="AB13" i="8"/>
  <c r="AC15" i="9" s="1"/>
  <c r="S14" i="8"/>
  <c r="T16" i="9" s="1"/>
  <c r="W14" i="8"/>
  <c r="X16" i="9" s="1"/>
  <c r="AA14" i="8"/>
  <c r="AB16" i="9" s="1"/>
  <c r="R15" i="8"/>
  <c r="S17" i="9" s="1"/>
  <c r="V15" i="8"/>
  <c r="W17" i="9" s="1"/>
  <c r="Z15" i="8"/>
  <c r="AA17" i="9" s="1"/>
  <c r="AD15" i="8"/>
  <c r="AE17" i="9" s="1"/>
  <c r="U16" i="8"/>
  <c r="V18" i="9" s="1"/>
  <c r="Y16" i="8"/>
  <c r="Z18" i="9" s="1"/>
  <c r="AC16" i="8"/>
  <c r="AD18" i="9" s="1"/>
  <c r="T17" i="8"/>
  <c r="U19" i="9" s="1"/>
  <c r="X17" i="8"/>
  <c r="Y19" i="9" s="1"/>
  <c r="AB17" i="8"/>
  <c r="AC19" i="9" s="1"/>
  <c r="S18" i="8"/>
  <c r="T20" i="9" s="1"/>
  <c r="W18" i="8"/>
  <c r="X20" i="9" s="1"/>
  <c r="AA18" i="8"/>
  <c r="AB20" i="9" s="1"/>
  <c r="R19" i="8"/>
  <c r="S21" i="9" s="1"/>
  <c r="V19" i="8"/>
  <c r="W21" i="9" s="1"/>
  <c r="Z19" i="8"/>
  <c r="AA21" i="9" s="1"/>
  <c r="AD19" i="8"/>
  <c r="AE21" i="9" s="1"/>
  <c r="U20" i="8"/>
  <c r="V22" i="9" s="1"/>
  <c r="Y20" i="8"/>
  <c r="Z22" i="9" s="1"/>
  <c r="AC20" i="8"/>
  <c r="AD22" i="9" s="1"/>
  <c r="T21" i="8"/>
  <c r="U23" i="9" s="1"/>
  <c r="X21" i="8"/>
  <c r="Y23" i="9" s="1"/>
  <c r="AB21" i="8"/>
  <c r="AC23" i="9" s="1"/>
  <c r="S22" i="8"/>
  <c r="T24" i="9" s="1"/>
  <c r="W22" i="8"/>
  <c r="X24" i="9" s="1"/>
  <c r="AA22" i="8"/>
  <c r="AB24" i="9" s="1"/>
  <c r="R23" i="8"/>
  <c r="S25" i="9" s="1"/>
  <c r="V23" i="8"/>
  <c r="W25" i="9" s="1"/>
  <c r="Z23" i="8"/>
  <c r="AA25" i="9" s="1"/>
  <c r="X2" i="8"/>
  <c r="Y4" i="9" s="1"/>
  <c r="S3" i="8"/>
  <c r="T5" i="9" s="1"/>
  <c r="AA3" i="8"/>
  <c r="AB5" i="9" s="1"/>
  <c r="V4" i="8"/>
  <c r="W6" i="9" s="1"/>
  <c r="AB4" i="8"/>
  <c r="AC6" i="9" s="1"/>
  <c r="T5" i="8"/>
  <c r="U7" i="9" s="1"/>
  <c r="Y5" i="8"/>
  <c r="Z7" i="9" s="1"/>
  <c r="R6" i="8"/>
  <c r="S8" i="9" s="1"/>
  <c r="W6" i="8"/>
  <c r="X8" i="9" s="1"/>
  <c r="AB6" i="8"/>
  <c r="AC8" i="9" s="1"/>
  <c r="U7" i="8"/>
  <c r="V9" i="9" s="1"/>
  <c r="Z7" i="8"/>
  <c r="AA9" i="9" s="1"/>
  <c r="R8" i="8"/>
  <c r="S10" i="9" s="1"/>
  <c r="X8" i="8"/>
  <c r="Y10" i="9" s="1"/>
  <c r="AC8" i="8"/>
  <c r="AD10" i="9" s="1"/>
  <c r="U9" i="8"/>
  <c r="V11" i="9" s="1"/>
  <c r="AA9" i="8"/>
  <c r="AB11" i="9" s="1"/>
  <c r="S10" i="8"/>
  <c r="T12" i="9" s="1"/>
  <c r="X10" i="8"/>
  <c r="Y12" i="9" s="1"/>
  <c r="AD10" i="8"/>
  <c r="AE12" i="9" s="1"/>
  <c r="V11" i="8"/>
  <c r="W13" i="9" s="1"/>
  <c r="AA11" i="8"/>
  <c r="AB13" i="9" s="1"/>
  <c r="T12" i="8"/>
  <c r="U14" i="9" s="1"/>
  <c r="Y12" i="8"/>
  <c r="Z14" i="9" s="1"/>
  <c r="AD12" i="8"/>
  <c r="AE14" i="9" s="1"/>
  <c r="U13" i="8"/>
  <c r="V15" i="9" s="1"/>
  <c r="Y13" i="8"/>
  <c r="Z15" i="9" s="1"/>
  <c r="AC13" i="8"/>
  <c r="AD15" i="9" s="1"/>
  <c r="T14" i="8"/>
  <c r="U16" i="9" s="1"/>
  <c r="X14" i="8"/>
  <c r="Y16" i="9" s="1"/>
  <c r="AB14" i="8"/>
  <c r="AC16" i="9" s="1"/>
  <c r="S15" i="8"/>
  <c r="T17" i="9" s="1"/>
  <c r="W15" i="8"/>
  <c r="X17" i="9" s="1"/>
  <c r="AA15" i="8"/>
  <c r="AB17" i="9" s="1"/>
  <c r="R16" i="8"/>
  <c r="S18" i="9" s="1"/>
  <c r="V16" i="8"/>
  <c r="W18" i="9" s="1"/>
  <c r="Z16" i="8"/>
  <c r="AA18" i="9" s="1"/>
  <c r="AD16" i="8"/>
  <c r="AE18" i="9" s="1"/>
  <c r="U17" i="8"/>
  <c r="V19" i="9" s="1"/>
  <c r="Y17" i="8"/>
  <c r="Z19" i="9" s="1"/>
  <c r="AC17" i="8"/>
  <c r="AD19" i="9" s="1"/>
  <c r="T18" i="8"/>
  <c r="U20" i="9" s="1"/>
  <c r="X18" i="8"/>
  <c r="Y20" i="9" s="1"/>
  <c r="AB18" i="8"/>
  <c r="AC20" i="9" s="1"/>
  <c r="S19" i="8"/>
  <c r="T21" i="9" s="1"/>
  <c r="W19" i="8"/>
  <c r="X21" i="9" s="1"/>
  <c r="AA19" i="8"/>
  <c r="AB21" i="9" s="1"/>
  <c r="R20" i="8"/>
  <c r="S22" i="9" s="1"/>
  <c r="V20" i="8"/>
  <c r="W22" i="9" s="1"/>
  <c r="Z20" i="8"/>
  <c r="AA22" i="9" s="1"/>
  <c r="AD20" i="8"/>
  <c r="AE22" i="9" s="1"/>
  <c r="U21" i="8"/>
  <c r="V23" i="9" s="1"/>
  <c r="Y21" i="8"/>
  <c r="Z23" i="9" s="1"/>
  <c r="AC21" i="8"/>
  <c r="AD23" i="9" s="1"/>
  <c r="T22" i="8"/>
  <c r="U24" i="9" s="1"/>
  <c r="X22" i="8"/>
  <c r="Y24" i="9" s="1"/>
  <c r="AB22" i="8"/>
  <c r="AC24" i="9" s="1"/>
  <c r="S23" i="8"/>
  <c r="T25" i="9" s="1"/>
  <c r="W23" i="8"/>
  <c r="X25" i="9" s="1"/>
  <c r="AA23" i="8"/>
  <c r="AB25" i="9" s="1"/>
  <c r="R24" i="8"/>
  <c r="S26" i="9" s="1"/>
  <c r="S2" i="8"/>
  <c r="T4" i="9" s="1"/>
  <c r="V3" i="8"/>
  <c r="W5" i="9" s="1"/>
  <c r="X4" i="8"/>
  <c r="Y6" i="9" s="1"/>
  <c r="U5" i="8"/>
  <c r="V7" i="9" s="1"/>
  <c r="S6" i="8"/>
  <c r="T8" i="9" s="1"/>
  <c r="AD6" i="8"/>
  <c r="AE8" i="9" s="1"/>
  <c r="AA7" i="8"/>
  <c r="AB9" i="9" s="1"/>
  <c r="Y8" i="8"/>
  <c r="Z10" i="9" s="1"/>
  <c r="W9" i="8"/>
  <c r="X11" i="9" s="1"/>
  <c r="T10" i="8"/>
  <c r="U12" i="9" s="1"/>
  <c r="R11" i="8"/>
  <c r="S13" i="9" s="1"/>
  <c r="AC11" i="8"/>
  <c r="AD13" i="9" s="1"/>
  <c r="Z12" i="8"/>
  <c r="AA14" i="9" s="1"/>
  <c r="V13" i="8"/>
  <c r="W15" i="9" s="1"/>
  <c r="AD13" i="8"/>
  <c r="AE15" i="9" s="1"/>
  <c r="Y14" i="8"/>
  <c r="Z16" i="9" s="1"/>
  <c r="T15" i="8"/>
  <c r="U17" i="9" s="1"/>
  <c r="AB15" i="8"/>
  <c r="AC17" i="9" s="1"/>
  <c r="W16" i="8"/>
  <c r="X18" i="9" s="1"/>
  <c r="R17" i="8"/>
  <c r="S19" i="9" s="1"/>
  <c r="Z17" i="8"/>
  <c r="AA19" i="9" s="1"/>
  <c r="U18" i="8"/>
  <c r="V20" i="9" s="1"/>
  <c r="AC18" i="8"/>
  <c r="AD20" i="9" s="1"/>
  <c r="X19" i="8"/>
  <c r="Y21" i="9" s="1"/>
  <c r="S20" i="8"/>
  <c r="T22" i="9" s="1"/>
  <c r="AA20" i="8"/>
  <c r="AB22" i="9" s="1"/>
  <c r="V21" i="8"/>
  <c r="W23" i="9" s="1"/>
  <c r="AD21" i="8"/>
  <c r="AE23" i="9" s="1"/>
  <c r="Y22" i="8"/>
  <c r="Z24" i="9" s="1"/>
  <c r="T23" i="8"/>
  <c r="U25" i="9" s="1"/>
  <c r="AB23" i="8"/>
  <c r="AC25" i="9" s="1"/>
  <c r="T24" i="8"/>
  <c r="U26" i="9" s="1"/>
  <c r="X24" i="8"/>
  <c r="Y26" i="9" s="1"/>
  <c r="AB24" i="8"/>
  <c r="AC26" i="9" s="1"/>
  <c r="S25" i="8"/>
  <c r="T27" i="9" s="1"/>
  <c r="W25" i="8"/>
  <c r="X27" i="9" s="1"/>
  <c r="AA25" i="8"/>
  <c r="AB27" i="9" s="1"/>
  <c r="R26" i="8"/>
  <c r="S28" i="9" s="1"/>
  <c r="V26" i="8"/>
  <c r="W28" i="9" s="1"/>
  <c r="Z26" i="8"/>
  <c r="AA28" i="9" s="1"/>
  <c r="AD26" i="8"/>
  <c r="AE28" i="9" s="1"/>
  <c r="U27" i="8"/>
  <c r="V29" i="9" s="1"/>
  <c r="Y27" i="8"/>
  <c r="Z29" i="9" s="1"/>
  <c r="AC27" i="8"/>
  <c r="AD29" i="9" s="1"/>
  <c r="T28" i="8"/>
  <c r="U30" i="9" s="1"/>
  <c r="X28" i="8"/>
  <c r="Y30" i="9" s="1"/>
  <c r="AB28" i="8"/>
  <c r="AC30" i="9" s="1"/>
  <c r="S29" i="8"/>
  <c r="T31" i="9" s="1"/>
  <c r="W29" i="8"/>
  <c r="X31" i="9" s="1"/>
  <c r="AA29" i="8"/>
  <c r="AB31" i="9" s="1"/>
  <c r="R30" i="8"/>
  <c r="S32" i="9" s="1"/>
  <c r="V30" i="8"/>
  <c r="W32" i="9" s="1"/>
  <c r="Z30" i="8"/>
  <c r="AA32" i="9" s="1"/>
  <c r="AD30" i="8"/>
  <c r="AE32" i="9" s="1"/>
  <c r="U31" i="8"/>
  <c r="V33" i="9" s="1"/>
  <c r="Y31" i="8"/>
  <c r="Z33" i="9" s="1"/>
  <c r="AC31" i="8"/>
  <c r="AD33" i="9" s="1"/>
  <c r="T32" i="8"/>
  <c r="U34" i="9" s="1"/>
  <c r="X32" i="8"/>
  <c r="Y34" i="9" s="1"/>
  <c r="AB32" i="8"/>
  <c r="AC34" i="9" s="1"/>
  <c r="S33" i="8"/>
  <c r="T35" i="9" s="1"/>
  <c r="W33" i="8"/>
  <c r="X35" i="9" s="1"/>
  <c r="AA33" i="8"/>
  <c r="AB35" i="9" s="1"/>
  <c r="R34" i="8"/>
  <c r="S36" i="9" s="1"/>
  <c r="V34" i="8"/>
  <c r="W36" i="9" s="1"/>
  <c r="Z34" i="8"/>
  <c r="AA36" i="9" s="1"/>
  <c r="AD34" i="8"/>
  <c r="AE36" i="9" s="1"/>
  <c r="U35" i="8"/>
  <c r="V37" i="9" s="1"/>
  <c r="Y35" i="8"/>
  <c r="Z37" i="9" s="1"/>
  <c r="AC35" i="8"/>
  <c r="AD37" i="9" s="1"/>
  <c r="T36" i="8"/>
  <c r="U38" i="9" s="1"/>
  <c r="X36" i="8"/>
  <c r="Y38" i="9" s="1"/>
  <c r="AB36" i="8"/>
  <c r="AC38" i="9" s="1"/>
  <c r="S37" i="8"/>
  <c r="T39" i="9" s="1"/>
  <c r="W37" i="8"/>
  <c r="X39" i="9" s="1"/>
  <c r="AA37" i="8"/>
  <c r="AB39" i="9" s="1"/>
  <c r="R38" i="8"/>
  <c r="S40" i="9" s="1"/>
  <c r="V38" i="8"/>
  <c r="W40" i="9" s="1"/>
  <c r="Z38" i="8"/>
  <c r="AA40" i="9" s="1"/>
  <c r="AD38" i="8"/>
  <c r="AE40" i="9" s="1"/>
  <c r="U39" i="8"/>
  <c r="V41" i="9" s="1"/>
  <c r="Y39" i="8"/>
  <c r="Z41" i="9" s="1"/>
  <c r="AC39" i="8"/>
  <c r="AD41" i="9" s="1"/>
  <c r="T40" i="8"/>
  <c r="U42" i="9" s="1"/>
  <c r="X40" i="8"/>
  <c r="Y42" i="9" s="1"/>
  <c r="AB40" i="8"/>
  <c r="AC42" i="9" s="1"/>
  <c r="S41" i="8"/>
  <c r="T43" i="9" s="1"/>
  <c r="W41" i="8"/>
  <c r="X43" i="9" s="1"/>
  <c r="AA41" i="8"/>
  <c r="AB43" i="9" s="1"/>
  <c r="R42" i="8"/>
  <c r="S44" i="9" s="1"/>
  <c r="V42" i="8"/>
  <c r="W44" i="9" s="1"/>
  <c r="Z42" i="8"/>
  <c r="AA44" i="9" s="1"/>
  <c r="AD42" i="8"/>
  <c r="AE44" i="9" s="1"/>
  <c r="U43" i="8"/>
  <c r="V45" i="9" s="1"/>
  <c r="Y43" i="8"/>
  <c r="Z45" i="9" s="1"/>
  <c r="AC43" i="8"/>
  <c r="AD45" i="9" s="1"/>
  <c r="T44" i="8"/>
  <c r="U46" i="9" s="1"/>
  <c r="X44" i="8"/>
  <c r="Y46" i="9" s="1"/>
  <c r="AB44" i="8"/>
  <c r="AC46" i="9" s="1"/>
  <c r="S45" i="8"/>
  <c r="T47" i="9" s="1"/>
  <c r="W45" i="8"/>
  <c r="X47" i="9" s="1"/>
  <c r="T2" i="8"/>
  <c r="U4" i="9" s="1"/>
  <c r="W3" i="8"/>
  <c r="X5" i="9" s="1"/>
  <c r="Y4" i="8"/>
  <c r="Z6" i="9" s="1"/>
  <c r="W5" i="8"/>
  <c r="X7" i="9" s="1"/>
  <c r="T6" i="8"/>
  <c r="U8" i="9" s="1"/>
  <c r="R7" i="8"/>
  <c r="S9" i="9" s="1"/>
  <c r="AC7" i="8"/>
  <c r="AD9" i="9" s="1"/>
  <c r="Z8" i="8"/>
  <c r="AA10" i="9" s="1"/>
  <c r="X9" i="8"/>
  <c r="Y11" i="9" s="1"/>
  <c r="V10" i="8"/>
  <c r="W12" i="9" s="1"/>
  <c r="S11" i="8"/>
  <c r="T13" i="9" s="1"/>
  <c r="AD11" i="8"/>
  <c r="AE13" i="9" s="1"/>
  <c r="AB12" i="8"/>
  <c r="AC14" i="9" s="1"/>
  <c r="W13" i="8"/>
  <c r="X15" i="9" s="1"/>
  <c r="R14" i="8"/>
  <c r="S16" i="9" s="1"/>
  <c r="Z14" i="8"/>
  <c r="AA16" i="9" s="1"/>
  <c r="U15" i="8"/>
  <c r="V17" i="9" s="1"/>
  <c r="AC15" i="8"/>
  <c r="AD17" i="9" s="1"/>
  <c r="X16" i="8"/>
  <c r="Y18" i="9" s="1"/>
  <c r="S17" i="8"/>
  <c r="T19" i="9" s="1"/>
  <c r="AA17" i="8"/>
  <c r="AB19" i="9" s="1"/>
  <c r="V18" i="8"/>
  <c r="W20" i="9" s="1"/>
  <c r="AD18" i="8"/>
  <c r="AE20" i="9" s="1"/>
  <c r="Y19" i="8"/>
  <c r="Z21" i="9" s="1"/>
  <c r="T20" i="8"/>
  <c r="U22" i="9" s="1"/>
  <c r="AB20" i="8"/>
  <c r="AC22" i="9" s="1"/>
  <c r="W21" i="8"/>
  <c r="X23" i="9" s="1"/>
  <c r="R22" i="8"/>
  <c r="S24" i="9" s="1"/>
  <c r="Z22" i="8"/>
  <c r="AA24" i="9" s="1"/>
  <c r="U23" i="8"/>
  <c r="V25" i="9" s="1"/>
  <c r="AC23" i="8"/>
  <c r="AD25" i="9" s="1"/>
  <c r="U24" i="8"/>
  <c r="V26" i="9" s="1"/>
  <c r="Y24" i="8"/>
  <c r="Z26" i="9" s="1"/>
  <c r="AC24" i="8"/>
  <c r="AD26" i="9" s="1"/>
  <c r="T25" i="8"/>
  <c r="U27" i="9" s="1"/>
  <c r="X25" i="8"/>
  <c r="Y27" i="9" s="1"/>
  <c r="AB25" i="8"/>
  <c r="AC27" i="9" s="1"/>
  <c r="S26" i="8"/>
  <c r="T28" i="9" s="1"/>
  <c r="W26" i="8"/>
  <c r="X28" i="9" s="1"/>
  <c r="AA26" i="8"/>
  <c r="AB28" i="9" s="1"/>
  <c r="R27" i="8"/>
  <c r="S29" i="9" s="1"/>
  <c r="V27" i="8"/>
  <c r="W29" i="9" s="1"/>
  <c r="Z27" i="8"/>
  <c r="AA29" i="9" s="1"/>
  <c r="AD27" i="8"/>
  <c r="AE29" i="9" s="1"/>
  <c r="U28" i="8"/>
  <c r="V30" i="9" s="1"/>
  <c r="Y28" i="8"/>
  <c r="Z30" i="9" s="1"/>
  <c r="AC28" i="8"/>
  <c r="AD30" i="9" s="1"/>
  <c r="T29" i="8"/>
  <c r="U31" i="9" s="1"/>
  <c r="X29" i="8"/>
  <c r="Y31" i="9" s="1"/>
  <c r="AB29" i="8"/>
  <c r="AC31" i="9" s="1"/>
  <c r="S30" i="8"/>
  <c r="T32" i="9" s="1"/>
  <c r="W30" i="8"/>
  <c r="X32" i="9" s="1"/>
  <c r="AA30" i="8"/>
  <c r="AB32" i="9" s="1"/>
  <c r="R31" i="8"/>
  <c r="S33" i="9" s="1"/>
  <c r="V31" i="8"/>
  <c r="W33" i="9" s="1"/>
  <c r="Z31" i="8"/>
  <c r="AA33" i="9" s="1"/>
  <c r="AD31" i="8"/>
  <c r="AE33" i="9" s="1"/>
  <c r="U32" i="8"/>
  <c r="V34" i="9" s="1"/>
  <c r="Y32" i="8"/>
  <c r="Z34" i="9" s="1"/>
  <c r="AC32" i="8"/>
  <c r="AD34" i="9" s="1"/>
  <c r="T33" i="8"/>
  <c r="U35" i="9" s="1"/>
  <c r="X33" i="8"/>
  <c r="Y35" i="9" s="1"/>
  <c r="AB33" i="8"/>
  <c r="AC35" i="9" s="1"/>
  <c r="S34" i="8"/>
  <c r="T36" i="9" s="1"/>
  <c r="W34" i="8"/>
  <c r="X36" i="9" s="1"/>
  <c r="AA34" i="8"/>
  <c r="AB36" i="9" s="1"/>
  <c r="R35" i="8"/>
  <c r="S37" i="9" s="1"/>
  <c r="V35" i="8"/>
  <c r="W37" i="9" s="1"/>
  <c r="Z35" i="8"/>
  <c r="AA37" i="9" s="1"/>
  <c r="AD35" i="8"/>
  <c r="AE37" i="9" s="1"/>
  <c r="U36" i="8"/>
  <c r="V38" i="9" s="1"/>
  <c r="Y36" i="8"/>
  <c r="Z38" i="9" s="1"/>
  <c r="AC36" i="8"/>
  <c r="AD38" i="9" s="1"/>
  <c r="T37" i="8"/>
  <c r="U39" i="9" s="1"/>
  <c r="X37" i="8"/>
  <c r="Y39" i="9" s="1"/>
  <c r="AB37" i="8"/>
  <c r="AC39" i="9" s="1"/>
  <c r="S38" i="8"/>
  <c r="T40" i="9" s="1"/>
  <c r="W38" i="8"/>
  <c r="X40" i="9" s="1"/>
  <c r="AA38" i="8"/>
  <c r="AB40" i="9" s="1"/>
  <c r="R39" i="8"/>
  <c r="S41" i="9" s="1"/>
  <c r="V39" i="8"/>
  <c r="W41" i="9" s="1"/>
  <c r="Z39" i="8"/>
  <c r="AA41" i="9" s="1"/>
  <c r="AD39" i="8"/>
  <c r="AE41" i="9" s="1"/>
  <c r="U40" i="8"/>
  <c r="V42" i="9" s="1"/>
  <c r="Y40" i="8"/>
  <c r="Z42" i="9" s="1"/>
  <c r="AC40" i="8"/>
  <c r="AD42" i="9" s="1"/>
  <c r="T41" i="8"/>
  <c r="U43" i="9" s="1"/>
  <c r="X41" i="8"/>
  <c r="Y43" i="9" s="1"/>
  <c r="AB41" i="8"/>
  <c r="AC43" i="9" s="1"/>
  <c r="S42" i="8"/>
  <c r="T44" i="9" s="1"/>
  <c r="W42" i="8"/>
  <c r="X44" i="9" s="1"/>
  <c r="AA42" i="8"/>
  <c r="AB44" i="9" s="1"/>
  <c r="R43" i="8"/>
  <c r="S45" i="9" s="1"/>
  <c r="V43" i="8"/>
  <c r="W45" i="9" s="1"/>
  <c r="Z43" i="8"/>
  <c r="AA45" i="9" s="1"/>
  <c r="AD43" i="8"/>
  <c r="AE45" i="9" s="1"/>
  <c r="U44" i="8"/>
  <c r="V46" i="9" s="1"/>
  <c r="Y44" i="8"/>
  <c r="Z46" i="9" s="1"/>
  <c r="AC44" i="8"/>
  <c r="AD46" i="9" s="1"/>
  <c r="T45" i="8"/>
  <c r="U47" i="9" s="1"/>
  <c r="X45" i="8"/>
  <c r="Y47" i="9" s="1"/>
  <c r="AA2" i="8"/>
  <c r="AB4" i="9" s="1"/>
  <c r="AD3" i="8"/>
  <c r="AE5" i="9" s="1"/>
  <c r="AC4" i="8"/>
  <c r="AD6" i="9" s="1"/>
  <c r="AA5" i="8"/>
  <c r="AB7" i="9" s="1"/>
  <c r="X6" i="8"/>
  <c r="Y8" i="9" s="1"/>
  <c r="V7" i="8"/>
  <c r="W9" i="9" s="1"/>
  <c r="T8" i="8"/>
  <c r="U10" i="9" s="1"/>
  <c r="AD8" i="8"/>
  <c r="AE10" i="9" s="1"/>
  <c r="AB9" i="8"/>
  <c r="AC11" i="9" s="1"/>
  <c r="Z10" i="8"/>
  <c r="AA12" i="9" s="1"/>
  <c r="W11" i="8"/>
  <c r="X13" i="9" s="1"/>
  <c r="U12" i="8"/>
  <c r="V14" i="9" s="1"/>
  <c r="R13" i="8"/>
  <c r="S15" i="9" s="1"/>
  <c r="Z13" i="8"/>
  <c r="AA15" i="9" s="1"/>
  <c r="U14" i="8"/>
  <c r="V16" i="9" s="1"/>
  <c r="AC14" i="8"/>
  <c r="AD16" i="9" s="1"/>
  <c r="X15" i="8"/>
  <c r="Y17" i="9" s="1"/>
  <c r="S16" i="8"/>
  <c r="T18" i="9" s="1"/>
  <c r="AA16" i="8"/>
  <c r="AB18" i="9" s="1"/>
  <c r="V17" i="8"/>
  <c r="W19" i="9" s="1"/>
  <c r="AD17" i="8"/>
  <c r="AE19" i="9" s="1"/>
  <c r="Y18" i="8"/>
  <c r="Z20" i="9" s="1"/>
  <c r="T19" i="8"/>
  <c r="U21" i="9" s="1"/>
  <c r="AB19" i="8"/>
  <c r="AC21" i="9" s="1"/>
  <c r="W20" i="8"/>
  <c r="X22" i="9" s="1"/>
  <c r="R21" i="8"/>
  <c r="S23" i="9" s="1"/>
  <c r="Z21" i="8"/>
  <c r="AA23" i="9" s="1"/>
  <c r="U22" i="8"/>
  <c r="V24" i="9" s="1"/>
  <c r="AC22" i="8"/>
  <c r="AD24" i="9" s="1"/>
  <c r="X23" i="8"/>
  <c r="Y25" i="9" s="1"/>
  <c r="AD23" i="8"/>
  <c r="AE25" i="9" s="1"/>
  <c r="V24" i="8"/>
  <c r="W26" i="9" s="1"/>
  <c r="Z24" i="8"/>
  <c r="AA26" i="9" s="1"/>
  <c r="AD24" i="8"/>
  <c r="AE26" i="9" s="1"/>
  <c r="U25" i="8"/>
  <c r="V27" i="9" s="1"/>
  <c r="Y25" i="8"/>
  <c r="Z27" i="9" s="1"/>
  <c r="AC25" i="8"/>
  <c r="AD27" i="9" s="1"/>
  <c r="T26" i="8"/>
  <c r="U28" i="9" s="1"/>
  <c r="X26" i="8"/>
  <c r="Y28" i="9" s="1"/>
  <c r="AB26" i="8"/>
  <c r="AC28" i="9" s="1"/>
  <c r="S27" i="8"/>
  <c r="T29" i="9" s="1"/>
  <c r="W27" i="8"/>
  <c r="X29" i="9" s="1"/>
  <c r="AA27" i="8"/>
  <c r="AB29" i="9" s="1"/>
  <c r="R28" i="8"/>
  <c r="S30" i="9" s="1"/>
  <c r="V28" i="8"/>
  <c r="W30" i="9" s="1"/>
  <c r="Z28" i="8"/>
  <c r="AA30" i="9" s="1"/>
  <c r="AD28" i="8"/>
  <c r="AE30" i="9" s="1"/>
  <c r="U29" i="8"/>
  <c r="V31" i="9" s="1"/>
  <c r="Y29" i="8"/>
  <c r="Z31" i="9" s="1"/>
  <c r="AC29" i="8"/>
  <c r="AD31" i="9" s="1"/>
  <c r="T30" i="8"/>
  <c r="U32" i="9" s="1"/>
  <c r="X30" i="8"/>
  <c r="Y32" i="9" s="1"/>
  <c r="AB30" i="8"/>
  <c r="AC32" i="9" s="1"/>
  <c r="S31" i="8"/>
  <c r="T33" i="9" s="1"/>
  <c r="W31" i="8"/>
  <c r="X33" i="9" s="1"/>
  <c r="AA31" i="8"/>
  <c r="AB33" i="9" s="1"/>
  <c r="R32" i="8"/>
  <c r="S34" i="9" s="1"/>
  <c r="V32" i="8"/>
  <c r="W34" i="9" s="1"/>
  <c r="Z32" i="8"/>
  <c r="AA34" i="9" s="1"/>
  <c r="AD32" i="8"/>
  <c r="AE34" i="9" s="1"/>
  <c r="U33" i="8"/>
  <c r="V35" i="9" s="1"/>
  <c r="Y33" i="8"/>
  <c r="Z35" i="9" s="1"/>
  <c r="AC33" i="8"/>
  <c r="AD35" i="9" s="1"/>
  <c r="T34" i="8"/>
  <c r="U36" i="9" s="1"/>
  <c r="X34" i="8"/>
  <c r="Y36" i="9" s="1"/>
  <c r="AB34" i="8"/>
  <c r="AC36" i="9" s="1"/>
  <c r="S35" i="8"/>
  <c r="T37" i="9" s="1"/>
  <c r="W35" i="8"/>
  <c r="X37" i="9" s="1"/>
  <c r="AA35" i="8"/>
  <c r="AB37" i="9" s="1"/>
  <c r="R36" i="8"/>
  <c r="S38" i="9" s="1"/>
  <c r="V36" i="8"/>
  <c r="W38" i="9" s="1"/>
  <c r="Z36" i="8"/>
  <c r="AA38" i="9" s="1"/>
  <c r="AD36" i="8"/>
  <c r="AE38" i="9" s="1"/>
  <c r="AD4" i="8"/>
  <c r="AE6" i="9" s="1"/>
  <c r="U8" i="8"/>
  <c r="V10" i="9" s="1"/>
  <c r="Y11" i="8"/>
  <c r="Z13" i="9" s="1"/>
  <c r="V14" i="8"/>
  <c r="W16" i="9" s="1"/>
  <c r="AB16" i="8"/>
  <c r="AC18" i="9" s="1"/>
  <c r="U19" i="8"/>
  <c r="V21" i="9" s="1"/>
  <c r="AA21" i="8"/>
  <c r="AB23" i="9" s="1"/>
  <c r="S24" i="8"/>
  <c r="T26" i="9" s="1"/>
  <c r="V25" i="8"/>
  <c r="W27" i="9" s="1"/>
  <c r="Y26" i="8"/>
  <c r="Z28" i="9" s="1"/>
  <c r="AB27" i="8"/>
  <c r="AC29" i="9" s="1"/>
  <c r="R29" i="8"/>
  <c r="S31" i="9" s="1"/>
  <c r="U30" i="8"/>
  <c r="V32" i="9" s="1"/>
  <c r="X31" i="8"/>
  <c r="Y33" i="9" s="1"/>
  <c r="AA32" i="8"/>
  <c r="AB34" i="9" s="1"/>
  <c r="AD33" i="8"/>
  <c r="AE35" i="9" s="1"/>
  <c r="T35" i="8"/>
  <c r="U37" i="9" s="1"/>
  <c r="W36" i="8"/>
  <c r="X38" i="9" s="1"/>
  <c r="V37" i="8"/>
  <c r="W39" i="9" s="1"/>
  <c r="AD37" i="8"/>
  <c r="AE39" i="9" s="1"/>
  <c r="Y38" i="8"/>
  <c r="Z40" i="9" s="1"/>
  <c r="T39" i="8"/>
  <c r="U41" i="9" s="1"/>
  <c r="AB39" i="8"/>
  <c r="AC41" i="9" s="1"/>
  <c r="W40" i="8"/>
  <c r="X42" i="9" s="1"/>
  <c r="R41" i="8"/>
  <c r="S43" i="9" s="1"/>
  <c r="Z41" i="8"/>
  <c r="AA43" i="9" s="1"/>
  <c r="U42" i="8"/>
  <c r="V44" i="9" s="1"/>
  <c r="AC42" i="8"/>
  <c r="AD44" i="9" s="1"/>
  <c r="X43" i="8"/>
  <c r="Y45" i="9" s="1"/>
  <c r="S44" i="8"/>
  <c r="T46" i="9" s="1"/>
  <c r="AA44" i="8"/>
  <c r="AB46" i="9" s="1"/>
  <c r="V45" i="8"/>
  <c r="W47" i="9" s="1"/>
  <c r="AB45" i="8"/>
  <c r="AC47" i="9" s="1"/>
  <c r="S46" i="8"/>
  <c r="T48" i="9" s="1"/>
  <c r="W46" i="8"/>
  <c r="X48" i="9" s="1"/>
  <c r="AA46" i="8"/>
  <c r="AB48" i="9" s="1"/>
  <c r="R47" i="8"/>
  <c r="S49" i="9" s="1"/>
  <c r="V47" i="8"/>
  <c r="W49" i="9" s="1"/>
  <c r="Z47" i="8"/>
  <c r="AA49" i="9" s="1"/>
  <c r="AD47" i="8"/>
  <c r="AE49" i="9" s="1"/>
  <c r="U48" i="8"/>
  <c r="V50" i="9" s="1"/>
  <c r="Y48" i="8"/>
  <c r="Z50" i="9" s="1"/>
  <c r="AC48" i="8"/>
  <c r="AD50" i="9" s="1"/>
  <c r="T49" i="8"/>
  <c r="U51" i="9" s="1"/>
  <c r="X49" i="8"/>
  <c r="Y51" i="9" s="1"/>
  <c r="AB49" i="8"/>
  <c r="AC51" i="9" s="1"/>
  <c r="S50" i="8"/>
  <c r="T52" i="9" s="1"/>
  <c r="W50" i="8"/>
  <c r="X52" i="9" s="1"/>
  <c r="AA50" i="8"/>
  <c r="AB52" i="9" s="1"/>
  <c r="R51" i="8"/>
  <c r="S53" i="9" s="1"/>
  <c r="V51" i="8"/>
  <c r="W53" i="9" s="1"/>
  <c r="Z51" i="8"/>
  <c r="AA53" i="9" s="1"/>
  <c r="AD51" i="8"/>
  <c r="AE53" i="9" s="1"/>
  <c r="U52" i="8"/>
  <c r="V54" i="9" s="1"/>
  <c r="Y52" i="8"/>
  <c r="Z54" i="9" s="1"/>
  <c r="AC52" i="8"/>
  <c r="AD54" i="9" s="1"/>
  <c r="T53" i="8"/>
  <c r="U55" i="9" s="1"/>
  <c r="X53" i="8"/>
  <c r="Y55" i="9" s="1"/>
  <c r="AB53" i="8"/>
  <c r="AC55" i="9" s="1"/>
  <c r="S54" i="8"/>
  <c r="T56" i="9" s="1"/>
  <c r="W54" i="8"/>
  <c r="X56" i="9" s="1"/>
  <c r="AA54" i="8"/>
  <c r="AB56" i="9" s="1"/>
  <c r="R55" i="8"/>
  <c r="S57" i="9" s="1"/>
  <c r="V55" i="8"/>
  <c r="W57" i="9" s="1"/>
  <c r="Z55" i="8"/>
  <c r="AA57" i="9" s="1"/>
  <c r="AD55" i="8"/>
  <c r="AE57" i="9" s="1"/>
  <c r="U56" i="8"/>
  <c r="V58" i="9" s="1"/>
  <c r="Y56" i="8"/>
  <c r="Z58" i="9" s="1"/>
  <c r="AC56" i="8"/>
  <c r="AD58" i="9" s="1"/>
  <c r="T57" i="8"/>
  <c r="U59" i="9" s="1"/>
  <c r="X57" i="8"/>
  <c r="Y59" i="9" s="1"/>
  <c r="AB57" i="8"/>
  <c r="AC59" i="9" s="1"/>
  <c r="S58" i="8"/>
  <c r="T60" i="9" s="1"/>
  <c r="W58" i="8"/>
  <c r="X60" i="9" s="1"/>
  <c r="AA58" i="8"/>
  <c r="AB60" i="9" s="1"/>
  <c r="R59" i="8"/>
  <c r="S61" i="9" s="1"/>
  <c r="V59" i="8"/>
  <c r="W61" i="9" s="1"/>
  <c r="Z59" i="8"/>
  <c r="AA61" i="9" s="1"/>
  <c r="AD59" i="8"/>
  <c r="AE61" i="9" s="1"/>
  <c r="U60" i="8"/>
  <c r="V62" i="9" s="1"/>
  <c r="Y60" i="8"/>
  <c r="Z62" i="9" s="1"/>
  <c r="AC60" i="8"/>
  <c r="AD62" i="9" s="1"/>
  <c r="T61" i="8"/>
  <c r="U63" i="9" s="1"/>
  <c r="X61" i="8"/>
  <c r="Y63" i="9" s="1"/>
  <c r="AB61" i="8"/>
  <c r="AC63" i="9" s="1"/>
  <c r="S62" i="8"/>
  <c r="T64" i="9" s="1"/>
  <c r="W62" i="8"/>
  <c r="X64" i="9" s="1"/>
  <c r="AA62" i="8"/>
  <c r="AB64" i="9" s="1"/>
  <c r="R63" i="8"/>
  <c r="S65" i="9" s="1"/>
  <c r="V63" i="8"/>
  <c r="W65" i="9" s="1"/>
  <c r="Z63" i="8"/>
  <c r="AA65" i="9" s="1"/>
  <c r="AD63" i="8"/>
  <c r="AE65" i="9" s="1"/>
  <c r="U64" i="8"/>
  <c r="V66" i="9" s="1"/>
  <c r="Y64" i="8"/>
  <c r="Z66" i="9" s="1"/>
  <c r="AC64" i="8"/>
  <c r="AD66" i="9" s="1"/>
  <c r="T65" i="8"/>
  <c r="U67" i="9" s="1"/>
  <c r="X65" i="8"/>
  <c r="Y67" i="9" s="1"/>
  <c r="AB65" i="8"/>
  <c r="AC67" i="9" s="1"/>
  <c r="S66" i="8"/>
  <c r="T68" i="9" s="1"/>
  <c r="W66" i="8"/>
  <c r="X68" i="9" s="1"/>
  <c r="AA66" i="8"/>
  <c r="AB68" i="9" s="1"/>
  <c r="R67" i="8"/>
  <c r="S69" i="9" s="1"/>
  <c r="V67" i="8"/>
  <c r="W69" i="9" s="1"/>
  <c r="Z67" i="8"/>
  <c r="AA69" i="9" s="1"/>
  <c r="AD67" i="8"/>
  <c r="AE69" i="9" s="1"/>
  <c r="U68" i="8"/>
  <c r="V70" i="9" s="1"/>
  <c r="Y68" i="8"/>
  <c r="Z70" i="9" s="1"/>
  <c r="AC68" i="8"/>
  <c r="AD70" i="9" s="1"/>
  <c r="T69" i="8"/>
  <c r="U71" i="9" s="1"/>
  <c r="X69" i="8"/>
  <c r="Y71" i="9" s="1"/>
  <c r="AB69" i="8"/>
  <c r="AC71" i="9" s="1"/>
  <c r="S70" i="8"/>
  <c r="T72" i="9" s="1"/>
  <c r="W70" i="8"/>
  <c r="X72" i="9" s="1"/>
  <c r="AA70" i="8"/>
  <c r="AB72" i="9" s="1"/>
  <c r="R71" i="8"/>
  <c r="S73" i="9" s="1"/>
  <c r="V71" i="8"/>
  <c r="W73" i="9" s="1"/>
  <c r="Z71" i="8"/>
  <c r="AA73" i="9" s="1"/>
  <c r="AD71" i="8"/>
  <c r="AE73" i="9" s="1"/>
  <c r="U72" i="8"/>
  <c r="V74" i="9" s="1"/>
  <c r="Y72" i="8"/>
  <c r="Z74" i="9" s="1"/>
  <c r="AC72" i="8"/>
  <c r="AD74" i="9" s="1"/>
  <c r="T73" i="8"/>
  <c r="U75" i="9" s="1"/>
  <c r="X73" i="8"/>
  <c r="Y75" i="9" s="1"/>
  <c r="AB73" i="8"/>
  <c r="AC75" i="9" s="1"/>
  <c r="S74" i="8"/>
  <c r="T76" i="9" s="1"/>
  <c r="W74" i="8"/>
  <c r="X76" i="9" s="1"/>
  <c r="AA74" i="8"/>
  <c r="AB76" i="9" s="1"/>
  <c r="R75" i="8"/>
  <c r="S77" i="9" s="1"/>
  <c r="V75" i="8"/>
  <c r="W77" i="9" s="1"/>
  <c r="Z75" i="8"/>
  <c r="AA77" i="9" s="1"/>
  <c r="AD75" i="8"/>
  <c r="AE77" i="9" s="1"/>
  <c r="U76" i="8"/>
  <c r="V78" i="9" s="1"/>
  <c r="Y76" i="8"/>
  <c r="Z78" i="9" s="1"/>
  <c r="AC76" i="8"/>
  <c r="AD78" i="9" s="1"/>
  <c r="T77" i="8"/>
  <c r="U79" i="9" s="1"/>
  <c r="X77" i="8"/>
  <c r="Y79" i="9" s="1"/>
  <c r="AB77" i="8"/>
  <c r="AC79" i="9" s="1"/>
  <c r="S78" i="8"/>
  <c r="T80" i="9" s="1"/>
  <c r="W78" i="8"/>
  <c r="X80" i="9" s="1"/>
  <c r="AA78" i="8"/>
  <c r="AB80" i="9" s="1"/>
  <c r="R79" i="8"/>
  <c r="S81" i="9" s="1"/>
  <c r="V79" i="8"/>
  <c r="W81" i="9" s="1"/>
  <c r="Z79" i="8"/>
  <c r="AA81" i="9" s="1"/>
  <c r="AD79" i="8"/>
  <c r="AE81" i="9" s="1"/>
  <c r="U80" i="8"/>
  <c r="V82" i="9" s="1"/>
  <c r="Y80" i="8"/>
  <c r="Z82" i="9" s="1"/>
  <c r="AC80" i="8"/>
  <c r="AD82" i="9" s="1"/>
  <c r="T81" i="8"/>
  <c r="U83" i="9" s="1"/>
  <c r="X81" i="8"/>
  <c r="Y83" i="9" s="1"/>
  <c r="AB81" i="8"/>
  <c r="AC83" i="9" s="1"/>
  <c r="S82" i="8"/>
  <c r="T84" i="9" s="1"/>
  <c r="W82" i="8"/>
  <c r="X84" i="9" s="1"/>
  <c r="AA82" i="8"/>
  <c r="AB84" i="9" s="1"/>
  <c r="R83" i="8"/>
  <c r="S85" i="9" s="1"/>
  <c r="V83" i="8"/>
  <c r="W85" i="9" s="1"/>
  <c r="Z83" i="8"/>
  <c r="AA85" i="9" s="1"/>
  <c r="AD83" i="8"/>
  <c r="AE85" i="9" s="1"/>
  <c r="U84" i="8"/>
  <c r="V86" i="9" s="1"/>
  <c r="Y84" i="8"/>
  <c r="Z86" i="9" s="1"/>
  <c r="AC84" i="8"/>
  <c r="AD86" i="9" s="1"/>
  <c r="T85" i="8"/>
  <c r="U87" i="9" s="1"/>
  <c r="X85" i="8"/>
  <c r="Y87" i="9" s="1"/>
  <c r="AB85" i="8"/>
  <c r="AC87" i="9" s="1"/>
  <c r="S86" i="8"/>
  <c r="T88" i="9" s="1"/>
  <c r="W86" i="8"/>
  <c r="X88" i="9" s="1"/>
  <c r="AA86" i="8"/>
  <c r="AB88" i="9" s="1"/>
  <c r="AB5" i="8"/>
  <c r="AC7" i="9" s="1"/>
  <c r="S9" i="8"/>
  <c r="T11" i="9" s="1"/>
  <c r="V12" i="8"/>
  <c r="W14" i="9" s="1"/>
  <c r="AD14" i="8"/>
  <c r="AE16" i="9" s="1"/>
  <c r="W17" i="8"/>
  <c r="X19" i="9" s="1"/>
  <c r="AC19" i="8"/>
  <c r="AD21" i="9" s="1"/>
  <c r="V22" i="8"/>
  <c r="W24" i="9" s="1"/>
  <c r="W24" i="8"/>
  <c r="X26" i="9" s="1"/>
  <c r="Z25" i="8"/>
  <c r="AA27" i="9" s="1"/>
  <c r="AC26" i="8"/>
  <c r="AD28" i="9" s="1"/>
  <c r="S28" i="8"/>
  <c r="T30" i="9" s="1"/>
  <c r="V29" i="8"/>
  <c r="W31" i="9" s="1"/>
  <c r="Y30" i="8"/>
  <c r="Z32" i="9" s="1"/>
  <c r="AB31" i="8"/>
  <c r="AC33" i="9" s="1"/>
  <c r="R33" i="8"/>
  <c r="S35" i="9" s="1"/>
  <c r="U34" i="8"/>
  <c r="V36" i="9" s="1"/>
  <c r="X35" i="8"/>
  <c r="Y37" i="9" s="1"/>
  <c r="AA36" i="8"/>
  <c r="AB38" i="9" s="1"/>
  <c r="Y37" i="8"/>
  <c r="Z39" i="9" s="1"/>
  <c r="T38" i="8"/>
  <c r="U40" i="9" s="1"/>
  <c r="AB38" i="8"/>
  <c r="AC40" i="9" s="1"/>
  <c r="W39" i="8"/>
  <c r="X41" i="9" s="1"/>
  <c r="R40" i="8"/>
  <c r="S42" i="9" s="1"/>
  <c r="Z40" i="8"/>
  <c r="AA42" i="9" s="1"/>
  <c r="U41" i="8"/>
  <c r="V43" i="9" s="1"/>
  <c r="AC41" i="8"/>
  <c r="AD43" i="9" s="1"/>
  <c r="X42" i="8"/>
  <c r="Y44" i="9" s="1"/>
  <c r="S43" i="8"/>
  <c r="T45" i="9" s="1"/>
  <c r="AA43" i="8"/>
  <c r="AB45" i="9" s="1"/>
  <c r="V44" i="8"/>
  <c r="W46" i="9" s="1"/>
  <c r="AD44" i="8"/>
  <c r="AE46" i="9" s="1"/>
  <c r="Y45" i="8"/>
  <c r="Z47" i="9" s="1"/>
  <c r="AC45" i="8"/>
  <c r="AD47" i="9" s="1"/>
  <c r="T46" i="8"/>
  <c r="U48" i="9" s="1"/>
  <c r="X46" i="8"/>
  <c r="Y48" i="9" s="1"/>
  <c r="AB46" i="8"/>
  <c r="AC48" i="9" s="1"/>
  <c r="S47" i="8"/>
  <c r="T49" i="9" s="1"/>
  <c r="W47" i="8"/>
  <c r="X49" i="9" s="1"/>
  <c r="AA47" i="8"/>
  <c r="AB49" i="9" s="1"/>
  <c r="R48" i="8"/>
  <c r="S50" i="9" s="1"/>
  <c r="V48" i="8"/>
  <c r="W50" i="9" s="1"/>
  <c r="Z48" i="8"/>
  <c r="AA50" i="9" s="1"/>
  <c r="AD48" i="8"/>
  <c r="AE50" i="9" s="1"/>
  <c r="U49" i="8"/>
  <c r="V51" i="9" s="1"/>
  <c r="Y49" i="8"/>
  <c r="Z51" i="9" s="1"/>
  <c r="AC49" i="8"/>
  <c r="AD51" i="9" s="1"/>
  <c r="T50" i="8"/>
  <c r="U52" i="9" s="1"/>
  <c r="X50" i="8"/>
  <c r="Y52" i="9" s="1"/>
  <c r="AB50" i="8"/>
  <c r="AC52" i="9" s="1"/>
  <c r="S51" i="8"/>
  <c r="T53" i="9" s="1"/>
  <c r="W51" i="8"/>
  <c r="X53" i="9" s="1"/>
  <c r="AA51" i="8"/>
  <c r="AB53" i="9" s="1"/>
  <c r="R52" i="8"/>
  <c r="S54" i="9" s="1"/>
  <c r="V52" i="8"/>
  <c r="W54" i="9" s="1"/>
  <c r="Z52" i="8"/>
  <c r="AA54" i="9" s="1"/>
  <c r="AD52" i="8"/>
  <c r="AE54" i="9" s="1"/>
  <c r="U53" i="8"/>
  <c r="V55" i="9" s="1"/>
  <c r="Y53" i="8"/>
  <c r="Z55" i="9" s="1"/>
  <c r="AC53" i="8"/>
  <c r="AD55" i="9" s="1"/>
  <c r="T54" i="8"/>
  <c r="U56" i="9" s="1"/>
  <c r="X54" i="8"/>
  <c r="Y56" i="9" s="1"/>
  <c r="AB54" i="8"/>
  <c r="AC56" i="9" s="1"/>
  <c r="S55" i="8"/>
  <c r="T57" i="9" s="1"/>
  <c r="W55" i="8"/>
  <c r="X57" i="9" s="1"/>
  <c r="AA55" i="8"/>
  <c r="AB57" i="9" s="1"/>
  <c r="R56" i="8"/>
  <c r="S58" i="9" s="1"/>
  <c r="V56" i="8"/>
  <c r="W58" i="9" s="1"/>
  <c r="Z56" i="8"/>
  <c r="AA58" i="9" s="1"/>
  <c r="AD56" i="8"/>
  <c r="AE58" i="9" s="1"/>
  <c r="U57" i="8"/>
  <c r="V59" i="9" s="1"/>
  <c r="Y57" i="8"/>
  <c r="Z59" i="9" s="1"/>
  <c r="AC57" i="8"/>
  <c r="AD59" i="9" s="1"/>
  <c r="T58" i="8"/>
  <c r="U60" i="9" s="1"/>
  <c r="X58" i="8"/>
  <c r="Y60" i="9" s="1"/>
  <c r="AB58" i="8"/>
  <c r="AC60" i="9" s="1"/>
  <c r="S59" i="8"/>
  <c r="T61" i="9" s="1"/>
  <c r="W59" i="8"/>
  <c r="X61" i="9" s="1"/>
  <c r="AA59" i="8"/>
  <c r="AB61" i="9" s="1"/>
  <c r="R60" i="8"/>
  <c r="S62" i="9" s="1"/>
  <c r="V60" i="8"/>
  <c r="W62" i="9" s="1"/>
  <c r="Z60" i="8"/>
  <c r="AA62" i="9" s="1"/>
  <c r="AD60" i="8"/>
  <c r="AE62" i="9" s="1"/>
  <c r="U61" i="8"/>
  <c r="V63" i="9" s="1"/>
  <c r="Y61" i="8"/>
  <c r="Z63" i="9" s="1"/>
  <c r="AC61" i="8"/>
  <c r="AD63" i="9" s="1"/>
  <c r="T62" i="8"/>
  <c r="U64" i="9" s="1"/>
  <c r="X62" i="8"/>
  <c r="Y64" i="9" s="1"/>
  <c r="AB62" i="8"/>
  <c r="AC64" i="9" s="1"/>
  <c r="S63" i="8"/>
  <c r="T65" i="9" s="1"/>
  <c r="W63" i="8"/>
  <c r="X65" i="9" s="1"/>
  <c r="AA63" i="8"/>
  <c r="AB65" i="9" s="1"/>
  <c r="R64" i="8"/>
  <c r="S66" i="9" s="1"/>
  <c r="V64" i="8"/>
  <c r="W66" i="9" s="1"/>
  <c r="Z64" i="8"/>
  <c r="AA66" i="9" s="1"/>
  <c r="AD64" i="8"/>
  <c r="AE66" i="9" s="1"/>
  <c r="U65" i="8"/>
  <c r="V67" i="9" s="1"/>
  <c r="Y65" i="8"/>
  <c r="Z67" i="9" s="1"/>
  <c r="AC65" i="8"/>
  <c r="AD67" i="9" s="1"/>
  <c r="T66" i="8"/>
  <c r="U68" i="9" s="1"/>
  <c r="X66" i="8"/>
  <c r="Y68" i="9" s="1"/>
  <c r="AB66" i="8"/>
  <c r="AC68" i="9" s="1"/>
  <c r="S67" i="8"/>
  <c r="T69" i="9" s="1"/>
  <c r="W67" i="8"/>
  <c r="X69" i="9" s="1"/>
  <c r="AA67" i="8"/>
  <c r="AB69" i="9" s="1"/>
  <c r="R68" i="8"/>
  <c r="S70" i="9" s="1"/>
  <c r="V68" i="8"/>
  <c r="W70" i="9" s="1"/>
  <c r="Z68" i="8"/>
  <c r="AA70" i="9" s="1"/>
  <c r="AD68" i="8"/>
  <c r="AE70" i="9" s="1"/>
  <c r="U69" i="8"/>
  <c r="V71" i="9" s="1"/>
  <c r="Y69" i="8"/>
  <c r="Z71" i="9" s="1"/>
  <c r="AC69" i="8"/>
  <c r="AD71" i="9" s="1"/>
  <c r="T70" i="8"/>
  <c r="U72" i="9" s="1"/>
  <c r="X70" i="8"/>
  <c r="Y72" i="9" s="1"/>
  <c r="AB70" i="8"/>
  <c r="AC72" i="9" s="1"/>
  <c r="S71" i="8"/>
  <c r="T73" i="9" s="1"/>
  <c r="W71" i="8"/>
  <c r="X73" i="9" s="1"/>
  <c r="AA71" i="8"/>
  <c r="AB73" i="9" s="1"/>
  <c r="R72" i="8"/>
  <c r="S74" i="9" s="1"/>
  <c r="V72" i="8"/>
  <c r="W74" i="9" s="1"/>
  <c r="Z72" i="8"/>
  <c r="AA74" i="9" s="1"/>
  <c r="AD72" i="8"/>
  <c r="AE74" i="9" s="1"/>
  <c r="U73" i="8"/>
  <c r="V75" i="9" s="1"/>
  <c r="Y73" i="8"/>
  <c r="Z75" i="9" s="1"/>
  <c r="AC73" i="8"/>
  <c r="AD75" i="9" s="1"/>
  <c r="T74" i="8"/>
  <c r="U76" i="9" s="1"/>
  <c r="X74" i="8"/>
  <c r="Y76" i="9" s="1"/>
  <c r="AB74" i="8"/>
  <c r="AC76" i="9" s="1"/>
  <c r="S75" i="8"/>
  <c r="T77" i="9" s="1"/>
  <c r="W75" i="8"/>
  <c r="X77" i="9" s="1"/>
  <c r="AA75" i="8"/>
  <c r="AB77" i="9" s="1"/>
  <c r="R76" i="8"/>
  <c r="S78" i="9" s="1"/>
  <c r="V76" i="8"/>
  <c r="W78" i="9" s="1"/>
  <c r="Z76" i="8"/>
  <c r="AA78" i="9" s="1"/>
  <c r="AD76" i="8"/>
  <c r="AE78" i="9" s="1"/>
  <c r="U77" i="8"/>
  <c r="V79" i="9" s="1"/>
  <c r="Y77" i="8"/>
  <c r="Z79" i="9" s="1"/>
  <c r="AC77" i="8"/>
  <c r="AD79" i="9" s="1"/>
  <c r="T78" i="8"/>
  <c r="U80" i="9" s="1"/>
  <c r="X78" i="8"/>
  <c r="Y80" i="9" s="1"/>
  <c r="AB78" i="8"/>
  <c r="AC80" i="9" s="1"/>
  <c r="S79" i="8"/>
  <c r="T81" i="9" s="1"/>
  <c r="W79" i="8"/>
  <c r="X81" i="9" s="1"/>
  <c r="AA79" i="8"/>
  <c r="AB81" i="9" s="1"/>
  <c r="R80" i="8"/>
  <c r="S82" i="9" s="1"/>
  <c r="V80" i="8"/>
  <c r="W82" i="9" s="1"/>
  <c r="Z80" i="8"/>
  <c r="AA82" i="9" s="1"/>
  <c r="AD80" i="8"/>
  <c r="AE82" i="9" s="1"/>
  <c r="U81" i="8"/>
  <c r="V83" i="9" s="1"/>
  <c r="Y81" i="8"/>
  <c r="Z83" i="9" s="1"/>
  <c r="AC81" i="8"/>
  <c r="AD83" i="9" s="1"/>
  <c r="T82" i="8"/>
  <c r="U84" i="9" s="1"/>
  <c r="X82" i="8"/>
  <c r="Y84" i="9" s="1"/>
  <c r="AB82" i="8"/>
  <c r="AC84" i="9" s="1"/>
  <c r="S83" i="8"/>
  <c r="T85" i="9" s="1"/>
  <c r="W83" i="8"/>
  <c r="X85" i="9" s="1"/>
  <c r="AA83" i="8"/>
  <c r="AB85" i="9" s="1"/>
  <c r="R84" i="8"/>
  <c r="S86" i="9" s="1"/>
  <c r="V84" i="8"/>
  <c r="W86" i="9" s="1"/>
  <c r="Z84" i="8"/>
  <c r="AA86" i="9" s="1"/>
  <c r="AD84" i="8"/>
  <c r="AE86" i="9" s="1"/>
  <c r="U85" i="8"/>
  <c r="V87" i="9" s="1"/>
  <c r="Y85" i="8"/>
  <c r="Z87" i="9" s="1"/>
  <c r="AC85" i="8"/>
  <c r="AD87" i="9" s="1"/>
  <c r="T86" i="8"/>
  <c r="U88" i="9" s="1"/>
  <c r="X86" i="8"/>
  <c r="Y88" i="9" s="1"/>
  <c r="AB86" i="8"/>
  <c r="AC88" i="9" s="1"/>
  <c r="AB2" i="8"/>
  <c r="AC4" i="9" s="1"/>
  <c r="Z6" i="8"/>
  <c r="AA8" i="9" s="1"/>
  <c r="AC9" i="8"/>
  <c r="AD11" i="9" s="1"/>
  <c r="S13" i="8"/>
  <c r="T15" i="9" s="1"/>
  <c r="Y15" i="8"/>
  <c r="Z17" i="9" s="1"/>
  <c r="R18" i="8"/>
  <c r="S20" i="9" s="1"/>
  <c r="X20" i="8"/>
  <c r="Y22" i="9" s="1"/>
  <c r="AD22" i="8"/>
  <c r="AE24" i="9" s="1"/>
  <c r="AA24" i="8"/>
  <c r="AB26" i="9" s="1"/>
  <c r="AD25" i="8"/>
  <c r="AE27" i="9" s="1"/>
  <c r="T27" i="8"/>
  <c r="U29" i="9" s="1"/>
  <c r="W28" i="8"/>
  <c r="X30" i="9" s="1"/>
  <c r="Z29" i="8"/>
  <c r="AA31" i="9" s="1"/>
  <c r="AC30" i="8"/>
  <c r="AD32" i="9" s="1"/>
  <c r="S32" i="8"/>
  <c r="T34" i="9" s="1"/>
  <c r="V33" i="8"/>
  <c r="W35" i="9" s="1"/>
  <c r="Y34" i="8"/>
  <c r="Z36" i="9" s="1"/>
  <c r="AB35" i="8"/>
  <c r="AC37" i="9" s="1"/>
  <c r="R37" i="8"/>
  <c r="S39" i="9" s="1"/>
  <c r="Z37" i="8"/>
  <c r="AA39" i="9" s="1"/>
  <c r="U38" i="8"/>
  <c r="V40" i="9" s="1"/>
  <c r="AC38" i="8"/>
  <c r="AD40" i="9" s="1"/>
  <c r="X39" i="8"/>
  <c r="Y41" i="9" s="1"/>
  <c r="S40" i="8"/>
  <c r="T42" i="9" s="1"/>
  <c r="AA40" i="8"/>
  <c r="AB42" i="9" s="1"/>
  <c r="V41" i="8"/>
  <c r="W43" i="9" s="1"/>
  <c r="AD41" i="8"/>
  <c r="AE43" i="9" s="1"/>
  <c r="Y42" i="8"/>
  <c r="Z44" i="9" s="1"/>
  <c r="T43" i="8"/>
  <c r="U45" i="9" s="1"/>
  <c r="AB43" i="8"/>
  <c r="AC45" i="9" s="1"/>
  <c r="W44" i="8"/>
  <c r="X46" i="9" s="1"/>
  <c r="R45" i="8"/>
  <c r="S47" i="9" s="1"/>
  <c r="Z45" i="8"/>
  <c r="AA47" i="9" s="1"/>
  <c r="AD45" i="8"/>
  <c r="AE47" i="9" s="1"/>
  <c r="U46" i="8"/>
  <c r="V48" i="9" s="1"/>
  <c r="Y46" i="8"/>
  <c r="Z48" i="9" s="1"/>
  <c r="AC46" i="8"/>
  <c r="AD48" i="9" s="1"/>
  <c r="T47" i="8"/>
  <c r="U49" i="9" s="1"/>
  <c r="X47" i="8"/>
  <c r="Y49" i="9" s="1"/>
  <c r="AB47" i="8"/>
  <c r="AC49" i="9" s="1"/>
  <c r="S48" i="8"/>
  <c r="T50" i="9" s="1"/>
  <c r="W48" i="8"/>
  <c r="X50" i="9" s="1"/>
  <c r="AA48" i="8"/>
  <c r="AB50" i="9" s="1"/>
  <c r="R49" i="8"/>
  <c r="S51" i="9" s="1"/>
  <c r="V49" i="8"/>
  <c r="W51" i="9" s="1"/>
  <c r="Z49" i="8"/>
  <c r="AA51" i="9" s="1"/>
  <c r="AD49" i="8"/>
  <c r="AE51" i="9" s="1"/>
  <c r="U50" i="8"/>
  <c r="V52" i="9" s="1"/>
  <c r="Y50" i="8"/>
  <c r="Z52" i="9" s="1"/>
  <c r="AC50" i="8"/>
  <c r="AD52" i="9" s="1"/>
  <c r="T51" i="8"/>
  <c r="U53" i="9" s="1"/>
  <c r="X51" i="8"/>
  <c r="Y53" i="9" s="1"/>
  <c r="AB51" i="8"/>
  <c r="AC53" i="9" s="1"/>
  <c r="S52" i="8"/>
  <c r="T54" i="9" s="1"/>
  <c r="W52" i="8"/>
  <c r="X54" i="9" s="1"/>
  <c r="AA52" i="8"/>
  <c r="AB54" i="9" s="1"/>
  <c r="R53" i="8"/>
  <c r="S55" i="9" s="1"/>
  <c r="V53" i="8"/>
  <c r="W55" i="9" s="1"/>
  <c r="Z53" i="8"/>
  <c r="AA55" i="9" s="1"/>
  <c r="AD53" i="8"/>
  <c r="AE55" i="9" s="1"/>
  <c r="U54" i="8"/>
  <c r="V56" i="9" s="1"/>
  <c r="Y54" i="8"/>
  <c r="Z56" i="9" s="1"/>
  <c r="AC54" i="8"/>
  <c r="AD56" i="9" s="1"/>
  <c r="T55" i="8"/>
  <c r="U57" i="9" s="1"/>
  <c r="X55" i="8"/>
  <c r="Y57" i="9" s="1"/>
  <c r="AB55" i="8"/>
  <c r="AC57" i="9" s="1"/>
  <c r="S56" i="8"/>
  <c r="T58" i="9" s="1"/>
  <c r="W56" i="8"/>
  <c r="X58" i="9" s="1"/>
  <c r="AA56" i="8"/>
  <c r="AB58" i="9" s="1"/>
  <c r="R57" i="8"/>
  <c r="S59" i="9" s="1"/>
  <c r="V57" i="8"/>
  <c r="W59" i="9" s="1"/>
  <c r="Z57" i="8"/>
  <c r="AA59" i="9" s="1"/>
  <c r="AD57" i="8"/>
  <c r="AE59" i="9" s="1"/>
  <c r="U58" i="8"/>
  <c r="V60" i="9" s="1"/>
  <c r="Y58" i="8"/>
  <c r="Z60" i="9" s="1"/>
  <c r="AC58" i="8"/>
  <c r="AD60" i="9" s="1"/>
  <c r="T59" i="8"/>
  <c r="U61" i="9" s="1"/>
  <c r="X59" i="8"/>
  <c r="Y61" i="9" s="1"/>
  <c r="AB59" i="8"/>
  <c r="AC61" i="9" s="1"/>
  <c r="S60" i="8"/>
  <c r="T62" i="9" s="1"/>
  <c r="W60" i="8"/>
  <c r="X62" i="9" s="1"/>
  <c r="AA60" i="8"/>
  <c r="AB62" i="9" s="1"/>
  <c r="R61" i="8"/>
  <c r="S63" i="9" s="1"/>
  <c r="V61" i="8"/>
  <c r="W63" i="9" s="1"/>
  <c r="Z61" i="8"/>
  <c r="AA63" i="9" s="1"/>
  <c r="AD61" i="8"/>
  <c r="AE63" i="9" s="1"/>
  <c r="U62" i="8"/>
  <c r="V64" i="9" s="1"/>
  <c r="Y62" i="8"/>
  <c r="Z64" i="9" s="1"/>
  <c r="AC62" i="8"/>
  <c r="AD64" i="9" s="1"/>
  <c r="T63" i="8"/>
  <c r="U65" i="9" s="1"/>
  <c r="X63" i="8"/>
  <c r="Y65" i="9" s="1"/>
  <c r="AB63" i="8"/>
  <c r="AC65" i="9" s="1"/>
  <c r="S64" i="8"/>
  <c r="T66" i="9" s="1"/>
  <c r="W64" i="8"/>
  <c r="X66" i="9" s="1"/>
  <c r="AA64" i="8"/>
  <c r="AB66" i="9" s="1"/>
  <c r="R65" i="8"/>
  <c r="S67" i="9" s="1"/>
  <c r="V65" i="8"/>
  <c r="W67" i="9" s="1"/>
  <c r="Z65" i="8"/>
  <c r="AA67" i="9" s="1"/>
  <c r="AD65" i="8"/>
  <c r="AE67" i="9" s="1"/>
  <c r="U66" i="8"/>
  <c r="V68" i="9" s="1"/>
  <c r="Y66" i="8"/>
  <c r="Z68" i="9" s="1"/>
  <c r="AC66" i="8"/>
  <c r="AD68" i="9" s="1"/>
  <c r="T67" i="8"/>
  <c r="U69" i="9" s="1"/>
  <c r="X67" i="8"/>
  <c r="Y69" i="9" s="1"/>
  <c r="AB67" i="8"/>
  <c r="AC69" i="9" s="1"/>
  <c r="S68" i="8"/>
  <c r="T70" i="9" s="1"/>
  <c r="W68" i="8"/>
  <c r="X70" i="9" s="1"/>
  <c r="AA68" i="8"/>
  <c r="AB70" i="9" s="1"/>
  <c r="R69" i="8"/>
  <c r="S71" i="9" s="1"/>
  <c r="V69" i="8"/>
  <c r="W71" i="9" s="1"/>
  <c r="Z69" i="8"/>
  <c r="AA71" i="9" s="1"/>
  <c r="AD69" i="8"/>
  <c r="AE71" i="9" s="1"/>
  <c r="U70" i="8"/>
  <c r="V72" i="9" s="1"/>
  <c r="Y70" i="8"/>
  <c r="Z72" i="9" s="1"/>
  <c r="AC70" i="8"/>
  <c r="AD72" i="9" s="1"/>
  <c r="T71" i="8"/>
  <c r="U73" i="9" s="1"/>
  <c r="X71" i="8"/>
  <c r="Y73" i="9" s="1"/>
  <c r="AB71" i="8"/>
  <c r="AC73" i="9" s="1"/>
  <c r="S72" i="8"/>
  <c r="T74" i="9" s="1"/>
  <c r="W72" i="8"/>
  <c r="X74" i="9" s="1"/>
  <c r="AA72" i="8"/>
  <c r="AB74" i="9" s="1"/>
  <c r="R73" i="8"/>
  <c r="S75" i="9" s="1"/>
  <c r="V73" i="8"/>
  <c r="W75" i="9" s="1"/>
  <c r="Z73" i="8"/>
  <c r="AA75" i="9" s="1"/>
  <c r="AD73" i="8"/>
  <c r="AE75" i="9" s="1"/>
  <c r="U74" i="8"/>
  <c r="V76" i="9" s="1"/>
  <c r="Y74" i="8"/>
  <c r="Z76" i="9" s="1"/>
  <c r="AC74" i="8"/>
  <c r="AD76" i="9" s="1"/>
  <c r="T75" i="8"/>
  <c r="U77" i="9" s="1"/>
  <c r="X75" i="8"/>
  <c r="Y77" i="9" s="1"/>
  <c r="AB75" i="8"/>
  <c r="AC77" i="9" s="1"/>
  <c r="S76" i="8"/>
  <c r="T78" i="9" s="1"/>
  <c r="W76" i="8"/>
  <c r="X78" i="9" s="1"/>
  <c r="AA76" i="8"/>
  <c r="AB78" i="9" s="1"/>
  <c r="R77" i="8"/>
  <c r="S79" i="9" s="1"/>
  <c r="V77" i="8"/>
  <c r="W79" i="9" s="1"/>
  <c r="Z77" i="8"/>
  <c r="AA79" i="9" s="1"/>
  <c r="AD77" i="8"/>
  <c r="AE79" i="9" s="1"/>
  <c r="U78" i="8"/>
  <c r="V80" i="9" s="1"/>
  <c r="Y78" i="8"/>
  <c r="Z80" i="9" s="1"/>
  <c r="AC78" i="8"/>
  <c r="AD80" i="9" s="1"/>
  <c r="T79" i="8"/>
  <c r="U81" i="9" s="1"/>
  <c r="X79" i="8"/>
  <c r="Y81" i="9" s="1"/>
  <c r="AB79" i="8"/>
  <c r="AC81" i="9" s="1"/>
  <c r="S80" i="8"/>
  <c r="T82" i="9" s="1"/>
  <c r="W80" i="8"/>
  <c r="X82" i="9" s="1"/>
  <c r="AA80" i="8"/>
  <c r="AB82" i="9" s="1"/>
  <c r="R81" i="8"/>
  <c r="S83" i="9" s="1"/>
  <c r="V81" i="8"/>
  <c r="W83" i="9" s="1"/>
  <c r="Z81" i="8"/>
  <c r="AA83" i="9" s="1"/>
  <c r="AD81" i="8"/>
  <c r="AE83" i="9" s="1"/>
  <c r="U82" i="8"/>
  <c r="V84" i="9" s="1"/>
  <c r="Y82" i="8"/>
  <c r="Z84" i="9" s="1"/>
  <c r="AC82" i="8"/>
  <c r="AD84" i="9" s="1"/>
  <c r="T83" i="8"/>
  <c r="U85" i="9" s="1"/>
  <c r="X83" i="8"/>
  <c r="Y85" i="9" s="1"/>
  <c r="AB83" i="8"/>
  <c r="AC85" i="9" s="1"/>
  <c r="S84" i="8"/>
  <c r="T86" i="9" s="1"/>
  <c r="W84" i="8"/>
  <c r="X86" i="9" s="1"/>
  <c r="AA84" i="8"/>
  <c r="AB86" i="9" s="1"/>
  <c r="R85" i="8"/>
  <c r="S87" i="9" s="1"/>
  <c r="V85" i="8"/>
  <c r="W87" i="9" s="1"/>
  <c r="Z85" i="8"/>
  <c r="AA87" i="9" s="1"/>
  <c r="AD85" i="8"/>
  <c r="AE87" i="9" s="1"/>
  <c r="U86" i="8"/>
  <c r="V88" i="9" s="1"/>
  <c r="Y86" i="8"/>
  <c r="Z88" i="9" s="1"/>
  <c r="AC86" i="8"/>
  <c r="AD88" i="9" s="1"/>
  <c r="AA13" i="8"/>
  <c r="AB15" i="9" s="1"/>
  <c r="Y23" i="8"/>
  <c r="Z25" i="9" s="1"/>
  <c r="AA28" i="8"/>
  <c r="AB30" i="9" s="1"/>
  <c r="Z33" i="8"/>
  <c r="AA35" i="9" s="1"/>
  <c r="AC37" i="8"/>
  <c r="AD39" i="9" s="1"/>
  <c r="V40" i="8"/>
  <c r="W42" i="9" s="1"/>
  <c r="AB42" i="8"/>
  <c r="AC44" i="9" s="1"/>
  <c r="U45" i="8"/>
  <c r="V47" i="9" s="1"/>
  <c r="Z46" i="8"/>
  <c r="AA48" i="9" s="1"/>
  <c r="AC47" i="8"/>
  <c r="AD49" i="9" s="1"/>
  <c r="S49" i="8"/>
  <c r="T51" i="9" s="1"/>
  <c r="V50" i="8"/>
  <c r="W52" i="9" s="1"/>
  <c r="Y51" i="8"/>
  <c r="Z53" i="9" s="1"/>
  <c r="AB52" i="8"/>
  <c r="AC54" i="9" s="1"/>
  <c r="R54" i="8"/>
  <c r="S56" i="9" s="1"/>
  <c r="U55" i="8"/>
  <c r="V57" i="9" s="1"/>
  <c r="X56" i="8"/>
  <c r="Y58" i="9" s="1"/>
  <c r="AA57" i="8"/>
  <c r="AB59" i="9" s="1"/>
  <c r="AD58" i="8"/>
  <c r="AE60" i="9" s="1"/>
  <c r="T60" i="8"/>
  <c r="U62" i="9" s="1"/>
  <c r="W61" i="8"/>
  <c r="X63" i="9" s="1"/>
  <c r="Z62" i="8"/>
  <c r="AA64" i="9" s="1"/>
  <c r="AC63" i="8"/>
  <c r="AD65" i="9" s="1"/>
  <c r="S65" i="8"/>
  <c r="T67" i="9" s="1"/>
  <c r="V66" i="8"/>
  <c r="W68" i="9" s="1"/>
  <c r="Y67" i="8"/>
  <c r="Z69" i="9" s="1"/>
  <c r="AB68" i="8"/>
  <c r="AC70" i="9" s="1"/>
  <c r="R70" i="8"/>
  <c r="S72" i="9" s="1"/>
  <c r="U71" i="8"/>
  <c r="V73" i="9" s="1"/>
  <c r="X72" i="8"/>
  <c r="Y74" i="9" s="1"/>
  <c r="AA73" i="8"/>
  <c r="AB75" i="9" s="1"/>
  <c r="AD74" i="8"/>
  <c r="AE76" i="9" s="1"/>
  <c r="T76" i="8"/>
  <c r="U78" i="9" s="1"/>
  <c r="W77" i="8"/>
  <c r="X79" i="9" s="1"/>
  <c r="Z78" i="8"/>
  <c r="AA80" i="9" s="1"/>
  <c r="AC79" i="8"/>
  <c r="AD81" i="9" s="1"/>
  <c r="S81" i="8"/>
  <c r="T83" i="9" s="1"/>
  <c r="V82" i="8"/>
  <c r="W84" i="9" s="1"/>
  <c r="Y83" i="8"/>
  <c r="Z85" i="9" s="1"/>
  <c r="AB84" i="8"/>
  <c r="AC86" i="9" s="1"/>
  <c r="R86" i="8"/>
  <c r="S88" i="9" s="1"/>
  <c r="R87" i="8"/>
  <c r="S89" i="9" s="1"/>
  <c r="V87" i="8"/>
  <c r="W89" i="9" s="1"/>
  <c r="Z87" i="8"/>
  <c r="AA89" i="9" s="1"/>
  <c r="AD87" i="8"/>
  <c r="AE89" i="9" s="1"/>
  <c r="U88" i="8"/>
  <c r="V90" i="9" s="1"/>
  <c r="Y88" i="8"/>
  <c r="Z90" i="9" s="1"/>
  <c r="AC88" i="8"/>
  <c r="AD90" i="9" s="1"/>
  <c r="T89" i="8"/>
  <c r="U91" i="9" s="1"/>
  <c r="X89" i="8"/>
  <c r="Y91" i="9" s="1"/>
  <c r="AB89" i="8"/>
  <c r="AC91" i="9" s="1"/>
  <c r="S90" i="8"/>
  <c r="T92" i="9" s="1"/>
  <c r="W90" i="8"/>
  <c r="X92" i="9" s="1"/>
  <c r="AA90" i="8"/>
  <c r="AB92" i="9" s="1"/>
  <c r="R91" i="8"/>
  <c r="S93" i="9" s="1"/>
  <c r="V91" i="8"/>
  <c r="W93" i="9" s="1"/>
  <c r="Z91" i="8"/>
  <c r="AA93" i="9" s="1"/>
  <c r="AD91" i="8"/>
  <c r="AE93" i="9" s="1"/>
  <c r="U92" i="8"/>
  <c r="V94" i="9" s="1"/>
  <c r="Y92" i="8"/>
  <c r="Z94" i="9" s="1"/>
  <c r="AC92" i="8"/>
  <c r="AD94" i="9" s="1"/>
  <c r="T93" i="8"/>
  <c r="U95" i="9" s="1"/>
  <c r="X93" i="8"/>
  <c r="Y95" i="9" s="1"/>
  <c r="AB93" i="8"/>
  <c r="AC95" i="9" s="1"/>
  <c r="S94" i="8"/>
  <c r="T96" i="9" s="1"/>
  <c r="W94" i="8"/>
  <c r="X96" i="9" s="1"/>
  <c r="AA94" i="8"/>
  <c r="AB96" i="9" s="1"/>
  <c r="R95" i="8"/>
  <c r="S97" i="9" s="1"/>
  <c r="V95" i="8"/>
  <c r="W97" i="9" s="1"/>
  <c r="Z95" i="8"/>
  <c r="AA97" i="9" s="1"/>
  <c r="AD95" i="8"/>
  <c r="AE97" i="9" s="1"/>
  <c r="U96" i="8"/>
  <c r="V98" i="9" s="1"/>
  <c r="Y96" i="8"/>
  <c r="Z98" i="9" s="1"/>
  <c r="AC96" i="8"/>
  <c r="AD98" i="9" s="1"/>
  <c r="T97" i="8"/>
  <c r="U99" i="9" s="1"/>
  <c r="X97" i="8"/>
  <c r="Y99" i="9" s="1"/>
  <c r="AB97" i="8"/>
  <c r="AC99" i="9" s="1"/>
  <c r="S98" i="8"/>
  <c r="T100" i="9" s="1"/>
  <c r="W98" i="8"/>
  <c r="X100" i="9" s="1"/>
  <c r="AA98" i="8"/>
  <c r="AB100" i="9" s="1"/>
  <c r="R99" i="8"/>
  <c r="S101" i="9" s="1"/>
  <c r="V99" i="8"/>
  <c r="W101" i="9" s="1"/>
  <c r="Z99" i="8"/>
  <c r="AA101" i="9" s="1"/>
  <c r="AD99" i="8"/>
  <c r="AE101" i="9" s="1"/>
  <c r="U100" i="8"/>
  <c r="V102" i="9" s="1"/>
  <c r="Y100" i="8"/>
  <c r="Z102" i="9" s="1"/>
  <c r="AC100" i="8"/>
  <c r="AD102" i="9" s="1"/>
  <c r="T101" i="8"/>
  <c r="U103" i="9" s="1"/>
  <c r="X101" i="8"/>
  <c r="Y103" i="9" s="1"/>
  <c r="AB101" i="8"/>
  <c r="AC103" i="9" s="1"/>
  <c r="Q4" i="8"/>
  <c r="R6" i="9" s="1"/>
  <c r="Q8" i="8"/>
  <c r="R10" i="9" s="1"/>
  <c r="Q12" i="8"/>
  <c r="R14" i="9" s="1"/>
  <c r="Q16" i="8"/>
  <c r="R18" i="9" s="1"/>
  <c r="Q20" i="8"/>
  <c r="R22" i="9" s="1"/>
  <c r="Q24" i="8"/>
  <c r="R26" i="9" s="1"/>
  <c r="Q28" i="8"/>
  <c r="R30" i="9" s="1"/>
  <c r="Q32" i="8"/>
  <c r="R34" i="9" s="1"/>
  <c r="Q36" i="8"/>
  <c r="R38" i="9" s="1"/>
  <c r="Q40" i="8"/>
  <c r="R42" i="9" s="1"/>
  <c r="Q44" i="8"/>
  <c r="R46" i="9" s="1"/>
  <c r="Q48" i="8"/>
  <c r="R50" i="9" s="1"/>
  <c r="Q52" i="8"/>
  <c r="R54" i="9" s="1"/>
  <c r="Q56" i="8"/>
  <c r="R58" i="9" s="1"/>
  <c r="Q60" i="8"/>
  <c r="R62" i="9" s="1"/>
  <c r="Q64" i="8"/>
  <c r="R66" i="9" s="1"/>
  <c r="Q68" i="8"/>
  <c r="R70" i="9" s="1"/>
  <c r="Q72" i="8"/>
  <c r="R74" i="9" s="1"/>
  <c r="Q76" i="8"/>
  <c r="R78" i="9" s="1"/>
  <c r="Q80" i="8"/>
  <c r="R82" i="9" s="1"/>
  <c r="Q84" i="8"/>
  <c r="R86" i="9" s="1"/>
  <c r="Q88" i="8"/>
  <c r="R90" i="9" s="1"/>
  <c r="Q92" i="8"/>
  <c r="R94" i="9" s="1"/>
  <c r="Q96" i="8"/>
  <c r="R98" i="9" s="1"/>
  <c r="Q100" i="8"/>
  <c r="R102" i="9" s="1"/>
  <c r="AA10" i="8"/>
  <c r="AB12" i="9" s="1"/>
  <c r="X27" i="8"/>
  <c r="Y29" i="9" s="1"/>
  <c r="W32" i="8"/>
  <c r="X34" i="9" s="1"/>
  <c r="AA39" i="8"/>
  <c r="AB41" i="9" s="1"/>
  <c r="V46" i="8"/>
  <c r="W48" i="9" s="1"/>
  <c r="Y47" i="8"/>
  <c r="Z49" i="9" s="1"/>
  <c r="U51" i="8"/>
  <c r="V53" i="9" s="1"/>
  <c r="AA53" i="8"/>
  <c r="AB55" i="9" s="1"/>
  <c r="W57" i="8"/>
  <c r="X59" i="9" s="1"/>
  <c r="S61" i="8"/>
  <c r="T63" i="9" s="1"/>
  <c r="AB64" i="8"/>
  <c r="AC66" i="9" s="1"/>
  <c r="X68" i="8"/>
  <c r="Y70" i="9" s="1"/>
  <c r="T72" i="8"/>
  <c r="U74" i="9" s="1"/>
  <c r="W73" i="8"/>
  <c r="X75" i="9" s="1"/>
  <c r="S77" i="8"/>
  <c r="T79" i="9" s="1"/>
  <c r="AB80" i="8"/>
  <c r="AC82" i="9" s="1"/>
  <c r="U83" i="8"/>
  <c r="V85" i="9" s="1"/>
  <c r="AD86" i="8"/>
  <c r="AE88" i="9" s="1"/>
  <c r="AC87" i="8"/>
  <c r="AD89" i="9" s="1"/>
  <c r="AB88" i="8"/>
  <c r="AC90" i="9" s="1"/>
  <c r="W89" i="8"/>
  <c r="X91" i="9" s="1"/>
  <c r="V90" i="8"/>
  <c r="W92" i="9" s="1"/>
  <c r="U91" i="8"/>
  <c r="V93" i="9" s="1"/>
  <c r="T92" i="8"/>
  <c r="U94" i="9" s="1"/>
  <c r="AB92" i="8"/>
  <c r="AC94" i="9" s="1"/>
  <c r="AA93" i="8"/>
  <c r="AB95" i="9" s="1"/>
  <c r="Z94" i="8"/>
  <c r="AA96" i="9" s="1"/>
  <c r="Y95" i="8"/>
  <c r="Z97" i="9" s="1"/>
  <c r="X96" i="8"/>
  <c r="Y98" i="9" s="1"/>
  <c r="T100" i="8"/>
  <c r="U102" i="9" s="1"/>
  <c r="S101" i="8"/>
  <c r="T103" i="9" s="1"/>
  <c r="AA101" i="8"/>
  <c r="AB103" i="9" s="1"/>
  <c r="Q7" i="8"/>
  <c r="R9" i="9" s="1"/>
  <c r="Q15" i="8"/>
  <c r="R17" i="9" s="1"/>
  <c r="Q23" i="8"/>
  <c r="R25" i="9" s="1"/>
  <c r="Q31" i="8"/>
  <c r="R33" i="9" s="1"/>
  <c r="Q39" i="8"/>
  <c r="R41" i="9" s="1"/>
  <c r="Q47" i="8"/>
  <c r="R49" i="9" s="1"/>
  <c r="Q51" i="8"/>
  <c r="R53" i="9" s="1"/>
  <c r="Q59" i="8"/>
  <c r="R61" i="9" s="1"/>
  <c r="Q67" i="8"/>
  <c r="R69" i="9" s="1"/>
  <c r="Q75" i="8"/>
  <c r="R77" i="9" s="1"/>
  <c r="Q83" i="8"/>
  <c r="R85" i="9" s="1"/>
  <c r="Q91" i="8"/>
  <c r="R93" i="9" s="1"/>
  <c r="Q99" i="8"/>
  <c r="R101" i="9" s="1"/>
  <c r="R4" i="8"/>
  <c r="S6" i="9" s="1"/>
  <c r="T16" i="8"/>
  <c r="U18" i="9" s="1"/>
  <c r="R25" i="8"/>
  <c r="S27" i="9" s="1"/>
  <c r="AD29" i="8"/>
  <c r="AE31" i="9" s="1"/>
  <c r="AC34" i="8"/>
  <c r="AD36" i="9" s="1"/>
  <c r="X38" i="8"/>
  <c r="Y40" i="9" s="1"/>
  <c r="AD40" i="8"/>
  <c r="AE42" i="9" s="1"/>
  <c r="W43" i="8"/>
  <c r="X45" i="9" s="1"/>
  <c r="AA45" i="8"/>
  <c r="AB47" i="9" s="1"/>
  <c r="AD46" i="8"/>
  <c r="AE48" i="9" s="1"/>
  <c r="T48" i="8"/>
  <c r="U50" i="9" s="1"/>
  <c r="W49" i="8"/>
  <c r="X51" i="9" s="1"/>
  <c r="Z50" i="8"/>
  <c r="AA52" i="9" s="1"/>
  <c r="AC51" i="8"/>
  <c r="AD53" i="9" s="1"/>
  <c r="S53" i="8"/>
  <c r="T55" i="9" s="1"/>
  <c r="V54" i="8"/>
  <c r="W56" i="9" s="1"/>
  <c r="Y55" i="8"/>
  <c r="Z57" i="9" s="1"/>
  <c r="AB56" i="8"/>
  <c r="AC58" i="9" s="1"/>
  <c r="R58" i="8"/>
  <c r="S60" i="9" s="1"/>
  <c r="U59" i="8"/>
  <c r="V61" i="9" s="1"/>
  <c r="X60" i="8"/>
  <c r="Y62" i="9" s="1"/>
  <c r="AA61" i="8"/>
  <c r="AB63" i="9" s="1"/>
  <c r="AD62" i="8"/>
  <c r="AE64" i="9" s="1"/>
  <c r="T64" i="8"/>
  <c r="U66" i="9" s="1"/>
  <c r="W65" i="8"/>
  <c r="X67" i="9" s="1"/>
  <c r="Z66" i="8"/>
  <c r="AA68" i="9" s="1"/>
  <c r="AC67" i="8"/>
  <c r="AD69" i="9" s="1"/>
  <c r="S69" i="8"/>
  <c r="T71" i="9" s="1"/>
  <c r="V70" i="8"/>
  <c r="W72" i="9" s="1"/>
  <c r="Y71" i="8"/>
  <c r="Z73" i="9" s="1"/>
  <c r="AB72" i="8"/>
  <c r="AC74" i="9" s="1"/>
  <c r="R74" i="8"/>
  <c r="S76" i="9" s="1"/>
  <c r="U75" i="8"/>
  <c r="V77" i="9" s="1"/>
  <c r="X76" i="8"/>
  <c r="Y78" i="9" s="1"/>
  <c r="AA77" i="8"/>
  <c r="AB79" i="9" s="1"/>
  <c r="AD78" i="8"/>
  <c r="AE80" i="9" s="1"/>
  <c r="T80" i="8"/>
  <c r="U82" i="9" s="1"/>
  <c r="W81" i="8"/>
  <c r="X83" i="9" s="1"/>
  <c r="Z82" i="8"/>
  <c r="AA84" i="9" s="1"/>
  <c r="AC83" i="8"/>
  <c r="AD85" i="9" s="1"/>
  <c r="S85" i="8"/>
  <c r="T87" i="9" s="1"/>
  <c r="V86" i="8"/>
  <c r="W88" i="9" s="1"/>
  <c r="S87" i="8"/>
  <c r="T89" i="9" s="1"/>
  <c r="W87" i="8"/>
  <c r="X89" i="9" s="1"/>
  <c r="AA87" i="8"/>
  <c r="AB89" i="9" s="1"/>
  <c r="R88" i="8"/>
  <c r="S90" i="9" s="1"/>
  <c r="V88" i="8"/>
  <c r="W90" i="9" s="1"/>
  <c r="Z88" i="8"/>
  <c r="AA90" i="9" s="1"/>
  <c r="AD88" i="8"/>
  <c r="AE90" i="9" s="1"/>
  <c r="U89" i="8"/>
  <c r="V91" i="9" s="1"/>
  <c r="Y89" i="8"/>
  <c r="Z91" i="9" s="1"/>
  <c r="AC89" i="8"/>
  <c r="AD91" i="9" s="1"/>
  <c r="T90" i="8"/>
  <c r="U92" i="9" s="1"/>
  <c r="X90" i="8"/>
  <c r="Y92" i="9" s="1"/>
  <c r="AB90" i="8"/>
  <c r="AC92" i="9" s="1"/>
  <c r="S91" i="8"/>
  <c r="T93" i="9" s="1"/>
  <c r="W91" i="8"/>
  <c r="X93" i="9" s="1"/>
  <c r="AA91" i="8"/>
  <c r="AB93" i="9" s="1"/>
  <c r="R92" i="8"/>
  <c r="S94" i="9" s="1"/>
  <c r="V92" i="8"/>
  <c r="W94" i="9" s="1"/>
  <c r="Z92" i="8"/>
  <c r="AA94" i="9" s="1"/>
  <c r="AD92" i="8"/>
  <c r="AE94" i="9" s="1"/>
  <c r="U93" i="8"/>
  <c r="V95" i="9" s="1"/>
  <c r="Y93" i="8"/>
  <c r="Z95" i="9" s="1"/>
  <c r="AC93" i="8"/>
  <c r="AD95" i="9" s="1"/>
  <c r="T94" i="8"/>
  <c r="U96" i="9" s="1"/>
  <c r="X94" i="8"/>
  <c r="Y96" i="9" s="1"/>
  <c r="AB94" i="8"/>
  <c r="AC96" i="9" s="1"/>
  <c r="S95" i="8"/>
  <c r="T97" i="9" s="1"/>
  <c r="W95" i="8"/>
  <c r="X97" i="9" s="1"/>
  <c r="AA95" i="8"/>
  <c r="AB97" i="9" s="1"/>
  <c r="R96" i="8"/>
  <c r="S98" i="9" s="1"/>
  <c r="V96" i="8"/>
  <c r="W98" i="9" s="1"/>
  <c r="Z96" i="8"/>
  <c r="AA98" i="9" s="1"/>
  <c r="AD96" i="8"/>
  <c r="AE98" i="9" s="1"/>
  <c r="U97" i="8"/>
  <c r="V99" i="9" s="1"/>
  <c r="Y97" i="8"/>
  <c r="Z99" i="9" s="1"/>
  <c r="AC97" i="8"/>
  <c r="AD99" i="9" s="1"/>
  <c r="T98" i="8"/>
  <c r="U100" i="9" s="1"/>
  <c r="X98" i="8"/>
  <c r="Y100" i="9" s="1"/>
  <c r="AB98" i="8"/>
  <c r="AC100" i="9" s="1"/>
  <c r="S99" i="8"/>
  <c r="T101" i="9" s="1"/>
  <c r="W99" i="8"/>
  <c r="X101" i="9" s="1"/>
  <c r="AA99" i="8"/>
  <c r="AB101" i="9" s="1"/>
  <c r="R100" i="8"/>
  <c r="S102" i="9" s="1"/>
  <c r="V100" i="8"/>
  <c r="W102" i="9" s="1"/>
  <c r="Z100" i="8"/>
  <c r="AA102" i="9" s="1"/>
  <c r="AD100" i="8"/>
  <c r="AE102" i="9" s="1"/>
  <c r="U101" i="8"/>
  <c r="V103" i="9" s="1"/>
  <c r="Y101" i="8"/>
  <c r="Z103" i="9" s="1"/>
  <c r="AC101" i="8"/>
  <c r="AD103" i="9" s="1"/>
  <c r="Q5" i="8"/>
  <c r="R7" i="9" s="1"/>
  <c r="Q9" i="8"/>
  <c r="R11" i="9" s="1"/>
  <c r="Q13" i="8"/>
  <c r="R15" i="9" s="1"/>
  <c r="Q17" i="8"/>
  <c r="R19" i="9" s="1"/>
  <c r="Q21" i="8"/>
  <c r="R23" i="9" s="1"/>
  <c r="Q25" i="8"/>
  <c r="R27" i="9" s="1"/>
  <c r="Q29" i="8"/>
  <c r="R31" i="9" s="1"/>
  <c r="Q33" i="8"/>
  <c r="R35" i="9" s="1"/>
  <c r="Q37" i="8"/>
  <c r="R39" i="9" s="1"/>
  <c r="Q41" i="8"/>
  <c r="R43" i="9" s="1"/>
  <c r="Q45" i="8"/>
  <c r="R47" i="9" s="1"/>
  <c r="Q49" i="8"/>
  <c r="R51" i="9" s="1"/>
  <c r="Q53" i="8"/>
  <c r="R55" i="9" s="1"/>
  <c r="Q57" i="8"/>
  <c r="R59" i="9" s="1"/>
  <c r="Q61" i="8"/>
  <c r="R63" i="9" s="1"/>
  <c r="Q65" i="8"/>
  <c r="R67" i="9" s="1"/>
  <c r="Q69" i="8"/>
  <c r="R71" i="9" s="1"/>
  <c r="Q73" i="8"/>
  <c r="R75" i="9" s="1"/>
  <c r="Q77" i="8"/>
  <c r="R79" i="9" s="1"/>
  <c r="Q81" i="8"/>
  <c r="R83" i="9" s="1"/>
  <c r="Q85" i="8"/>
  <c r="R87" i="9" s="1"/>
  <c r="Q89" i="8"/>
  <c r="R91" i="9" s="1"/>
  <c r="Q93" i="8"/>
  <c r="R95" i="9" s="1"/>
  <c r="Q97" i="8"/>
  <c r="R99" i="9" s="1"/>
  <c r="Q101" i="8"/>
  <c r="R103" i="9" s="1"/>
  <c r="S21" i="8"/>
  <c r="T23" i="9" s="1"/>
  <c r="U37" i="8"/>
  <c r="V39" i="9" s="1"/>
  <c r="Z44" i="8"/>
  <c r="AA46" i="9" s="1"/>
  <c r="AB48" i="8"/>
  <c r="AC50" i="9" s="1"/>
  <c r="R50" i="8"/>
  <c r="S52" i="9" s="1"/>
  <c r="X52" i="8"/>
  <c r="Y54" i="9" s="1"/>
  <c r="T56" i="8"/>
  <c r="U58" i="9" s="1"/>
  <c r="AC59" i="8"/>
  <c r="AD61" i="9" s="1"/>
  <c r="Y63" i="8"/>
  <c r="Z65" i="9" s="1"/>
  <c r="U67" i="8"/>
  <c r="V69" i="9" s="1"/>
  <c r="AD70" i="8"/>
  <c r="AE72" i="9" s="1"/>
  <c r="AC75" i="8"/>
  <c r="AD77" i="9" s="1"/>
  <c r="V78" i="8"/>
  <c r="W80" i="9" s="1"/>
  <c r="R82" i="8"/>
  <c r="S84" i="9" s="1"/>
  <c r="AA85" i="8"/>
  <c r="AB87" i="9" s="1"/>
  <c r="Y87" i="8"/>
  <c r="Z89" i="9" s="1"/>
  <c r="X88" i="8"/>
  <c r="Y90" i="9" s="1"/>
  <c r="R90" i="8"/>
  <c r="S92" i="9" s="1"/>
  <c r="AD90" i="8"/>
  <c r="AE92" i="9" s="1"/>
  <c r="AC91" i="8"/>
  <c r="AD93" i="9" s="1"/>
  <c r="S93" i="8"/>
  <c r="T95" i="9" s="1"/>
  <c r="R94" i="8"/>
  <c r="S96" i="9" s="1"/>
  <c r="AD94" i="8"/>
  <c r="AE96" i="9" s="1"/>
  <c r="AC95" i="8"/>
  <c r="AD97" i="9" s="1"/>
  <c r="AB96" i="8"/>
  <c r="AC98" i="9" s="1"/>
  <c r="S97" i="8"/>
  <c r="T99" i="9" s="1"/>
  <c r="W97" i="8"/>
  <c r="X99" i="9" s="1"/>
  <c r="AA97" i="8"/>
  <c r="AB99" i="9" s="1"/>
  <c r="R98" i="8"/>
  <c r="S100" i="9" s="1"/>
  <c r="V98" i="8"/>
  <c r="W100" i="9" s="1"/>
  <c r="Z98" i="8"/>
  <c r="AA100" i="9" s="1"/>
  <c r="AD98" i="8"/>
  <c r="AE100" i="9" s="1"/>
  <c r="U99" i="8"/>
  <c r="V101" i="9" s="1"/>
  <c r="AC99" i="8"/>
  <c r="AD101" i="9" s="1"/>
  <c r="X100" i="8"/>
  <c r="Y102" i="9" s="1"/>
  <c r="W7" i="8"/>
  <c r="X9" i="9" s="1"/>
  <c r="Z18" i="8"/>
  <c r="AA20" i="9" s="1"/>
  <c r="U26" i="8"/>
  <c r="V28" i="9" s="1"/>
  <c r="T31" i="8"/>
  <c r="U33" i="9" s="1"/>
  <c r="S36" i="8"/>
  <c r="T38" i="9" s="1"/>
  <c r="S39" i="8"/>
  <c r="T41" i="9" s="1"/>
  <c r="Y41" i="8"/>
  <c r="Z43" i="9" s="1"/>
  <c r="R44" i="8"/>
  <c r="S46" i="9" s="1"/>
  <c r="R46" i="8"/>
  <c r="S48" i="9" s="1"/>
  <c r="U47" i="8"/>
  <c r="V49" i="9" s="1"/>
  <c r="X48" i="8"/>
  <c r="Y50" i="9" s="1"/>
  <c r="AA49" i="8"/>
  <c r="AB51" i="9" s="1"/>
  <c r="AD50" i="8"/>
  <c r="AE52" i="9" s="1"/>
  <c r="T52" i="8"/>
  <c r="U54" i="9" s="1"/>
  <c r="W53" i="8"/>
  <c r="X55" i="9" s="1"/>
  <c r="Z54" i="8"/>
  <c r="AA56" i="9" s="1"/>
  <c r="AC55" i="8"/>
  <c r="AD57" i="9" s="1"/>
  <c r="S57" i="8"/>
  <c r="T59" i="9" s="1"/>
  <c r="V58" i="8"/>
  <c r="W60" i="9" s="1"/>
  <c r="Y59" i="8"/>
  <c r="Z61" i="9" s="1"/>
  <c r="AB60" i="8"/>
  <c r="AC62" i="9" s="1"/>
  <c r="R62" i="8"/>
  <c r="S64" i="9" s="1"/>
  <c r="U63" i="8"/>
  <c r="V65" i="9" s="1"/>
  <c r="X64" i="8"/>
  <c r="Y66" i="9" s="1"/>
  <c r="AA65" i="8"/>
  <c r="AB67" i="9" s="1"/>
  <c r="AD66" i="8"/>
  <c r="AE68" i="9" s="1"/>
  <c r="T68" i="8"/>
  <c r="U70" i="9" s="1"/>
  <c r="W69" i="8"/>
  <c r="X71" i="9" s="1"/>
  <c r="Z70" i="8"/>
  <c r="AA72" i="9" s="1"/>
  <c r="AC71" i="8"/>
  <c r="AD73" i="9" s="1"/>
  <c r="S73" i="8"/>
  <c r="T75" i="9" s="1"/>
  <c r="V74" i="8"/>
  <c r="W76" i="9" s="1"/>
  <c r="Y75" i="8"/>
  <c r="Z77" i="9" s="1"/>
  <c r="AB76" i="8"/>
  <c r="AC78" i="9" s="1"/>
  <c r="R78" i="8"/>
  <c r="S80" i="9" s="1"/>
  <c r="U79" i="8"/>
  <c r="V81" i="9" s="1"/>
  <c r="X80" i="8"/>
  <c r="Y82" i="9" s="1"/>
  <c r="AA81" i="8"/>
  <c r="AB83" i="9" s="1"/>
  <c r="AD82" i="8"/>
  <c r="AE84" i="9" s="1"/>
  <c r="T84" i="8"/>
  <c r="U86" i="9" s="1"/>
  <c r="W85" i="8"/>
  <c r="X87" i="9" s="1"/>
  <c r="Z86" i="8"/>
  <c r="AA88" i="9" s="1"/>
  <c r="T87" i="8"/>
  <c r="U89" i="9" s="1"/>
  <c r="X87" i="8"/>
  <c r="Y89" i="9" s="1"/>
  <c r="AB87" i="8"/>
  <c r="AC89" i="9" s="1"/>
  <c r="S88" i="8"/>
  <c r="T90" i="9" s="1"/>
  <c r="W88" i="8"/>
  <c r="X90" i="9" s="1"/>
  <c r="AA88" i="8"/>
  <c r="AB90" i="9" s="1"/>
  <c r="R89" i="8"/>
  <c r="S91" i="9" s="1"/>
  <c r="V89" i="8"/>
  <c r="W91" i="9" s="1"/>
  <c r="Z89" i="8"/>
  <c r="AA91" i="9" s="1"/>
  <c r="AD89" i="8"/>
  <c r="AE91" i="9" s="1"/>
  <c r="U90" i="8"/>
  <c r="V92" i="9" s="1"/>
  <c r="Y90" i="8"/>
  <c r="Z92" i="9" s="1"/>
  <c r="AC90" i="8"/>
  <c r="AD92" i="9" s="1"/>
  <c r="T91" i="8"/>
  <c r="U93" i="9" s="1"/>
  <c r="X91" i="8"/>
  <c r="Y93" i="9" s="1"/>
  <c r="AB91" i="8"/>
  <c r="AC93" i="9" s="1"/>
  <c r="S92" i="8"/>
  <c r="T94" i="9" s="1"/>
  <c r="W92" i="8"/>
  <c r="X94" i="9" s="1"/>
  <c r="AA92" i="8"/>
  <c r="AB94" i="9" s="1"/>
  <c r="R93" i="8"/>
  <c r="S95" i="9" s="1"/>
  <c r="V93" i="8"/>
  <c r="W95" i="9" s="1"/>
  <c r="Z93" i="8"/>
  <c r="AA95" i="9" s="1"/>
  <c r="AD93" i="8"/>
  <c r="AE95" i="9" s="1"/>
  <c r="U94" i="8"/>
  <c r="V96" i="9" s="1"/>
  <c r="Y94" i="8"/>
  <c r="Z96" i="9" s="1"/>
  <c r="AC94" i="8"/>
  <c r="AD96" i="9" s="1"/>
  <c r="T95" i="8"/>
  <c r="U97" i="9" s="1"/>
  <c r="X95" i="8"/>
  <c r="Y97" i="9" s="1"/>
  <c r="AB95" i="8"/>
  <c r="AC97" i="9" s="1"/>
  <c r="S96" i="8"/>
  <c r="T98" i="9" s="1"/>
  <c r="W96" i="8"/>
  <c r="X98" i="9" s="1"/>
  <c r="AA96" i="8"/>
  <c r="AB98" i="9" s="1"/>
  <c r="R97" i="8"/>
  <c r="S99" i="9" s="1"/>
  <c r="V97" i="8"/>
  <c r="W99" i="9" s="1"/>
  <c r="Z97" i="8"/>
  <c r="AA99" i="9" s="1"/>
  <c r="AD97" i="8"/>
  <c r="AE99" i="9" s="1"/>
  <c r="U98" i="8"/>
  <c r="V100" i="9" s="1"/>
  <c r="Y98" i="8"/>
  <c r="Z100" i="9" s="1"/>
  <c r="AC98" i="8"/>
  <c r="AD100" i="9" s="1"/>
  <c r="T99" i="8"/>
  <c r="U101" i="9" s="1"/>
  <c r="X99" i="8"/>
  <c r="Y101" i="9" s="1"/>
  <c r="AB99" i="8"/>
  <c r="AC101" i="9" s="1"/>
  <c r="S100" i="8"/>
  <c r="T102" i="9" s="1"/>
  <c r="W100" i="8"/>
  <c r="X102" i="9" s="1"/>
  <c r="AA100" i="8"/>
  <c r="AB102" i="9" s="1"/>
  <c r="R101" i="8"/>
  <c r="S103" i="9" s="1"/>
  <c r="V101" i="8"/>
  <c r="W103" i="9" s="1"/>
  <c r="Z101" i="8"/>
  <c r="AA103" i="9" s="1"/>
  <c r="AD101" i="8"/>
  <c r="AE103" i="9" s="1"/>
  <c r="Q6" i="8"/>
  <c r="R8" i="9" s="1"/>
  <c r="Q10" i="8"/>
  <c r="R12" i="9" s="1"/>
  <c r="Q14" i="8"/>
  <c r="R16" i="9" s="1"/>
  <c r="Q18" i="8"/>
  <c r="R20" i="9" s="1"/>
  <c r="Q22" i="8"/>
  <c r="R24" i="9" s="1"/>
  <c r="Q26" i="8"/>
  <c r="R28" i="9" s="1"/>
  <c r="Q30" i="8"/>
  <c r="R32" i="9" s="1"/>
  <c r="Q34" i="8"/>
  <c r="R36" i="9" s="1"/>
  <c r="Q38" i="8"/>
  <c r="R40" i="9" s="1"/>
  <c r="Q42" i="8"/>
  <c r="R44" i="9" s="1"/>
  <c r="Q46" i="8"/>
  <c r="R48" i="9" s="1"/>
  <c r="Q50" i="8"/>
  <c r="R52" i="9" s="1"/>
  <c r="Q54" i="8"/>
  <c r="R56" i="9" s="1"/>
  <c r="Q58" i="8"/>
  <c r="R60" i="9" s="1"/>
  <c r="Q62" i="8"/>
  <c r="R64" i="9" s="1"/>
  <c r="Q66" i="8"/>
  <c r="R68" i="9" s="1"/>
  <c r="Q70" i="8"/>
  <c r="R72" i="9" s="1"/>
  <c r="Q74" i="8"/>
  <c r="R76" i="9" s="1"/>
  <c r="Q78" i="8"/>
  <c r="R80" i="9" s="1"/>
  <c r="Q82" i="8"/>
  <c r="R84" i="9" s="1"/>
  <c r="Q86" i="8"/>
  <c r="R88" i="9" s="1"/>
  <c r="Q90" i="8"/>
  <c r="R92" i="9" s="1"/>
  <c r="Q94" i="8"/>
  <c r="R96" i="9" s="1"/>
  <c r="Q98" i="8"/>
  <c r="R100" i="9" s="1"/>
  <c r="Q2" i="8"/>
  <c r="R4" i="9" s="1"/>
  <c r="T42" i="8"/>
  <c r="U44" i="9" s="1"/>
  <c r="AD54" i="8"/>
  <c r="AE56" i="9" s="1"/>
  <c r="Z58" i="8"/>
  <c r="AA60" i="9" s="1"/>
  <c r="V62" i="8"/>
  <c r="W64" i="9" s="1"/>
  <c r="R66" i="8"/>
  <c r="S68" i="9" s="1"/>
  <c r="AA69" i="8"/>
  <c r="AB71" i="9" s="1"/>
  <c r="Z74" i="8"/>
  <c r="AA76" i="9" s="1"/>
  <c r="Y79" i="8"/>
  <c r="Z81" i="9" s="1"/>
  <c r="X84" i="8"/>
  <c r="Y86" i="9" s="1"/>
  <c r="U87" i="8"/>
  <c r="V89" i="9" s="1"/>
  <c r="T88" i="8"/>
  <c r="U90" i="9" s="1"/>
  <c r="S89" i="8"/>
  <c r="T91" i="9" s="1"/>
  <c r="AA89" i="8"/>
  <c r="AB91" i="9" s="1"/>
  <c r="Z90" i="8"/>
  <c r="AA92" i="9" s="1"/>
  <c r="Y91" i="8"/>
  <c r="Z93" i="9" s="1"/>
  <c r="X92" i="8"/>
  <c r="Y94" i="9" s="1"/>
  <c r="W93" i="8"/>
  <c r="X95" i="9" s="1"/>
  <c r="V94" i="8"/>
  <c r="W96" i="9" s="1"/>
  <c r="U95" i="8"/>
  <c r="V97" i="9" s="1"/>
  <c r="T96" i="8"/>
  <c r="U98" i="9" s="1"/>
  <c r="Y99" i="8"/>
  <c r="Z101" i="9" s="1"/>
  <c r="AB100" i="8"/>
  <c r="AC102" i="9" s="1"/>
  <c r="W101" i="8"/>
  <c r="X103" i="9" s="1"/>
  <c r="Q3" i="8"/>
  <c r="R5" i="9" s="1"/>
  <c r="Q11" i="8"/>
  <c r="R13" i="9" s="1"/>
  <c r="Q19" i="8"/>
  <c r="R21" i="9" s="1"/>
  <c r="Q27" i="8"/>
  <c r="R29" i="9" s="1"/>
  <c r="Q35" i="8"/>
  <c r="R37" i="9" s="1"/>
  <c r="Q43" i="8"/>
  <c r="R45" i="9" s="1"/>
  <c r="Q55" i="8"/>
  <c r="R57" i="9" s="1"/>
  <c r="Q63" i="8"/>
  <c r="R65" i="9" s="1"/>
  <c r="Q71" i="8"/>
  <c r="R73" i="9" s="1"/>
  <c r="Q79" i="8"/>
  <c r="R81" i="9" s="1"/>
  <c r="Q87" i="8"/>
  <c r="R89" i="9" s="1"/>
  <c r="Q95" i="8"/>
  <c r="R97" i="9" s="1"/>
  <c r="P99" i="8"/>
  <c r="Q101" i="9" s="1"/>
  <c r="P91" i="8"/>
  <c r="Q93" i="9" s="1"/>
  <c r="P83" i="8"/>
  <c r="Q85" i="9" s="1"/>
  <c r="P75" i="8"/>
  <c r="Q77" i="9" s="1"/>
  <c r="P71" i="8"/>
  <c r="Q73" i="9" s="1"/>
  <c r="P67" i="8"/>
  <c r="Q69" i="9" s="1"/>
  <c r="P63" i="8"/>
  <c r="Q65" i="9" s="1"/>
  <c r="P59" i="8"/>
  <c r="Q61" i="9" s="1"/>
  <c r="P55" i="8"/>
  <c r="Q57" i="9" s="1"/>
  <c r="P51" i="8"/>
  <c r="Q53" i="9" s="1"/>
  <c r="P47" i="8"/>
  <c r="Q49" i="9" s="1"/>
  <c r="P43" i="8"/>
  <c r="Q45" i="9" s="1"/>
  <c r="P35" i="8"/>
  <c r="Q37" i="9" s="1"/>
  <c r="P31" i="8"/>
  <c r="Q33" i="9" s="1"/>
  <c r="P27" i="8"/>
  <c r="Q29" i="9" s="1"/>
  <c r="P23" i="8"/>
  <c r="Q25" i="9" s="1"/>
  <c r="P19" i="8"/>
  <c r="Q21" i="9" s="1"/>
  <c r="P15" i="8"/>
  <c r="Q17" i="9" s="1"/>
  <c r="P11" i="8"/>
  <c r="Q13" i="9" s="1"/>
  <c r="P7" i="8"/>
  <c r="Q9" i="9" s="1"/>
  <c r="P3" i="8"/>
  <c r="Q5" i="9" s="1"/>
  <c r="P98" i="8"/>
  <c r="Q100" i="9" s="1"/>
  <c r="P94" i="8"/>
  <c r="Q96" i="9" s="1"/>
  <c r="P90" i="8"/>
  <c r="Q92" i="9" s="1"/>
  <c r="P86" i="8"/>
  <c r="Q88" i="9" s="1"/>
  <c r="P82" i="8"/>
  <c r="Q84" i="9" s="1"/>
  <c r="P78" i="8"/>
  <c r="Q80" i="9" s="1"/>
  <c r="P74" i="8"/>
  <c r="Q76" i="9" s="1"/>
  <c r="P70" i="8"/>
  <c r="Q72" i="9" s="1"/>
  <c r="P66" i="8"/>
  <c r="Q68" i="9" s="1"/>
  <c r="P62" i="8"/>
  <c r="Q64" i="9" s="1"/>
  <c r="P58" i="8"/>
  <c r="Q60" i="9" s="1"/>
  <c r="P54" i="8"/>
  <c r="Q56" i="9" s="1"/>
  <c r="P50" i="8"/>
  <c r="Q52" i="9" s="1"/>
  <c r="P46" i="8"/>
  <c r="Q48" i="9" s="1"/>
  <c r="P42" i="8"/>
  <c r="Q44" i="9" s="1"/>
  <c r="P38" i="8"/>
  <c r="Q40" i="9" s="1"/>
  <c r="P34" i="8"/>
  <c r="Q36" i="9" s="1"/>
  <c r="P30" i="8"/>
  <c r="Q32" i="9" s="1"/>
  <c r="P26" i="8"/>
  <c r="Q28" i="9" s="1"/>
  <c r="P22" i="8"/>
  <c r="Q24" i="9" s="1"/>
  <c r="P18" i="8"/>
  <c r="Q20" i="9" s="1"/>
  <c r="P14" i="8"/>
  <c r="Q16" i="9" s="1"/>
  <c r="P10" i="8"/>
  <c r="Q12" i="9" s="1"/>
  <c r="P6" i="8"/>
  <c r="Q8" i="9" s="1"/>
  <c r="P2" i="8"/>
  <c r="Q4" i="9" s="1"/>
  <c r="P101" i="8"/>
  <c r="Q103" i="9" s="1"/>
  <c r="P97" i="8"/>
  <c r="Q99" i="9" s="1"/>
  <c r="P93" i="8"/>
  <c r="Q95" i="9" s="1"/>
  <c r="P89" i="8"/>
  <c r="Q91" i="9" s="1"/>
  <c r="P85" i="8"/>
  <c r="Q87" i="9" s="1"/>
  <c r="P81" i="8"/>
  <c r="Q83" i="9" s="1"/>
  <c r="P77" i="8"/>
  <c r="Q79" i="9" s="1"/>
  <c r="P73" i="8"/>
  <c r="Q75" i="9" s="1"/>
  <c r="P69" i="8"/>
  <c r="Q71" i="9" s="1"/>
  <c r="P65" i="8"/>
  <c r="Q67" i="9" s="1"/>
  <c r="P61" i="8"/>
  <c r="Q63" i="9" s="1"/>
  <c r="P57" i="8"/>
  <c r="Q59" i="9" s="1"/>
  <c r="P53" i="8"/>
  <c r="Q55" i="9" s="1"/>
  <c r="P49" i="8"/>
  <c r="Q51" i="9" s="1"/>
  <c r="P45" i="8"/>
  <c r="Q47" i="9" s="1"/>
  <c r="P41" i="8"/>
  <c r="Q43" i="9" s="1"/>
  <c r="P37" i="8"/>
  <c r="Q39" i="9" s="1"/>
  <c r="P33" i="8"/>
  <c r="Q35" i="9" s="1"/>
  <c r="P29" i="8"/>
  <c r="Q31" i="9" s="1"/>
  <c r="P25" i="8"/>
  <c r="Q27" i="9" s="1"/>
  <c r="P21" i="8"/>
  <c r="Q23" i="9" s="1"/>
  <c r="P17" i="8"/>
  <c r="Q19" i="9" s="1"/>
  <c r="P13" i="8"/>
  <c r="Q15" i="9" s="1"/>
  <c r="P9" i="8"/>
  <c r="Q11" i="9" s="1"/>
  <c r="P5" i="8"/>
  <c r="Q7" i="9" s="1"/>
  <c r="P95" i="8"/>
  <c r="Q97" i="9" s="1"/>
  <c r="P87" i="8"/>
  <c r="Q89" i="9" s="1"/>
  <c r="P79" i="8"/>
  <c r="Q81" i="9" s="1"/>
  <c r="P39" i="8"/>
  <c r="Q41" i="9" s="1"/>
  <c r="P100" i="8"/>
  <c r="Q102" i="9" s="1"/>
  <c r="P96" i="8"/>
  <c r="Q98" i="9" s="1"/>
  <c r="P92" i="8"/>
  <c r="Q94" i="9" s="1"/>
  <c r="P88" i="8"/>
  <c r="Q90" i="9" s="1"/>
  <c r="P84" i="8"/>
  <c r="Q86" i="9" s="1"/>
  <c r="P80" i="8"/>
  <c r="Q82" i="9" s="1"/>
  <c r="P76" i="8"/>
  <c r="Q78" i="9" s="1"/>
  <c r="P72" i="8"/>
  <c r="Q74" i="9" s="1"/>
  <c r="P68" i="8"/>
  <c r="Q70" i="9" s="1"/>
  <c r="P64" i="8"/>
  <c r="Q66" i="9" s="1"/>
  <c r="P60" i="8"/>
  <c r="Q62" i="9" s="1"/>
  <c r="P56" i="8"/>
  <c r="Q58" i="9" s="1"/>
  <c r="P52" i="8"/>
  <c r="Q54" i="9" s="1"/>
  <c r="P48" i="8"/>
  <c r="Q50" i="9" s="1"/>
  <c r="P44" i="8"/>
  <c r="Q46" i="9" s="1"/>
  <c r="P40" i="8"/>
  <c r="Q42" i="9" s="1"/>
  <c r="P36" i="8"/>
  <c r="Q38" i="9" s="1"/>
  <c r="P32" i="8"/>
  <c r="Q34" i="9" s="1"/>
  <c r="P28" i="8"/>
  <c r="Q30" i="9" s="1"/>
  <c r="P24" i="8"/>
  <c r="Q26" i="9" s="1"/>
  <c r="P20" i="8"/>
  <c r="Q22" i="9" s="1"/>
  <c r="P16" i="8"/>
  <c r="Q18" i="9" s="1"/>
  <c r="P12" i="8"/>
  <c r="Q14" i="9" s="1"/>
  <c r="P8" i="8"/>
  <c r="Q10" i="9" s="1"/>
  <c r="P4" i="8"/>
  <c r="Q6" i="9" s="1"/>
  <c r="AN55" i="8" l="1"/>
  <c r="AO57" i="9" s="1"/>
  <c r="AJ69" i="8"/>
  <c r="AK71" i="9" s="1"/>
  <c r="AF83" i="8"/>
  <c r="AG85" i="9" s="1"/>
  <c r="AF47" i="8"/>
  <c r="AG49" i="9" s="1"/>
  <c r="AK91" i="8"/>
  <c r="AL93" i="9" s="1"/>
  <c r="AN84" i="8"/>
  <c r="AO86" i="9" s="1"/>
  <c r="AS72" i="8"/>
  <c r="AT74" i="9" s="1"/>
  <c r="AM55" i="8"/>
  <c r="AN57" i="9" s="1"/>
  <c r="AK48" i="8"/>
  <c r="AL50" i="9" s="1"/>
  <c r="AF66" i="8"/>
  <c r="AG68" i="9" s="1"/>
  <c r="AK98" i="8"/>
  <c r="AL100" i="9" s="1"/>
  <c r="AN91" i="8"/>
  <c r="AO93" i="9" s="1"/>
  <c r="AM84" i="8"/>
  <c r="AN86" i="9" s="1"/>
  <c r="AG82" i="8"/>
  <c r="AH84" i="9" s="1"/>
  <c r="AN69" i="8"/>
  <c r="AO71" i="9" s="1"/>
  <c r="AO52" i="8"/>
  <c r="AP54" i="9" s="1"/>
  <c r="AP48" i="8"/>
  <c r="AQ50" i="9" s="1"/>
  <c r="AJ85" i="8"/>
  <c r="AK87" i="9" s="1"/>
  <c r="AG84" i="8"/>
  <c r="AH86" i="9" s="1"/>
  <c r="AQ82" i="8"/>
  <c r="AR84" i="9" s="1"/>
  <c r="AL55" i="8"/>
  <c r="AM57" i="9" s="1"/>
  <c r="AL48" i="8"/>
  <c r="AM50" i="9" s="1"/>
  <c r="AJ72" i="8"/>
  <c r="AK74" i="9" s="1"/>
  <c r="AK55" i="8"/>
  <c r="AL57" i="9" s="1"/>
  <c r="AN52" i="8"/>
  <c r="AO54" i="9" s="1"/>
  <c r="AN48" i="8"/>
  <c r="AO50" i="9" s="1"/>
  <c r="AK47" i="8"/>
  <c r="AL49" i="9" s="1"/>
  <c r="AF52" i="8"/>
  <c r="AG54" i="9" s="1"/>
  <c r="AL84" i="8"/>
  <c r="AM86" i="9" s="1"/>
  <c r="AM83" i="8"/>
  <c r="AN85" i="9" s="1"/>
  <c r="AP55" i="8"/>
  <c r="AQ57" i="9" s="1"/>
  <c r="AH91" i="8"/>
  <c r="AI93" i="9" s="1"/>
  <c r="AP72" i="8"/>
  <c r="AQ74" i="9" s="1"/>
  <c r="AL88" i="8"/>
  <c r="AM90" i="9" s="1"/>
  <c r="AM91" i="8"/>
  <c r="AN93" i="9" s="1"/>
  <c r="AH72" i="8"/>
  <c r="AI74" i="9" s="1"/>
  <c r="AT84" i="8"/>
  <c r="AT83" i="8"/>
  <c r="AL47" i="8"/>
  <c r="AM49" i="9" s="1"/>
  <c r="AK52" i="8"/>
  <c r="AL54" i="9" s="1"/>
  <c r="AJ63" i="8"/>
  <c r="AK65" i="9" s="1"/>
  <c r="AM72" i="8"/>
  <c r="AN74" i="9" s="1"/>
  <c r="AF79" i="8"/>
  <c r="AG81" i="9" s="1"/>
  <c r="AF43" i="8"/>
  <c r="AG45" i="9" s="1"/>
  <c r="AI101" i="8"/>
  <c r="AJ103" i="9" s="1"/>
  <c r="AG91" i="8"/>
  <c r="AH93" i="9" s="1"/>
  <c r="AR88" i="8"/>
  <c r="AS90" i="9" s="1"/>
  <c r="AI84" i="8"/>
  <c r="AJ86" i="9" s="1"/>
  <c r="AR80" i="8"/>
  <c r="AS82" i="9" s="1"/>
  <c r="AJ79" i="8"/>
  <c r="AK81" i="9" s="1"/>
  <c r="AL72" i="8"/>
  <c r="AM74" i="9" s="1"/>
  <c r="AH63" i="8"/>
  <c r="AI65" i="9" s="1"/>
  <c r="AR53" i="8"/>
  <c r="AS55" i="9" s="1"/>
  <c r="AH51" i="8"/>
  <c r="AI53" i="9" s="1"/>
  <c r="AQ47" i="8"/>
  <c r="AR49" i="9" s="1"/>
  <c r="AN33" i="8"/>
  <c r="AO35" i="9" s="1"/>
  <c r="AJ91" i="8"/>
  <c r="AK93" i="9" s="1"/>
  <c r="AQ88" i="8"/>
  <c r="AR90" i="9" s="1"/>
  <c r="AH84" i="8"/>
  <c r="AI86" i="9" s="1"/>
  <c r="AN79" i="8"/>
  <c r="AO81" i="9" s="1"/>
  <c r="AJ76" i="8"/>
  <c r="AK78" i="9" s="1"/>
  <c r="AM63" i="8"/>
  <c r="AN65" i="9" s="1"/>
  <c r="AG52" i="8"/>
  <c r="AH54" i="9" s="1"/>
  <c r="AI48" i="8"/>
  <c r="AJ50" i="9" s="1"/>
  <c r="AO14" i="8"/>
  <c r="AP16" i="9" s="1"/>
  <c r="AG88" i="8"/>
  <c r="AH90" i="9" s="1"/>
  <c r="AS84" i="8"/>
  <c r="AT86" i="9" s="1"/>
  <c r="AP83" i="8"/>
  <c r="AQ85" i="9" s="1"/>
  <c r="AP79" i="8"/>
  <c r="AQ81" i="9" s="1"/>
  <c r="AS76" i="8"/>
  <c r="AT78" i="9" s="1"/>
  <c r="AS52" i="8"/>
  <c r="AT54" i="9" s="1"/>
  <c r="AJ51" i="8"/>
  <c r="AK53" i="9" s="1"/>
  <c r="AG48" i="8"/>
  <c r="AH50" i="9" s="1"/>
  <c r="AH43" i="8"/>
  <c r="AI45" i="9" s="1"/>
  <c r="AI40" i="8"/>
  <c r="AJ42" i="9" s="1"/>
  <c r="AJ25" i="8"/>
  <c r="AK27" i="9" s="1"/>
  <c r="AM14" i="8"/>
  <c r="AN16" i="9" s="1"/>
  <c r="AQ73" i="8"/>
  <c r="AR75" i="9" s="1"/>
  <c r="AH66" i="8"/>
  <c r="AI68" i="9" s="1"/>
  <c r="AG55" i="8"/>
  <c r="AH57" i="9" s="1"/>
  <c r="AJ52" i="8"/>
  <c r="AK54" i="9" s="1"/>
  <c r="AJ48" i="8"/>
  <c r="AK50" i="9" s="1"/>
  <c r="AG47" i="8"/>
  <c r="AH49" i="9" s="1"/>
  <c r="AK43" i="8"/>
  <c r="AL45" i="9" s="1"/>
  <c r="AN40" i="8"/>
  <c r="AO42" i="9" s="1"/>
  <c r="AR24" i="8"/>
  <c r="AS26" i="9" s="1"/>
  <c r="AL30" i="8"/>
  <c r="AM32" i="9" s="1"/>
  <c r="AO30" i="8"/>
  <c r="AP32" i="9" s="1"/>
  <c r="AI24" i="8"/>
  <c r="AJ26" i="9" s="1"/>
  <c r="AO25" i="8"/>
  <c r="AP27" i="9" s="1"/>
  <c r="AO48" i="8"/>
  <c r="AP50" i="9" s="1"/>
  <c r="AL52" i="8"/>
  <c r="AM54" i="9" s="1"/>
  <c r="AF84" i="8"/>
  <c r="AG86" i="9" s="1"/>
  <c r="AQ84" i="8"/>
  <c r="AR86" i="9" s="1"/>
  <c r="AG83" i="8"/>
  <c r="AH85" i="9" s="1"/>
  <c r="AJ80" i="8"/>
  <c r="AK82" i="9" s="1"/>
  <c r="AP88" i="8"/>
  <c r="AQ90" i="9" s="1"/>
  <c r="AQ91" i="8"/>
  <c r="AR93" i="9" s="1"/>
  <c r="AM47" i="8"/>
  <c r="AN49" i="9" s="1"/>
  <c r="BM35" i="9"/>
  <c r="BM39" i="9"/>
  <c r="AQ24" i="8"/>
  <c r="AR26" i="9" s="1"/>
  <c r="AR47" i="8"/>
  <c r="AS49" i="9" s="1"/>
  <c r="AI50" i="8"/>
  <c r="AJ52" i="9" s="1"/>
  <c r="AQ52" i="8"/>
  <c r="AR54" i="9" s="1"/>
  <c r="AQ63" i="8"/>
  <c r="AR65" i="9" s="1"/>
  <c r="AF91" i="8"/>
  <c r="AG93" i="9" s="1"/>
  <c r="AF55" i="8"/>
  <c r="AG57" i="9" s="1"/>
  <c r="AS91" i="8"/>
  <c r="AT93" i="9" s="1"/>
  <c r="AN88" i="8"/>
  <c r="AO90" i="9" s="1"/>
  <c r="AQ83" i="8"/>
  <c r="AR85" i="9" s="1"/>
  <c r="AM80" i="8"/>
  <c r="AN82" i="9" s="1"/>
  <c r="AQ76" i="8"/>
  <c r="AR78" i="9" s="1"/>
  <c r="AP52" i="8"/>
  <c r="AQ54" i="9" s="1"/>
  <c r="AJ47" i="8"/>
  <c r="AK49" i="9" s="1"/>
  <c r="AH40" i="8"/>
  <c r="AI42" i="9" s="1"/>
  <c r="AS2" i="8"/>
  <c r="AT4" i="9" s="1"/>
  <c r="AM88" i="8"/>
  <c r="AN90" i="9" s="1"/>
  <c r="AK85" i="8"/>
  <c r="AL87" i="9" s="1"/>
  <c r="AO83" i="8"/>
  <c r="AP85" i="9" s="1"/>
  <c r="AQ80" i="8"/>
  <c r="AR82" i="9" s="1"/>
  <c r="AI79" i="8"/>
  <c r="AJ81" i="9" s="1"/>
  <c r="AQ72" i="8"/>
  <c r="AR74" i="9" s="1"/>
  <c r="AR55" i="8"/>
  <c r="AS57" i="9" s="1"/>
  <c r="AM51" i="8"/>
  <c r="AN53" i="9" s="1"/>
  <c r="AP47" i="8"/>
  <c r="AQ49" i="9" s="1"/>
  <c r="AQ43" i="8"/>
  <c r="AR45" i="9" s="1"/>
  <c r="AG40" i="8"/>
  <c r="AH42" i="9" s="1"/>
  <c r="AL19" i="8"/>
  <c r="AM21" i="9" s="1"/>
  <c r="AR33" i="8"/>
  <c r="AS35" i="9" s="1"/>
  <c r="AN25" i="8"/>
  <c r="AO27" i="9" s="1"/>
  <c r="AO84" i="8"/>
  <c r="AP86" i="9" s="1"/>
  <c r="AL83" i="8"/>
  <c r="AM85" i="9" s="1"/>
  <c r="AH79" i="8"/>
  <c r="AI81" i="9" s="1"/>
  <c r="AO76" i="8"/>
  <c r="AP78" i="9" s="1"/>
  <c r="AO72" i="8"/>
  <c r="AP74" i="9" s="1"/>
  <c r="AM52" i="8"/>
  <c r="AN54" i="9" s="1"/>
  <c r="AN47" i="8"/>
  <c r="AO49" i="9" s="1"/>
  <c r="AK24" i="8"/>
  <c r="AL26" i="9" s="1"/>
  <c r="AR72" i="8"/>
  <c r="AS74" i="9" s="1"/>
  <c r="AM69" i="8"/>
  <c r="AN71" i="9" s="1"/>
  <c r="AS55" i="8"/>
  <c r="AT57" i="9" s="1"/>
  <c r="AM53" i="8"/>
  <c r="AN55" i="9" s="1"/>
  <c r="AS47" i="8"/>
  <c r="AT49" i="9" s="1"/>
  <c r="AG43" i="8"/>
  <c r="AH45" i="9" s="1"/>
  <c r="AS19" i="8"/>
  <c r="AT21" i="9" s="1"/>
  <c r="AO88" i="8"/>
  <c r="AP90" i="9" s="1"/>
  <c r="AP84" i="8"/>
  <c r="AQ86" i="9" s="1"/>
  <c r="AN83" i="8"/>
  <c r="AO85" i="9" s="1"/>
  <c r="AH48" i="8"/>
  <c r="AI50" i="9" s="1"/>
  <c r="AK88" i="8"/>
  <c r="AL90" i="9" s="1"/>
  <c r="AH88" i="8"/>
  <c r="AI90" i="9" s="1"/>
  <c r="AT47" i="8"/>
  <c r="AT88" i="8"/>
  <c r="BM51" i="9"/>
  <c r="BM43" i="9"/>
  <c r="BM31" i="9"/>
  <c r="BM27" i="9"/>
  <c r="BM23" i="9"/>
  <c r="BN12" i="9"/>
  <c r="BM63" i="9"/>
  <c r="BN63" i="9" s="1"/>
  <c r="BM59" i="9"/>
  <c r="BM55" i="9"/>
  <c r="BM21" i="9"/>
  <c r="BM67" i="9"/>
  <c r="BM88" i="9"/>
  <c r="BM54" i="9"/>
  <c r="BM38" i="9"/>
  <c r="BM74" i="9"/>
  <c r="BM34" i="9"/>
  <c r="BM85" i="9"/>
  <c r="BM81" i="9"/>
  <c r="BM70" i="9"/>
  <c r="BM66" i="9"/>
  <c r="BM101" i="9"/>
  <c r="BM97" i="9"/>
  <c r="BM93" i="9"/>
  <c r="BM89" i="9"/>
  <c r="BM62" i="9"/>
  <c r="BM58" i="9"/>
  <c r="BM30" i="9"/>
  <c r="BM26" i="9"/>
  <c r="BM100" i="9"/>
  <c r="BM92" i="9"/>
  <c r="BM73" i="9"/>
  <c r="BM46" i="9"/>
  <c r="BM84" i="9"/>
  <c r="BM80" i="9"/>
  <c r="BM77" i="9"/>
  <c r="BM69" i="9"/>
  <c r="BM102" i="9"/>
  <c r="BM98" i="9"/>
  <c r="BM94" i="9"/>
  <c r="BM90" i="9"/>
  <c r="BM86" i="9"/>
  <c r="BL58" i="9"/>
  <c r="BN58" i="9" s="1"/>
  <c r="BL102" i="9"/>
  <c r="BL94" i="9"/>
  <c r="BN94" i="9" s="1"/>
  <c r="BL90" i="9"/>
  <c r="BL82" i="9"/>
  <c r="BN82" i="9" s="1"/>
  <c r="BL78" i="9"/>
  <c r="BN78" i="9" s="1"/>
  <c r="BL74" i="9"/>
  <c r="BN74" i="9" s="1"/>
  <c r="BL70" i="9"/>
  <c r="BL66" i="9"/>
  <c r="BL48" i="9"/>
  <c r="BN48" i="9" s="1"/>
  <c r="BL44" i="9"/>
  <c r="BN44" i="9" s="1"/>
  <c r="BL40" i="9"/>
  <c r="BN40" i="9" s="1"/>
  <c r="BL36" i="9"/>
  <c r="BN36" i="9" s="1"/>
  <c r="BL30" i="9"/>
  <c r="BN30" i="9" s="1"/>
  <c r="BL26" i="9"/>
  <c r="BN26" i="9" s="1"/>
  <c r="BL21" i="9"/>
  <c r="BN21" i="9" s="1"/>
  <c r="BL19" i="9"/>
  <c r="BL17" i="9"/>
  <c r="BN17" i="9" s="1"/>
  <c r="BL15" i="9"/>
  <c r="BL13" i="9"/>
  <c r="BL11" i="9"/>
  <c r="BL9" i="9"/>
  <c r="BL7" i="9"/>
  <c r="BN7" i="9" s="1"/>
  <c r="BL5" i="9"/>
  <c r="BM75" i="9"/>
  <c r="BM96" i="9"/>
  <c r="BL57" i="9"/>
  <c r="BN57" i="9" s="1"/>
  <c r="BM76" i="9"/>
  <c r="BM68" i="9"/>
  <c r="BL59" i="9"/>
  <c r="BM103" i="9"/>
  <c r="BM99" i="9"/>
  <c r="BM95" i="9"/>
  <c r="BM91" i="9"/>
  <c r="BM87" i="9"/>
  <c r="BL60" i="9"/>
  <c r="BN60" i="9" s="1"/>
  <c r="BL91" i="9"/>
  <c r="BL83" i="9"/>
  <c r="BN83" i="9" s="1"/>
  <c r="BL79" i="9"/>
  <c r="BN79" i="9" s="1"/>
  <c r="BL75" i="9"/>
  <c r="BN75" i="9" s="1"/>
  <c r="BL71" i="9"/>
  <c r="BN71" i="9" s="1"/>
  <c r="BL67" i="9"/>
  <c r="BN67" i="9" s="1"/>
  <c r="BL49" i="9"/>
  <c r="BN49" i="9" s="1"/>
  <c r="BL37" i="9"/>
  <c r="BN37" i="9" s="1"/>
  <c r="BM22" i="9"/>
  <c r="BN22" i="9" s="1"/>
  <c r="BM20" i="9"/>
  <c r="BN20" i="9" s="1"/>
  <c r="BM19" i="9"/>
  <c r="BM18" i="9"/>
  <c r="BN18" i="9" s="1"/>
  <c r="BM17" i="9"/>
  <c r="BM16" i="9"/>
  <c r="BN16" i="9" s="1"/>
  <c r="BM15" i="9"/>
  <c r="BM13" i="9"/>
  <c r="BM12" i="9"/>
  <c r="BM11" i="9"/>
  <c r="BM10" i="9"/>
  <c r="BN10" i="9" s="1"/>
  <c r="BM9" i="9"/>
  <c r="BM8" i="9"/>
  <c r="BN8" i="9" s="1"/>
  <c r="BM7" i="9"/>
  <c r="BM6" i="9"/>
  <c r="BN6" i="9" s="1"/>
  <c r="BM5" i="9"/>
  <c r="BM4" i="9"/>
  <c r="AF31" i="9"/>
  <c r="AG29" i="8"/>
  <c r="AH31" i="9" s="1"/>
  <c r="AH29" i="8"/>
  <c r="AI31" i="9" s="1"/>
  <c r="AQ29" i="8"/>
  <c r="AR31" i="9" s="1"/>
  <c r="AT8" i="8"/>
  <c r="AH8" i="8"/>
  <c r="AI10" i="9" s="1"/>
  <c r="AS8" i="8"/>
  <c r="AT10" i="9" s="1"/>
  <c r="AJ8" i="8"/>
  <c r="AK10" i="9" s="1"/>
  <c r="AF25" i="9"/>
  <c r="AQ23" i="8"/>
  <c r="AR25" i="9" s="1"/>
  <c r="AK23" i="8"/>
  <c r="AL25" i="9" s="1"/>
  <c r="AL23" i="8"/>
  <c r="AM25" i="9" s="1"/>
  <c r="AT24" i="8"/>
  <c r="AU26" i="9" s="1"/>
  <c r="AJ29" i="8"/>
  <c r="AK31" i="9" s="1"/>
  <c r="AO50" i="8"/>
  <c r="AP52" i="9" s="1"/>
  <c r="AP101" i="8"/>
  <c r="AQ103" i="9" s="1"/>
  <c r="AG69" i="8"/>
  <c r="AH71" i="9" s="1"/>
  <c r="AO53" i="8"/>
  <c r="AP55" i="9" s="1"/>
  <c r="AO23" i="8"/>
  <c r="AP25" i="9" s="1"/>
  <c r="AK8" i="8"/>
  <c r="AL10" i="9" s="1"/>
  <c r="AN23" i="8"/>
  <c r="AO25" i="9" s="1"/>
  <c r="AP69" i="8"/>
  <c r="AQ71" i="9" s="1"/>
  <c r="AM66" i="8"/>
  <c r="AN68" i="9" s="1"/>
  <c r="AR50" i="8"/>
  <c r="AS52" i="9" s="1"/>
  <c r="AH23" i="8"/>
  <c r="AI25" i="9" s="1"/>
  <c r="AI69" i="8"/>
  <c r="AJ71" i="9" s="1"/>
  <c r="AI53" i="8"/>
  <c r="AJ55" i="9" s="1"/>
  <c r="AP50" i="8"/>
  <c r="AQ52" i="9" s="1"/>
  <c r="AJ40" i="8"/>
  <c r="AK42" i="9" s="1"/>
  <c r="AR30" i="8"/>
  <c r="AS32" i="9" s="1"/>
  <c r="AJ23" i="8"/>
  <c r="AK25" i="9" s="1"/>
  <c r="AH30" i="8"/>
  <c r="AI32" i="9" s="1"/>
  <c r="AO24" i="8"/>
  <c r="AP26" i="9" s="1"/>
  <c r="AL14" i="8"/>
  <c r="AM16" i="9" s="1"/>
  <c r="AG30" i="8"/>
  <c r="AH32" i="9" s="1"/>
  <c r="AP23" i="8"/>
  <c r="AQ25" i="9" s="1"/>
  <c r="AI23" i="8"/>
  <c r="AJ25" i="9" s="1"/>
  <c r="AF77" i="9"/>
  <c r="AQ75" i="8"/>
  <c r="AR77" i="9" s="1"/>
  <c r="AF11" i="9"/>
  <c r="AS9" i="8"/>
  <c r="AT11" i="9" s="1"/>
  <c r="BL61" i="9"/>
  <c r="BN61" i="9" s="1"/>
  <c r="BL55" i="9"/>
  <c r="AF5" i="9"/>
  <c r="AQ3" i="8"/>
  <c r="AR5" i="9" s="1"/>
  <c r="AP3" i="8"/>
  <c r="AQ5" i="9" s="1"/>
  <c r="AF102" i="9"/>
  <c r="AG100" i="8"/>
  <c r="AH102" i="9" s="1"/>
  <c r="AF70" i="9"/>
  <c r="AT68" i="8"/>
  <c r="AU70" i="9" s="1"/>
  <c r="AF68" i="8"/>
  <c r="AG70" i="9" s="1"/>
  <c r="AF29" i="9"/>
  <c r="AT27" i="8"/>
  <c r="AU27" i="8" s="1"/>
  <c r="BH27" i="8" s="1"/>
  <c r="BI29" i="9" s="1"/>
  <c r="AH27" i="8"/>
  <c r="AI29" i="9" s="1"/>
  <c r="AJ27" i="8"/>
  <c r="AK29" i="9" s="1"/>
  <c r="BL98" i="9"/>
  <c r="BN98" i="9" s="1"/>
  <c r="BL86" i="9"/>
  <c r="BL52" i="9"/>
  <c r="BN52" i="9" s="1"/>
  <c r="AT14" i="8"/>
  <c r="AU16" i="9" s="1"/>
  <c r="AG14" i="8"/>
  <c r="AH16" i="9" s="1"/>
  <c r="AI14" i="8"/>
  <c r="AJ16" i="9" s="1"/>
  <c r="AS24" i="8"/>
  <c r="AT26" i="9" s="1"/>
  <c r="AG24" i="8"/>
  <c r="AH26" i="9" s="1"/>
  <c r="AF84" i="9"/>
  <c r="AT82" i="8"/>
  <c r="AU84" i="9" s="1"/>
  <c r="AK40" i="8"/>
  <c r="AL42" i="9" s="1"/>
  <c r="AJ53" i="8"/>
  <c r="AK55" i="9" s="1"/>
  <c r="AF98" i="8"/>
  <c r="AG100" i="9" s="1"/>
  <c r="AF50" i="8"/>
  <c r="AG52" i="9" s="1"/>
  <c r="AG98" i="8"/>
  <c r="AH100" i="9" s="1"/>
  <c r="AQ66" i="8"/>
  <c r="AR68" i="9" s="1"/>
  <c r="AN9" i="8"/>
  <c r="AO11" i="9" s="1"/>
  <c r="AQ40" i="8"/>
  <c r="AR42" i="9" s="1"/>
  <c r="AL53" i="8"/>
  <c r="AM55" i="9" s="1"/>
  <c r="AI68" i="8"/>
  <c r="AJ70" i="9" s="1"/>
  <c r="AM71" i="8"/>
  <c r="AN73" i="9" s="1"/>
  <c r="AF67" i="8"/>
  <c r="AG69" i="9" s="1"/>
  <c r="AF35" i="8"/>
  <c r="AG37" i="9" s="1"/>
  <c r="AQ101" i="8"/>
  <c r="AR103" i="9" s="1"/>
  <c r="AN100" i="8"/>
  <c r="AO102" i="9" s="1"/>
  <c r="AH98" i="8"/>
  <c r="AI100" i="9" s="1"/>
  <c r="AQ85" i="8"/>
  <c r="AR87" i="9" s="1"/>
  <c r="AN82" i="8"/>
  <c r="AO84" i="9" s="1"/>
  <c r="AI75" i="8"/>
  <c r="AJ77" i="9" s="1"/>
  <c r="AH69" i="8"/>
  <c r="AI71" i="9" s="1"/>
  <c r="AS66" i="8"/>
  <c r="AT68" i="9" s="1"/>
  <c r="AN50" i="8"/>
  <c r="AO52" i="9" s="1"/>
  <c r="AS23" i="8"/>
  <c r="AT25" i="9" s="1"/>
  <c r="AF82" i="8"/>
  <c r="AG84" i="9" s="1"/>
  <c r="AL101" i="8"/>
  <c r="AM103" i="9" s="1"/>
  <c r="AI100" i="8"/>
  <c r="AJ102" i="9" s="1"/>
  <c r="AS98" i="8"/>
  <c r="AT100" i="9" s="1"/>
  <c r="AR82" i="8"/>
  <c r="AS84" i="9" s="1"/>
  <c r="AR75" i="8"/>
  <c r="AS77" i="9" s="1"/>
  <c r="AP71" i="8"/>
  <c r="AQ73" i="9" s="1"/>
  <c r="AL68" i="8"/>
  <c r="AM70" i="9" s="1"/>
  <c r="AJ66" i="8"/>
  <c r="AK68" i="9" s="1"/>
  <c r="AH53" i="8"/>
  <c r="AI55" i="9" s="1"/>
  <c r="AS50" i="8"/>
  <c r="AT52" i="9" s="1"/>
  <c r="AP27" i="8"/>
  <c r="AQ29" i="9" s="1"/>
  <c r="AR17" i="8"/>
  <c r="AS19" i="9" s="1"/>
  <c r="AI9" i="8"/>
  <c r="AJ11" i="9" s="1"/>
  <c r="AR85" i="8"/>
  <c r="AS87" i="9" s="1"/>
  <c r="AI82" i="8"/>
  <c r="AJ84" i="9" s="1"/>
  <c r="AK69" i="8"/>
  <c r="AL71" i="9" s="1"/>
  <c r="AP67" i="8"/>
  <c r="AQ69" i="9" s="1"/>
  <c r="AG66" i="8"/>
  <c r="AH68" i="9" s="1"/>
  <c r="AP53" i="8"/>
  <c r="AQ55" i="9" s="1"/>
  <c r="AM50" i="8"/>
  <c r="AN52" i="9" s="1"/>
  <c r="AL35" i="8"/>
  <c r="AM37" i="9" s="1"/>
  <c r="AO27" i="8"/>
  <c r="AP29" i="9" s="1"/>
  <c r="AR8" i="8"/>
  <c r="AS10" i="9" s="1"/>
  <c r="AO71" i="8"/>
  <c r="AP73" i="9" s="1"/>
  <c r="AN68" i="8"/>
  <c r="AO70" i="9" s="1"/>
  <c r="AP66" i="8"/>
  <c r="AQ68" i="9" s="1"/>
  <c r="AL50" i="8"/>
  <c r="AM52" i="9" s="1"/>
  <c r="AO29" i="8"/>
  <c r="AP31" i="9" s="1"/>
  <c r="AM8" i="8"/>
  <c r="AN10" i="9" s="1"/>
  <c r="AM29" i="8"/>
  <c r="AN31" i="9" s="1"/>
  <c r="AJ24" i="8"/>
  <c r="AK26" i="9" s="1"/>
  <c r="AH9" i="8"/>
  <c r="AI11" i="9" s="1"/>
  <c r="AP29" i="8"/>
  <c r="AQ31" i="9" s="1"/>
  <c r="AK14" i="8"/>
  <c r="AL16" i="9" s="1"/>
  <c r="AQ9" i="8"/>
  <c r="AR11" i="9" s="1"/>
  <c r="AQ27" i="8"/>
  <c r="AR29" i="9" s="1"/>
  <c r="AL24" i="8"/>
  <c r="AM26" i="9" s="1"/>
  <c r="AR14" i="8"/>
  <c r="AS16" i="9" s="1"/>
  <c r="AP8" i="8"/>
  <c r="AQ10" i="9" s="1"/>
  <c r="AK68" i="8"/>
  <c r="AL70" i="9" s="1"/>
  <c r="AF100" i="8"/>
  <c r="AG102" i="9" s="1"/>
  <c r="AF89" i="9"/>
  <c r="AS87" i="8"/>
  <c r="AT89" i="9" s="1"/>
  <c r="AF61" i="9"/>
  <c r="AN59" i="8"/>
  <c r="AO61" i="9" s="1"/>
  <c r="AF43" i="9"/>
  <c r="AI41" i="8"/>
  <c r="AJ43" i="9" s="1"/>
  <c r="AF41" i="8"/>
  <c r="AG43" i="9" s="1"/>
  <c r="AF97" i="9"/>
  <c r="AI95" i="8"/>
  <c r="AJ97" i="9" s="1"/>
  <c r="AP95" i="8"/>
  <c r="AQ97" i="9" s="1"/>
  <c r="AF101" i="9"/>
  <c r="AM99" i="8"/>
  <c r="AN101" i="9" s="1"/>
  <c r="AF58" i="9"/>
  <c r="AT56" i="8"/>
  <c r="AU58" i="9" s="1"/>
  <c r="AF56" i="8"/>
  <c r="AG58" i="9" s="1"/>
  <c r="AF94" i="9"/>
  <c r="AP92" i="8"/>
  <c r="AQ94" i="9" s="1"/>
  <c r="AG92" i="8"/>
  <c r="AH94" i="9" s="1"/>
  <c r="AK92" i="8"/>
  <c r="AL94" i="9" s="1"/>
  <c r="AF62" i="9"/>
  <c r="AT60" i="8"/>
  <c r="AU62" i="9" s="1"/>
  <c r="AF13" i="9"/>
  <c r="AR11" i="8"/>
  <c r="AS13" i="9" s="1"/>
  <c r="AH11" i="8"/>
  <c r="AI13" i="9" s="1"/>
  <c r="AT11" i="8"/>
  <c r="AU11" i="8" s="1"/>
  <c r="BH11" i="8" s="1"/>
  <c r="BI13" i="9" s="1"/>
  <c r="BL103" i="9"/>
  <c r="BL99" i="9"/>
  <c r="BL95" i="9"/>
  <c r="BN95" i="9" s="1"/>
  <c r="BL87" i="9"/>
  <c r="BL53" i="9"/>
  <c r="BN53" i="9" s="1"/>
  <c r="BL45" i="9"/>
  <c r="BN45" i="9" s="1"/>
  <c r="BL41" i="9"/>
  <c r="BN41" i="9" s="1"/>
  <c r="BL31" i="9"/>
  <c r="BN31" i="9" s="1"/>
  <c r="BL27" i="9"/>
  <c r="BN27" i="9" s="1"/>
  <c r="BL23" i="9"/>
  <c r="BN23" i="9" s="1"/>
  <c r="AF9" i="9"/>
  <c r="AT7" i="8"/>
  <c r="AU9" i="9" s="1"/>
  <c r="AK7" i="8"/>
  <c r="AL9" i="9" s="1"/>
  <c r="AO7" i="8"/>
  <c r="AP9" i="9" s="1"/>
  <c r="AF32" i="9"/>
  <c r="AK30" i="8"/>
  <c r="AL32" i="9" s="1"/>
  <c r="AJ30" i="8"/>
  <c r="AK32" i="9" s="1"/>
  <c r="AR69" i="8"/>
  <c r="AS71" i="9" s="1"/>
  <c r="AL98" i="8"/>
  <c r="AM100" i="9" s="1"/>
  <c r="AS82" i="8"/>
  <c r="AT84" i="9" s="1"/>
  <c r="AO69" i="8"/>
  <c r="AP71" i="9" s="1"/>
  <c r="AI30" i="8"/>
  <c r="AJ32" i="9" s="1"/>
  <c r="AS53" i="8"/>
  <c r="AT55" i="9" s="1"/>
  <c r="AN66" i="8"/>
  <c r="AO68" i="9" s="1"/>
  <c r="AP68" i="8"/>
  <c r="AQ70" i="9" s="1"/>
  <c r="AF27" i="8"/>
  <c r="AG29" i="9" s="1"/>
  <c r="AM101" i="8"/>
  <c r="AN103" i="9" s="1"/>
  <c r="AJ100" i="8"/>
  <c r="AK102" i="9" s="1"/>
  <c r="AL85" i="8"/>
  <c r="AM87" i="9" s="1"/>
  <c r="AH82" i="8"/>
  <c r="AI84" i="9" s="1"/>
  <c r="AR71" i="8"/>
  <c r="AS73" i="9" s="1"/>
  <c r="AO68" i="8"/>
  <c r="AP70" i="9" s="1"/>
  <c r="AK66" i="8"/>
  <c r="AL68" i="9" s="1"/>
  <c r="AP40" i="8"/>
  <c r="AQ42" i="9" s="1"/>
  <c r="AH35" i="8"/>
  <c r="AI37" i="9" s="1"/>
  <c r="AQ8" i="8"/>
  <c r="AR10" i="9" s="1"/>
  <c r="AF14" i="8"/>
  <c r="AG16" i="9" s="1"/>
  <c r="AH101" i="8"/>
  <c r="AI103" i="9" s="1"/>
  <c r="AO98" i="8"/>
  <c r="AP100" i="9" s="1"/>
  <c r="AP85" i="8"/>
  <c r="AQ87" i="9" s="1"/>
  <c r="AL82" i="8"/>
  <c r="AM84" i="9" s="1"/>
  <c r="AM75" i="8"/>
  <c r="AN77" i="9" s="1"/>
  <c r="AI71" i="8"/>
  <c r="AJ73" i="9" s="1"/>
  <c r="AR67" i="8"/>
  <c r="AS69" i="9" s="1"/>
  <c r="AK50" i="8"/>
  <c r="AL52" i="9" s="1"/>
  <c r="AM40" i="8"/>
  <c r="AN42" i="9" s="1"/>
  <c r="AS29" i="8"/>
  <c r="AT31" i="9" s="1"/>
  <c r="AH17" i="8"/>
  <c r="AI19" i="9" s="1"/>
  <c r="AS3" i="8"/>
  <c r="AT5" i="9" s="1"/>
  <c r="AN30" i="8"/>
  <c r="AO32" i="9" s="1"/>
  <c r="AG8" i="8"/>
  <c r="AH10" i="9" s="1"/>
  <c r="AP87" i="8"/>
  <c r="AQ89" i="9" s="1"/>
  <c r="AN85" i="8"/>
  <c r="AO87" i="9" s="1"/>
  <c r="AP75" i="8"/>
  <c r="AQ77" i="9" s="1"/>
  <c r="AQ71" i="8"/>
  <c r="AR73" i="9" s="1"/>
  <c r="AS68" i="8"/>
  <c r="AT70" i="9" s="1"/>
  <c r="AJ67" i="8"/>
  <c r="AK69" i="9" s="1"/>
  <c r="AR59" i="8"/>
  <c r="AS61" i="9" s="1"/>
  <c r="AI56" i="8"/>
  <c r="AJ58" i="9" s="1"/>
  <c r="AK53" i="8"/>
  <c r="AL55" i="9" s="1"/>
  <c r="AG50" i="8"/>
  <c r="AH52" i="9" s="1"/>
  <c r="AO40" i="8"/>
  <c r="AP42" i="9" s="1"/>
  <c r="AM30" i="8"/>
  <c r="AN32" i="9" s="1"/>
  <c r="AQ69" i="8"/>
  <c r="AR71" i="9" s="1"/>
  <c r="AJ68" i="8"/>
  <c r="AK70" i="9" s="1"/>
  <c r="AL66" i="8"/>
  <c r="AM68" i="9" s="1"/>
  <c r="AS59" i="8"/>
  <c r="AT61" i="9" s="1"/>
  <c r="AQ57" i="8"/>
  <c r="AR59" i="9" s="1"/>
  <c r="AQ53" i="8"/>
  <c r="AR55" i="9" s="1"/>
  <c r="AH50" i="8"/>
  <c r="AI52" i="9" s="1"/>
  <c r="AR40" i="8"/>
  <c r="AS42" i="9" s="1"/>
  <c r="AJ36" i="8"/>
  <c r="AK38" i="9" s="1"/>
  <c r="AN3" i="8"/>
  <c r="AO5" i="9" s="1"/>
  <c r="AP30" i="8"/>
  <c r="AQ32" i="9" s="1"/>
  <c r="AI29" i="8"/>
  <c r="AJ31" i="9" s="1"/>
  <c r="AR23" i="8"/>
  <c r="AS25" i="9" s="1"/>
  <c r="AS11" i="8"/>
  <c r="AT13" i="9" s="1"/>
  <c r="AO8" i="8"/>
  <c r="AP10" i="9" s="1"/>
  <c r="AN35" i="8"/>
  <c r="AO37" i="9" s="1"/>
  <c r="AS30" i="8"/>
  <c r="AT32" i="9" s="1"/>
  <c r="AL29" i="8"/>
  <c r="AM31" i="9" s="1"/>
  <c r="AN24" i="8"/>
  <c r="AO26" i="9" s="1"/>
  <c r="AN8" i="8"/>
  <c r="AO10" i="9" s="1"/>
  <c r="AO3" i="8"/>
  <c r="AP5" i="9" s="1"/>
  <c r="AM27" i="8"/>
  <c r="AN29" i="9" s="1"/>
  <c r="AH24" i="8"/>
  <c r="AI26" i="9" s="1"/>
  <c r="AN14" i="8"/>
  <c r="AO16" i="9" s="1"/>
  <c r="AM11" i="8"/>
  <c r="AN13" i="9" s="1"/>
  <c r="AL8" i="8"/>
  <c r="AM10" i="9" s="1"/>
  <c r="AM3" i="8"/>
  <c r="AN5" i="9" s="1"/>
  <c r="AF23" i="9"/>
  <c r="AG21" i="8"/>
  <c r="AH23" i="9" s="1"/>
  <c r="AF51" i="9"/>
  <c r="AI49" i="8"/>
  <c r="AJ51" i="9" s="1"/>
  <c r="AF36" i="9"/>
  <c r="AG34" i="8"/>
  <c r="AH36" i="9" s="1"/>
  <c r="AF20" i="9"/>
  <c r="AS18" i="8"/>
  <c r="AT20" i="9" s="1"/>
  <c r="AF17" i="9"/>
  <c r="AM15" i="8"/>
  <c r="AN17" i="9" s="1"/>
  <c r="AS15" i="8"/>
  <c r="AT17" i="9" s="1"/>
  <c r="AF48" i="9"/>
  <c r="AP46" i="8"/>
  <c r="AQ48" i="9" s="1"/>
  <c r="AF64" i="9"/>
  <c r="AT62" i="8"/>
  <c r="AU64" i="9" s="1"/>
  <c r="AF60" i="8"/>
  <c r="AG62" i="9" s="1"/>
  <c r="AO92" i="8"/>
  <c r="AP94" i="9" s="1"/>
  <c r="AP100" i="8"/>
  <c r="AQ102" i="9" s="1"/>
  <c r="AH99" i="8"/>
  <c r="AI101" i="9" s="1"/>
  <c r="AO87" i="8"/>
  <c r="AP89" i="9" s="1"/>
  <c r="AQ95" i="8"/>
  <c r="AR97" i="9" s="1"/>
  <c r="AF9" i="8"/>
  <c r="AG11" i="9" s="1"/>
  <c r="AT95" i="8"/>
  <c r="AU97" i="9" s="1"/>
  <c r="AT59" i="8"/>
  <c r="AU61" i="9" s="1"/>
  <c r="AT34" i="8"/>
  <c r="AU36" i="9" s="1"/>
  <c r="AT99" i="8"/>
  <c r="AU99" i="8" s="1"/>
  <c r="BH99" i="8" s="1"/>
  <c r="BI101" i="9" s="1"/>
  <c r="AH3" i="8"/>
  <c r="AI5" i="9" s="1"/>
  <c r="BL62" i="9"/>
  <c r="BL100" i="9"/>
  <c r="BL96" i="9"/>
  <c r="BL92" i="9"/>
  <c r="BN92" i="9" s="1"/>
  <c r="BL88" i="9"/>
  <c r="BL84" i="9"/>
  <c r="BL80" i="9"/>
  <c r="BN80" i="9" s="1"/>
  <c r="BL76" i="9"/>
  <c r="BL72" i="9"/>
  <c r="BN72" i="9" s="1"/>
  <c r="BL68" i="9"/>
  <c r="BN68" i="9" s="1"/>
  <c r="BL54" i="9"/>
  <c r="BN54" i="9" s="1"/>
  <c r="BL50" i="9"/>
  <c r="BN50" i="9" s="1"/>
  <c r="BL46" i="9"/>
  <c r="BL42" i="9"/>
  <c r="BN42" i="9" s="1"/>
  <c r="BL38" i="9"/>
  <c r="BN38" i="9" s="1"/>
  <c r="BL34" i="9"/>
  <c r="AS83" i="8"/>
  <c r="AT85" i="9" s="1"/>
  <c r="AI55" i="8"/>
  <c r="AJ57" i="9" s="1"/>
  <c r="AF48" i="8"/>
  <c r="AG50" i="9" s="1"/>
  <c r="AP91" i="8"/>
  <c r="AQ93" i="9" s="1"/>
  <c r="AI91" i="8"/>
  <c r="AJ93" i="9" s="1"/>
  <c r="AR83" i="8"/>
  <c r="AS85" i="9" s="1"/>
  <c r="AT91" i="8"/>
  <c r="AU93" i="9" s="1"/>
  <c r="BL65" i="9"/>
  <c r="BN65" i="9" s="1"/>
  <c r="BL64" i="9"/>
  <c r="BN64" i="9" s="1"/>
  <c r="BL56" i="9"/>
  <c r="BN56" i="9" s="1"/>
  <c r="BL101" i="9"/>
  <c r="BN101" i="9" s="1"/>
  <c r="BL97" i="9"/>
  <c r="BN97" i="9" s="1"/>
  <c r="BL93" i="9"/>
  <c r="BN93" i="9" s="1"/>
  <c r="BL89" i="9"/>
  <c r="BN89" i="9" s="1"/>
  <c r="BL85" i="9"/>
  <c r="BN85" i="9" s="1"/>
  <c r="BL81" i="9"/>
  <c r="BN81" i="9" s="1"/>
  <c r="BL77" i="9"/>
  <c r="BN77" i="9" s="1"/>
  <c r="BL73" i="9"/>
  <c r="BN73" i="9" s="1"/>
  <c r="BL69" i="9"/>
  <c r="BL51" i="9"/>
  <c r="BN51" i="9" s="1"/>
  <c r="BL47" i="9"/>
  <c r="BN47" i="9" s="1"/>
  <c r="BL43" i="9"/>
  <c r="BL39" i="9"/>
  <c r="BN39" i="9" s="1"/>
  <c r="BL35" i="9"/>
  <c r="BL33" i="9"/>
  <c r="BN33" i="9" s="1"/>
  <c r="BL29" i="9"/>
  <c r="BN29" i="9" s="1"/>
  <c r="BL25" i="9"/>
  <c r="BN25" i="9" s="1"/>
  <c r="AH77" i="8"/>
  <c r="AI79" i="9" s="1"/>
  <c r="AN77" i="8"/>
  <c r="AO79" i="9" s="1"/>
  <c r="AO74" i="8"/>
  <c r="AP76" i="9" s="1"/>
  <c r="AO58" i="8"/>
  <c r="AP60" i="9" s="1"/>
  <c r="AN45" i="8"/>
  <c r="AO47" i="9" s="1"/>
  <c r="AI38" i="8"/>
  <c r="AJ40" i="9" s="1"/>
  <c r="AK63" i="8"/>
  <c r="AL65" i="9" s="1"/>
  <c r="AQ61" i="8"/>
  <c r="AR63" i="9" s="1"/>
  <c r="AO51" i="8"/>
  <c r="AP53" i="9" s="1"/>
  <c r="AQ45" i="8"/>
  <c r="AR47" i="9" s="1"/>
  <c r="AG39" i="8"/>
  <c r="AH41" i="9" s="1"/>
  <c r="AK33" i="8"/>
  <c r="AL35" i="9" s="1"/>
  <c r="AO16" i="8"/>
  <c r="AP18" i="9" s="1"/>
  <c r="AN32" i="8"/>
  <c r="AO34" i="9" s="1"/>
  <c r="AN13" i="8"/>
  <c r="AO15" i="9" s="1"/>
  <c r="AI6" i="8"/>
  <c r="AJ8" i="9" s="1"/>
  <c r="AM32" i="8"/>
  <c r="AN34" i="9" s="1"/>
  <c r="AO19" i="8"/>
  <c r="AP21" i="9" s="1"/>
  <c r="AQ16" i="8"/>
  <c r="AR18" i="9" s="1"/>
  <c r="AH13" i="8"/>
  <c r="AI15" i="9" s="1"/>
  <c r="AK25" i="8"/>
  <c r="AL27" i="9" s="1"/>
  <c r="AN76" i="8"/>
  <c r="AO78" i="9" s="1"/>
  <c r="AF25" i="8"/>
  <c r="AG27" i="9" s="1"/>
  <c r="AM79" i="8"/>
  <c r="AN81" i="9" s="1"/>
  <c r="AT43" i="8"/>
  <c r="AU45" i="9" s="1"/>
  <c r="AT46" i="8"/>
  <c r="AU48" i="9" s="1"/>
  <c r="AS74" i="8"/>
  <c r="AT76" i="9" s="1"/>
  <c r="AL45" i="8"/>
  <c r="AM47" i="9" s="1"/>
  <c r="AM39" i="8"/>
  <c r="AN41" i="9" s="1"/>
  <c r="AO38" i="8"/>
  <c r="AP40" i="9" s="1"/>
  <c r="AP13" i="8"/>
  <c r="AQ15" i="9" s="1"/>
  <c r="AJ77" i="8"/>
  <c r="AK79" i="9" s="1"/>
  <c r="AS61" i="8"/>
  <c r="AT63" i="9" s="1"/>
  <c r="AJ58" i="8"/>
  <c r="AK60" i="9" s="1"/>
  <c r="AG63" i="8"/>
  <c r="AH65" i="9" s="1"/>
  <c r="AM61" i="8"/>
  <c r="AN63" i="9" s="1"/>
  <c r="AH58" i="8"/>
  <c r="AI60" i="9" s="1"/>
  <c r="AK51" i="8"/>
  <c r="AL53" i="9" s="1"/>
  <c r="AP38" i="8"/>
  <c r="AQ40" i="9" s="1"/>
  <c r="AP32" i="8"/>
  <c r="AQ34" i="9" s="1"/>
  <c r="AR25" i="8"/>
  <c r="AS27" i="9" s="1"/>
  <c r="AP19" i="8"/>
  <c r="AQ21" i="9" s="1"/>
  <c r="AI32" i="8"/>
  <c r="AJ34" i="9" s="1"/>
  <c r="AS22" i="8"/>
  <c r="AT24" i="9" s="1"/>
  <c r="AJ19" i="8"/>
  <c r="AK21" i="9" s="1"/>
  <c r="AQ19" i="8"/>
  <c r="AR21" i="9" s="1"/>
  <c r="AP16" i="8"/>
  <c r="AQ18" i="9" s="1"/>
  <c r="AI25" i="8"/>
  <c r="AJ27" i="9" s="1"/>
  <c r="AR79" i="8"/>
  <c r="AS81" i="9" s="1"/>
  <c r="AT25" i="8"/>
  <c r="AU25" i="8" s="1"/>
  <c r="BH25" i="8" s="1"/>
  <c r="BI27" i="9" s="1"/>
  <c r="AT63" i="8"/>
  <c r="AU65" i="9" s="1"/>
  <c r="AN80" i="8"/>
  <c r="AO82" i="9" s="1"/>
  <c r="AT12" i="8"/>
  <c r="AU14" i="9" s="1"/>
  <c r="AT78" i="8"/>
  <c r="AU80" i="9" s="1"/>
  <c r="AK61" i="8"/>
  <c r="AL63" i="9" s="1"/>
  <c r="AS16" i="8"/>
  <c r="AT18" i="9" s="1"/>
  <c r="AN61" i="8"/>
  <c r="AO63" i="9" s="1"/>
  <c r="AQ39" i="8"/>
  <c r="AR41" i="9" s="1"/>
  <c r="AG32" i="8"/>
  <c r="AH34" i="9" s="1"/>
  <c r="AG22" i="8"/>
  <c r="AH24" i="9" s="1"/>
  <c r="AP74" i="8"/>
  <c r="AQ76" i="9" s="1"/>
  <c r="AP25" i="8"/>
  <c r="AQ27" i="9" s="1"/>
  <c r="AL22" i="8"/>
  <c r="AM24" i="9" s="1"/>
  <c r="AQ33" i="8"/>
  <c r="AR35" i="9" s="1"/>
  <c r="AK19" i="8"/>
  <c r="AL21" i="9" s="1"/>
  <c r="AP33" i="8"/>
  <c r="AQ35" i="9" s="1"/>
  <c r="AM22" i="8"/>
  <c r="AN24" i="9" s="1"/>
  <c r="AP43" i="8"/>
  <c r="AQ45" i="9" s="1"/>
  <c r="AM76" i="8"/>
  <c r="AN78" i="9" s="1"/>
  <c r="AF80" i="8"/>
  <c r="AG82" i="9" s="1"/>
  <c r="AT29" i="8"/>
  <c r="AU31" i="9" s="1"/>
  <c r="AT18" i="8"/>
  <c r="AU20" i="9" s="1"/>
  <c r="AT76" i="8"/>
  <c r="AU76" i="8" s="1"/>
  <c r="BH76" i="8" s="1"/>
  <c r="BI78" i="9" s="1"/>
  <c r="AT98" i="8"/>
  <c r="AU100" i="9" s="1"/>
  <c r="AT19" i="8"/>
  <c r="AU21" i="9" s="1"/>
  <c r="AT57" i="8"/>
  <c r="AU57" i="8" s="1"/>
  <c r="BH57" i="8" s="1"/>
  <c r="BI59" i="9" s="1"/>
  <c r="AT73" i="8"/>
  <c r="AU75" i="9" s="1"/>
  <c r="AT89" i="8"/>
  <c r="AU91" i="9" s="1"/>
  <c r="AT20" i="8"/>
  <c r="AU22" i="9" s="1"/>
  <c r="AT42" i="8"/>
  <c r="AU42" i="8" s="1"/>
  <c r="BH42" i="8" s="1"/>
  <c r="BI44" i="9" s="1"/>
  <c r="AT86" i="8"/>
  <c r="AU86" i="8" s="1"/>
  <c r="BH86" i="8" s="1"/>
  <c r="BI88" i="9" s="1"/>
  <c r="AT5" i="8"/>
  <c r="B1" i="9"/>
  <c r="B2" i="9"/>
  <c r="F1" i="9"/>
  <c r="F2" i="9"/>
  <c r="D2" i="9"/>
  <c r="D1" i="9"/>
  <c r="G1" i="9"/>
  <c r="G2" i="9"/>
  <c r="AF13" i="8"/>
  <c r="AG15" i="9" s="1"/>
  <c r="AF15" i="9"/>
  <c r="AM38" i="8"/>
  <c r="AN40" i="9" s="1"/>
  <c r="AF40" i="9"/>
  <c r="AQ22" i="8"/>
  <c r="AR24" i="9" s="1"/>
  <c r="AF24" i="9"/>
  <c r="AN6" i="8"/>
  <c r="AO8" i="9" s="1"/>
  <c r="AF8" i="9"/>
  <c r="AT13" i="8"/>
  <c r="AU15" i="9" s="1"/>
  <c r="AT45" i="8"/>
  <c r="AU47" i="9" s="1"/>
  <c r="AT61" i="8"/>
  <c r="AU63" i="9" s="1"/>
  <c r="AT77" i="8"/>
  <c r="AU79" i="9" s="1"/>
  <c r="AT93" i="8"/>
  <c r="AU93" i="8" s="1"/>
  <c r="BH93" i="8" s="1"/>
  <c r="BI95" i="9" s="1"/>
  <c r="AT4" i="8"/>
  <c r="AU6" i="9" s="1"/>
  <c r="AT26" i="8"/>
  <c r="AU26" i="8" s="1"/>
  <c r="BH26" i="8" s="1"/>
  <c r="BI28" i="9" s="1"/>
  <c r="AT90" i="8"/>
  <c r="AU92" i="9" s="1"/>
  <c r="AT6" i="8"/>
  <c r="AU8" i="9" s="1"/>
  <c r="AT70" i="8"/>
  <c r="AU72" i="9" s="1"/>
  <c r="AT39" i="8"/>
  <c r="AU41" i="9" s="1"/>
  <c r="J1" i="9"/>
  <c r="J2" i="9"/>
  <c r="E2" i="9"/>
  <c r="E1" i="9"/>
  <c r="M2" i="9"/>
  <c r="M1" i="9"/>
  <c r="I2" i="9"/>
  <c r="I1" i="9"/>
  <c r="P2" i="9"/>
  <c r="P1" i="9"/>
  <c r="C2" i="9"/>
  <c r="C1" i="9"/>
  <c r="AS77" i="8"/>
  <c r="AT79" i="9" s="1"/>
  <c r="AM74" i="8"/>
  <c r="AN76" i="9" s="1"/>
  <c r="AG58" i="8"/>
  <c r="AH60" i="9" s="1"/>
  <c r="AQ38" i="8"/>
  <c r="AR40" i="9" s="1"/>
  <c r="AO36" i="8"/>
  <c r="AP38" i="9" s="1"/>
  <c r="AK32" i="8"/>
  <c r="AL34" i="9" s="1"/>
  <c r="AK22" i="8"/>
  <c r="AL24" i="9" s="1"/>
  <c r="AI86" i="8"/>
  <c r="AJ88" i="9" s="1"/>
  <c r="AS80" i="8"/>
  <c r="AT82" i="9" s="1"/>
  <c r="AJ74" i="8"/>
  <c r="AK76" i="9" s="1"/>
  <c r="AI63" i="8"/>
  <c r="AJ65" i="9" s="1"/>
  <c r="AH61" i="8"/>
  <c r="AI63" i="9" s="1"/>
  <c r="AG57" i="8"/>
  <c r="AH59" i="9" s="1"/>
  <c r="AH45" i="8"/>
  <c r="AI47" i="9" s="1"/>
  <c r="AS38" i="8"/>
  <c r="AT40" i="9" s="1"/>
  <c r="AO33" i="8"/>
  <c r="AP35" i="9" s="1"/>
  <c r="AQ17" i="8"/>
  <c r="AR19" i="9" s="1"/>
  <c r="AJ13" i="8"/>
  <c r="AK15" i="9" s="1"/>
  <c r="AP6" i="8"/>
  <c r="AQ8" i="9" s="1"/>
  <c r="AL74" i="8"/>
  <c r="AM76" i="9" s="1"/>
  <c r="AK71" i="8"/>
  <c r="AL73" i="9" s="1"/>
  <c r="AS67" i="8"/>
  <c r="AT69" i="9" s="1"/>
  <c r="AS63" i="8"/>
  <c r="AT65" i="9" s="1"/>
  <c r="AI61" i="8"/>
  <c r="AJ63" i="9" s="1"/>
  <c r="AP58" i="8"/>
  <c r="AQ60" i="9" s="1"/>
  <c r="AG51" i="8"/>
  <c r="AH53" i="9" s="1"/>
  <c r="AM45" i="8"/>
  <c r="AN47" i="9" s="1"/>
  <c r="AS43" i="8"/>
  <c r="AT45" i="9" s="1"/>
  <c r="AL42" i="8"/>
  <c r="AM44" i="9" s="1"/>
  <c r="AO39" i="8"/>
  <c r="AP41" i="9" s="1"/>
  <c r="AL38" i="8"/>
  <c r="AM40" i="9" s="1"/>
  <c r="AI35" i="8"/>
  <c r="AJ37" i="9" s="1"/>
  <c r="AH32" i="8"/>
  <c r="AI34" i="9" s="1"/>
  <c r="AH19" i="8"/>
  <c r="AI21" i="9" s="1"/>
  <c r="AS10" i="8"/>
  <c r="AT12" i="9" s="1"/>
  <c r="AQ6" i="8"/>
  <c r="AR8" i="9" s="1"/>
  <c r="AK35" i="8"/>
  <c r="AL37" i="9" s="1"/>
  <c r="AM33" i="8"/>
  <c r="AN35" i="9" s="1"/>
  <c r="AJ32" i="8"/>
  <c r="AK34" i="9" s="1"/>
  <c r="AS27" i="8"/>
  <c r="AT29" i="9" s="1"/>
  <c r="AM25" i="8"/>
  <c r="AN27" i="9" s="1"/>
  <c r="AI22" i="8"/>
  <c r="AJ24" i="9" s="1"/>
  <c r="AR16" i="8"/>
  <c r="AS18" i="9" s="1"/>
  <c r="AI13" i="8"/>
  <c r="AJ15" i="9" s="1"/>
  <c r="AK3" i="8"/>
  <c r="AL5" i="9" s="1"/>
  <c r="AH33" i="8"/>
  <c r="AI35" i="9" s="1"/>
  <c r="AR27" i="8"/>
  <c r="AS29" i="9" s="1"/>
  <c r="AL25" i="8"/>
  <c r="AM27" i="9" s="1"/>
  <c r="AH22" i="8"/>
  <c r="AI24" i="9" s="1"/>
  <c r="AK16" i="8"/>
  <c r="AL18" i="9" s="1"/>
  <c r="AR13" i="8"/>
  <c r="AS15" i="9" s="1"/>
  <c r="AL9" i="8"/>
  <c r="AM11" i="9" s="1"/>
  <c r="AH6" i="8"/>
  <c r="AI8" i="9" s="1"/>
  <c r="AI27" i="8"/>
  <c r="AJ29" i="9" s="1"/>
  <c r="AG25" i="8"/>
  <c r="AH27" i="9" s="1"/>
  <c r="AN22" i="8"/>
  <c r="AO24" i="9" s="1"/>
  <c r="AM19" i="8"/>
  <c r="AN21" i="9" s="1"/>
  <c r="AO17" i="8"/>
  <c r="AP19" i="9" s="1"/>
  <c r="AL16" i="8"/>
  <c r="AM18" i="9" s="1"/>
  <c r="AG13" i="8"/>
  <c r="AH15" i="9" s="1"/>
  <c r="AK9" i="8"/>
  <c r="AL11" i="9" s="1"/>
  <c r="AR6" i="8"/>
  <c r="AS8" i="9" s="1"/>
  <c r="AI3" i="8"/>
  <c r="AJ5" i="9" s="1"/>
  <c r="AO75" i="8"/>
  <c r="AP77" i="9" s="1"/>
  <c r="AI43" i="8"/>
  <c r="AJ45" i="9" s="1"/>
  <c r="AQ68" i="8"/>
  <c r="AR70" i="9" s="1"/>
  <c r="AH76" i="8"/>
  <c r="AI78" i="9" s="1"/>
  <c r="AO100" i="8"/>
  <c r="AP102" i="9" s="1"/>
  <c r="AH100" i="8"/>
  <c r="AI102" i="9" s="1"/>
  <c r="AR51" i="8"/>
  <c r="AS53" i="9" s="1"/>
  <c r="AJ75" i="8"/>
  <c r="AK77" i="9" s="1"/>
  <c r="AR63" i="8"/>
  <c r="AS65" i="9" s="1"/>
  <c r="AQ79" i="8"/>
  <c r="AR81" i="9" s="1"/>
  <c r="AG79" i="8"/>
  <c r="AH81" i="9" s="1"/>
  <c r="AP80" i="8"/>
  <c r="AQ82" i="9" s="1"/>
  <c r="AT17" i="8"/>
  <c r="AU19" i="9" s="1"/>
  <c r="AT33" i="8"/>
  <c r="AU35" i="9" s="1"/>
  <c r="AT49" i="8"/>
  <c r="AU51" i="9" s="1"/>
  <c r="AT65" i="8"/>
  <c r="AU67" i="9" s="1"/>
  <c r="AT81" i="8"/>
  <c r="AU81" i="8" s="1"/>
  <c r="BH81" i="8" s="1"/>
  <c r="BI83" i="9" s="1"/>
  <c r="AT97" i="8"/>
  <c r="AU97" i="8" s="1"/>
  <c r="BH97" i="8" s="1"/>
  <c r="BI99" i="9" s="1"/>
  <c r="AF17" i="8"/>
  <c r="AG19" i="9" s="1"/>
  <c r="AT10" i="8"/>
  <c r="AU10" i="8" s="1"/>
  <c r="BH10" i="8" s="1"/>
  <c r="BI12" i="9" s="1"/>
  <c r="AT31" i="8"/>
  <c r="AU33" i="9" s="1"/>
  <c r="AT74" i="8"/>
  <c r="AU76" i="9" s="1"/>
  <c r="AT32" i="8"/>
  <c r="AU34" i="9" s="1"/>
  <c r="AT54" i="8"/>
  <c r="AU56" i="9" s="1"/>
  <c r="AT75" i="8"/>
  <c r="AU75" i="8" s="1"/>
  <c r="BH75" i="8" s="1"/>
  <c r="BI77" i="9" s="1"/>
  <c r="AS100" i="8"/>
  <c r="AT102" i="9" s="1"/>
  <c r="AT23" i="8"/>
  <c r="AU25" i="9" s="1"/>
  <c r="AT44" i="8"/>
  <c r="AU46" i="9" s="1"/>
  <c r="AT66" i="8"/>
  <c r="AU66" i="8" s="1"/>
  <c r="BH66" i="8" s="1"/>
  <c r="BI68" i="9" s="1"/>
  <c r="AT67" i="8"/>
  <c r="AU67" i="8" s="1"/>
  <c r="BH67" i="8" s="1"/>
  <c r="BI69" i="9" s="1"/>
  <c r="AS35" i="8"/>
  <c r="AT37" i="9" s="1"/>
  <c r="AT51" i="8"/>
  <c r="AU53" i="9" s="1"/>
  <c r="L2" i="9"/>
  <c r="L1" i="9"/>
  <c r="O1" i="9"/>
  <c r="O2" i="9"/>
  <c r="Q2" i="9"/>
  <c r="Q1" i="9"/>
  <c r="AH57" i="8"/>
  <c r="AI59" i="9" s="1"/>
  <c r="AR54" i="8"/>
  <c r="AS56" i="9" s="1"/>
  <c r="AG38" i="8"/>
  <c r="AH40" i="9" s="1"/>
  <c r="AF90" i="8"/>
  <c r="AG92" i="9" s="1"/>
  <c r="AF58" i="8"/>
  <c r="AG60" i="9" s="1"/>
  <c r="AF6" i="8"/>
  <c r="AG8" i="9" s="1"/>
  <c r="AP93" i="8"/>
  <c r="AQ95" i="9" s="1"/>
  <c r="AG90" i="8"/>
  <c r="AH92" i="9" s="1"/>
  <c r="AM77" i="8"/>
  <c r="AN79" i="9" s="1"/>
  <c r="AR61" i="8"/>
  <c r="AS63" i="9" s="1"/>
  <c r="AN57" i="8"/>
  <c r="AO59" i="9" s="1"/>
  <c r="AM10" i="8"/>
  <c r="AN12" i="9" s="1"/>
  <c r="AH39" i="8"/>
  <c r="AI41" i="9" s="1"/>
  <c r="AG19" i="8"/>
  <c r="AH21" i="9" s="1"/>
  <c r="AO80" i="8"/>
  <c r="AP82" i="9" s="1"/>
  <c r="AL79" i="8"/>
  <c r="AM81" i="9" s="1"/>
  <c r="AR77" i="8"/>
  <c r="AS79" i="9" s="1"/>
  <c r="AL75" i="8"/>
  <c r="AM77" i="9" s="1"/>
  <c r="AN38" i="8"/>
  <c r="AO40" i="9" s="1"/>
  <c r="AS32" i="8"/>
  <c r="AT34" i="9" s="1"/>
  <c r="AN16" i="8"/>
  <c r="AO18" i="9" s="1"/>
  <c r="AL3" i="8"/>
  <c r="AM5" i="9" s="1"/>
  <c r="AH74" i="8"/>
  <c r="AI76" i="9" s="1"/>
  <c r="AG71" i="8"/>
  <c r="AH73" i="9" s="1"/>
  <c r="AR68" i="8"/>
  <c r="AS70" i="9" s="1"/>
  <c r="AO67" i="8"/>
  <c r="AP69" i="9" s="1"/>
  <c r="AO63" i="8"/>
  <c r="AP65" i="9" s="1"/>
  <c r="AL58" i="8"/>
  <c r="AM60" i="9" s="1"/>
  <c r="AS51" i="8"/>
  <c r="AT53" i="9" s="1"/>
  <c r="AI45" i="8"/>
  <c r="AJ47" i="9" s="1"/>
  <c r="AO43" i="8"/>
  <c r="AP45" i="9" s="1"/>
  <c r="AK39" i="8"/>
  <c r="AL41" i="9" s="1"/>
  <c r="AH38" i="8"/>
  <c r="AI40" i="9" s="1"/>
  <c r="AS33" i="8"/>
  <c r="AT35" i="9" s="1"/>
  <c r="AK27" i="8"/>
  <c r="AL29" i="9" s="1"/>
  <c r="AM17" i="8"/>
  <c r="AN19" i="9" s="1"/>
  <c r="AL13" i="8"/>
  <c r="AM15" i="9" s="1"/>
  <c r="AJ9" i="8"/>
  <c r="AK11" i="9" s="1"/>
  <c r="AG6" i="8"/>
  <c r="AH8" i="9" s="1"/>
  <c r="AG35" i="8"/>
  <c r="AH37" i="9" s="1"/>
  <c r="AI33" i="8"/>
  <c r="AJ35" i="9" s="1"/>
  <c r="AN27" i="8"/>
  <c r="AO29" i="9" s="1"/>
  <c r="AH25" i="8"/>
  <c r="AI27" i="9" s="1"/>
  <c r="AM16" i="8"/>
  <c r="AN18" i="9" s="1"/>
  <c r="AR9" i="8"/>
  <c r="AS11" i="9" s="1"/>
  <c r="AO6" i="8"/>
  <c r="AP8" i="9" s="1"/>
  <c r="AR35" i="8"/>
  <c r="AS37" i="9" s="1"/>
  <c r="AQ32" i="8"/>
  <c r="AR34" i="9" s="1"/>
  <c r="AL27" i="8"/>
  <c r="AM29" i="9" s="1"/>
  <c r="AN17" i="8"/>
  <c r="AO19" i="9" s="1"/>
  <c r="AM13" i="8"/>
  <c r="AN15" i="9" s="1"/>
  <c r="AJ5" i="8"/>
  <c r="AK7" i="9" s="1"/>
  <c r="AS25" i="8"/>
  <c r="AT27" i="9" s="1"/>
  <c r="AJ22" i="8"/>
  <c r="AK24" i="9" s="1"/>
  <c r="AI19" i="8"/>
  <c r="AJ21" i="9" s="1"/>
  <c r="AK17" i="8"/>
  <c r="AL19" i="9" s="1"/>
  <c r="AH16" i="8"/>
  <c r="AI18" i="9" s="1"/>
  <c r="AL12" i="8"/>
  <c r="AM14" i="9" s="1"/>
  <c r="AN10" i="8"/>
  <c r="AO12" i="9" s="1"/>
  <c r="AG9" i="8"/>
  <c r="AH11" i="9" s="1"/>
  <c r="AJ6" i="8"/>
  <c r="AK8" i="9" s="1"/>
  <c r="AH14" i="8"/>
  <c r="AI16" i="9" s="1"/>
  <c r="AF16" i="9"/>
  <c r="AF24" i="8"/>
  <c r="AG26" i="9" s="1"/>
  <c r="AF26" i="9"/>
  <c r="AF8" i="8"/>
  <c r="AG10" i="9" s="1"/>
  <c r="AF10" i="9"/>
  <c r="AR76" i="8"/>
  <c r="AS78" i="9" s="1"/>
  <c r="AI76" i="8"/>
  <c r="AJ78" i="9" s="1"/>
  <c r="AK100" i="8"/>
  <c r="AL102" i="9" s="1"/>
  <c r="AL100" i="8"/>
  <c r="AM102" i="9" s="1"/>
  <c r="AL51" i="8"/>
  <c r="AM53" i="9" s="1"/>
  <c r="AK75" i="8"/>
  <c r="AL77" i="9" s="1"/>
  <c r="AL63" i="8"/>
  <c r="AM65" i="9" s="1"/>
  <c r="AK79" i="8"/>
  <c r="AL81" i="9" s="1"/>
  <c r="AI80" i="8"/>
  <c r="AJ82" i="9" s="1"/>
  <c r="AP9" i="8"/>
  <c r="AQ11" i="9" s="1"/>
  <c r="AT21" i="8"/>
  <c r="AU23" i="9" s="1"/>
  <c r="AT37" i="8"/>
  <c r="AU39" i="9" s="1"/>
  <c r="AT53" i="8"/>
  <c r="AU55" i="9" s="1"/>
  <c r="AT69" i="8"/>
  <c r="AU71" i="9" s="1"/>
  <c r="AT85" i="8"/>
  <c r="AU85" i="8" s="1"/>
  <c r="BH85" i="8" s="1"/>
  <c r="BI87" i="9" s="1"/>
  <c r="AT101" i="8"/>
  <c r="AU103" i="9" s="1"/>
  <c r="AF33" i="8"/>
  <c r="AG35" i="9" s="1"/>
  <c r="AT15" i="8"/>
  <c r="AU17" i="9" s="1"/>
  <c r="AT36" i="8"/>
  <c r="AU38" i="9" s="1"/>
  <c r="AT58" i="8"/>
  <c r="AU58" i="8" s="1"/>
  <c r="BH58" i="8" s="1"/>
  <c r="BI60" i="9" s="1"/>
  <c r="AT79" i="8"/>
  <c r="AU81" i="9" s="1"/>
  <c r="AT100" i="8"/>
  <c r="AU100" i="8" s="1"/>
  <c r="BH100" i="8" s="1"/>
  <c r="BI102" i="9" s="1"/>
  <c r="AT16" i="8"/>
  <c r="AU18" i="9" s="1"/>
  <c r="AT38" i="8"/>
  <c r="AU40" i="9" s="1"/>
  <c r="AT80" i="8"/>
  <c r="AU82" i="9" s="1"/>
  <c r="AT2" i="8"/>
  <c r="AU2" i="8" s="1"/>
  <c r="BH2" i="8" s="1"/>
  <c r="BI4" i="9" s="1"/>
  <c r="AT28" i="8"/>
  <c r="AU28" i="8" s="1"/>
  <c r="BH28" i="8" s="1"/>
  <c r="BI30" i="9" s="1"/>
  <c r="AT50" i="8"/>
  <c r="AU52" i="9" s="1"/>
  <c r="AT71" i="8"/>
  <c r="AU71" i="8" s="1"/>
  <c r="BH71" i="8" s="1"/>
  <c r="BI73" i="9" s="1"/>
  <c r="AT35" i="8"/>
  <c r="AU35" i="8" s="1"/>
  <c r="BH35" i="8" s="1"/>
  <c r="BI37" i="9" s="1"/>
  <c r="AT3" i="8"/>
  <c r="AU3" i="8" s="1"/>
  <c r="BH3" i="8" s="1"/>
  <c r="BI5" i="9" s="1"/>
  <c r="AT30" i="8"/>
  <c r="AU32" i="9" s="1"/>
  <c r="AT40" i="8"/>
  <c r="AU42" i="9" s="1"/>
  <c r="AT94" i="8"/>
  <c r="AU96" i="9" s="1"/>
  <c r="N1" i="9"/>
  <c r="N2" i="9"/>
  <c r="H2" i="9"/>
  <c r="H1" i="9"/>
  <c r="K1" i="9"/>
  <c r="K2" i="9"/>
  <c r="AU54" i="9"/>
  <c r="AU52" i="8"/>
  <c r="BH52" i="8" s="1"/>
  <c r="BI54" i="9" s="1"/>
  <c r="AU13" i="9"/>
  <c r="AU98" i="9"/>
  <c r="AU96" i="8"/>
  <c r="BH96" i="8" s="1"/>
  <c r="BI98" i="9" s="1"/>
  <c r="AU89" i="9"/>
  <c r="AU87" i="8"/>
  <c r="BH87" i="8" s="1"/>
  <c r="BI89" i="9" s="1"/>
  <c r="AU101" i="9"/>
  <c r="AU74" i="9"/>
  <c r="AU72" i="8"/>
  <c r="BH72" i="8" s="1"/>
  <c r="BI74" i="9" s="1"/>
  <c r="AU85" i="9"/>
  <c r="AU83" i="8"/>
  <c r="BH83" i="8" s="1"/>
  <c r="BI85" i="9" s="1"/>
  <c r="AU59" i="8"/>
  <c r="BH59" i="8" s="1"/>
  <c r="BI61" i="9" s="1"/>
  <c r="AU92" i="8"/>
  <c r="BH92" i="8" s="1"/>
  <c r="BI94" i="9" s="1"/>
  <c r="AU94" i="9"/>
  <c r="AU88" i="8"/>
  <c r="BH88" i="8" s="1"/>
  <c r="BI90" i="9" s="1"/>
  <c r="AU90" i="9"/>
  <c r="AU10" i="9"/>
  <c r="AU8" i="8"/>
  <c r="BH8" i="8" s="1"/>
  <c r="BI10" i="9" s="1"/>
  <c r="AU11" i="9"/>
  <c r="AU9" i="8"/>
  <c r="BH9" i="8" s="1"/>
  <c r="BI11" i="9" s="1"/>
  <c r="AU43" i="9"/>
  <c r="AU41" i="8"/>
  <c r="BH41" i="8" s="1"/>
  <c r="BI43" i="9" s="1"/>
  <c r="AU84" i="8"/>
  <c r="BH84" i="8" s="1"/>
  <c r="BI86" i="9" s="1"/>
  <c r="AU86" i="9"/>
  <c r="AU24" i="9"/>
  <c r="AU22" i="8"/>
  <c r="BH22" i="8" s="1"/>
  <c r="BI24" i="9" s="1"/>
  <c r="AU43" i="8"/>
  <c r="BH43" i="8" s="1"/>
  <c r="BI45" i="9" s="1"/>
  <c r="AU66" i="9"/>
  <c r="AU64" i="8"/>
  <c r="BH64" i="8" s="1"/>
  <c r="BI66" i="9" s="1"/>
  <c r="AU88" i="9"/>
  <c r="AU57" i="9"/>
  <c r="AU55" i="8"/>
  <c r="BH55" i="8" s="1"/>
  <c r="BI57" i="9" s="1"/>
  <c r="AU24" i="8"/>
  <c r="BH24" i="8" s="1"/>
  <c r="BI26" i="9" s="1"/>
  <c r="AU49" i="9"/>
  <c r="AU47" i="8"/>
  <c r="BH47" i="8" s="1"/>
  <c r="BI49" i="9" s="1"/>
  <c r="AU29" i="9"/>
  <c r="AU50" i="9"/>
  <c r="AU48" i="8"/>
  <c r="BH48" i="8" s="1"/>
  <c r="BI50" i="9" s="1"/>
  <c r="AU70" i="8"/>
  <c r="BH70" i="8" s="1"/>
  <c r="BI72" i="9" s="1"/>
  <c r="AU39" i="8"/>
  <c r="BH39" i="8" s="1"/>
  <c r="BI41" i="9" s="1"/>
  <c r="AU82" i="8"/>
  <c r="BH82" i="8" s="1"/>
  <c r="BI84" i="9" s="1"/>
  <c r="AU78" i="8"/>
  <c r="BH78" i="8" s="1"/>
  <c r="BI80" i="9" s="1"/>
  <c r="AB1" i="9"/>
  <c r="AB2" i="9"/>
  <c r="AE2" i="9"/>
  <c r="AE1" i="9"/>
  <c r="AD1" i="9"/>
  <c r="AD2" i="9"/>
  <c r="U1" i="9"/>
  <c r="U2" i="9"/>
  <c r="AA1" i="9"/>
  <c r="AA2" i="9"/>
  <c r="Z1" i="9"/>
  <c r="Z2" i="9"/>
  <c r="R1" i="9"/>
  <c r="R2" i="9"/>
  <c r="T1" i="9"/>
  <c r="T2" i="9"/>
  <c r="W2" i="9"/>
  <c r="W1" i="9"/>
  <c r="V1" i="9"/>
  <c r="V2" i="9"/>
  <c r="AC1" i="9"/>
  <c r="AC2" i="9"/>
  <c r="Y1" i="9"/>
  <c r="Y2" i="9"/>
  <c r="X1" i="9"/>
  <c r="X2" i="9"/>
  <c r="S1" i="9"/>
  <c r="S2" i="9"/>
  <c r="AF5" i="8"/>
  <c r="AG7" i="9" s="1"/>
  <c r="AM5" i="8"/>
  <c r="AN7" i="9" s="1"/>
  <c r="AK5" i="8"/>
  <c r="AL7" i="9" s="1"/>
  <c r="AP5" i="8"/>
  <c r="AQ7" i="9" s="1"/>
  <c r="AI5" i="8"/>
  <c r="AJ7" i="9" s="1"/>
  <c r="AR5" i="8"/>
  <c r="AS7" i="9" s="1"/>
  <c r="AS5" i="8"/>
  <c r="AT7" i="9" s="1"/>
  <c r="AL5" i="8"/>
  <c r="AM7" i="9" s="1"/>
  <c r="AN5" i="8"/>
  <c r="AO7" i="9" s="1"/>
  <c r="AH5" i="8"/>
  <c r="AI7" i="9" s="1"/>
  <c r="AO37" i="8"/>
  <c r="AP39" i="9" s="1"/>
  <c r="AF37" i="8"/>
  <c r="AG39" i="9" s="1"/>
  <c r="AI37" i="8"/>
  <c r="AJ39" i="9" s="1"/>
  <c r="AP37" i="8"/>
  <c r="AQ39" i="9" s="1"/>
  <c r="AG37" i="8"/>
  <c r="AH39" i="9" s="1"/>
  <c r="AS37" i="8"/>
  <c r="AT39" i="9" s="1"/>
  <c r="AQ37" i="8"/>
  <c r="AR39" i="9" s="1"/>
  <c r="AR37" i="8"/>
  <c r="AS39" i="9" s="1"/>
  <c r="AJ37" i="8"/>
  <c r="AK39" i="9" s="1"/>
  <c r="AS57" i="8"/>
  <c r="AT59" i="9" s="1"/>
  <c r="AF57" i="8"/>
  <c r="AG59" i="9" s="1"/>
  <c r="AK57" i="8"/>
  <c r="AL59" i="9" s="1"/>
  <c r="AL57" i="8"/>
  <c r="AM59" i="9" s="1"/>
  <c r="AM57" i="8"/>
  <c r="AN59" i="9" s="1"/>
  <c r="AO57" i="8"/>
  <c r="AP59" i="9" s="1"/>
  <c r="AJ57" i="8"/>
  <c r="AK59" i="9" s="1"/>
  <c r="AF73" i="8"/>
  <c r="AG75" i="9" s="1"/>
  <c r="AP73" i="8"/>
  <c r="AQ75" i="9" s="1"/>
  <c r="AJ73" i="8"/>
  <c r="AK75" i="9" s="1"/>
  <c r="AR73" i="8"/>
  <c r="AS75" i="9" s="1"/>
  <c r="AK73" i="8"/>
  <c r="AL75" i="9" s="1"/>
  <c r="AM73" i="8"/>
  <c r="AN75" i="9" s="1"/>
  <c r="AG73" i="8"/>
  <c r="AH75" i="9" s="1"/>
  <c r="AH73" i="8"/>
  <c r="AI75" i="9" s="1"/>
  <c r="AK89" i="8"/>
  <c r="AL91" i="9" s="1"/>
  <c r="AS89" i="8"/>
  <c r="AT91" i="9" s="1"/>
  <c r="AF89" i="8"/>
  <c r="AG91" i="9" s="1"/>
  <c r="AG89" i="8"/>
  <c r="AH91" i="9" s="1"/>
  <c r="AO89" i="8"/>
  <c r="AP91" i="9" s="1"/>
  <c r="AJ89" i="8"/>
  <c r="AK91" i="9" s="1"/>
  <c r="AN89" i="8"/>
  <c r="AO91" i="9" s="1"/>
  <c r="AR89" i="8"/>
  <c r="AS91" i="9" s="1"/>
  <c r="AP89" i="8"/>
  <c r="AQ91" i="9" s="1"/>
  <c r="AH89" i="8"/>
  <c r="AI91" i="9" s="1"/>
  <c r="AM89" i="8"/>
  <c r="AN91" i="9" s="1"/>
  <c r="AN42" i="8"/>
  <c r="AO44" i="9" s="1"/>
  <c r="AG42" i="8"/>
  <c r="AH44" i="9" s="1"/>
  <c r="AH42" i="8"/>
  <c r="AI44" i="9" s="1"/>
  <c r="AO42" i="8"/>
  <c r="AP44" i="9" s="1"/>
  <c r="AQ42" i="8"/>
  <c r="AR44" i="9" s="1"/>
  <c r="AP42" i="8"/>
  <c r="AQ44" i="9" s="1"/>
  <c r="AK42" i="8"/>
  <c r="AL44" i="9" s="1"/>
  <c r="AJ26" i="8"/>
  <c r="AK28" i="9" s="1"/>
  <c r="AG26" i="8"/>
  <c r="AH28" i="9" s="1"/>
  <c r="AR26" i="8"/>
  <c r="AS28" i="9" s="1"/>
  <c r="AI26" i="8"/>
  <c r="AJ28" i="9" s="1"/>
  <c r="AP26" i="8"/>
  <c r="AQ28" i="9" s="1"/>
  <c r="AM26" i="8"/>
  <c r="AN28" i="9" s="1"/>
  <c r="AJ10" i="8"/>
  <c r="AK12" i="9" s="1"/>
  <c r="AO10" i="8"/>
  <c r="AP12" i="9" s="1"/>
  <c r="AL10" i="8"/>
  <c r="AM12" i="9" s="1"/>
  <c r="AQ10" i="8"/>
  <c r="AR12" i="9" s="1"/>
  <c r="AR10" i="8"/>
  <c r="AS12" i="9" s="1"/>
  <c r="AK10" i="8"/>
  <c r="AL12" i="9" s="1"/>
  <c r="AH10" i="8"/>
  <c r="AI12" i="9" s="1"/>
  <c r="AG10" i="8"/>
  <c r="AH12" i="9" s="1"/>
  <c r="AQ36" i="8"/>
  <c r="AR38" i="9" s="1"/>
  <c r="AF36" i="8"/>
  <c r="AG38" i="9" s="1"/>
  <c r="AI36" i="8"/>
  <c r="AJ38" i="9" s="1"/>
  <c r="AG36" i="8"/>
  <c r="AH38" i="9" s="1"/>
  <c r="AN36" i="8"/>
  <c r="AO38" i="9" s="1"/>
  <c r="AS36" i="8"/>
  <c r="AT38" i="9" s="1"/>
  <c r="AH36" i="8"/>
  <c r="AI38" i="9" s="1"/>
  <c r="AK36" i="8"/>
  <c r="AL38" i="9" s="1"/>
  <c r="AP36" i="8"/>
  <c r="AQ38" i="9" s="1"/>
  <c r="AO20" i="8"/>
  <c r="AP22" i="9" s="1"/>
  <c r="AF20" i="8"/>
  <c r="AG22" i="9" s="1"/>
  <c r="AH20" i="8"/>
  <c r="AI22" i="9" s="1"/>
  <c r="AM20" i="8"/>
  <c r="AN22" i="9" s="1"/>
  <c r="AS20" i="8"/>
  <c r="AT22" i="9" s="1"/>
  <c r="AP20" i="8"/>
  <c r="AQ22" i="9" s="1"/>
  <c r="AI20" i="8"/>
  <c r="AJ22" i="9" s="1"/>
  <c r="AF4" i="8"/>
  <c r="AG6" i="9" s="1"/>
  <c r="AH4" i="8"/>
  <c r="AI6" i="9" s="1"/>
  <c r="AG4" i="8"/>
  <c r="AH6" i="9" s="1"/>
  <c r="AN4" i="8"/>
  <c r="AO6" i="9" s="1"/>
  <c r="AP4" i="8"/>
  <c r="AQ6" i="9" s="1"/>
  <c r="AR4" i="8"/>
  <c r="AS6" i="9" s="1"/>
  <c r="AH31" i="8"/>
  <c r="AI33" i="9" s="1"/>
  <c r="AJ31" i="8"/>
  <c r="AK33" i="9" s="1"/>
  <c r="AO31" i="8"/>
  <c r="AP33" i="9" s="1"/>
  <c r="AL31" i="8"/>
  <c r="AM33" i="9" s="1"/>
  <c r="AR31" i="8"/>
  <c r="AS33" i="9" s="1"/>
  <c r="AG31" i="8"/>
  <c r="AH33" i="9" s="1"/>
  <c r="AI31" i="8"/>
  <c r="AJ33" i="9" s="1"/>
  <c r="AQ31" i="8"/>
  <c r="AR33" i="9" s="1"/>
  <c r="AG54" i="8"/>
  <c r="AH56" i="9" s="1"/>
  <c r="AO54" i="8"/>
  <c r="AP56" i="9" s="1"/>
  <c r="AL54" i="8"/>
  <c r="AM56" i="9" s="1"/>
  <c r="AI54" i="8"/>
  <c r="AJ56" i="9" s="1"/>
  <c r="AF54" i="8"/>
  <c r="AG56" i="9" s="1"/>
  <c r="AK54" i="8"/>
  <c r="AL56" i="9" s="1"/>
  <c r="AS54" i="8"/>
  <c r="AT56" i="9" s="1"/>
  <c r="AQ54" i="8"/>
  <c r="AR56" i="9" s="1"/>
  <c r="AM70" i="8"/>
  <c r="AN72" i="9" s="1"/>
  <c r="AL70" i="8"/>
  <c r="AM72" i="9" s="1"/>
  <c r="AN70" i="8"/>
  <c r="AO72" i="9" s="1"/>
  <c r="AF70" i="8"/>
  <c r="AG72" i="9" s="1"/>
  <c r="AG70" i="8"/>
  <c r="AH72" i="9" s="1"/>
  <c r="AQ70" i="8"/>
  <c r="AR72" i="9" s="1"/>
  <c r="AK70" i="8"/>
  <c r="AL72" i="9" s="1"/>
  <c r="AL86" i="8"/>
  <c r="AM88" i="9" s="1"/>
  <c r="AG86" i="8"/>
  <c r="AH88" i="9" s="1"/>
  <c r="AR86" i="8"/>
  <c r="AS88" i="9" s="1"/>
  <c r="AK86" i="8"/>
  <c r="AL88" i="9" s="1"/>
  <c r="AP86" i="8"/>
  <c r="AQ88" i="9" s="1"/>
  <c r="AM86" i="8"/>
  <c r="AN88" i="9" s="1"/>
  <c r="AS86" i="8"/>
  <c r="AT88" i="9" s="1"/>
  <c r="AF86" i="8"/>
  <c r="AG88" i="9" s="1"/>
  <c r="AH86" i="8"/>
  <c r="AI88" i="9" s="1"/>
  <c r="AO86" i="8"/>
  <c r="AP88" i="9" s="1"/>
  <c r="AJ2" i="8"/>
  <c r="AK4" i="9" s="1"/>
  <c r="AR2" i="8"/>
  <c r="AS4" i="9" s="1"/>
  <c r="AN2" i="8"/>
  <c r="AO4" i="9" s="1"/>
  <c r="AM2" i="8"/>
  <c r="AN4" i="9" s="1"/>
  <c r="AQ2" i="8"/>
  <c r="AR4" i="9" s="1"/>
  <c r="AI2" i="8"/>
  <c r="AJ4" i="9" s="1"/>
  <c r="AG2" i="8"/>
  <c r="AH4" i="9" s="1"/>
  <c r="AF2" i="8"/>
  <c r="AG4" i="9" s="1"/>
  <c r="AO2" i="8"/>
  <c r="AP4" i="9" s="1"/>
  <c r="AS26" i="8"/>
  <c r="AT28" i="9" s="1"/>
  <c r="AO73" i="8"/>
  <c r="AP75" i="9" s="1"/>
  <c r="AF31" i="8"/>
  <c r="AG33" i="9" s="1"/>
  <c r="AP2" i="8"/>
  <c r="AQ4" i="9" s="1"/>
  <c r="AK2" i="8"/>
  <c r="AL4" i="9" s="1"/>
  <c r="AL89" i="8"/>
  <c r="AM91" i="9" s="1"/>
  <c r="AJ54" i="8"/>
  <c r="AK56" i="9" s="1"/>
  <c r="AP31" i="8"/>
  <c r="AQ33" i="9" s="1"/>
  <c r="AQ26" i="8"/>
  <c r="AR28" i="9" s="1"/>
  <c r="AQ4" i="8"/>
  <c r="AR6" i="9" s="1"/>
  <c r="AL73" i="8"/>
  <c r="AM75" i="9" s="1"/>
  <c r="AN54" i="8"/>
  <c r="AO56" i="9" s="1"/>
  <c r="AK37" i="8"/>
  <c r="AL39" i="9" s="1"/>
  <c r="AI73" i="8"/>
  <c r="AJ75" i="9" s="1"/>
  <c r="AP70" i="8"/>
  <c r="AQ72" i="9" s="1"/>
  <c r="AI57" i="8"/>
  <c r="AJ59" i="9" s="1"/>
  <c r="AP54" i="8"/>
  <c r="AQ56" i="9" s="1"/>
  <c r="AQ5" i="8"/>
  <c r="AR7" i="9" s="1"/>
  <c r="AN31" i="8"/>
  <c r="AO33" i="9" s="1"/>
  <c r="AO26" i="8"/>
  <c r="AP28" i="9" s="1"/>
  <c r="AR20" i="8"/>
  <c r="AS22" i="9" s="1"/>
  <c r="AI10" i="8"/>
  <c r="AJ12" i="9" s="1"/>
  <c r="AM4" i="8"/>
  <c r="AN6" i="9" s="1"/>
  <c r="AN26" i="8"/>
  <c r="AO28" i="9" s="1"/>
  <c r="AL20" i="8"/>
  <c r="AM22" i="9" s="1"/>
  <c r="AO5" i="8"/>
  <c r="AP7" i="9" s="1"/>
  <c r="AK20" i="8"/>
  <c r="AL22" i="9" s="1"/>
  <c r="AR70" i="8"/>
  <c r="AS72" i="9" s="1"/>
  <c r="AL2" i="8"/>
  <c r="AM4" i="9" s="1"/>
  <c r="AQ89" i="8"/>
  <c r="AR91" i="9" s="1"/>
  <c r="AJ86" i="8"/>
  <c r="AK88" i="9" s="1"/>
  <c r="AN73" i="8"/>
  <c r="AO75" i="9" s="1"/>
  <c r="AR42" i="8"/>
  <c r="AS44" i="9" s="1"/>
  <c r="AL36" i="8"/>
  <c r="AM38" i="9" s="1"/>
  <c r="AH26" i="8"/>
  <c r="AI28" i="9" s="1"/>
  <c r="AJ4" i="8"/>
  <c r="AK6" i="9" s="1"/>
  <c r="AF42" i="8"/>
  <c r="AG44" i="9" s="1"/>
  <c r="AF26" i="8"/>
  <c r="AG28" i="9" s="1"/>
  <c r="AF10" i="8"/>
  <c r="AG12" i="9" s="1"/>
  <c r="AS73" i="8"/>
  <c r="AT75" i="9" s="1"/>
  <c r="AH37" i="8"/>
  <c r="AI39" i="9" s="1"/>
  <c r="AJ20" i="8"/>
  <c r="AK22" i="9" s="1"/>
  <c r="AS70" i="8"/>
  <c r="AT72" i="9" s="1"/>
  <c r="AJ42" i="8"/>
  <c r="AK44" i="9" s="1"/>
  <c r="AM36" i="8"/>
  <c r="AN38" i="9" s="1"/>
  <c r="AO4" i="8"/>
  <c r="AP6" i="9" s="1"/>
  <c r="AH70" i="8"/>
  <c r="AI72" i="9" s="1"/>
  <c r="AH54" i="8"/>
  <c r="AI56" i="9" s="1"/>
  <c r="AM37" i="8"/>
  <c r="AN39" i="9" s="1"/>
  <c r="AQ20" i="8"/>
  <c r="AR22" i="9" s="1"/>
  <c r="AK4" i="8"/>
  <c r="AL6" i="9" s="1"/>
  <c r="AS31" i="8"/>
  <c r="AT33" i="9" s="1"/>
  <c r="AK26" i="8"/>
  <c r="AL28" i="9" s="1"/>
  <c r="AN20" i="8"/>
  <c r="AO22" i="9" s="1"/>
  <c r="AP10" i="8"/>
  <c r="AQ12" i="9" s="1"/>
  <c r="AS4" i="8"/>
  <c r="AT6" i="9" s="1"/>
  <c r="AG20" i="8"/>
  <c r="AH22" i="9" s="1"/>
  <c r="AG5" i="8"/>
  <c r="AH7" i="9" s="1"/>
  <c r="AF21" i="8"/>
  <c r="AG23" i="9" s="1"/>
  <c r="AK21" i="8"/>
  <c r="AL23" i="9" s="1"/>
  <c r="AN21" i="8"/>
  <c r="AO23" i="9" s="1"/>
  <c r="AH21" i="8"/>
  <c r="AI23" i="9" s="1"/>
  <c r="AS21" i="8"/>
  <c r="AT23" i="9" s="1"/>
  <c r="AJ21" i="8"/>
  <c r="AK23" i="9" s="1"/>
  <c r="AQ21" i="8"/>
  <c r="AR23" i="9" s="1"/>
  <c r="AI21" i="8"/>
  <c r="AJ23" i="9" s="1"/>
  <c r="AM21" i="8"/>
  <c r="AN23" i="9" s="1"/>
  <c r="AH49" i="8"/>
  <c r="AI51" i="9" s="1"/>
  <c r="AF49" i="8"/>
  <c r="AG51" i="9" s="1"/>
  <c r="AP49" i="8"/>
  <c r="AQ51" i="9" s="1"/>
  <c r="AM49" i="8"/>
  <c r="AN51" i="9" s="1"/>
  <c r="AJ49" i="8"/>
  <c r="AK51" i="9" s="1"/>
  <c r="AK49" i="8"/>
  <c r="AL51" i="9" s="1"/>
  <c r="AS49" i="8"/>
  <c r="AT51" i="9" s="1"/>
  <c r="AF65" i="8"/>
  <c r="AG67" i="9" s="1"/>
  <c r="AG65" i="8"/>
  <c r="AH67" i="9" s="1"/>
  <c r="AN65" i="8"/>
  <c r="AO67" i="9" s="1"/>
  <c r="AM65" i="8"/>
  <c r="AN67" i="9" s="1"/>
  <c r="AO65" i="8"/>
  <c r="AP67" i="9" s="1"/>
  <c r="AK65" i="8"/>
  <c r="AL67" i="9" s="1"/>
  <c r="AP65" i="8"/>
  <c r="AQ67" i="9" s="1"/>
  <c r="AS65" i="8"/>
  <c r="AT67" i="9" s="1"/>
  <c r="AM81" i="8"/>
  <c r="AN83" i="9" s="1"/>
  <c r="AF81" i="8"/>
  <c r="AG83" i="9" s="1"/>
  <c r="AH81" i="8"/>
  <c r="AI83" i="9" s="1"/>
  <c r="AS81" i="8"/>
  <c r="AT83" i="9" s="1"/>
  <c r="AG81" i="8"/>
  <c r="AH83" i="9" s="1"/>
  <c r="AL81" i="8"/>
  <c r="AM83" i="9" s="1"/>
  <c r="AQ81" i="8"/>
  <c r="AR83" i="9" s="1"/>
  <c r="AN81" i="8"/>
  <c r="AO83" i="9" s="1"/>
  <c r="AI81" i="8"/>
  <c r="AJ83" i="9" s="1"/>
  <c r="AP81" i="8"/>
  <c r="AQ83" i="9" s="1"/>
  <c r="AK97" i="8"/>
  <c r="AL99" i="9" s="1"/>
  <c r="AS97" i="8"/>
  <c r="AT99" i="9" s="1"/>
  <c r="AF97" i="8"/>
  <c r="AG99" i="9" s="1"/>
  <c r="AG97" i="8"/>
  <c r="AH99" i="9" s="1"/>
  <c r="AO97" i="8"/>
  <c r="AP99" i="9" s="1"/>
  <c r="AN97" i="8"/>
  <c r="AO99" i="9" s="1"/>
  <c r="AR97" i="8"/>
  <c r="AS99" i="9" s="1"/>
  <c r="AJ97" i="8"/>
  <c r="AK99" i="9" s="1"/>
  <c r="AH97" i="8"/>
  <c r="AI99" i="9" s="1"/>
  <c r="AP97" i="8"/>
  <c r="AQ99" i="9" s="1"/>
  <c r="AJ34" i="8"/>
  <c r="AK36" i="9" s="1"/>
  <c r="AS34" i="8"/>
  <c r="AT36" i="9" s="1"/>
  <c r="AH34" i="8"/>
  <c r="AI36" i="9" s="1"/>
  <c r="AQ34" i="8"/>
  <c r="AR36" i="9" s="1"/>
  <c r="AK34" i="8"/>
  <c r="AL36" i="9" s="1"/>
  <c r="AP34" i="8"/>
  <c r="AQ36" i="9" s="1"/>
  <c r="AN34" i="8"/>
  <c r="AO36" i="9" s="1"/>
  <c r="AM34" i="8"/>
  <c r="AN36" i="9" s="1"/>
  <c r="AO18" i="8"/>
  <c r="AP20" i="9" s="1"/>
  <c r="AR18" i="8"/>
  <c r="AS20" i="9" s="1"/>
  <c r="AQ18" i="8"/>
  <c r="AR20" i="9" s="1"/>
  <c r="AK18" i="8"/>
  <c r="AL20" i="9" s="1"/>
  <c r="AJ18" i="8"/>
  <c r="AK20" i="9" s="1"/>
  <c r="AG18" i="8"/>
  <c r="AH20" i="9" s="1"/>
  <c r="AM18" i="8"/>
  <c r="AN20" i="9" s="1"/>
  <c r="AP18" i="8"/>
  <c r="AQ20" i="9" s="1"/>
  <c r="AQ44" i="8"/>
  <c r="AR46" i="9" s="1"/>
  <c r="AF44" i="8"/>
  <c r="AG46" i="9" s="1"/>
  <c r="AI44" i="8"/>
  <c r="AJ46" i="9" s="1"/>
  <c r="AN44" i="8"/>
  <c r="AO46" i="9" s="1"/>
  <c r="AK44" i="8"/>
  <c r="AL46" i="9" s="1"/>
  <c r="AS44" i="8"/>
  <c r="AT46" i="9" s="1"/>
  <c r="AM44" i="8"/>
  <c r="AN46" i="9" s="1"/>
  <c r="AH44" i="8"/>
  <c r="AI46" i="9" s="1"/>
  <c r="AF28" i="8"/>
  <c r="AG30" i="9" s="1"/>
  <c r="AP28" i="8"/>
  <c r="AQ30" i="9" s="1"/>
  <c r="AO28" i="8"/>
  <c r="AP30" i="9" s="1"/>
  <c r="AI28" i="8"/>
  <c r="AJ30" i="9" s="1"/>
  <c r="AM28" i="8"/>
  <c r="AN30" i="9" s="1"/>
  <c r="AH28" i="8"/>
  <c r="AI30" i="9" s="1"/>
  <c r="AK28" i="8"/>
  <c r="AL30" i="9" s="1"/>
  <c r="AG12" i="8"/>
  <c r="AH14" i="9" s="1"/>
  <c r="AF12" i="8"/>
  <c r="AG14" i="9" s="1"/>
  <c r="AP12" i="8"/>
  <c r="AQ14" i="9" s="1"/>
  <c r="AJ12" i="8"/>
  <c r="AK14" i="9" s="1"/>
  <c r="AQ12" i="8"/>
  <c r="AR14" i="9" s="1"/>
  <c r="AI12" i="8"/>
  <c r="AJ14" i="9" s="1"/>
  <c r="AH12" i="8"/>
  <c r="AI14" i="9" s="1"/>
  <c r="AM12" i="8"/>
  <c r="AN14" i="9" s="1"/>
  <c r="AR12" i="8"/>
  <c r="AS14" i="9" s="1"/>
  <c r="AI15" i="8"/>
  <c r="AJ17" i="9" s="1"/>
  <c r="AN15" i="8"/>
  <c r="AO17" i="9" s="1"/>
  <c r="AG15" i="8"/>
  <c r="AH17" i="9" s="1"/>
  <c r="AQ15" i="8"/>
  <c r="AR17" i="9" s="1"/>
  <c r="AJ15" i="8"/>
  <c r="AK17" i="9" s="1"/>
  <c r="AK15" i="8"/>
  <c r="AL17" i="9" s="1"/>
  <c r="AS46" i="8"/>
  <c r="AT48" i="9" s="1"/>
  <c r="AM46" i="8"/>
  <c r="AN48" i="9" s="1"/>
  <c r="AL46" i="8"/>
  <c r="AM48" i="9" s="1"/>
  <c r="AQ46" i="8"/>
  <c r="AR48" i="9" s="1"/>
  <c r="AG46" i="8"/>
  <c r="AH48" i="9" s="1"/>
  <c r="AF46" i="8"/>
  <c r="AG48" i="9" s="1"/>
  <c r="AO46" i="8"/>
  <c r="AP48" i="9" s="1"/>
  <c r="AJ46" i="8"/>
  <c r="AK48" i="9" s="1"/>
  <c r="AJ62" i="8"/>
  <c r="AK64" i="9" s="1"/>
  <c r="AR62" i="8"/>
  <c r="AS64" i="9" s="1"/>
  <c r="AK62" i="8"/>
  <c r="AL64" i="9" s="1"/>
  <c r="AM62" i="8"/>
  <c r="AN64" i="9" s="1"/>
  <c r="AL62" i="8"/>
  <c r="AM64" i="9" s="1"/>
  <c r="AF62" i="8"/>
  <c r="AG64" i="9" s="1"/>
  <c r="AG62" i="8"/>
  <c r="AH64" i="9" s="1"/>
  <c r="AJ78" i="8"/>
  <c r="AK80" i="9" s="1"/>
  <c r="AO78" i="8"/>
  <c r="AP80" i="9" s="1"/>
  <c r="AH78" i="8"/>
  <c r="AI80" i="9" s="1"/>
  <c r="AN78" i="8"/>
  <c r="AO80" i="9" s="1"/>
  <c r="AS78" i="8"/>
  <c r="AT80" i="9" s="1"/>
  <c r="AP78" i="8"/>
  <c r="AQ80" i="9" s="1"/>
  <c r="AM78" i="8"/>
  <c r="AN80" i="9" s="1"/>
  <c r="AF78" i="8"/>
  <c r="AG80" i="9" s="1"/>
  <c r="AL78" i="8"/>
  <c r="AM80" i="9" s="1"/>
  <c r="AJ94" i="8"/>
  <c r="AK96" i="9" s="1"/>
  <c r="AR94" i="8"/>
  <c r="AS96" i="9" s="1"/>
  <c r="AN94" i="8"/>
  <c r="AO96" i="9" s="1"/>
  <c r="AI94" i="8"/>
  <c r="AJ96" i="9" s="1"/>
  <c r="AM94" i="8"/>
  <c r="AN96" i="9" s="1"/>
  <c r="AQ94" i="8"/>
  <c r="AR96" i="9" s="1"/>
  <c r="AO94" i="8"/>
  <c r="AP96" i="9" s="1"/>
  <c r="AG94" i="8"/>
  <c r="AH96" i="9" s="1"/>
  <c r="AF94" i="8"/>
  <c r="AG96" i="9" s="1"/>
  <c r="AL94" i="8"/>
  <c r="AM96" i="9" s="1"/>
  <c r="AN37" i="8"/>
  <c r="AO39" i="9" s="1"/>
  <c r="AM42" i="8"/>
  <c r="AN44" i="9" s="1"/>
  <c r="AM54" i="8"/>
  <c r="AN56" i="9" s="1"/>
  <c r="AH2" i="8"/>
  <c r="AI4" i="9" s="1"/>
  <c r="AI89" i="8"/>
  <c r="AJ91" i="9" s="1"/>
  <c r="AJ70" i="8"/>
  <c r="AK72" i="9" s="1"/>
  <c r="AN86" i="8"/>
  <c r="AO88" i="9" s="1"/>
  <c r="AO70" i="8"/>
  <c r="AP72" i="9" s="1"/>
  <c r="AI42" i="8"/>
  <c r="AJ44" i="9" s="1"/>
  <c r="AL37" i="8"/>
  <c r="AM39" i="9" s="1"/>
  <c r="AQ86" i="8"/>
  <c r="AR88" i="9" s="1"/>
  <c r="AI70" i="8"/>
  <c r="AJ72" i="9" s="1"/>
  <c r="AR57" i="8"/>
  <c r="AS59" i="9" s="1"/>
  <c r="AL26" i="8"/>
  <c r="AM28" i="9" s="1"/>
  <c r="AR36" i="8"/>
  <c r="AS38" i="9" s="1"/>
  <c r="AM31" i="8"/>
  <c r="AN33" i="9" s="1"/>
  <c r="AK31" i="8"/>
  <c r="AL33" i="9" s="1"/>
  <c r="AI4" i="8"/>
  <c r="AJ6" i="9" s="1"/>
  <c r="AH15" i="8"/>
  <c r="AI17" i="9" s="1"/>
  <c r="AO21" i="8"/>
  <c r="AP23" i="9" s="1"/>
  <c r="AL4" i="8"/>
  <c r="AM6" i="9" s="1"/>
  <c r="AK45" i="8"/>
  <c r="AL47" i="9" s="1"/>
  <c r="AR45" i="8"/>
  <c r="AS47" i="9" s="1"/>
  <c r="AF45" i="8"/>
  <c r="AG47" i="9" s="1"/>
  <c r="AJ61" i="8"/>
  <c r="AK63" i="9" s="1"/>
  <c r="AF61" i="8"/>
  <c r="AG63" i="9" s="1"/>
  <c r="AP61" i="8"/>
  <c r="AQ63" i="9" s="1"/>
  <c r="AL77" i="8"/>
  <c r="AM79" i="9" s="1"/>
  <c r="AG77" i="8"/>
  <c r="AH79" i="9" s="1"/>
  <c r="AQ77" i="8"/>
  <c r="AR79" i="9" s="1"/>
  <c r="AF77" i="8"/>
  <c r="AG79" i="9" s="1"/>
  <c r="AP77" i="8"/>
  <c r="AQ79" i="9" s="1"/>
  <c r="AK77" i="8"/>
  <c r="AL79" i="9" s="1"/>
  <c r="AG93" i="8"/>
  <c r="AH95" i="9" s="1"/>
  <c r="AO93" i="8"/>
  <c r="AP95" i="9" s="1"/>
  <c r="AK93" i="8"/>
  <c r="AL95" i="9" s="1"/>
  <c r="AS93" i="8"/>
  <c r="AT95" i="9" s="1"/>
  <c r="AF93" i="8"/>
  <c r="AG95" i="9" s="1"/>
  <c r="AR93" i="8"/>
  <c r="AS95" i="9" s="1"/>
  <c r="AJ93" i="8"/>
  <c r="AK95" i="9" s="1"/>
  <c r="AN93" i="8"/>
  <c r="AO95" i="9" s="1"/>
  <c r="AO32" i="8"/>
  <c r="AP34" i="9" s="1"/>
  <c r="AF32" i="8"/>
  <c r="AG34" i="9" s="1"/>
  <c r="AJ16" i="8"/>
  <c r="AK18" i="9" s="1"/>
  <c r="AF16" i="8"/>
  <c r="AG18" i="9" s="1"/>
  <c r="AJ39" i="8"/>
  <c r="AK41" i="9" s="1"/>
  <c r="AR39" i="8"/>
  <c r="AS41" i="9" s="1"/>
  <c r="AM58" i="8"/>
  <c r="AN60" i="9" s="1"/>
  <c r="AS58" i="8"/>
  <c r="AT60" i="9" s="1"/>
  <c r="AR74" i="8"/>
  <c r="AS76" i="9" s="1"/>
  <c r="AK74" i="8"/>
  <c r="AL76" i="9" s="1"/>
  <c r="AN90" i="8"/>
  <c r="AO92" i="9" s="1"/>
  <c r="AJ90" i="8"/>
  <c r="AK92" i="9" s="1"/>
  <c r="AR90" i="8"/>
  <c r="AS92" i="9" s="1"/>
  <c r="AI90" i="8"/>
  <c r="AJ92" i="9" s="1"/>
  <c r="AM90" i="8"/>
  <c r="AN92" i="9" s="1"/>
  <c r="AQ90" i="8"/>
  <c r="AR92" i="9" s="1"/>
  <c r="AS13" i="8"/>
  <c r="AT15" i="9" s="1"/>
  <c r="AK29" i="8"/>
  <c r="AL31" i="9" s="1"/>
  <c r="AF29" i="8"/>
  <c r="AG31" i="9" s="1"/>
  <c r="AN53" i="8"/>
  <c r="AO55" i="9" s="1"/>
  <c r="AF53" i="8"/>
  <c r="AG55" i="9" s="1"/>
  <c r="AG53" i="8"/>
  <c r="AH55" i="9" s="1"/>
  <c r="AL69" i="8"/>
  <c r="AM71" i="9" s="1"/>
  <c r="AS69" i="8"/>
  <c r="AT71" i="9" s="1"/>
  <c r="AF69" i="8"/>
  <c r="AG71" i="9" s="1"/>
  <c r="AO85" i="8"/>
  <c r="AP87" i="9" s="1"/>
  <c r="AI85" i="8"/>
  <c r="AJ87" i="9" s="1"/>
  <c r="AF85" i="8"/>
  <c r="AG87" i="9" s="1"/>
  <c r="AS85" i="8"/>
  <c r="AT87" i="9" s="1"/>
  <c r="AH85" i="8"/>
  <c r="AI87" i="9" s="1"/>
  <c r="AM85" i="8"/>
  <c r="AN87" i="9" s="1"/>
  <c r="AG101" i="8"/>
  <c r="AH103" i="9" s="1"/>
  <c r="AO101" i="8"/>
  <c r="AP103" i="9" s="1"/>
  <c r="AK101" i="8"/>
  <c r="AL103" i="9" s="1"/>
  <c r="AS101" i="8"/>
  <c r="AT103" i="9" s="1"/>
  <c r="AF101" i="8"/>
  <c r="AG103" i="9" s="1"/>
  <c r="AJ101" i="8"/>
  <c r="AK103" i="9" s="1"/>
  <c r="AN101" i="8"/>
  <c r="AO103" i="9" s="1"/>
  <c r="AR101" i="8"/>
  <c r="AS103" i="9" s="1"/>
  <c r="AL40" i="8"/>
  <c r="AM42" i="9" s="1"/>
  <c r="AS40" i="8"/>
  <c r="AT42" i="9" s="1"/>
  <c r="AF40" i="8"/>
  <c r="AG42" i="9" s="1"/>
  <c r="AJ50" i="8"/>
  <c r="AK52" i="9" s="1"/>
  <c r="AQ50" i="8"/>
  <c r="AR52" i="9" s="1"/>
  <c r="AO66" i="8"/>
  <c r="AP68" i="9" s="1"/>
  <c r="AI66" i="8"/>
  <c r="AJ68" i="9" s="1"/>
  <c r="AK82" i="8"/>
  <c r="AL84" i="9" s="1"/>
  <c r="AP82" i="8"/>
  <c r="AQ84" i="9" s="1"/>
  <c r="AO82" i="8"/>
  <c r="AP84" i="9" s="1"/>
  <c r="AJ82" i="8"/>
  <c r="AK84" i="9" s="1"/>
  <c r="AN98" i="8"/>
  <c r="AO100" i="9" s="1"/>
  <c r="AJ98" i="8"/>
  <c r="AK100" i="9" s="1"/>
  <c r="AR98" i="8"/>
  <c r="AS100" i="9" s="1"/>
  <c r="AQ98" i="8"/>
  <c r="AR100" i="9" s="1"/>
  <c r="AI98" i="8"/>
  <c r="AJ100" i="9" s="1"/>
  <c r="AM98" i="8"/>
  <c r="AN100" i="9" s="1"/>
  <c r="AU50" i="8" l="1"/>
  <c r="BH50" i="8" s="1"/>
  <c r="BI52" i="9" s="1"/>
  <c r="AU60" i="8"/>
  <c r="BH60" i="8" s="1"/>
  <c r="BI62" i="9" s="1"/>
  <c r="AU59" i="9"/>
  <c r="AU7" i="8"/>
  <c r="BH7" i="8" s="1"/>
  <c r="BI9" i="9" s="1"/>
  <c r="AU14" i="8"/>
  <c r="BH14" i="8" s="1"/>
  <c r="BI16" i="9" s="1"/>
  <c r="BN43" i="9"/>
  <c r="BN84" i="9"/>
  <c r="BN100" i="9"/>
  <c r="BN62" i="9"/>
  <c r="BN99" i="9"/>
  <c r="BN86" i="9"/>
  <c r="BN59" i="9"/>
  <c r="BN9" i="9"/>
  <c r="BN102" i="9"/>
  <c r="BN35" i="9"/>
  <c r="BN76" i="9"/>
  <c r="BN4" i="9"/>
  <c r="BM2" i="9"/>
  <c r="BM1" i="9"/>
  <c r="AU18" i="8"/>
  <c r="BH18" i="8" s="1"/>
  <c r="BI20" i="9" s="1"/>
  <c r="AU91" i="8"/>
  <c r="BH91" i="8" s="1"/>
  <c r="BI93" i="9" s="1"/>
  <c r="AU4" i="8"/>
  <c r="BH4" i="8" s="1"/>
  <c r="BI6" i="9" s="1"/>
  <c r="AU45" i="8"/>
  <c r="BH45" i="8" s="1"/>
  <c r="BI47" i="9" s="1"/>
  <c r="AU44" i="9"/>
  <c r="AU98" i="8"/>
  <c r="BH98" i="8" s="1"/>
  <c r="BI100" i="9" s="1"/>
  <c r="AU87" i="9"/>
  <c r="AU54" i="8"/>
  <c r="BH54" i="8" s="1"/>
  <c r="BI56" i="9" s="1"/>
  <c r="AU5" i="9"/>
  <c r="AU44" i="8"/>
  <c r="BH44" i="8" s="1"/>
  <c r="BI46" i="9" s="1"/>
  <c r="AU21" i="8"/>
  <c r="BH21" i="8" s="1"/>
  <c r="BI23" i="9" s="1"/>
  <c r="AU12" i="9"/>
  <c r="AU27" i="9"/>
  <c r="AU69" i="9"/>
  <c r="AU51" i="8"/>
  <c r="BH51" i="8" s="1"/>
  <c r="BI53" i="9" s="1"/>
  <c r="AU65" i="8"/>
  <c r="BH65" i="8" s="1"/>
  <c r="BI67" i="9" s="1"/>
  <c r="AU46" i="8"/>
  <c r="BH46" i="8" s="1"/>
  <c r="BI48" i="9" s="1"/>
  <c r="AU89" i="8"/>
  <c r="BH89" i="8" s="1"/>
  <c r="BI91" i="9" s="1"/>
  <c r="AU90" i="8"/>
  <c r="BH90" i="8" s="1"/>
  <c r="BI92" i="9" s="1"/>
  <c r="AU53" i="8"/>
  <c r="BH53" i="8" s="1"/>
  <c r="BI55" i="9" s="1"/>
  <c r="AU77" i="8"/>
  <c r="BH77" i="8" s="1"/>
  <c r="BI79" i="9" s="1"/>
  <c r="AU60" i="9"/>
  <c r="AU68" i="9"/>
  <c r="AU40" i="8"/>
  <c r="BH40" i="8" s="1"/>
  <c r="BI42" i="9" s="1"/>
  <c r="AU68" i="8"/>
  <c r="BH68" i="8" s="1"/>
  <c r="BI70" i="9" s="1"/>
  <c r="AU80" i="8"/>
  <c r="BH80" i="8" s="1"/>
  <c r="BI82" i="9" s="1"/>
  <c r="AU34" i="8"/>
  <c r="BH34" i="8" s="1"/>
  <c r="BI36" i="9" s="1"/>
  <c r="AU28" i="9"/>
  <c r="AU61" i="8"/>
  <c r="BH61" i="8" s="1"/>
  <c r="BI63" i="9" s="1"/>
  <c r="AU56" i="8"/>
  <c r="BH56" i="8" s="1"/>
  <c r="BI58" i="9" s="1"/>
  <c r="AU78" i="9"/>
  <c r="AU12" i="8"/>
  <c r="BH12" i="8" s="1"/>
  <c r="BI14" i="9" s="1"/>
  <c r="AU73" i="8"/>
  <c r="BH73" i="8" s="1"/>
  <c r="BI75" i="9" s="1"/>
  <c r="AU62" i="8"/>
  <c r="BH62" i="8" s="1"/>
  <c r="BI64" i="9" s="1"/>
  <c r="AU38" i="8"/>
  <c r="BH38" i="8" s="1"/>
  <c r="BI40" i="9" s="1"/>
  <c r="AU77" i="9"/>
  <c r="AU31" i="8"/>
  <c r="BH31" i="8" s="1"/>
  <c r="BI33" i="9" s="1"/>
  <c r="AU83" i="9"/>
  <c r="AU17" i="8"/>
  <c r="BH17" i="8" s="1"/>
  <c r="BI19" i="9" s="1"/>
  <c r="AU95" i="8"/>
  <c r="BH95" i="8" s="1"/>
  <c r="BI97" i="9" s="1"/>
  <c r="AU37" i="8"/>
  <c r="BH37" i="8" s="1"/>
  <c r="BI39" i="9" s="1"/>
  <c r="BN46" i="9"/>
  <c r="BN88" i="9"/>
  <c r="BN34" i="9"/>
  <c r="BN103" i="9"/>
  <c r="BN91" i="9"/>
  <c r="BN11" i="9"/>
  <c r="BN19" i="9"/>
  <c r="BN66" i="9"/>
  <c r="BN15" i="9"/>
  <c r="BN69" i="9"/>
  <c r="BN96" i="9"/>
  <c r="BN87" i="9"/>
  <c r="BN55" i="9"/>
  <c r="BN5" i="9"/>
  <c r="BN13" i="9"/>
  <c r="BN70" i="9"/>
  <c r="BN90" i="9"/>
  <c r="AU73" i="9"/>
  <c r="AU30" i="8"/>
  <c r="BH30" i="8" s="1"/>
  <c r="BI32" i="9" s="1"/>
  <c r="AU30" i="9"/>
  <c r="AU36" i="8"/>
  <c r="AU16" i="8"/>
  <c r="BH16" i="8" s="1"/>
  <c r="BI18" i="9" s="1"/>
  <c r="AU101" i="8"/>
  <c r="BH101" i="8" s="1"/>
  <c r="BI103" i="9" s="1"/>
  <c r="AU37" i="9"/>
  <c r="BL1" i="9"/>
  <c r="AU29" i="8"/>
  <c r="BH29" i="8" s="1"/>
  <c r="BI31" i="9" s="1"/>
  <c r="AU63" i="8"/>
  <c r="BH63" i="8" s="1"/>
  <c r="BI65" i="9" s="1"/>
  <c r="AU19" i="8"/>
  <c r="BI19" i="8" s="1"/>
  <c r="BJ21" i="9" s="1"/>
  <c r="BL2" i="9"/>
  <c r="AF1" i="9"/>
  <c r="AU95" i="9"/>
  <c r="AU6" i="8"/>
  <c r="AY6" i="8" s="1"/>
  <c r="AZ8" i="9" s="1"/>
  <c r="AU102" i="9"/>
  <c r="AU23" i="8"/>
  <c r="BH23" i="8" s="1"/>
  <c r="BI25" i="9" s="1"/>
  <c r="AU32" i="8"/>
  <c r="BH32" i="8" s="1"/>
  <c r="BI34" i="9" s="1"/>
  <c r="AU49" i="8"/>
  <c r="BH49" i="8" s="1"/>
  <c r="BI51" i="9" s="1"/>
  <c r="AU20" i="8"/>
  <c r="BH20" i="8" s="1"/>
  <c r="BI22" i="9" s="1"/>
  <c r="AU15" i="8"/>
  <c r="BH15" i="8" s="1"/>
  <c r="BI17" i="9" s="1"/>
  <c r="AU94" i="8"/>
  <c r="BH94" i="8" s="1"/>
  <c r="BI96" i="9" s="1"/>
  <c r="AU13" i="8"/>
  <c r="AV15" i="9" s="1"/>
  <c r="AU79" i="8"/>
  <c r="AU69" i="8"/>
  <c r="BH69" i="8" s="1"/>
  <c r="BI71" i="9" s="1"/>
  <c r="AU74" i="8"/>
  <c r="BH74" i="8" s="1"/>
  <c r="BI76" i="9" s="1"/>
  <c r="AU99" i="9"/>
  <c r="AU33" i="8"/>
  <c r="AU4" i="9"/>
  <c r="AF2" i="9"/>
  <c r="AU7" i="9"/>
  <c r="AU5" i="8"/>
  <c r="BH5" i="8" s="1"/>
  <c r="BI7" i="9" s="1"/>
  <c r="AT1" i="9"/>
  <c r="AI1" i="9"/>
  <c r="AI2" i="9"/>
  <c r="AH1" i="9"/>
  <c r="AH2" i="9"/>
  <c r="AO2" i="9"/>
  <c r="AO1" i="9"/>
  <c r="AX78" i="8"/>
  <c r="AY80" i="9" s="1"/>
  <c r="BB78" i="8"/>
  <c r="BC80" i="9" s="1"/>
  <c r="BF78" i="8"/>
  <c r="BG80" i="9" s="1"/>
  <c r="BJ78" i="8"/>
  <c r="BK80" i="9" s="1"/>
  <c r="AV78" i="8"/>
  <c r="AW80" i="9" s="1"/>
  <c r="AY78" i="8"/>
  <c r="AZ80" i="9" s="1"/>
  <c r="BC78" i="8"/>
  <c r="BD80" i="9" s="1"/>
  <c r="BG78" i="8"/>
  <c r="BH80" i="9" s="1"/>
  <c r="AZ78" i="8"/>
  <c r="BA80" i="9" s="1"/>
  <c r="BD78" i="8"/>
  <c r="BE80" i="9" s="1"/>
  <c r="AW78" i="8"/>
  <c r="AX80" i="9" s="1"/>
  <c r="BA78" i="8"/>
  <c r="BB80" i="9" s="1"/>
  <c r="BE78" i="8"/>
  <c r="BF80" i="9" s="1"/>
  <c r="BI78" i="8"/>
  <c r="BJ80" i="9" s="1"/>
  <c r="AV80" i="9"/>
  <c r="AY60" i="8"/>
  <c r="AZ62" i="9" s="1"/>
  <c r="BC60" i="8"/>
  <c r="BD62" i="9" s="1"/>
  <c r="BG60" i="8"/>
  <c r="BH62" i="9" s="1"/>
  <c r="AZ60" i="8"/>
  <c r="BA62" i="9" s="1"/>
  <c r="BD60" i="8"/>
  <c r="BE62" i="9" s="1"/>
  <c r="AW60" i="8"/>
  <c r="AX62" i="9" s="1"/>
  <c r="BA60" i="8"/>
  <c r="BB62" i="9" s="1"/>
  <c r="BE60" i="8"/>
  <c r="BF62" i="9" s="1"/>
  <c r="BI60" i="8"/>
  <c r="BJ62" i="9" s="1"/>
  <c r="AX60" i="8"/>
  <c r="AY62" i="9" s="1"/>
  <c r="BB60" i="8"/>
  <c r="BC62" i="9" s="1"/>
  <c r="BF60" i="8"/>
  <c r="BG62" i="9" s="1"/>
  <c r="BJ60" i="8"/>
  <c r="BK62" i="9" s="1"/>
  <c r="AV60" i="8"/>
  <c r="AW62" i="9" s="1"/>
  <c r="AV62" i="9"/>
  <c r="BG18" i="8"/>
  <c r="BH20" i="9" s="1"/>
  <c r="BB18" i="8"/>
  <c r="BC20" i="9" s="1"/>
  <c r="AY70" i="8"/>
  <c r="AZ72" i="9" s="1"/>
  <c r="BC70" i="8"/>
  <c r="BD72" i="9" s="1"/>
  <c r="BG70" i="8"/>
  <c r="BH72" i="9" s="1"/>
  <c r="AZ70" i="8"/>
  <c r="BA72" i="9" s="1"/>
  <c r="BD70" i="8"/>
  <c r="BE72" i="9" s="1"/>
  <c r="AW70" i="8"/>
  <c r="AX72" i="9" s="1"/>
  <c r="BA70" i="8"/>
  <c r="BB72" i="9" s="1"/>
  <c r="BE70" i="8"/>
  <c r="BF72" i="9" s="1"/>
  <c r="BI70" i="8"/>
  <c r="BJ72" i="9" s="1"/>
  <c r="AX70" i="8"/>
  <c r="AY72" i="9" s="1"/>
  <c r="BB70" i="8"/>
  <c r="BC72" i="9" s="1"/>
  <c r="BF70" i="8"/>
  <c r="BG72" i="9" s="1"/>
  <c r="BJ70" i="8"/>
  <c r="BK72" i="9" s="1"/>
  <c r="AV70" i="8"/>
  <c r="AW72" i="9" s="1"/>
  <c r="AV72" i="9"/>
  <c r="AW27" i="8"/>
  <c r="AX29" i="9" s="1"/>
  <c r="BA27" i="8"/>
  <c r="BB29" i="9" s="1"/>
  <c r="BE27" i="8"/>
  <c r="BF29" i="9" s="1"/>
  <c r="BI27" i="8"/>
  <c r="BJ29" i="9" s="1"/>
  <c r="AX27" i="8"/>
  <c r="AY29" i="9" s="1"/>
  <c r="BB27" i="8"/>
  <c r="BC29" i="9" s="1"/>
  <c r="BF27" i="8"/>
  <c r="BG29" i="9" s="1"/>
  <c r="BJ27" i="8"/>
  <c r="BK29" i="9" s="1"/>
  <c r="AY27" i="8"/>
  <c r="AZ29" i="9" s="1"/>
  <c r="BC27" i="8"/>
  <c r="BD29" i="9" s="1"/>
  <c r="BG27" i="8"/>
  <c r="BH29" i="9" s="1"/>
  <c r="AZ27" i="8"/>
  <c r="BA29" i="9" s="1"/>
  <c r="BD27" i="8"/>
  <c r="BE29" i="9" s="1"/>
  <c r="AV27" i="8"/>
  <c r="AW29" i="9" s="1"/>
  <c r="AV29" i="9"/>
  <c r="BF90" i="8"/>
  <c r="BG92" i="9" s="1"/>
  <c r="BJ90" i="8"/>
  <c r="BK92" i="9" s="1"/>
  <c r="BG90" i="8"/>
  <c r="BH92" i="9" s="1"/>
  <c r="AZ90" i="8"/>
  <c r="BA92" i="9" s="1"/>
  <c r="AW90" i="8"/>
  <c r="AX92" i="9" s="1"/>
  <c r="BA90" i="8"/>
  <c r="BB92" i="9" s="1"/>
  <c r="AV90" i="8"/>
  <c r="AW92" i="9" s="1"/>
  <c r="AV92" i="9"/>
  <c r="AW47" i="8"/>
  <c r="AX49" i="9" s="1"/>
  <c r="BA47" i="8"/>
  <c r="BB49" i="9" s="1"/>
  <c r="BE47" i="8"/>
  <c r="BF49" i="9" s="1"/>
  <c r="BI47" i="8"/>
  <c r="BJ49" i="9" s="1"/>
  <c r="AX47" i="8"/>
  <c r="AY49" i="9" s="1"/>
  <c r="BB47" i="8"/>
  <c r="BC49" i="9" s="1"/>
  <c r="BF47" i="8"/>
  <c r="BG49" i="9" s="1"/>
  <c r="BJ47" i="8"/>
  <c r="BK49" i="9" s="1"/>
  <c r="AY47" i="8"/>
  <c r="AZ49" i="9" s="1"/>
  <c r="BC47" i="8"/>
  <c r="BD49" i="9" s="1"/>
  <c r="BG47" i="8"/>
  <c r="BH49" i="9" s="1"/>
  <c r="AZ47" i="8"/>
  <c r="BA49" i="9" s="1"/>
  <c r="BD47" i="8"/>
  <c r="BE49" i="9" s="1"/>
  <c r="AV47" i="8"/>
  <c r="AW49" i="9" s="1"/>
  <c r="AV49" i="9"/>
  <c r="AY4" i="8"/>
  <c r="AZ6" i="9" s="1"/>
  <c r="BC4" i="8"/>
  <c r="BD6" i="9" s="1"/>
  <c r="BG4" i="8"/>
  <c r="BH6" i="9" s="1"/>
  <c r="AZ4" i="8"/>
  <c r="BA6" i="9" s="1"/>
  <c r="BD4" i="8"/>
  <c r="BE6" i="9" s="1"/>
  <c r="AW4" i="8"/>
  <c r="AX6" i="9" s="1"/>
  <c r="BA4" i="8"/>
  <c r="BB6" i="9" s="1"/>
  <c r="BE4" i="8"/>
  <c r="BF6" i="9" s="1"/>
  <c r="BI4" i="8"/>
  <c r="BJ6" i="9" s="1"/>
  <c r="AX4" i="8"/>
  <c r="AY6" i="9" s="1"/>
  <c r="BB4" i="8"/>
  <c r="BC6" i="9" s="1"/>
  <c r="BF4" i="8"/>
  <c r="BG6" i="9" s="1"/>
  <c r="BJ4" i="8"/>
  <c r="BK6" i="9" s="1"/>
  <c r="AV4" i="8"/>
  <c r="AW6" i="9" s="1"/>
  <c r="AV6" i="9"/>
  <c r="AW45" i="8"/>
  <c r="AX47" i="9" s="1"/>
  <c r="BA45" i="8"/>
  <c r="BB47" i="9" s="1"/>
  <c r="BE45" i="8"/>
  <c r="BF47" i="9" s="1"/>
  <c r="BI45" i="8"/>
  <c r="BJ47" i="9" s="1"/>
  <c r="AX45" i="8"/>
  <c r="AY47" i="9" s="1"/>
  <c r="BB45" i="8"/>
  <c r="BC47" i="9" s="1"/>
  <c r="BF45" i="8"/>
  <c r="BG47" i="9" s="1"/>
  <c r="BJ45" i="8"/>
  <c r="BK47" i="9" s="1"/>
  <c r="AY45" i="8"/>
  <c r="AZ47" i="9" s="1"/>
  <c r="BC45" i="8"/>
  <c r="BD47" i="9" s="1"/>
  <c r="BG45" i="8"/>
  <c r="BH47" i="9" s="1"/>
  <c r="AZ45" i="8"/>
  <c r="BA47" i="9" s="1"/>
  <c r="BD45" i="8"/>
  <c r="BE47" i="9" s="1"/>
  <c r="AV45" i="8"/>
  <c r="AW47" i="9" s="1"/>
  <c r="AV47" i="9"/>
  <c r="AY24" i="8"/>
  <c r="AZ26" i="9" s="1"/>
  <c r="BC24" i="8"/>
  <c r="BD26" i="9" s="1"/>
  <c r="BG24" i="8"/>
  <c r="BH26" i="9" s="1"/>
  <c r="AZ24" i="8"/>
  <c r="BA26" i="9" s="1"/>
  <c r="BD24" i="8"/>
  <c r="BE26" i="9" s="1"/>
  <c r="AW24" i="8"/>
  <c r="AX26" i="9" s="1"/>
  <c r="BA24" i="8"/>
  <c r="BB26" i="9" s="1"/>
  <c r="BE24" i="8"/>
  <c r="BF26" i="9" s="1"/>
  <c r="BI24" i="8"/>
  <c r="BJ26" i="9" s="1"/>
  <c r="AX24" i="8"/>
  <c r="AY26" i="9" s="1"/>
  <c r="BB24" i="8"/>
  <c r="BC26" i="9" s="1"/>
  <c r="BF24" i="8"/>
  <c r="BG26" i="9" s="1"/>
  <c r="BJ24" i="8"/>
  <c r="BK26" i="9" s="1"/>
  <c r="AV24" i="8"/>
  <c r="AW26" i="9" s="1"/>
  <c r="AV26" i="9"/>
  <c r="BB98" i="8"/>
  <c r="BC100" i="9" s="1"/>
  <c r="AW55" i="8"/>
  <c r="AX57" i="9" s="1"/>
  <c r="BA55" i="8"/>
  <c r="BB57" i="9" s="1"/>
  <c r="BE55" i="8"/>
  <c r="BF57" i="9" s="1"/>
  <c r="BI55" i="8"/>
  <c r="BJ57" i="9" s="1"/>
  <c r="AX55" i="8"/>
  <c r="AY57" i="9" s="1"/>
  <c r="BB55" i="8"/>
  <c r="BC57" i="9" s="1"/>
  <c r="BF55" i="8"/>
  <c r="BG57" i="9" s="1"/>
  <c r="BJ55" i="8"/>
  <c r="BK57" i="9" s="1"/>
  <c r="AY55" i="8"/>
  <c r="AZ57" i="9" s="1"/>
  <c r="BC55" i="8"/>
  <c r="BD57" i="9" s="1"/>
  <c r="BG55" i="8"/>
  <c r="BH57" i="9" s="1"/>
  <c r="AZ55" i="8"/>
  <c r="BA57" i="9" s="1"/>
  <c r="BD55" i="8"/>
  <c r="BE57" i="9" s="1"/>
  <c r="AV55" i="8"/>
  <c r="AW57" i="9" s="1"/>
  <c r="AV57" i="9"/>
  <c r="AY64" i="8"/>
  <c r="AZ66" i="9" s="1"/>
  <c r="BC64" i="8"/>
  <c r="BD66" i="9" s="1"/>
  <c r="BG64" i="8"/>
  <c r="BH66" i="9" s="1"/>
  <c r="AZ64" i="8"/>
  <c r="BA66" i="9" s="1"/>
  <c r="BD64" i="8"/>
  <c r="BE66" i="9" s="1"/>
  <c r="AW64" i="8"/>
  <c r="AX66" i="9" s="1"/>
  <c r="BA64" i="8"/>
  <c r="BB66" i="9" s="1"/>
  <c r="BE64" i="8"/>
  <c r="BF66" i="9" s="1"/>
  <c r="BI64" i="8"/>
  <c r="BJ66" i="9" s="1"/>
  <c r="AX64" i="8"/>
  <c r="AY66" i="9" s="1"/>
  <c r="BB64" i="8"/>
  <c r="BC66" i="9" s="1"/>
  <c r="BF64" i="8"/>
  <c r="BG66" i="9" s="1"/>
  <c r="BJ64" i="8"/>
  <c r="BK66" i="9" s="1"/>
  <c r="AV64" i="8"/>
  <c r="AW66" i="9" s="1"/>
  <c r="AV66" i="9"/>
  <c r="AY22" i="8"/>
  <c r="AZ24" i="9" s="1"/>
  <c r="BC22" i="8"/>
  <c r="BD24" i="9" s="1"/>
  <c r="BG22" i="8"/>
  <c r="BH24" i="9" s="1"/>
  <c r="AZ22" i="8"/>
  <c r="BA24" i="9" s="1"/>
  <c r="BD22" i="8"/>
  <c r="BE24" i="9" s="1"/>
  <c r="AW22" i="8"/>
  <c r="AX24" i="9" s="1"/>
  <c r="BA22" i="8"/>
  <c r="BB24" i="9" s="1"/>
  <c r="BE22" i="8"/>
  <c r="BF24" i="9" s="1"/>
  <c r="BI22" i="8"/>
  <c r="BJ24" i="9" s="1"/>
  <c r="AX22" i="8"/>
  <c r="AY24" i="9" s="1"/>
  <c r="BB22" i="8"/>
  <c r="BC24" i="9" s="1"/>
  <c r="BF22" i="8"/>
  <c r="BG24" i="9" s="1"/>
  <c r="BJ22" i="8"/>
  <c r="BK24" i="9" s="1"/>
  <c r="AV22" i="8"/>
  <c r="AW24" i="9" s="1"/>
  <c r="AV24" i="9"/>
  <c r="AW41" i="8"/>
  <c r="AX43" i="9" s="1"/>
  <c r="BA41" i="8"/>
  <c r="BB43" i="9" s="1"/>
  <c r="BE41" i="8"/>
  <c r="BF43" i="9" s="1"/>
  <c r="BI41" i="8"/>
  <c r="BJ43" i="9" s="1"/>
  <c r="AX41" i="8"/>
  <c r="AY43" i="9" s="1"/>
  <c r="BB41" i="8"/>
  <c r="BC43" i="9" s="1"/>
  <c r="BF41" i="8"/>
  <c r="BG43" i="9" s="1"/>
  <c r="BJ41" i="8"/>
  <c r="BK43" i="9" s="1"/>
  <c r="AY41" i="8"/>
  <c r="AZ43" i="9" s="1"/>
  <c r="BC41" i="8"/>
  <c r="BD43" i="9" s="1"/>
  <c r="BG41" i="8"/>
  <c r="BH43" i="9" s="1"/>
  <c r="AZ41" i="8"/>
  <c r="BA43" i="9" s="1"/>
  <c r="BD41" i="8"/>
  <c r="BE43" i="9" s="1"/>
  <c r="AV41" i="8"/>
  <c r="AW43" i="9" s="1"/>
  <c r="AV43" i="9"/>
  <c r="AW9" i="8"/>
  <c r="AX11" i="9" s="1"/>
  <c r="BA9" i="8"/>
  <c r="BB11" i="9" s="1"/>
  <c r="BE9" i="8"/>
  <c r="BF11" i="9" s="1"/>
  <c r="BI9" i="8"/>
  <c r="BJ11" i="9" s="1"/>
  <c r="AX9" i="8"/>
  <c r="AY11" i="9" s="1"/>
  <c r="BB9" i="8"/>
  <c r="BC11" i="9" s="1"/>
  <c r="BF9" i="8"/>
  <c r="BG11" i="9" s="1"/>
  <c r="BJ9" i="8"/>
  <c r="BK11" i="9" s="1"/>
  <c r="AY9" i="8"/>
  <c r="AZ11" i="9" s="1"/>
  <c r="BC9" i="8"/>
  <c r="BD11" i="9" s="1"/>
  <c r="BG9" i="8"/>
  <c r="BH11" i="9" s="1"/>
  <c r="AZ9" i="8"/>
  <c r="BA11" i="9" s="1"/>
  <c r="BD9" i="8"/>
  <c r="BE11" i="9" s="1"/>
  <c r="AV9" i="8"/>
  <c r="AW11" i="9" s="1"/>
  <c r="AV11" i="9"/>
  <c r="AY8" i="8"/>
  <c r="AZ10" i="9" s="1"/>
  <c r="BC8" i="8"/>
  <c r="BD10" i="9" s="1"/>
  <c r="BG8" i="8"/>
  <c r="BH10" i="9" s="1"/>
  <c r="AZ8" i="8"/>
  <c r="BA10" i="9" s="1"/>
  <c r="BD8" i="8"/>
  <c r="BE10" i="9" s="1"/>
  <c r="AW8" i="8"/>
  <c r="AX10" i="9" s="1"/>
  <c r="BA8" i="8"/>
  <c r="BB10" i="9" s="1"/>
  <c r="BE8" i="8"/>
  <c r="BF10" i="9" s="1"/>
  <c r="BI8" i="8"/>
  <c r="BJ10" i="9" s="1"/>
  <c r="AX8" i="8"/>
  <c r="AY10" i="9" s="1"/>
  <c r="BB8" i="8"/>
  <c r="BC10" i="9" s="1"/>
  <c r="BF8" i="8"/>
  <c r="BG10" i="9" s="1"/>
  <c r="BJ8" i="8"/>
  <c r="BK10" i="9" s="1"/>
  <c r="AV8" i="8"/>
  <c r="AW10" i="9" s="1"/>
  <c r="AV10" i="9"/>
  <c r="AW35" i="8"/>
  <c r="AX37" i="9" s="1"/>
  <c r="BA35" i="8"/>
  <c r="BB37" i="9" s="1"/>
  <c r="BE35" i="8"/>
  <c r="BF37" i="9" s="1"/>
  <c r="BI35" i="8"/>
  <c r="BJ37" i="9" s="1"/>
  <c r="AX35" i="8"/>
  <c r="AY37" i="9" s="1"/>
  <c r="BB35" i="8"/>
  <c r="BC37" i="9" s="1"/>
  <c r="BF35" i="8"/>
  <c r="BG37" i="9" s="1"/>
  <c r="BJ35" i="8"/>
  <c r="BK37" i="9" s="1"/>
  <c r="AY35" i="8"/>
  <c r="AZ37" i="9" s="1"/>
  <c r="BC35" i="8"/>
  <c r="BD37" i="9" s="1"/>
  <c r="BG35" i="8"/>
  <c r="BH37" i="9" s="1"/>
  <c r="AZ35" i="8"/>
  <c r="BA37" i="9" s="1"/>
  <c r="BD35" i="8"/>
  <c r="BE37" i="9" s="1"/>
  <c r="AV35" i="8"/>
  <c r="AW37" i="9" s="1"/>
  <c r="AV37" i="9"/>
  <c r="AW71" i="8"/>
  <c r="AX73" i="9" s="1"/>
  <c r="BA71" i="8"/>
  <c r="BB73" i="9" s="1"/>
  <c r="BE71" i="8"/>
  <c r="BF73" i="9" s="1"/>
  <c r="BI71" i="8"/>
  <c r="BJ73" i="9" s="1"/>
  <c r="AX71" i="8"/>
  <c r="AY73" i="9" s="1"/>
  <c r="BB71" i="8"/>
  <c r="BC73" i="9" s="1"/>
  <c r="BF71" i="8"/>
  <c r="BG73" i="9" s="1"/>
  <c r="BJ71" i="8"/>
  <c r="BK73" i="9" s="1"/>
  <c r="AY71" i="8"/>
  <c r="AZ73" i="9" s="1"/>
  <c r="BC71" i="8"/>
  <c r="BD73" i="9" s="1"/>
  <c r="BG71" i="8"/>
  <c r="BH73" i="9" s="1"/>
  <c r="AZ71" i="8"/>
  <c r="BA73" i="9" s="1"/>
  <c r="BD71" i="8"/>
  <c r="BE73" i="9" s="1"/>
  <c r="AV71" i="8"/>
  <c r="AW73" i="9" s="1"/>
  <c r="AV73" i="9"/>
  <c r="AY28" i="8"/>
  <c r="AZ30" i="9" s="1"/>
  <c r="BC28" i="8"/>
  <c r="BD30" i="9" s="1"/>
  <c r="BG28" i="8"/>
  <c r="BH30" i="9" s="1"/>
  <c r="AZ28" i="8"/>
  <c r="BA30" i="9" s="1"/>
  <c r="BD28" i="8"/>
  <c r="BE30" i="9" s="1"/>
  <c r="AW28" i="8"/>
  <c r="AX30" i="9" s="1"/>
  <c r="BA28" i="8"/>
  <c r="BB30" i="9" s="1"/>
  <c r="BE28" i="8"/>
  <c r="BF30" i="9" s="1"/>
  <c r="BI28" i="8"/>
  <c r="BJ30" i="9" s="1"/>
  <c r="AX28" i="8"/>
  <c r="AY30" i="9" s="1"/>
  <c r="BB28" i="8"/>
  <c r="BC30" i="9" s="1"/>
  <c r="BF28" i="8"/>
  <c r="BG30" i="9" s="1"/>
  <c r="BJ28" i="8"/>
  <c r="BK30" i="9" s="1"/>
  <c r="AV28" i="8"/>
  <c r="AW30" i="9" s="1"/>
  <c r="AV30" i="9"/>
  <c r="AY2" i="8"/>
  <c r="AZ4" i="9" s="1"/>
  <c r="BC2" i="8"/>
  <c r="BD4" i="9" s="1"/>
  <c r="BG2" i="8"/>
  <c r="BH4" i="9" s="1"/>
  <c r="AZ2" i="8"/>
  <c r="BA4" i="9" s="1"/>
  <c r="BD2" i="8"/>
  <c r="BE4" i="9" s="1"/>
  <c r="AW2" i="8"/>
  <c r="AX4" i="9" s="1"/>
  <c r="BA2" i="8"/>
  <c r="BB4" i="9" s="1"/>
  <c r="BE2" i="8"/>
  <c r="BF4" i="9" s="1"/>
  <c r="BI2" i="8"/>
  <c r="BJ4" i="9" s="1"/>
  <c r="AX2" i="8"/>
  <c r="AY4" i="9" s="1"/>
  <c r="BB2" i="8"/>
  <c r="BC4" i="9" s="1"/>
  <c r="BF2" i="8"/>
  <c r="BG4" i="9" s="1"/>
  <c r="BJ2" i="8"/>
  <c r="BK4" i="9" s="1"/>
  <c r="AV4" i="9"/>
  <c r="AV2" i="8"/>
  <c r="AW4" i="9" s="1"/>
  <c r="AW59" i="8"/>
  <c r="AX61" i="9" s="1"/>
  <c r="BA59" i="8"/>
  <c r="BB61" i="9" s="1"/>
  <c r="BE59" i="8"/>
  <c r="BF61" i="9" s="1"/>
  <c r="BI59" i="8"/>
  <c r="BJ61" i="9" s="1"/>
  <c r="AX59" i="8"/>
  <c r="AY61" i="9" s="1"/>
  <c r="BB59" i="8"/>
  <c r="BC61" i="9" s="1"/>
  <c r="BF59" i="8"/>
  <c r="BG61" i="9" s="1"/>
  <c r="BJ59" i="8"/>
  <c r="BK61" i="9" s="1"/>
  <c r="AY59" i="8"/>
  <c r="AZ61" i="9" s="1"/>
  <c r="BC59" i="8"/>
  <c r="BD61" i="9" s="1"/>
  <c r="BG59" i="8"/>
  <c r="BH61" i="9" s="1"/>
  <c r="AZ59" i="8"/>
  <c r="BA61" i="9" s="1"/>
  <c r="BD59" i="8"/>
  <c r="BE61" i="9" s="1"/>
  <c r="AV59" i="8"/>
  <c r="AW61" i="9" s="1"/>
  <c r="AV61" i="9"/>
  <c r="BC16" i="8"/>
  <c r="BD18" i="9" s="1"/>
  <c r="BG16" i="8"/>
  <c r="BH18" i="9" s="1"/>
  <c r="AW16" i="8"/>
  <c r="AX18" i="9" s="1"/>
  <c r="BI16" i="8"/>
  <c r="BJ18" i="9" s="1"/>
  <c r="AX16" i="8"/>
  <c r="AY18" i="9" s="1"/>
  <c r="BJ16" i="8"/>
  <c r="BK18" i="9" s="1"/>
  <c r="AV16" i="8"/>
  <c r="AW18" i="9" s="1"/>
  <c r="AW69" i="8"/>
  <c r="AX71" i="9" s="1"/>
  <c r="BI69" i="8"/>
  <c r="BJ71" i="9" s="1"/>
  <c r="AX69" i="8"/>
  <c r="AY71" i="9" s="1"/>
  <c r="BJ69" i="8"/>
  <c r="BK71" i="9" s="1"/>
  <c r="AY69" i="8"/>
  <c r="AZ71" i="9" s="1"/>
  <c r="AZ69" i="8"/>
  <c r="BA71" i="9" s="1"/>
  <c r="BD69" i="8"/>
  <c r="BE71" i="9" s="1"/>
  <c r="AV71" i="9"/>
  <c r="AZ83" i="8"/>
  <c r="BA85" i="9" s="1"/>
  <c r="BD83" i="8"/>
  <c r="BE85" i="9" s="1"/>
  <c r="AW83" i="8"/>
  <c r="AX85" i="9" s="1"/>
  <c r="BA83" i="8"/>
  <c r="BB85" i="9" s="1"/>
  <c r="BE83" i="8"/>
  <c r="BF85" i="9" s="1"/>
  <c r="BI83" i="8"/>
  <c r="BJ85" i="9" s="1"/>
  <c r="AX83" i="8"/>
  <c r="AY85" i="9" s="1"/>
  <c r="BB83" i="8"/>
  <c r="BC85" i="9" s="1"/>
  <c r="BF83" i="8"/>
  <c r="BG85" i="9" s="1"/>
  <c r="BJ83" i="8"/>
  <c r="BK85" i="9" s="1"/>
  <c r="AY83" i="8"/>
  <c r="AZ85" i="9" s="1"/>
  <c r="BC83" i="8"/>
  <c r="BD85" i="9" s="1"/>
  <c r="BG83" i="8"/>
  <c r="BH85" i="9" s="1"/>
  <c r="AV83" i="8"/>
  <c r="AW85" i="9" s="1"/>
  <c r="AV85" i="9"/>
  <c r="AZ99" i="8"/>
  <c r="BA101" i="9" s="1"/>
  <c r="BD99" i="8"/>
  <c r="BE101" i="9" s="1"/>
  <c r="AW99" i="8"/>
  <c r="AX101" i="9" s="1"/>
  <c r="BA99" i="8"/>
  <c r="BB101" i="9" s="1"/>
  <c r="BE99" i="8"/>
  <c r="BF101" i="9" s="1"/>
  <c r="BI99" i="8"/>
  <c r="BJ101" i="9" s="1"/>
  <c r="AX99" i="8"/>
  <c r="AY101" i="9" s="1"/>
  <c r="BB99" i="8"/>
  <c r="BC101" i="9" s="1"/>
  <c r="BF99" i="8"/>
  <c r="BG101" i="9" s="1"/>
  <c r="BJ99" i="8"/>
  <c r="BK101" i="9" s="1"/>
  <c r="AY99" i="8"/>
  <c r="AZ101" i="9" s="1"/>
  <c r="BC99" i="8"/>
  <c r="BD101" i="9" s="1"/>
  <c r="BG99" i="8"/>
  <c r="BH101" i="9" s="1"/>
  <c r="AV99" i="8"/>
  <c r="AW101" i="9" s="1"/>
  <c r="AV101" i="9"/>
  <c r="AZ87" i="8"/>
  <c r="BA89" i="9" s="1"/>
  <c r="BD87" i="8"/>
  <c r="BE89" i="9" s="1"/>
  <c r="AW87" i="8"/>
  <c r="AX89" i="9" s="1"/>
  <c r="BA87" i="8"/>
  <c r="BB89" i="9" s="1"/>
  <c r="BE87" i="8"/>
  <c r="BF89" i="9" s="1"/>
  <c r="BI87" i="8"/>
  <c r="BJ89" i="9" s="1"/>
  <c r="AX87" i="8"/>
  <c r="AY89" i="9" s="1"/>
  <c r="BB87" i="8"/>
  <c r="BC89" i="9" s="1"/>
  <c r="BF87" i="8"/>
  <c r="BG89" i="9" s="1"/>
  <c r="BJ87" i="8"/>
  <c r="BK89" i="9" s="1"/>
  <c r="AY87" i="8"/>
  <c r="AZ89" i="9" s="1"/>
  <c r="BC87" i="8"/>
  <c r="BD89" i="9" s="1"/>
  <c r="BG87" i="8"/>
  <c r="BH89" i="9" s="1"/>
  <c r="AV87" i="8"/>
  <c r="AW89" i="9" s="1"/>
  <c r="AV89" i="9"/>
  <c r="AX96" i="8"/>
  <c r="AY98" i="9" s="1"/>
  <c r="BB96" i="8"/>
  <c r="BC98" i="9" s="1"/>
  <c r="BF96" i="8"/>
  <c r="BG98" i="9" s="1"/>
  <c r="BJ96" i="8"/>
  <c r="BK98" i="9" s="1"/>
  <c r="AY96" i="8"/>
  <c r="AZ98" i="9" s="1"/>
  <c r="BC96" i="8"/>
  <c r="BD98" i="9" s="1"/>
  <c r="BG96" i="8"/>
  <c r="BH98" i="9" s="1"/>
  <c r="AZ96" i="8"/>
  <c r="BA98" i="9" s="1"/>
  <c r="BD96" i="8"/>
  <c r="BE98" i="9" s="1"/>
  <c r="AW96" i="8"/>
  <c r="AX98" i="9" s="1"/>
  <c r="BA96" i="8"/>
  <c r="BB98" i="9" s="1"/>
  <c r="BE96" i="8"/>
  <c r="BF98" i="9" s="1"/>
  <c r="BI96" i="8"/>
  <c r="BJ98" i="9" s="1"/>
  <c r="AV96" i="8"/>
  <c r="AW98" i="9" s="1"/>
  <c r="AV98" i="9"/>
  <c r="AY54" i="8"/>
  <c r="AZ56" i="9" s="1"/>
  <c r="BC54" i="8"/>
  <c r="BD56" i="9" s="1"/>
  <c r="BD54" i="8"/>
  <c r="BE56" i="9" s="1"/>
  <c r="AW54" i="8"/>
  <c r="AX56" i="9" s="1"/>
  <c r="BI54" i="8"/>
  <c r="BJ56" i="9" s="1"/>
  <c r="AX54" i="8"/>
  <c r="AY56" i="9" s="1"/>
  <c r="BJ54" i="8"/>
  <c r="BK56" i="9" s="1"/>
  <c r="AV54" i="8"/>
  <c r="AW56" i="9" s="1"/>
  <c r="AW11" i="8"/>
  <c r="AX13" i="9" s="1"/>
  <c r="BA11" i="8"/>
  <c r="BB13" i="9" s="1"/>
  <c r="BE11" i="8"/>
  <c r="BF13" i="9" s="1"/>
  <c r="BI11" i="8"/>
  <c r="BJ13" i="9" s="1"/>
  <c r="AX11" i="8"/>
  <c r="AY13" i="9" s="1"/>
  <c r="BB11" i="8"/>
  <c r="BC13" i="9" s="1"/>
  <c r="BF11" i="8"/>
  <c r="BG13" i="9" s="1"/>
  <c r="BJ11" i="8"/>
  <c r="BK13" i="9" s="1"/>
  <c r="AY11" i="8"/>
  <c r="AZ13" i="9" s="1"/>
  <c r="BC11" i="8"/>
  <c r="BD13" i="9" s="1"/>
  <c r="BG11" i="8"/>
  <c r="BH13" i="9" s="1"/>
  <c r="AZ11" i="8"/>
  <c r="BA13" i="9" s="1"/>
  <c r="BD11" i="8"/>
  <c r="BE13" i="9" s="1"/>
  <c r="AV11" i="8"/>
  <c r="AW13" i="9" s="1"/>
  <c r="AV13" i="9"/>
  <c r="BA65" i="8"/>
  <c r="BB67" i="9" s="1"/>
  <c r="BE65" i="8"/>
  <c r="BF67" i="9" s="1"/>
  <c r="BB65" i="8"/>
  <c r="BC67" i="9" s="1"/>
  <c r="BF65" i="8"/>
  <c r="BG67" i="9" s="1"/>
  <c r="BC65" i="8"/>
  <c r="BD67" i="9" s="1"/>
  <c r="BG65" i="8"/>
  <c r="BH67" i="9" s="1"/>
  <c r="AV65" i="8"/>
  <c r="AW67" i="9" s="1"/>
  <c r="AV67" i="9"/>
  <c r="AM1" i="9"/>
  <c r="AM2" i="9"/>
  <c r="AL1" i="9"/>
  <c r="AL2" i="9"/>
  <c r="AJ2" i="9"/>
  <c r="AJ1" i="9"/>
  <c r="AS2" i="9"/>
  <c r="AS1" i="9"/>
  <c r="AX88" i="8"/>
  <c r="AY90" i="9" s="1"/>
  <c r="BB88" i="8"/>
  <c r="BC90" i="9" s="1"/>
  <c r="BF88" i="8"/>
  <c r="BG90" i="9" s="1"/>
  <c r="BJ88" i="8"/>
  <c r="BK90" i="9" s="1"/>
  <c r="AY88" i="8"/>
  <c r="AZ90" i="9" s="1"/>
  <c r="BC88" i="8"/>
  <c r="BD90" i="9" s="1"/>
  <c r="BG88" i="8"/>
  <c r="BH90" i="9" s="1"/>
  <c r="AZ88" i="8"/>
  <c r="BA90" i="9" s="1"/>
  <c r="BD88" i="8"/>
  <c r="BE90" i="9" s="1"/>
  <c r="AW88" i="8"/>
  <c r="AX90" i="9" s="1"/>
  <c r="BA88" i="8"/>
  <c r="BB90" i="9" s="1"/>
  <c r="BE88" i="8"/>
  <c r="BF90" i="9" s="1"/>
  <c r="BI88" i="8"/>
  <c r="BJ90" i="9" s="1"/>
  <c r="AV88" i="8"/>
  <c r="AW90" i="9" s="1"/>
  <c r="AV90" i="9"/>
  <c r="AZ97" i="8"/>
  <c r="BA99" i="9" s="1"/>
  <c r="BD97" i="8"/>
  <c r="BE99" i="9" s="1"/>
  <c r="AW97" i="8"/>
  <c r="AX99" i="9" s="1"/>
  <c r="BA97" i="8"/>
  <c r="BB99" i="9" s="1"/>
  <c r="BE97" i="8"/>
  <c r="BF99" i="9" s="1"/>
  <c r="BI97" i="8"/>
  <c r="BJ99" i="9" s="1"/>
  <c r="AX97" i="8"/>
  <c r="AY99" i="9" s="1"/>
  <c r="BB97" i="8"/>
  <c r="BC99" i="9" s="1"/>
  <c r="BF97" i="8"/>
  <c r="BG99" i="9" s="1"/>
  <c r="BJ97" i="8"/>
  <c r="BK99" i="9" s="1"/>
  <c r="AY97" i="8"/>
  <c r="AZ99" i="9" s="1"/>
  <c r="BC97" i="8"/>
  <c r="BD99" i="9" s="1"/>
  <c r="BG97" i="8"/>
  <c r="BH99" i="9" s="1"/>
  <c r="AV97" i="8"/>
  <c r="AW99" i="9" s="1"/>
  <c r="AV99" i="9"/>
  <c r="AQ1" i="9"/>
  <c r="AQ2" i="9"/>
  <c r="AP1" i="9"/>
  <c r="AP2" i="9"/>
  <c r="AR2" i="9"/>
  <c r="AR1" i="9"/>
  <c r="AK2" i="9"/>
  <c r="AK1" i="9"/>
  <c r="AX82" i="8"/>
  <c r="AY84" i="9" s="1"/>
  <c r="BB82" i="8"/>
  <c r="BC84" i="9" s="1"/>
  <c r="BF82" i="8"/>
  <c r="BG84" i="9" s="1"/>
  <c r="BJ82" i="8"/>
  <c r="BK84" i="9" s="1"/>
  <c r="AY82" i="8"/>
  <c r="AZ84" i="9" s="1"/>
  <c r="BC82" i="8"/>
  <c r="BD84" i="9" s="1"/>
  <c r="BG82" i="8"/>
  <c r="BH84" i="9" s="1"/>
  <c r="AZ82" i="8"/>
  <c r="BA84" i="9" s="1"/>
  <c r="BD82" i="8"/>
  <c r="BE84" i="9" s="1"/>
  <c r="AW82" i="8"/>
  <c r="AX84" i="9" s="1"/>
  <c r="BA82" i="8"/>
  <c r="BB84" i="9" s="1"/>
  <c r="BE82" i="8"/>
  <c r="BF84" i="9" s="1"/>
  <c r="BI82" i="8"/>
  <c r="BJ84" i="9" s="1"/>
  <c r="AV82" i="8"/>
  <c r="AW84" i="9" s="1"/>
  <c r="AV84" i="9"/>
  <c r="AW39" i="8"/>
  <c r="AX41" i="9" s="1"/>
  <c r="BA39" i="8"/>
  <c r="BB41" i="9" s="1"/>
  <c r="BE39" i="8"/>
  <c r="BF41" i="9" s="1"/>
  <c r="BI39" i="8"/>
  <c r="BJ41" i="9" s="1"/>
  <c r="AX39" i="8"/>
  <c r="AY41" i="9" s="1"/>
  <c r="BB39" i="8"/>
  <c r="BC41" i="9" s="1"/>
  <c r="BF39" i="8"/>
  <c r="BG41" i="9" s="1"/>
  <c r="BJ39" i="8"/>
  <c r="BK41" i="9" s="1"/>
  <c r="AY39" i="8"/>
  <c r="AZ41" i="9" s="1"/>
  <c r="BC39" i="8"/>
  <c r="BD41" i="9" s="1"/>
  <c r="BG39" i="8"/>
  <c r="BH41" i="9" s="1"/>
  <c r="AZ39" i="8"/>
  <c r="BA41" i="9" s="1"/>
  <c r="BD39" i="8"/>
  <c r="BE41" i="9" s="1"/>
  <c r="AV39" i="8"/>
  <c r="AW41" i="9" s="1"/>
  <c r="AV41" i="9"/>
  <c r="AZ91" i="8"/>
  <c r="BA93" i="9" s="1"/>
  <c r="BD91" i="8"/>
  <c r="BE93" i="9" s="1"/>
  <c r="AW91" i="8"/>
  <c r="AX93" i="9" s="1"/>
  <c r="BE91" i="8"/>
  <c r="BF93" i="9" s="1"/>
  <c r="BI91" i="8"/>
  <c r="BJ93" i="9" s="1"/>
  <c r="AX91" i="8"/>
  <c r="AY93" i="9" s="1"/>
  <c r="BF91" i="8"/>
  <c r="BG93" i="9" s="1"/>
  <c r="BJ91" i="8"/>
  <c r="BK93" i="9" s="1"/>
  <c r="AY91" i="8"/>
  <c r="AZ93" i="9" s="1"/>
  <c r="BG91" i="8"/>
  <c r="BH93" i="9" s="1"/>
  <c r="AV91" i="8"/>
  <c r="AW93" i="9" s="1"/>
  <c r="AV93" i="9"/>
  <c r="AY48" i="8"/>
  <c r="AZ50" i="9" s="1"/>
  <c r="BC48" i="8"/>
  <c r="BD50" i="9" s="1"/>
  <c r="BG48" i="8"/>
  <c r="BH50" i="9" s="1"/>
  <c r="AZ48" i="8"/>
  <c r="BA50" i="9" s="1"/>
  <c r="BD48" i="8"/>
  <c r="BE50" i="9" s="1"/>
  <c r="AW48" i="8"/>
  <c r="AX50" i="9" s="1"/>
  <c r="BA48" i="8"/>
  <c r="BB50" i="9" s="1"/>
  <c r="BE48" i="8"/>
  <c r="BF50" i="9" s="1"/>
  <c r="BI48" i="8"/>
  <c r="BJ50" i="9" s="1"/>
  <c r="AX48" i="8"/>
  <c r="AY50" i="9" s="1"/>
  <c r="BB48" i="8"/>
  <c r="BC50" i="9" s="1"/>
  <c r="BF48" i="8"/>
  <c r="BG50" i="9" s="1"/>
  <c r="BJ48" i="8"/>
  <c r="BK50" i="9" s="1"/>
  <c r="AV48" i="8"/>
  <c r="AW50" i="9" s="1"/>
  <c r="AV50" i="9"/>
  <c r="AY26" i="8"/>
  <c r="AZ28" i="9" s="1"/>
  <c r="AZ26" i="8"/>
  <c r="BA28" i="9" s="1"/>
  <c r="AW26" i="8"/>
  <c r="AX28" i="9" s="1"/>
  <c r="AX26" i="8"/>
  <c r="AY28" i="9" s="1"/>
  <c r="BC26" i="8"/>
  <c r="BD28" i="9" s="1"/>
  <c r="BG26" i="8"/>
  <c r="BH28" i="9" s="1"/>
  <c r="BD26" i="8"/>
  <c r="BE28" i="9" s="1"/>
  <c r="BA26" i="8"/>
  <c r="BB28" i="9" s="1"/>
  <c r="BE26" i="8"/>
  <c r="BF28" i="9" s="1"/>
  <c r="BI26" i="8"/>
  <c r="BJ28" i="9" s="1"/>
  <c r="BB26" i="8"/>
  <c r="BC28" i="9" s="1"/>
  <c r="BF26" i="8"/>
  <c r="BG28" i="9" s="1"/>
  <c r="BJ26" i="8"/>
  <c r="BK28" i="9" s="1"/>
  <c r="AV26" i="8"/>
  <c r="AW28" i="9" s="1"/>
  <c r="AV28" i="9"/>
  <c r="AW29" i="8"/>
  <c r="AX31" i="9" s="1"/>
  <c r="BA29" i="8"/>
  <c r="BB31" i="9" s="1"/>
  <c r="AX29" i="8"/>
  <c r="AY31" i="9" s="1"/>
  <c r="BB29" i="8"/>
  <c r="BC31" i="9" s="1"/>
  <c r="AY29" i="8"/>
  <c r="AZ31" i="9" s="1"/>
  <c r="BC29" i="8"/>
  <c r="BD31" i="9" s="1"/>
  <c r="BD29" i="8"/>
  <c r="BE31" i="9" s="1"/>
  <c r="AW51" i="8"/>
  <c r="AX53" i="9" s="1"/>
  <c r="BA51" i="8"/>
  <c r="BB53" i="9" s="1"/>
  <c r="BE51" i="8"/>
  <c r="BF53" i="9" s="1"/>
  <c r="BI51" i="8"/>
  <c r="BJ53" i="9" s="1"/>
  <c r="AX51" i="8"/>
  <c r="AY53" i="9" s="1"/>
  <c r="BB51" i="8"/>
  <c r="BC53" i="9" s="1"/>
  <c r="BF51" i="8"/>
  <c r="BG53" i="9" s="1"/>
  <c r="BJ51" i="8"/>
  <c r="BK53" i="9" s="1"/>
  <c r="AY51" i="8"/>
  <c r="AZ53" i="9" s="1"/>
  <c r="BC51" i="8"/>
  <c r="BD53" i="9" s="1"/>
  <c r="BG51" i="8"/>
  <c r="BH53" i="9" s="1"/>
  <c r="AZ51" i="8"/>
  <c r="BA53" i="9" s="1"/>
  <c r="BD51" i="8"/>
  <c r="BE53" i="9" s="1"/>
  <c r="AV51" i="8"/>
  <c r="AW53" i="9" s="1"/>
  <c r="AV53" i="9"/>
  <c r="AX76" i="8"/>
  <c r="AY78" i="9" s="1"/>
  <c r="BB76" i="8"/>
  <c r="BC78" i="9" s="1"/>
  <c r="BF76" i="8"/>
  <c r="BG78" i="9" s="1"/>
  <c r="BJ76" i="8"/>
  <c r="BK78" i="9" s="1"/>
  <c r="AY76" i="8"/>
  <c r="AZ78" i="9" s="1"/>
  <c r="BC76" i="8"/>
  <c r="BD78" i="9" s="1"/>
  <c r="BG76" i="8"/>
  <c r="BH78" i="9" s="1"/>
  <c r="AZ76" i="8"/>
  <c r="BA78" i="9" s="1"/>
  <c r="BD76" i="8"/>
  <c r="BE78" i="9" s="1"/>
  <c r="AV76" i="8"/>
  <c r="AW78" i="9" s="1"/>
  <c r="AW76" i="8"/>
  <c r="AX78" i="9" s="1"/>
  <c r="BA76" i="8"/>
  <c r="BB78" i="9" s="1"/>
  <c r="BE76" i="8"/>
  <c r="BF78" i="9" s="1"/>
  <c r="BI76" i="8"/>
  <c r="BJ78" i="9" s="1"/>
  <c r="AV78" i="9"/>
  <c r="AY34" i="8"/>
  <c r="AZ36" i="9" s="1"/>
  <c r="BC34" i="8"/>
  <c r="BD36" i="9" s="1"/>
  <c r="BD34" i="8"/>
  <c r="BE36" i="9" s="1"/>
  <c r="BE34" i="8"/>
  <c r="BF36" i="9" s="1"/>
  <c r="BI34" i="8"/>
  <c r="BJ36" i="9" s="1"/>
  <c r="BF34" i="8"/>
  <c r="BG36" i="9" s="1"/>
  <c r="BJ34" i="8"/>
  <c r="BK36" i="9" s="1"/>
  <c r="AW43" i="8"/>
  <c r="AX45" i="9" s="1"/>
  <c r="BA43" i="8"/>
  <c r="BB45" i="9" s="1"/>
  <c r="BE43" i="8"/>
  <c r="BF45" i="9" s="1"/>
  <c r="BI43" i="8"/>
  <c r="BJ45" i="9" s="1"/>
  <c r="AX43" i="8"/>
  <c r="AY45" i="9" s="1"/>
  <c r="BB43" i="8"/>
  <c r="BC45" i="9" s="1"/>
  <c r="BF43" i="8"/>
  <c r="BG45" i="9" s="1"/>
  <c r="BJ43" i="8"/>
  <c r="BK45" i="9" s="1"/>
  <c r="AY43" i="8"/>
  <c r="AZ45" i="9" s="1"/>
  <c r="BC43" i="8"/>
  <c r="BD45" i="9" s="1"/>
  <c r="BG43" i="8"/>
  <c r="BH45" i="9" s="1"/>
  <c r="AZ43" i="8"/>
  <c r="BA45" i="9" s="1"/>
  <c r="BD43" i="8"/>
  <c r="BE45" i="9" s="1"/>
  <c r="AV43" i="8"/>
  <c r="AW45" i="9" s="1"/>
  <c r="AV45" i="9"/>
  <c r="AY42" i="8"/>
  <c r="AZ44" i="9" s="1"/>
  <c r="BC42" i="8"/>
  <c r="BD44" i="9" s="1"/>
  <c r="BG42" i="8"/>
  <c r="BH44" i="9" s="1"/>
  <c r="AZ42" i="8"/>
  <c r="BA44" i="9" s="1"/>
  <c r="BD42" i="8"/>
  <c r="BE44" i="9" s="1"/>
  <c r="AW42" i="8"/>
  <c r="AX44" i="9" s="1"/>
  <c r="BA42" i="8"/>
  <c r="BB44" i="9" s="1"/>
  <c r="BE42" i="8"/>
  <c r="BF44" i="9" s="1"/>
  <c r="BI42" i="8"/>
  <c r="BJ44" i="9" s="1"/>
  <c r="AX42" i="8"/>
  <c r="AY44" i="9" s="1"/>
  <c r="BB42" i="8"/>
  <c r="BC44" i="9" s="1"/>
  <c r="BF42" i="8"/>
  <c r="BG44" i="9" s="1"/>
  <c r="BJ42" i="8"/>
  <c r="BK44" i="9" s="1"/>
  <c r="AV42" i="8"/>
  <c r="AW44" i="9" s="1"/>
  <c r="AV44" i="9"/>
  <c r="AW57" i="8"/>
  <c r="AX59" i="9" s="1"/>
  <c r="BA57" i="8"/>
  <c r="BB59" i="9" s="1"/>
  <c r="BE57" i="8"/>
  <c r="BF59" i="9" s="1"/>
  <c r="BI57" i="8"/>
  <c r="BJ59" i="9" s="1"/>
  <c r="AX57" i="8"/>
  <c r="AY59" i="9" s="1"/>
  <c r="BB57" i="8"/>
  <c r="BC59" i="9" s="1"/>
  <c r="BF57" i="8"/>
  <c r="BG59" i="9" s="1"/>
  <c r="BJ57" i="8"/>
  <c r="BK59" i="9" s="1"/>
  <c r="AY57" i="8"/>
  <c r="AZ59" i="9" s="1"/>
  <c r="BC57" i="8"/>
  <c r="BD59" i="9" s="1"/>
  <c r="BG57" i="8"/>
  <c r="BH59" i="9" s="1"/>
  <c r="AZ57" i="8"/>
  <c r="BA59" i="9" s="1"/>
  <c r="BD57" i="8"/>
  <c r="BE59" i="9" s="1"/>
  <c r="AV57" i="8"/>
  <c r="AW59" i="9" s="1"/>
  <c r="AV59" i="9"/>
  <c r="AW25" i="8"/>
  <c r="AX27" i="9" s="1"/>
  <c r="BA25" i="8"/>
  <c r="BB27" i="9" s="1"/>
  <c r="BE25" i="8"/>
  <c r="BF27" i="9" s="1"/>
  <c r="BI25" i="8"/>
  <c r="BJ27" i="9" s="1"/>
  <c r="AX25" i="8"/>
  <c r="AY27" i="9" s="1"/>
  <c r="BB25" i="8"/>
  <c r="BC27" i="9" s="1"/>
  <c r="BF25" i="8"/>
  <c r="BG27" i="9" s="1"/>
  <c r="BJ25" i="8"/>
  <c r="BK27" i="9" s="1"/>
  <c r="AY25" i="8"/>
  <c r="AZ27" i="9" s="1"/>
  <c r="BC25" i="8"/>
  <c r="BD27" i="9" s="1"/>
  <c r="BG25" i="8"/>
  <c r="BH27" i="9" s="1"/>
  <c r="AZ25" i="8"/>
  <c r="BA27" i="9" s="1"/>
  <c r="BD25" i="8"/>
  <c r="BE27" i="9" s="1"/>
  <c r="AV25" i="8"/>
  <c r="AW27" i="9" s="1"/>
  <c r="AV27" i="9"/>
  <c r="AT2" i="9"/>
  <c r="AW3" i="8"/>
  <c r="AX5" i="9" s="1"/>
  <c r="BA3" i="8"/>
  <c r="BB5" i="9" s="1"/>
  <c r="BE3" i="8"/>
  <c r="BF5" i="9" s="1"/>
  <c r="BI3" i="8"/>
  <c r="BJ5" i="9" s="1"/>
  <c r="AX3" i="8"/>
  <c r="AY5" i="9" s="1"/>
  <c r="BB3" i="8"/>
  <c r="BC5" i="9" s="1"/>
  <c r="BF3" i="8"/>
  <c r="BG5" i="9" s="1"/>
  <c r="BJ3" i="8"/>
  <c r="BK5" i="9" s="1"/>
  <c r="AY3" i="8"/>
  <c r="AZ5" i="9" s="1"/>
  <c r="BC3" i="8"/>
  <c r="BD5" i="9" s="1"/>
  <c r="BG3" i="8"/>
  <c r="BH5" i="9" s="1"/>
  <c r="AZ3" i="8"/>
  <c r="BA5" i="9" s="1"/>
  <c r="BD3" i="8"/>
  <c r="BE5" i="9" s="1"/>
  <c r="AV3" i="8"/>
  <c r="AW5" i="9" s="1"/>
  <c r="AV5" i="9"/>
  <c r="AY50" i="8"/>
  <c r="AZ52" i="9" s="1"/>
  <c r="BC50" i="8"/>
  <c r="BD52" i="9" s="1"/>
  <c r="BG50" i="8"/>
  <c r="BH52" i="9" s="1"/>
  <c r="AZ50" i="8"/>
  <c r="BA52" i="9" s="1"/>
  <c r="BD50" i="8"/>
  <c r="BE52" i="9" s="1"/>
  <c r="AW50" i="8"/>
  <c r="AX52" i="9" s="1"/>
  <c r="BA50" i="8"/>
  <c r="BB52" i="9" s="1"/>
  <c r="BE50" i="8"/>
  <c r="BF52" i="9" s="1"/>
  <c r="BI50" i="8"/>
  <c r="BJ52" i="9" s="1"/>
  <c r="AX50" i="8"/>
  <c r="AY52" i="9" s="1"/>
  <c r="BB50" i="8"/>
  <c r="BC52" i="9" s="1"/>
  <c r="BF50" i="8"/>
  <c r="BG52" i="9" s="1"/>
  <c r="BJ50" i="8"/>
  <c r="BK52" i="9" s="1"/>
  <c r="AV50" i="8"/>
  <c r="AW52" i="9" s="1"/>
  <c r="AV52" i="9"/>
  <c r="BA7" i="8"/>
  <c r="BB9" i="9" s="1"/>
  <c r="BE7" i="8"/>
  <c r="BF9" i="9" s="1"/>
  <c r="BB7" i="8"/>
  <c r="BC9" i="9" s="1"/>
  <c r="BF7" i="8"/>
  <c r="BG9" i="9" s="1"/>
  <c r="BC7" i="8"/>
  <c r="BD9" i="9" s="1"/>
  <c r="BG7" i="8"/>
  <c r="BH9" i="9" s="1"/>
  <c r="AV7" i="8"/>
  <c r="AW9" i="9" s="1"/>
  <c r="AV9" i="9"/>
  <c r="AY38" i="8"/>
  <c r="AZ40" i="9" s="1"/>
  <c r="AZ38" i="8"/>
  <c r="BA40" i="9" s="1"/>
  <c r="BD38" i="8"/>
  <c r="BE40" i="9" s="1"/>
  <c r="BA38" i="8"/>
  <c r="BB40" i="9" s="1"/>
  <c r="BE38" i="8"/>
  <c r="BF40" i="9" s="1"/>
  <c r="BB38" i="8"/>
  <c r="BC40" i="9" s="1"/>
  <c r="BF38" i="8"/>
  <c r="BG40" i="9" s="1"/>
  <c r="AV40" i="9"/>
  <c r="AY58" i="8"/>
  <c r="AZ60" i="9" s="1"/>
  <c r="BC58" i="8"/>
  <c r="BD60" i="9" s="1"/>
  <c r="BG58" i="8"/>
  <c r="BH60" i="9" s="1"/>
  <c r="AZ58" i="8"/>
  <c r="BA60" i="9" s="1"/>
  <c r="BD58" i="8"/>
  <c r="BE60" i="9" s="1"/>
  <c r="AW58" i="8"/>
  <c r="AX60" i="9" s="1"/>
  <c r="BA58" i="8"/>
  <c r="BB60" i="9" s="1"/>
  <c r="BE58" i="8"/>
  <c r="BF60" i="9" s="1"/>
  <c r="BI58" i="8"/>
  <c r="BJ60" i="9" s="1"/>
  <c r="AX58" i="8"/>
  <c r="AY60" i="9" s="1"/>
  <c r="BB58" i="8"/>
  <c r="BC60" i="9" s="1"/>
  <c r="BF58" i="8"/>
  <c r="BG60" i="9" s="1"/>
  <c r="BJ58" i="8"/>
  <c r="BK60" i="9" s="1"/>
  <c r="AV58" i="8"/>
  <c r="AW60" i="9" s="1"/>
  <c r="AV60" i="9"/>
  <c r="AW15" i="8"/>
  <c r="AX17" i="9" s="1"/>
  <c r="BI15" i="8"/>
  <c r="BJ17" i="9" s="1"/>
  <c r="AX15" i="8"/>
  <c r="AY17" i="9" s="1"/>
  <c r="BJ15" i="8"/>
  <c r="BK17" i="9" s="1"/>
  <c r="AY15" i="8"/>
  <c r="AZ17" i="9" s="1"/>
  <c r="AZ15" i="8"/>
  <c r="BA17" i="9" s="1"/>
  <c r="BD15" i="8"/>
  <c r="BE17" i="9" s="1"/>
  <c r="AV17" i="9"/>
  <c r="AW21" i="8"/>
  <c r="AX23" i="9" s="1"/>
  <c r="BA21" i="8"/>
  <c r="BB23" i="9" s="1"/>
  <c r="BE21" i="8"/>
  <c r="BF23" i="9" s="1"/>
  <c r="BI21" i="8"/>
  <c r="BJ23" i="9" s="1"/>
  <c r="AX21" i="8"/>
  <c r="AY23" i="9" s="1"/>
  <c r="BB21" i="8"/>
  <c r="BC23" i="9" s="1"/>
  <c r="BF21" i="8"/>
  <c r="BG23" i="9" s="1"/>
  <c r="BJ21" i="8"/>
  <c r="BK23" i="9" s="1"/>
  <c r="AY21" i="8"/>
  <c r="AZ23" i="9" s="1"/>
  <c r="BC21" i="8"/>
  <c r="BD23" i="9" s="1"/>
  <c r="BG21" i="8"/>
  <c r="BH23" i="9" s="1"/>
  <c r="AZ21" i="8"/>
  <c r="BA23" i="9" s="1"/>
  <c r="BD21" i="8"/>
  <c r="BE23" i="9" s="1"/>
  <c r="AV21" i="8"/>
  <c r="AW23" i="9" s="1"/>
  <c r="AV23" i="9"/>
  <c r="AY72" i="8"/>
  <c r="AZ74" i="9" s="1"/>
  <c r="BC72" i="8"/>
  <c r="BD74" i="9" s="1"/>
  <c r="BG72" i="8"/>
  <c r="BH74" i="9" s="1"/>
  <c r="AZ72" i="8"/>
  <c r="BA74" i="9" s="1"/>
  <c r="BD72" i="8"/>
  <c r="BE74" i="9" s="1"/>
  <c r="AX72" i="8"/>
  <c r="AY74" i="9" s="1"/>
  <c r="BB72" i="8"/>
  <c r="BC74" i="9" s="1"/>
  <c r="BF72" i="8"/>
  <c r="BG74" i="9" s="1"/>
  <c r="BJ72" i="8"/>
  <c r="BK74" i="9" s="1"/>
  <c r="BE72" i="8"/>
  <c r="BF74" i="9" s="1"/>
  <c r="BI72" i="8"/>
  <c r="BJ74" i="9" s="1"/>
  <c r="AW72" i="8"/>
  <c r="AX74" i="9" s="1"/>
  <c r="AV72" i="8"/>
  <c r="AW74" i="9" s="1"/>
  <c r="BA72" i="8"/>
  <c r="BB74" i="9" s="1"/>
  <c r="AV74" i="9"/>
  <c r="AW67" i="8"/>
  <c r="AX69" i="9" s="1"/>
  <c r="BA67" i="8"/>
  <c r="BB69" i="9" s="1"/>
  <c r="BE67" i="8"/>
  <c r="BF69" i="9" s="1"/>
  <c r="BI67" i="8"/>
  <c r="BJ69" i="9" s="1"/>
  <c r="AX67" i="8"/>
  <c r="AY69" i="9" s="1"/>
  <c r="BB67" i="8"/>
  <c r="BC69" i="9" s="1"/>
  <c r="BF67" i="8"/>
  <c r="BG69" i="9" s="1"/>
  <c r="BJ67" i="8"/>
  <c r="BK69" i="9" s="1"/>
  <c r="AY67" i="8"/>
  <c r="AZ69" i="9" s="1"/>
  <c r="BC67" i="8"/>
  <c r="BD69" i="9" s="1"/>
  <c r="BG67" i="8"/>
  <c r="BH69" i="9" s="1"/>
  <c r="AZ67" i="8"/>
  <c r="BA69" i="9" s="1"/>
  <c r="BD67" i="8"/>
  <c r="BE69" i="9" s="1"/>
  <c r="AV67" i="8"/>
  <c r="AW69" i="9" s="1"/>
  <c r="AV69" i="9"/>
  <c r="AY14" i="8"/>
  <c r="AZ16" i="9" s="1"/>
  <c r="BC14" i="8"/>
  <c r="BD16" i="9" s="1"/>
  <c r="BG14" i="8"/>
  <c r="BH16" i="9" s="1"/>
  <c r="BD14" i="8"/>
  <c r="BE16" i="9" s="1"/>
  <c r="AW14" i="8"/>
  <c r="AX16" i="9" s="1"/>
  <c r="BA14" i="8"/>
  <c r="BB16" i="9" s="1"/>
  <c r="BI14" i="8"/>
  <c r="BJ16" i="9" s="1"/>
  <c r="AX14" i="8"/>
  <c r="AY16" i="9" s="1"/>
  <c r="BB14" i="8"/>
  <c r="BC16" i="9" s="1"/>
  <c r="BJ14" i="8"/>
  <c r="BK16" i="9" s="1"/>
  <c r="AV14" i="8"/>
  <c r="AW16" i="9" s="1"/>
  <c r="AV16" i="9"/>
  <c r="AY66" i="8"/>
  <c r="AZ68" i="9" s="1"/>
  <c r="BC66" i="8"/>
  <c r="BD68" i="9" s="1"/>
  <c r="BG66" i="8"/>
  <c r="BH68" i="9" s="1"/>
  <c r="AZ66" i="8"/>
  <c r="BA68" i="9" s="1"/>
  <c r="BD66" i="8"/>
  <c r="BE68" i="9" s="1"/>
  <c r="AW66" i="8"/>
  <c r="AX68" i="9" s="1"/>
  <c r="BA66" i="8"/>
  <c r="BB68" i="9" s="1"/>
  <c r="BE66" i="8"/>
  <c r="BF68" i="9" s="1"/>
  <c r="BI66" i="8"/>
  <c r="BJ68" i="9" s="1"/>
  <c r="AX66" i="8"/>
  <c r="AY68" i="9" s="1"/>
  <c r="BB66" i="8"/>
  <c r="BC68" i="9" s="1"/>
  <c r="BF66" i="8"/>
  <c r="BG68" i="9" s="1"/>
  <c r="BJ66" i="8"/>
  <c r="BK68" i="9" s="1"/>
  <c r="AV66" i="8"/>
  <c r="AW68" i="9" s="1"/>
  <c r="AV68" i="9"/>
  <c r="AW23" i="8"/>
  <c r="AX25" i="9" s="1"/>
  <c r="BI23" i="8"/>
  <c r="BJ25" i="9" s="1"/>
  <c r="AX23" i="8"/>
  <c r="AY25" i="9" s="1"/>
  <c r="BJ23" i="8"/>
  <c r="BK25" i="9" s="1"/>
  <c r="AY23" i="8"/>
  <c r="AZ25" i="9" s="1"/>
  <c r="AZ23" i="8"/>
  <c r="BA25" i="9" s="1"/>
  <c r="BD23" i="8"/>
  <c r="BE25" i="9" s="1"/>
  <c r="AV25" i="9"/>
  <c r="AZ75" i="8"/>
  <c r="BA77" i="9" s="1"/>
  <c r="BD75" i="8"/>
  <c r="BE77" i="9" s="1"/>
  <c r="AV75" i="8"/>
  <c r="AW77" i="9" s="1"/>
  <c r="AW75" i="8"/>
  <c r="AX77" i="9" s="1"/>
  <c r="BA75" i="8"/>
  <c r="BB77" i="9" s="1"/>
  <c r="BE75" i="8"/>
  <c r="BF77" i="9" s="1"/>
  <c r="BI75" i="8"/>
  <c r="BJ77" i="9" s="1"/>
  <c r="AX75" i="8"/>
  <c r="AY77" i="9" s="1"/>
  <c r="BB75" i="8"/>
  <c r="BC77" i="9" s="1"/>
  <c r="BF75" i="8"/>
  <c r="BG77" i="9" s="1"/>
  <c r="BJ75" i="8"/>
  <c r="BK77" i="9" s="1"/>
  <c r="AY75" i="8"/>
  <c r="AZ77" i="9" s="1"/>
  <c r="BC75" i="8"/>
  <c r="BD77" i="9" s="1"/>
  <c r="BG75" i="8"/>
  <c r="BH77" i="9" s="1"/>
  <c r="AV77" i="9"/>
  <c r="AX95" i="8"/>
  <c r="AY97" i="9" s="1"/>
  <c r="AV97" i="9"/>
  <c r="AY52" i="8"/>
  <c r="AZ54" i="9" s="1"/>
  <c r="BC52" i="8"/>
  <c r="BD54" i="9" s="1"/>
  <c r="BG52" i="8"/>
  <c r="BH54" i="9" s="1"/>
  <c r="AZ52" i="8"/>
  <c r="BA54" i="9" s="1"/>
  <c r="BD52" i="8"/>
  <c r="BE54" i="9" s="1"/>
  <c r="AW52" i="8"/>
  <c r="AX54" i="9" s="1"/>
  <c r="BA52" i="8"/>
  <c r="BB54" i="9" s="1"/>
  <c r="BE52" i="8"/>
  <c r="BF54" i="9" s="1"/>
  <c r="BI52" i="8"/>
  <c r="BJ54" i="9" s="1"/>
  <c r="AX52" i="8"/>
  <c r="AY54" i="9" s="1"/>
  <c r="BB52" i="8"/>
  <c r="BC54" i="9" s="1"/>
  <c r="BF52" i="8"/>
  <c r="BG54" i="9" s="1"/>
  <c r="BJ52" i="8"/>
  <c r="BK54" i="9" s="1"/>
  <c r="AV52" i="8"/>
  <c r="AW54" i="9" s="1"/>
  <c r="AV54" i="9"/>
  <c r="AY10" i="8"/>
  <c r="AZ12" i="9" s="1"/>
  <c r="BC10" i="8"/>
  <c r="BD12" i="9" s="1"/>
  <c r="BG10" i="8"/>
  <c r="BH12" i="9" s="1"/>
  <c r="AZ10" i="8"/>
  <c r="BA12" i="9" s="1"/>
  <c r="BD10" i="8"/>
  <c r="BE12" i="9" s="1"/>
  <c r="AW10" i="8"/>
  <c r="AX12" i="9" s="1"/>
  <c r="BA10" i="8"/>
  <c r="BB12" i="9" s="1"/>
  <c r="BE10" i="8"/>
  <c r="BF12" i="9" s="1"/>
  <c r="BI10" i="8"/>
  <c r="BJ12" i="9" s="1"/>
  <c r="AX10" i="8"/>
  <c r="AY12" i="9" s="1"/>
  <c r="BB10" i="8"/>
  <c r="BC12" i="9" s="1"/>
  <c r="BF10" i="8"/>
  <c r="BG12" i="9" s="1"/>
  <c r="BJ10" i="8"/>
  <c r="BK12" i="9" s="1"/>
  <c r="AV10" i="8"/>
  <c r="AW12" i="9" s="1"/>
  <c r="AV12" i="9"/>
  <c r="AW17" i="8"/>
  <c r="AX19" i="9" s="1"/>
  <c r="BI17" i="8"/>
  <c r="BJ19" i="9" s="1"/>
  <c r="AX17" i="8"/>
  <c r="AY19" i="9" s="1"/>
  <c r="BJ17" i="8"/>
  <c r="BK19" i="9" s="1"/>
  <c r="AY17" i="8"/>
  <c r="AZ19" i="9" s="1"/>
  <c r="AZ17" i="8"/>
  <c r="BA19" i="9" s="1"/>
  <c r="BD17" i="8"/>
  <c r="BE19" i="9" s="1"/>
  <c r="AV19" i="9"/>
  <c r="AG2" i="9"/>
  <c r="AG1" i="9"/>
  <c r="AN2" i="9"/>
  <c r="AN1" i="9"/>
  <c r="AZ93" i="8"/>
  <c r="BA95" i="9" s="1"/>
  <c r="BD93" i="8"/>
  <c r="BE95" i="9" s="1"/>
  <c r="AW93" i="8"/>
  <c r="AX95" i="9" s="1"/>
  <c r="BA93" i="8"/>
  <c r="BB95" i="9" s="1"/>
  <c r="BE93" i="8"/>
  <c r="BF95" i="9" s="1"/>
  <c r="BI93" i="8"/>
  <c r="BJ95" i="9" s="1"/>
  <c r="AX93" i="8"/>
  <c r="AY95" i="9" s="1"/>
  <c r="BB93" i="8"/>
  <c r="BC95" i="9" s="1"/>
  <c r="BF93" i="8"/>
  <c r="BG95" i="9" s="1"/>
  <c r="BJ93" i="8"/>
  <c r="BK95" i="9" s="1"/>
  <c r="AY93" i="8"/>
  <c r="AZ95" i="9" s="1"/>
  <c r="BC93" i="8"/>
  <c r="BD95" i="9" s="1"/>
  <c r="BG93" i="8"/>
  <c r="BH95" i="9" s="1"/>
  <c r="AV93" i="8"/>
  <c r="AW95" i="9" s="1"/>
  <c r="AV95" i="9"/>
  <c r="AX86" i="8"/>
  <c r="AY88" i="9" s="1"/>
  <c r="BB86" i="8"/>
  <c r="BC88" i="9" s="1"/>
  <c r="BF86" i="8"/>
  <c r="BG88" i="9" s="1"/>
  <c r="BJ86" i="8"/>
  <c r="BK88" i="9" s="1"/>
  <c r="AY86" i="8"/>
  <c r="AZ88" i="9" s="1"/>
  <c r="BC86" i="8"/>
  <c r="BD88" i="9" s="1"/>
  <c r="BG86" i="8"/>
  <c r="BH88" i="9" s="1"/>
  <c r="AZ86" i="8"/>
  <c r="BA88" i="9" s="1"/>
  <c r="BD86" i="8"/>
  <c r="BE88" i="9" s="1"/>
  <c r="AW86" i="8"/>
  <c r="AX88" i="9" s="1"/>
  <c r="BA86" i="8"/>
  <c r="BB88" i="9" s="1"/>
  <c r="BE86" i="8"/>
  <c r="BF88" i="9" s="1"/>
  <c r="BI86" i="8"/>
  <c r="BJ88" i="9" s="1"/>
  <c r="AV86" i="8"/>
  <c r="AW88" i="9" s="1"/>
  <c r="AV88" i="9"/>
  <c r="AX84" i="8"/>
  <c r="AY86" i="9" s="1"/>
  <c r="BB84" i="8"/>
  <c r="BC86" i="9" s="1"/>
  <c r="BF84" i="8"/>
  <c r="BG86" i="9" s="1"/>
  <c r="BJ84" i="8"/>
  <c r="BK86" i="9" s="1"/>
  <c r="AY84" i="8"/>
  <c r="AZ86" i="9" s="1"/>
  <c r="BC84" i="8"/>
  <c r="BD86" i="9" s="1"/>
  <c r="BG84" i="8"/>
  <c r="BH86" i="9" s="1"/>
  <c r="AZ84" i="8"/>
  <c r="BA86" i="9" s="1"/>
  <c r="BD84" i="8"/>
  <c r="BE86" i="9" s="1"/>
  <c r="AW84" i="8"/>
  <c r="AX86" i="9" s="1"/>
  <c r="BA84" i="8"/>
  <c r="BB86" i="9" s="1"/>
  <c r="BE84" i="8"/>
  <c r="BF86" i="9" s="1"/>
  <c r="BI84" i="8"/>
  <c r="BJ86" i="9" s="1"/>
  <c r="AV84" i="8"/>
  <c r="AW86" i="9" s="1"/>
  <c r="AV86" i="9"/>
  <c r="BC89" i="8"/>
  <c r="BD91" i="9" s="1"/>
  <c r="AX92" i="8"/>
  <c r="AY94" i="9" s="1"/>
  <c r="BB92" i="8"/>
  <c r="BC94" i="9" s="1"/>
  <c r="BF92" i="8"/>
  <c r="BG94" i="9" s="1"/>
  <c r="BJ92" i="8"/>
  <c r="BK94" i="9" s="1"/>
  <c r="AY92" i="8"/>
  <c r="AZ94" i="9" s="1"/>
  <c r="BC92" i="8"/>
  <c r="BD94" i="9" s="1"/>
  <c r="BG92" i="8"/>
  <c r="BH94" i="9" s="1"/>
  <c r="AZ92" i="8"/>
  <c r="BA94" i="9" s="1"/>
  <c r="BD92" i="8"/>
  <c r="BE94" i="9" s="1"/>
  <c r="AW92" i="8"/>
  <c r="AX94" i="9" s="1"/>
  <c r="BA92" i="8"/>
  <c r="BB94" i="9" s="1"/>
  <c r="BE92" i="8"/>
  <c r="BF94" i="9" s="1"/>
  <c r="BI92" i="8"/>
  <c r="BJ94" i="9" s="1"/>
  <c r="AV92" i="8"/>
  <c r="AW94" i="9" s="1"/>
  <c r="AV94" i="9"/>
  <c r="AV82" i="9"/>
  <c r="AX100" i="8"/>
  <c r="AY102" i="9" s="1"/>
  <c r="BB100" i="8"/>
  <c r="BC102" i="9" s="1"/>
  <c r="BF100" i="8"/>
  <c r="BG102" i="9" s="1"/>
  <c r="BJ100" i="8"/>
  <c r="BK102" i="9" s="1"/>
  <c r="AY100" i="8"/>
  <c r="AZ102" i="9" s="1"/>
  <c r="BC100" i="8"/>
  <c r="BD102" i="9" s="1"/>
  <c r="BG100" i="8"/>
  <c r="BH102" i="9" s="1"/>
  <c r="AZ100" i="8"/>
  <c r="BA102" i="9" s="1"/>
  <c r="BD100" i="8"/>
  <c r="BE102" i="9" s="1"/>
  <c r="AW100" i="8"/>
  <c r="AX102" i="9" s="1"/>
  <c r="BA100" i="8"/>
  <c r="BB102" i="9" s="1"/>
  <c r="BE100" i="8"/>
  <c r="BF102" i="9" s="1"/>
  <c r="BI100" i="8"/>
  <c r="BJ102" i="9" s="1"/>
  <c r="AV100" i="8"/>
  <c r="AW102" i="9" s="1"/>
  <c r="AV102" i="9"/>
  <c r="AZ85" i="8"/>
  <c r="BA87" i="9" s="1"/>
  <c r="BD85" i="8"/>
  <c r="BE87" i="9" s="1"/>
  <c r="AW85" i="8"/>
  <c r="AX87" i="9" s="1"/>
  <c r="BA85" i="8"/>
  <c r="BB87" i="9" s="1"/>
  <c r="BE85" i="8"/>
  <c r="BF87" i="9" s="1"/>
  <c r="BI85" i="8"/>
  <c r="BJ87" i="9" s="1"/>
  <c r="AX85" i="8"/>
  <c r="AY87" i="9" s="1"/>
  <c r="BB85" i="8"/>
  <c r="BC87" i="9" s="1"/>
  <c r="BF85" i="8"/>
  <c r="BG87" i="9" s="1"/>
  <c r="BJ85" i="8"/>
  <c r="BK87" i="9" s="1"/>
  <c r="AY85" i="8"/>
  <c r="AZ87" i="9" s="1"/>
  <c r="BC85" i="8"/>
  <c r="BD87" i="9" s="1"/>
  <c r="BG85" i="8"/>
  <c r="BH87" i="9" s="1"/>
  <c r="AV85" i="8"/>
  <c r="AW87" i="9" s="1"/>
  <c r="AV87" i="9"/>
  <c r="AZ81" i="8"/>
  <c r="BA83" i="9" s="1"/>
  <c r="BD81" i="8"/>
  <c r="BE83" i="9" s="1"/>
  <c r="AV81" i="8"/>
  <c r="AW83" i="9" s="1"/>
  <c r="AW81" i="8"/>
  <c r="AX83" i="9" s="1"/>
  <c r="BA81" i="8"/>
  <c r="BB83" i="9" s="1"/>
  <c r="BE81" i="8"/>
  <c r="BF83" i="9" s="1"/>
  <c r="BI81" i="8"/>
  <c r="BJ83" i="9" s="1"/>
  <c r="AX81" i="8"/>
  <c r="AY83" i="9" s="1"/>
  <c r="BB81" i="8"/>
  <c r="BC83" i="9" s="1"/>
  <c r="BF81" i="8"/>
  <c r="BG83" i="9" s="1"/>
  <c r="BJ81" i="8"/>
  <c r="BK83" i="9" s="1"/>
  <c r="AY81" i="8"/>
  <c r="AZ83" i="9" s="1"/>
  <c r="BC81" i="8"/>
  <c r="BD83" i="9" s="1"/>
  <c r="BG81" i="8"/>
  <c r="BH83" i="9" s="1"/>
  <c r="AV83" i="9"/>
  <c r="BD7" i="8" l="1"/>
  <c r="BE9" i="9" s="1"/>
  <c r="AY7" i="8"/>
  <c r="AZ9" i="9" s="1"/>
  <c r="AX7" i="8"/>
  <c r="AY9" i="9" s="1"/>
  <c r="AW7" i="8"/>
  <c r="AX9" i="9" s="1"/>
  <c r="BF46" i="8"/>
  <c r="BG48" i="9" s="1"/>
  <c r="AX18" i="8"/>
  <c r="AY20" i="9" s="1"/>
  <c r="BC18" i="8"/>
  <c r="BD20" i="9" s="1"/>
  <c r="AZ7" i="8"/>
  <c r="BA9" i="9" s="1"/>
  <c r="BJ7" i="8"/>
  <c r="BK9" i="9" s="1"/>
  <c r="BI7" i="8"/>
  <c r="BJ9" i="9" s="1"/>
  <c r="AV20" i="9"/>
  <c r="BA18" i="8"/>
  <c r="BB20" i="9" s="1"/>
  <c r="AV18" i="8"/>
  <c r="AW20" i="9" s="1"/>
  <c r="AW18" i="8"/>
  <c r="AX20" i="9" s="1"/>
  <c r="AV98" i="8"/>
  <c r="AW100" i="9" s="1"/>
  <c r="AW98" i="8"/>
  <c r="AX100" i="9" s="1"/>
  <c r="BA44" i="8"/>
  <c r="BB46" i="9" s="1"/>
  <c r="BC98" i="8"/>
  <c r="BD100" i="9" s="1"/>
  <c r="BN1" i="9"/>
  <c r="BN2" i="9"/>
  <c r="BI98" i="8"/>
  <c r="BJ100" i="9" s="1"/>
  <c r="BD98" i="8"/>
  <c r="BE100" i="9" s="1"/>
  <c r="AY98" i="8"/>
  <c r="AZ100" i="9" s="1"/>
  <c r="AX98" i="8"/>
  <c r="AY100" i="9" s="1"/>
  <c r="BF14" i="8"/>
  <c r="BG16" i="9" s="1"/>
  <c r="BE14" i="8"/>
  <c r="BF16" i="9" s="1"/>
  <c r="AZ14" i="8"/>
  <c r="BA16" i="9" s="1"/>
  <c r="BE56" i="8"/>
  <c r="BF58" i="9" s="1"/>
  <c r="BC91" i="8"/>
  <c r="BD93" i="9" s="1"/>
  <c r="BB91" i="8"/>
  <c r="BC93" i="9" s="1"/>
  <c r="BA91" i="8"/>
  <c r="BB93" i="9" s="1"/>
  <c r="BE98" i="8"/>
  <c r="BF100" i="9" s="1"/>
  <c r="AZ98" i="8"/>
  <c r="BA100" i="9" s="1"/>
  <c r="BJ98" i="8"/>
  <c r="BK100" i="9" s="1"/>
  <c r="BJ18" i="8"/>
  <c r="BK20" i="9" s="1"/>
  <c r="BI18" i="8"/>
  <c r="BJ20" i="9" s="1"/>
  <c r="BD18" i="8"/>
  <c r="BE20" i="9" s="1"/>
  <c r="AY18" i="8"/>
  <c r="AZ20" i="9" s="1"/>
  <c r="AV100" i="9"/>
  <c r="BA98" i="8"/>
  <c r="BB100" i="9" s="1"/>
  <c r="BG98" i="8"/>
  <c r="BH100" i="9" s="1"/>
  <c r="BF98" i="8"/>
  <c r="BG100" i="9" s="1"/>
  <c r="BF18" i="8"/>
  <c r="BG20" i="9" s="1"/>
  <c r="BE18" i="8"/>
  <c r="BF20" i="9" s="1"/>
  <c r="AZ18" i="8"/>
  <c r="BA20" i="9" s="1"/>
  <c r="AZ46" i="8"/>
  <c r="BA48" i="9" s="1"/>
  <c r="AV21" i="9"/>
  <c r="BA77" i="8"/>
  <c r="BB79" i="9" s="1"/>
  <c r="BJ49" i="8"/>
  <c r="BK51" i="9" s="1"/>
  <c r="AY68" i="8"/>
  <c r="AZ70" i="9" s="1"/>
  <c r="BA6" i="8"/>
  <c r="BB8" i="9" s="1"/>
  <c r="AY46" i="8"/>
  <c r="AZ48" i="9" s="1"/>
  <c r="AV51" i="9"/>
  <c r="AV34" i="9"/>
  <c r="BD53" i="8"/>
  <c r="BE55" i="9" s="1"/>
  <c r="AY61" i="8"/>
  <c r="AZ63" i="9" s="1"/>
  <c r="BE46" i="8"/>
  <c r="BF48" i="9" s="1"/>
  <c r="BD65" i="8"/>
  <c r="BE67" i="9" s="1"/>
  <c r="AY65" i="8"/>
  <c r="AZ67" i="9" s="1"/>
  <c r="AX65" i="8"/>
  <c r="AY67" i="9" s="1"/>
  <c r="AW65" i="8"/>
  <c r="AX67" i="9" s="1"/>
  <c r="BF54" i="8"/>
  <c r="BG56" i="9" s="1"/>
  <c r="BE54" i="8"/>
  <c r="BF56" i="9" s="1"/>
  <c r="AZ54" i="8"/>
  <c r="BA56" i="9" s="1"/>
  <c r="AZ101" i="8"/>
  <c r="BA103" i="9" s="1"/>
  <c r="BI73" i="8"/>
  <c r="BJ75" i="9" s="1"/>
  <c r="AY77" i="8"/>
  <c r="AZ79" i="9" s="1"/>
  <c r="BE49" i="8"/>
  <c r="BF51" i="9" s="1"/>
  <c r="BI46" i="8"/>
  <c r="BJ48" i="9" s="1"/>
  <c r="AV39" i="9"/>
  <c r="AW77" i="8"/>
  <c r="AX79" i="9" s="1"/>
  <c r="BG49" i="8"/>
  <c r="BH51" i="9" s="1"/>
  <c r="BA32" i="8"/>
  <c r="BB34" i="9" s="1"/>
  <c r="AW53" i="8"/>
  <c r="AX55" i="9" s="1"/>
  <c r="BJ61" i="8"/>
  <c r="BK63" i="9" s="1"/>
  <c r="BA68" i="8"/>
  <c r="BB70" i="9" s="1"/>
  <c r="BJ46" i="8"/>
  <c r="BK48" i="9" s="1"/>
  <c r="BD46" i="8"/>
  <c r="BE48" i="9" s="1"/>
  <c r="AZ65" i="8"/>
  <c r="BA67" i="9" s="1"/>
  <c r="BJ65" i="8"/>
  <c r="BK67" i="9" s="1"/>
  <c r="BI65" i="8"/>
  <c r="BJ67" i="9" s="1"/>
  <c r="AY74" i="8"/>
  <c r="AZ76" i="9" s="1"/>
  <c r="AV56" i="9"/>
  <c r="BB54" i="8"/>
  <c r="BC56" i="9" s="1"/>
  <c r="BA54" i="8"/>
  <c r="BB56" i="9" s="1"/>
  <c r="BG54" i="8"/>
  <c r="BH56" i="9" s="1"/>
  <c r="BB63" i="8"/>
  <c r="BC65" i="9" s="1"/>
  <c r="AV77" i="8"/>
  <c r="AW79" i="9" s="1"/>
  <c r="AV30" i="8"/>
  <c r="AW32" i="9" s="1"/>
  <c r="BI33" i="8"/>
  <c r="BJ35" i="9" s="1"/>
  <c r="BH33" i="8"/>
  <c r="BI35" i="9" s="1"/>
  <c r="BJ79" i="8"/>
  <c r="BK81" i="9" s="1"/>
  <c r="BH79" i="8"/>
  <c r="BI81" i="9" s="1"/>
  <c r="AZ44" i="8"/>
  <c r="BA46" i="9" s="1"/>
  <c r="BD6" i="8"/>
  <c r="BE8" i="9" s="1"/>
  <c r="BH6" i="8"/>
  <c r="BI8" i="9" s="1"/>
  <c r="AZ19" i="8"/>
  <c r="BA21" i="9" s="1"/>
  <c r="BH19" i="8"/>
  <c r="BI21" i="9" s="1"/>
  <c r="AV49" i="8"/>
  <c r="AW51" i="9" s="1"/>
  <c r="BF49" i="8"/>
  <c r="BG51" i="9" s="1"/>
  <c r="AW61" i="8"/>
  <c r="AX63" i="9" s="1"/>
  <c r="AV70" i="9"/>
  <c r="AV8" i="9"/>
  <c r="AV48" i="9"/>
  <c r="BB46" i="8"/>
  <c r="BC48" i="9" s="1"/>
  <c r="BA46" i="8"/>
  <c r="BB48" i="9" s="1"/>
  <c r="BG46" i="8"/>
  <c r="BH48" i="9" s="1"/>
  <c r="AV33" i="9"/>
  <c r="AV46" i="9"/>
  <c r="BI37" i="8"/>
  <c r="BJ39" i="9" s="1"/>
  <c r="BB77" i="8"/>
  <c r="BC79" i="9" s="1"/>
  <c r="AZ77" i="8"/>
  <c r="BA79" i="9" s="1"/>
  <c r="BB36" i="8"/>
  <c r="BC38" i="9" s="1"/>
  <c r="BH36" i="8"/>
  <c r="BI38" i="9" s="1"/>
  <c r="AY89" i="8"/>
  <c r="AZ91" i="9" s="1"/>
  <c r="AZ20" i="8"/>
  <c r="BA22" i="9" s="1"/>
  <c r="AZ13" i="8"/>
  <c r="BA15" i="9" s="1"/>
  <c r="BH13" i="8"/>
  <c r="BI15" i="9" s="1"/>
  <c r="BA89" i="8"/>
  <c r="BB91" i="9" s="1"/>
  <c r="AW89" i="8"/>
  <c r="AX91" i="9" s="1"/>
  <c r="AZ49" i="8"/>
  <c r="BA51" i="9" s="1"/>
  <c r="BI49" i="8"/>
  <c r="BJ51" i="9" s="1"/>
  <c r="BB62" i="8"/>
  <c r="BC64" i="9" s="1"/>
  <c r="BF56" i="8"/>
  <c r="BG58" i="9" s="1"/>
  <c r="AV63" i="9"/>
  <c r="BE68" i="8"/>
  <c r="BF70" i="9" s="1"/>
  <c r="BE6" i="8"/>
  <c r="BF8" i="9" s="1"/>
  <c r="AV46" i="8"/>
  <c r="AW48" i="9" s="1"/>
  <c r="AX46" i="8"/>
  <c r="AY48" i="9" s="1"/>
  <c r="AW46" i="8"/>
  <c r="AX48" i="9" s="1"/>
  <c r="BC46" i="8"/>
  <c r="BD48" i="9" s="1"/>
  <c r="BI31" i="8"/>
  <c r="BJ33" i="9" s="1"/>
  <c r="BB44" i="8"/>
  <c r="BC46" i="9" s="1"/>
  <c r="AV75" i="9"/>
  <c r="BI13" i="8"/>
  <c r="BJ15" i="9" s="1"/>
  <c r="AV79" i="9"/>
  <c r="AX77" i="8"/>
  <c r="AY79" i="9" s="1"/>
  <c r="AZ89" i="8"/>
  <c r="BA91" i="9" s="1"/>
  <c r="BA62" i="8"/>
  <c r="BB64" i="9" s="1"/>
  <c r="AV44" i="8"/>
  <c r="AW46" i="9" s="1"/>
  <c r="AX44" i="8"/>
  <c r="AY46" i="9" s="1"/>
  <c r="AW44" i="8"/>
  <c r="AX46" i="9" s="1"/>
  <c r="BG44" i="8"/>
  <c r="BH46" i="9" s="1"/>
  <c r="AZ36" i="8"/>
  <c r="BA38" i="9" s="1"/>
  <c r="BJ80" i="8"/>
  <c r="BK82" i="9" s="1"/>
  <c r="BB89" i="8"/>
  <c r="BC91" i="9" s="1"/>
  <c r="AV91" i="9"/>
  <c r="AX89" i="8"/>
  <c r="AY91" i="9" s="1"/>
  <c r="BJ44" i="8"/>
  <c r="BK46" i="9" s="1"/>
  <c r="BI44" i="8"/>
  <c r="BJ46" i="9" s="1"/>
  <c r="BC44" i="8"/>
  <c r="BD46" i="9" s="1"/>
  <c r="BF44" i="8"/>
  <c r="BG46" i="9" s="1"/>
  <c r="BE44" i="8"/>
  <c r="BF46" i="9" s="1"/>
  <c r="BD44" i="8"/>
  <c r="BE46" i="9" s="1"/>
  <c r="AY44" i="8"/>
  <c r="AZ46" i="9" s="1"/>
  <c r="BJ89" i="8"/>
  <c r="BK91" i="9" s="1"/>
  <c r="AZ62" i="8"/>
  <c r="BA64" i="9" s="1"/>
  <c r="BD56" i="8"/>
  <c r="BE58" i="9" s="1"/>
  <c r="AV79" i="8"/>
  <c r="AW81" i="9" s="1"/>
  <c r="AW80" i="8"/>
  <c r="AX82" i="9" s="1"/>
  <c r="AV89" i="8"/>
  <c r="AW91" i="9" s="1"/>
  <c r="BI89" i="8"/>
  <c r="BJ91" i="9" s="1"/>
  <c r="AZ80" i="8"/>
  <c r="BA82" i="9" s="1"/>
  <c r="BG89" i="8"/>
  <c r="BH91" i="9" s="1"/>
  <c r="BF89" i="8"/>
  <c r="BG91" i="9" s="1"/>
  <c r="BE89" i="8"/>
  <c r="BF91" i="9" s="1"/>
  <c r="BD89" i="8"/>
  <c r="BE91" i="9" s="1"/>
  <c r="AV64" i="9"/>
  <c r="AY56" i="8"/>
  <c r="AZ58" i="9" s="1"/>
  <c r="BC74" i="8"/>
  <c r="BD76" i="9" s="1"/>
  <c r="AW74" i="8"/>
  <c r="AX76" i="9" s="1"/>
  <c r="BA74" i="8"/>
  <c r="BB76" i="9" s="1"/>
  <c r="BG74" i="8"/>
  <c r="BH76" i="9" s="1"/>
  <c r="BB74" i="8"/>
  <c r="BC76" i="9" s="1"/>
  <c r="BE74" i="8"/>
  <c r="BF76" i="9" s="1"/>
  <c r="BI74" i="8"/>
  <c r="BJ76" i="9" s="1"/>
  <c r="AZ74" i="8"/>
  <c r="BA76" i="9" s="1"/>
  <c r="BJ74" i="8"/>
  <c r="BK76" i="9" s="1"/>
  <c r="AX74" i="8"/>
  <c r="AY76" i="9" s="1"/>
  <c r="AV76" i="9"/>
  <c r="BC32" i="8"/>
  <c r="BD34" i="9" s="1"/>
  <c r="BI32" i="8"/>
  <c r="BJ34" i="9" s="1"/>
  <c r="BJ32" i="8"/>
  <c r="BK34" i="9" s="1"/>
  <c r="BG32" i="8"/>
  <c r="BH34" i="9" s="1"/>
  <c r="AW32" i="8"/>
  <c r="AX34" i="9" s="1"/>
  <c r="AX32" i="8"/>
  <c r="AY34" i="9" s="1"/>
  <c r="AV32" i="8"/>
  <c r="AW34" i="9" s="1"/>
  <c r="BE63" i="8"/>
  <c r="BF65" i="9" s="1"/>
  <c r="BF63" i="8"/>
  <c r="BG65" i="9" s="1"/>
  <c r="BG63" i="8"/>
  <c r="BH65" i="9" s="1"/>
  <c r="AV63" i="8"/>
  <c r="AW65" i="9" s="1"/>
  <c r="BI63" i="8"/>
  <c r="BJ65" i="9" s="1"/>
  <c r="BJ63" i="8"/>
  <c r="BK65" i="9" s="1"/>
  <c r="AZ63" i="8"/>
  <c r="BA65" i="9" s="1"/>
  <c r="AV65" i="9"/>
  <c r="AW63" i="8"/>
  <c r="AX65" i="9" s="1"/>
  <c r="AX63" i="8"/>
  <c r="AY65" i="9" s="1"/>
  <c r="AY63" i="8"/>
  <c r="AZ65" i="9" s="1"/>
  <c r="BD63" i="8"/>
  <c r="BE65" i="9" s="1"/>
  <c r="BD101" i="8"/>
  <c r="BE103" i="9" s="1"/>
  <c r="BE101" i="8"/>
  <c r="BF103" i="9" s="1"/>
  <c r="BF101" i="8"/>
  <c r="BG103" i="9" s="1"/>
  <c r="BG101" i="8"/>
  <c r="BH103" i="9" s="1"/>
  <c r="AW101" i="8"/>
  <c r="AX103" i="9" s="1"/>
  <c r="AX101" i="8"/>
  <c r="AY103" i="9" s="1"/>
  <c r="AY101" i="8"/>
  <c r="AZ103" i="9" s="1"/>
  <c r="AV103" i="9"/>
  <c r="BI101" i="8"/>
  <c r="BJ103" i="9" s="1"/>
  <c r="BJ101" i="8"/>
  <c r="BK103" i="9" s="1"/>
  <c r="AV101" i="8"/>
  <c r="AW103" i="9" s="1"/>
  <c r="BD30" i="8"/>
  <c r="BE32" i="9" s="1"/>
  <c r="AX30" i="8"/>
  <c r="AY32" i="9" s="1"/>
  <c r="BC30" i="8"/>
  <c r="BD32" i="9" s="1"/>
  <c r="BE30" i="8"/>
  <c r="BF32" i="9" s="1"/>
  <c r="BJ30" i="8"/>
  <c r="BK32" i="9" s="1"/>
  <c r="AY30" i="8"/>
  <c r="AZ32" i="9" s="1"/>
  <c r="AW30" i="8"/>
  <c r="AX32" i="9" s="1"/>
  <c r="BF30" i="8"/>
  <c r="BG32" i="9" s="1"/>
  <c r="BD95" i="8"/>
  <c r="BE97" i="9" s="1"/>
  <c r="BE95" i="8"/>
  <c r="BF97" i="9" s="1"/>
  <c r="BF95" i="8"/>
  <c r="BG97" i="9" s="1"/>
  <c r="BG95" i="8"/>
  <c r="BH97" i="9" s="1"/>
  <c r="BI95" i="8"/>
  <c r="BJ97" i="9" s="1"/>
  <c r="BJ95" i="8"/>
  <c r="BK97" i="9" s="1"/>
  <c r="AV95" i="8"/>
  <c r="AW97" i="9" s="1"/>
  <c r="BG12" i="8"/>
  <c r="BH14" i="9" s="1"/>
  <c r="AW12" i="8"/>
  <c r="AX14" i="9" s="1"/>
  <c r="AX12" i="8"/>
  <c r="AY14" i="9" s="1"/>
  <c r="AV12" i="8"/>
  <c r="AW14" i="9" s="1"/>
  <c r="BD12" i="8"/>
  <c r="BE14" i="9" s="1"/>
  <c r="BE12" i="8"/>
  <c r="BF14" i="9" s="1"/>
  <c r="AZ12" i="8"/>
  <c r="BA14" i="9" s="1"/>
  <c r="BA12" i="8"/>
  <c r="BB14" i="9" s="1"/>
  <c r="BB12" i="8"/>
  <c r="BC14" i="9" s="1"/>
  <c r="AV14" i="9"/>
  <c r="AY12" i="8"/>
  <c r="AZ14" i="9" s="1"/>
  <c r="BF12" i="8"/>
  <c r="BG14" i="9" s="1"/>
  <c r="BG40" i="8"/>
  <c r="BH42" i="9" s="1"/>
  <c r="AW40" i="8"/>
  <c r="AX42" i="9" s="1"/>
  <c r="AX40" i="8"/>
  <c r="AY42" i="9" s="1"/>
  <c r="AV40" i="8"/>
  <c r="AW42" i="9" s="1"/>
  <c r="AY40" i="8"/>
  <c r="AZ42" i="9" s="1"/>
  <c r="BF40" i="8"/>
  <c r="BG42" i="9" s="1"/>
  <c r="AZ40" i="8"/>
  <c r="BA42" i="9" s="1"/>
  <c r="BA40" i="8"/>
  <c r="BB42" i="9" s="1"/>
  <c r="BB40" i="8"/>
  <c r="BC42" i="9" s="1"/>
  <c r="AV42" i="9"/>
  <c r="BD40" i="8"/>
  <c r="BE42" i="9" s="1"/>
  <c r="BE40" i="8"/>
  <c r="BF42" i="9" s="1"/>
  <c r="BA53" i="8"/>
  <c r="BB55" i="9" s="1"/>
  <c r="BB53" i="8"/>
  <c r="BC55" i="9" s="1"/>
  <c r="BC53" i="8"/>
  <c r="BD55" i="9" s="1"/>
  <c r="AV55" i="9"/>
  <c r="BE53" i="8"/>
  <c r="BF55" i="9" s="1"/>
  <c r="BF53" i="8"/>
  <c r="BG55" i="9" s="1"/>
  <c r="BG53" i="8"/>
  <c r="BH55" i="9" s="1"/>
  <c r="AV53" i="8"/>
  <c r="AW55" i="9" s="1"/>
  <c r="BI53" i="8"/>
  <c r="BJ55" i="9" s="1"/>
  <c r="BJ53" i="8"/>
  <c r="BK55" i="9" s="1"/>
  <c r="BC95" i="8"/>
  <c r="BD97" i="9" s="1"/>
  <c r="BA95" i="8"/>
  <c r="BB97" i="9" s="1"/>
  <c r="BF32" i="8"/>
  <c r="BG34" i="9" s="1"/>
  <c r="BD32" i="8"/>
  <c r="BE34" i="9" s="1"/>
  <c r="AZ53" i="8"/>
  <c r="BA55" i="9" s="1"/>
  <c r="BC40" i="8"/>
  <c r="BD42" i="9" s="1"/>
  <c r="BF74" i="8"/>
  <c r="BG76" i="9" s="1"/>
  <c r="BC101" i="8"/>
  <c r="BD103" i="9" s="1"/>
  <c r="BA63" i="8"/>
  <c r="BB65" i="9" s="1"/>
  <c r="BC12" i="8"/>
  <c r="BD14" i="9" s="1"/>
  <c r="BI30" i="8"/>
  <c r="BJ32" i="9" s="1"/>
  <c r="AY95" i="8"/>
  <c r="AZ97" i="9" s="1"/>
  <c r="AW95" i="8"/>
  <c r="AX97" i="9" s="1"/>
  <c r="BB32" i="8"/>
  <c r="BC34" i="9" s="1"/>
  <c r="AZ32" i="8"/>
  <c r="BA34" i="9" s="1"/>
  <c r="AY53" i="8"/>
  <c r="AZ55" i="9" s="1"/>
  <c r="BJ40" i="8"/>
  <c r="BK42" i="9" s="1"/>
  <c r="AV74" i="8"/>
  <c r="AW76" i="9" s="1"/>
  <c r="BB101" i="8"/>
  <c r="BC103" i="9" s="1"/>
  <c r="BJ12" i="8"/>
  <c r="BK14" i="9" s="1"/>
  <c r="BG30" i="8"/>
  <c r="BH32" i="9" s="1"/>
  <c r="BB95" i="8"/>
  <c r="BC97" i="9" s="1"/>
  <c r="AZ95" i="8"/>
  <c r="BA97" i="9" s="1"/>
  <c r="BE32" i="8"/>
  <c r="BF34" i="9" s="1"/>
  <c r="AY32" i="8"/>
  <c r="AZ34" i="9" s="1"/>
  <c r="AX53" i="8"/>
  <c r="AY55" i="9" s="1"/>
  <c r="BI40" i="8"/>
  <c r="BJ42" i="9" s="1"/>
  <c r="BD74" i="8"/>
  <c r="BE76" i="9" s="1"/>
  <c r="BA101" i="8"/>
  <c r="BB103" i="9" s="1"/>
  <c r="BC63" i="8"/>
  <c r="BD65" i="9" s="1"/>
  <c r="BI12" i="8"/>
  <c r="BJ14" i="9" s="1"/>
  <c r="AV17" i="8"/>
  <c r="AW19" i="9" s="1"/>
  <c r="BG17" i="8"/>
  <c r="BH19" i="9" s="1"/>
  <c r="BF17" i="8"/>
  <c r="BG19" i="9" s="1"/>
  <c r="BE17" i="8"/>
  <c r="BF19" i="9" s="1"/>
  <c r="AV23" i="8"/>
  <c r="AW25" i="9" s="1"/>
  <c r="BG23" i="8"/>
  <c r="BH25" i="9" s="1"/>
  <c r="BF23" i="8"/>
  <c r="BG25" i="9" s="1"/>
  <c r="BE23" i="8"/>
  <c r="BF25" i="9" s="1"/>
  <c r="AV15" i="8"/>
  <c r="AW17" i="9" s="1"/>
  <c r="BG15" i="8"/>
  <c r="BH17" i="9" s="1"/>
  <c r="BF15" i="8"/>
  <c r="BG17" i="9" s="1"/>
  <c r="BE15" i="8"/>
  <c r="BF17" i="9" s="1"/>
  <c r="AV38" i="8"/>
  <c r="AW40" i="9" s="1"/>
  <c r="AX38" i="8"/>
  <c r="AY40" i="9" s="1"/>
  <c r="AW38" i="8"/>
  <c r="AX40" i="9" s="1"/>
  <c r="BG38" i="8"/>
  <c r="BH40" i="9" s="1"/>
  <c r="AV36" i="9"/>
  <c r="BB34" i="8"/>
  <c r="BC36" i="9" s="1"/>
  <c r="BA34" i="8"/>
  <c r="BB36" i="9" s="1"/>
  <c r="AZ34" i="8"/>
  <c r="BA36" i="9" s="1"/>
  <c r="AV31" i="9"/>
  <c r="AZ29" i="8"/>
  <c r="BA31" i="9" s="1"/>
  <c r="BJ29" i="8"/>
  <c r="BK31" i="9" s="1"/>
  <c r="BI29" i="8"/>
  <c r="BJ31" i="9" s="1"/>
  <c r="AV69" i="8"/>
  <c r="AW71" i="9" s="1"/>
  <c r="BG69" i="8"/>
  <c r="BH71" i="9" s="1"/>
  <c r="BF69" i="8"/>
  <c r="BG71" i="9" s="1"/>
  <c r="BE69" i="8"/>
  <c r="BF71" i="9" s="1"/>
  <c r="BF16" i="8"/>
  <c r="BG18" i="9" s="1"/>
  <c r="BE16" i="8"/>
  <c r="BF18" i="9" s="1"/>
  <c r="BD16" i="8"/>
  <c r="BE18" i="9" s="1"/>
  <c r="AY16" i="8"/>
  <c r="AZ18" i="9" s="1"/>
  <c r="BI90" i="8"/>
  <c r="BJ92" i="9" s="1"/>
  <c r="BC90" i="8"/>
  <c r="BD92" i="9" s="1"/>
  <c r="BB90" i="8"/>
  <c r="BC92" i="9" s="1"/>
  <c r="BC17" i="8"/>
  <c r="BD19" i="9" s="1"/>
  <c r="BB17" i="8"/>
  <c r="BC19" i="9" s="1"/>
  <c r="BA17" i="8"/>
  <c r="BB19" i="9" s="1"/>
  <c r="BC23" i="8"/>
  <c r="BD25" i="9" s="1"/>
  <c r="BB23" i="8"/>
  <c r="BC25" i="9" s="1"/>
  <c r="BA23" i="8"/>
  <c r="BB25" i="9" s="1"/>
  <c r="BC15" i="8"/>
  <c r="BD17" i="9" s="1"/>
  <c r="BB15" i="8"/>
  <c r="BC17" i="9" s="1"/>
  <c r="BA15" i="8"/>
  <c r="BB17" i="9" s="1"/>
  <c r="BJ38" i="8"/>
  <c r="BK40" i="9" s="1"/>
  <c r="BI38" i="8"/>
  <c r="BJ40" i="9" s="1"/>
  <c r="BC38" i="8"/>
  <c r="BD40" i="9" s="1"/>
  <c r="AV34" i="8"/>
  <c r="AW36" i="9" s="1"/>
  <c r="AX34" i="8"/>
  <c r="AY36" i="9" s="1"/>
  <c r="AW34" i="8"/>
  <c r="AX36" i="9" s="1"/>
  <c r="BG34" i="8"/>
  <c r="BH36" i="9" s="1"/>
  <c r="AV29" i="8"/>
  <c r="AW31" i="9" s="1"/>
  <c r="BG29" i="8"/>
  <c r="BH31" i="9" s="1"/>
  <c r="BF29" i="8"/>
  <c r="BG31" i="9" s="1"/>
  <c r="BE29" i="8"/>
  <c r="BF31" i="9" s="1"/>
  <c r="BC69" i="8"/>
  <c r="BD71" i="9" s="1"/>
  <c r="BB69" i="8"/>
  <c r="BC71" i="9" s="1"/>
  <c r="BA69" i="8"/>
  <c r="BB71" i="9" s="1"/>
  <c r="AV18" i="9"/>
  <c r="BB16" i="8"/>
  <c r="BC18" i="9" s="1"/>
  <c r="BA16" i="8"/>
  <c r="BB18" i="9" s="1"/>
  <c r="AZ16" i="8"/>
  <c r="BA18" i="9" s="1"/>
  <c r="BE90" i="8"/>
  <c r="BF92" i="9" s="1"/>
  <c r="BD90" i="8"/>
  <c r="BE92" i="9" s="1"/>
  <c r="AY90" i="8"/>
  <c r="AZ92" i="9" s="1"/>
  <c r="AX90" i="8"/>
  <c r="AY92" i="9" s="1"/>
  <c r="AW33" i="8"/>
  <c r="AX35" i="9" s="1"/>
  <c r="AY20" i="8"/>
  <c r="AZ22" i="9" s="1"/>
  <c r="BI80" i="8"/>
  <c r="BJ82" i="9" s="1"/>
  <c r="AV80" i="8"/>
  <c r="AW82" i="9" s="1"/>
  <c r="BF80" i="8"/>
  <c r="BG82" i="9" s="1"/>
  <c r="AV62" i="8"/>
  <c r="AW64" i="9" s="1"/>
  <c r="BG62" i="8"/>
  <c r="BH64" i="9" s="1"/>
  <c r="AV35" i="9"/>
  <c r="AV38" i="9"/>
  <c r="AV81" i="9"/>
  <c r="AV22" i="9"/>
  <c r="AW37" i="8"/>
  <c r="AX39" i="9" s="1"/>
  <c r="AW31" i="8"/>
  <c r="AX33" i="9" s="1"/>
  <c r="AW73" i="8"/>
  <c r="AX75" i="9" s="1"/>
  <c r="BA61" i="8"/>
  <c r="BB63" i="9" s="1"/>
  <c r="BC68" i="8"/>
  <c r="BD70" i="9" s="1"/>
  <c r="BJ62" i="8"/>
  <c r="BK64" i="9" s="1"/>
  <c r="BI62" i="8"/>
  <c r="BJ64" i="9" s="1"/>
  <c r="BC62" i="8"/>
  <c r="BD64" i="9" s="1"/>
  <c r="AV56" i="8"/>
  <c r="AW58" i="9" s="1"/>
  <c r="AX56" i="8"/>
  <c r="AY58" i="9" s="1"/>
  <c r="AW56" i="8"/>
  <c r="AX58" i="9" s="1"/>
  <c r="BG56" i="8"/>
  <c r="BH58" i="9" s="1"/>
  <c r="BD61" i="8"/>
  <c r="BE63" i="9" s="1"/>
  <c r="AX61" i="8"/>
  <c r="AY63" i="9" s="1"/>
  <c r="BF68" i="8"/>
  <c r="BG70" i="9" s="1"/>
  <c r="BD68" i="8"/>
  <c r="BE70" i="9" s="1"/>
  <c r="BF6" i="8"/>
  <c r="BG8" i="9" s="1"/>
  <c r="AZ33" i="8"/>
  <c r="BA35" i="9" s="1"/>
  <c r="AZ31" i="8"/>
  <c r="BA33" i="9" s="1"/>
  <c r="AZ37" i="8"/>
  <c r="BA39" i="9" s="1"/>
  <c r="BG73" i="8"/>
  <c r="BH75" i="9" s="1"/>
  <c r="BB20" i="8"/>
  <c r="BC22" i="9" s="1"/>
  <c r="BG77" i="8"/>
  <c r="BH79" i="9" s="1"/>
  <c r="BJ77" i="8"/>
  <c r="BK79" i="9" s="1"/>
  <c r="BI77" i="8"/>
  <c r="BJ79" i="9" s="1"/>
  <c r="BJ94" i="8"/>
  <c r="BK96" i="9" s="1"/>
  <c r="AZ30" i="8"/>
  <c r="BA32" i="9" s="1"/>
  <c r="AZ79" i="8"/>
  <c r="BA81" i="9" s="1"/>
  <c r="AY36" i="8"/>
  <c r="AZ38" i="9" s="1"/>
  <c r="BG80" i="8"/>
  <c r="BH82" i="9" s="1"/>
  <c r="AX62" i="8"/>
  <c r="AY64" i="9" s="1"/>
  <c r="AW62" i="8"/>
  <c r="AX64" i="9" s="1"/>
  <c r="AV58" i="9"/>
  <c r="BB56" i="8"/>
  <c r="BC58" i="9" s="1"/>
  <c r="BA56" i="8"/>
  <c r="BB58" i="9" s="1"/>
  <c r="AZ56" i="8"/>
  <c r="BA58" i="9" s="1"/>
  <c r="AW13" i="8"/>
  <c r="AX15" i="9" s="1"/>
  <c r="BC6" i="8"/>
  <c r="BD8" i="9" s="1"/>
  <c r="AW19" i="8"/>
  <c r="AX21" i="9" s="1"/>
  <c r="BE80" i="8"/>
  <c r="BF82" i="9" s="1"/>
  <c r="BC80" i="8"/>
  <c r="BD82" i="9" s="1"/>
  <c r="BB80" i="8"/>
  <c r="BC82" i="9" s="1"/>
  <c r="BC49" i="8"/>
  <c r="BD51" i="9" s="1"/>
  <c r="BB49" i="8"/>
  <c r="BC51" i="9" s="1"/>
  <c r="BA49" i="8"/>
  <c r="BB51" i="9" s="1"/>
  <c r="BA80" i="8"/>
  <c r="BB82" i="9" s="1"/>
  <c r="BD80" i="8"/>
  <c r="BE82" i="9" s="1"/>
  <c r="AY80" i="8"/>
  <c r="AZ82" i="9" s="1"/>
  <c r="AX80" i="8"/>
  <c r="AY82" i="9" s="1"/>
  <c r="BD49" i="8"/>
  <c r="BE51" i="9" s="1"/>
  <c r="AY49" i="8"/>
  <c r="AZ51" i="9" s="1"/>
  <c r="AX49" i="8"/>
  <c r="AY51" i="9" s="1"/>
  <c r="AW49" i="8"/>
  <c r="AX51" i="9" s="1"/>
  <c r="BF62" i="8"/>
  <c r="BG64" i="9" s="1"/>
  <c r="BE62" i="8"/>
  <c r="BF64" i="9" s="1"/>
  <c r="BD62" i="8"/>
  <c r="BE64" i="9" s="1"/>
  <c r="AY62" i="8"/>
  <c r="AZ64" i="9" s="1"/>
  <c r="BJ56" i="8"/>
  <c r="BK58" i="9" s="1"/>
  <c r="BI56" i="8"/>
  <c r="BJ58" i="9" s="1"/>
  <c r="BC56" i="8"/>
  <c r="BD58" i="9" s="1"/>
  <c r="AZ61" i="8"/>
  <c r="BA63" i="9" s="1"/>
  <c r="BI61" i="8"/>
  <c r="BJ63" i="9" s="1"/>
  <c r="BB68" i="8"/>
  <c r="BC70" i="9" s="1"/>
  <c r="AZ68" i="8"/>
  <c r="BA70" i="9" s="1"/>
  <c r="BB6" i="8"/>
  <c r="BC8" i="9" s="1"/>
  <c r="AZ6" i="8"/>
  <c r="BA8" i="9" s="1"/>
  <c r="BJ33" i="8"/>
  <c r="BK35" i="9" s="1"/>
  <c r="BJ31" i="8"/>
  <c r="BK33" i="9" s="1"/>
  <c r="BJ19" i="8"/>
  <c r="BK21" i="9" s="1"/>
  <c r="BJ37" i="8"/>
  <c r="BK39" i="9" s="1"/>
  <c r="BA36" i="8"/>
  <c r="BB38" i="9" s="1"/>
  <c r="BI79" i="8"/>
  <c r="BJ81" i="9" s="1"/>
  <c r="BJ73" i="8"/>
  <c r="BK75" i="9" s="1"/>
  <c r="BA20" i="8"/>
  <c r="BB22" i="9" s="1"/>
  <c r="BJ13" i="8"/>
  <c r="BK15" i="9" s="1"/>
  <c r="BC77" i="8"/>
  <c r="BD79" i="9" s="1"/>
  <c r="BF77" i="8"/>
  <c r="BG79" i="9" s="1"/>
  <c r="BE77" i="8"/>
  <c r="BF79" i="9" s="1"/>
  <c r="BD77" i="8"/>
  <c r="BE79" i="9" s="1"/>
  <c r="AV61" i="8"/>
  <c r="AW63" i="9" s="1"/>
  <c r="BG61" i="8"/>
  <c r="BH63" i="9" s="1"/>
  <c r="BF61" i="8"/>
  <c r="BG63" i="9" s="1"/>
  <c r="BE61" i="8"/>
  <c r="BF63" i="9" s="1"/>
  <c r="AV68" i="8"/>
  <c r="AW70" i="9" s="1"/>
  <c r="AX68" i="8"/>
  <c r="AY70" i="9" s="1"/>
  <c r="AW68" i="8"/>
  <c r="AX70" i="9" s="1"/>
  <c r="BG68" i="8"/>
  <c r="BH70" i="9" s="1"/>
  <c r="AV6" i="8"/>
  <c r="AW8" i="9" s="1"/>
  <c r="AX6" i="8"/>
  <c r="AY8" i="9" s="1"/>
  <c r="AW6" i="8"/>
  <c r="AX8" i="9" s="1"/>
  <c r="BG6" i="8"/>
  <c r="BH8" i="9" s="1"/>
  <c r="AV31" i="8"/>
  <c r="AW33" i="9" s="1"/>
  <c r="BG31" i="8"/>
  <c r="BH33" i="9" s="1"/>
  <c r="BF31" i="8"/>
  <c r="BG33" i="9" s="1"/>
  <c r="BE31" i="8"/>
  <c r="BF33" i="9" s="1"/>
  <c r="AV19" i="8"/>
  <c r="AW21" i="9" s="1"/>
  <c r="BG19" i="8"/>
  <c r="BH21" i="9" s="1"/>
  <c r="BF19" i="8"/>
  <c r="BG21" i="9" s="1"/>
  <c r="BE19" i="8"/>
  <c r="BF21" i="9" s="1"/>
  <c r="AV37" i="8"/>
  <c r="AW39" i="9" s="1"/>
  <c r="BG37" i="8"/>
  <c r="BH39" i="9" s="1"/>
  <c r="BF37" i="8"/>
  <c r="BG39" i="9" s="1"/>
  <c r="BE37" i="8"/>
  <c r="BF39" i="9" s="1"/>
  <c r="BC73" i="8"/>
  <c r="BD75" i="9" s="1"/>
  <c r="BF73" i="8"/>
  <c r="BG75" i="9" s="1"/>
  <c r="BE73" i="8"/>
  <c r="BF75" i="9" s="1"/>
  <c r="AV13" i="8"/>
  <c r="AW15" i="9" s="1"/>
  <c r="BG13" i="8"/>
  <c r="BH15" i="9" s="1"/>
  <c r="BF13" i="8"/>
  <c r="BG15" i="9" s="1"/>
  <c r="BE13" i="8"/>
  <c r="BF15" i="9" s="1"/>
  <c r="BC61" i="8"/>
  <c r="BD63" i="9" s="1"/>
  <c r="BB61" i="8"/>
  <c r="BC63" i="9" s="1"/>
  <c r="BJ68" i="8"/>
  <c r="BK70" i="9" s="1"/>
  <c r="BI68" i="8"/>
  <c r="BJ70" i="9" s="1"/>
  <c r="BJ6" i="8"/>
  <c r="BK8" i="9" s="1"/>
  <c r="BI6" i="8"/>
  <c r="BJ8" i="9" s="1"/>
  <c r="BC31" i="8"/>
  <c r="BD33" i="9" s="1"/>
  <c r="BB31" i="8"/>
  <c r="BC33" i="9" s="1"/>
  <c r="BA31" i="8"/>
  <c r="BB33" i="9" s="1"/>
  <c r="BC19" i="8"/>
  <c r="BD21" i="9" s="1"/>
  <c r="BB19" i="8"/>
  <c r="BC21" i="9" s="1"/>
  <c r="BA19" i="8"/>
  <c r="BB21" i="9" s="1"/>
  <c r="BC37" i="8"/>
  <c r="BD39" i="9" s="1"/>
  <c r="BB37" i="8"/>
  <c r="BC39" i="9" s="1"/>
  <c r="BA37" i="8"/>
  <c r="BB39" i="9" s="1"/>
  <c r="AV73" i="8"/>
  <c r="AW75" i="9" s="1"/>
  <c r="BD73" i="8"/>
  <c r="BE75" i="9" s="1"/>
  <c r="BB73" i="8"/>
  <c r="BC75" i="9" s="1"/>
  <c r="BA73" i="8"/>
  <c r="BB75" i="9" s="1"/>
  <c r="BC13" i="8"/>
  <c r="BD15" i="9" s="1"/>
  <c r="BB13" i="8"/>
  <c r="BC15" i="9" s="1"/>
  <c r="BA13" i="8"/>
  <c r="BB15" i="9" s="1"/>
  <c r="BD31" i="8"/>
  <c r="BE33" i="9" s="1"/>
  <c r="AY31" i="8"/>
  <c r="AZ33" i="9" s="1"/>
  <c r="AX31" i="8"/>
  <c r="AY33" i="9" s="1"/>
  <c r="BD19" i="8"/>
  <c r="BE21" i="9" s="1"/>
  <c r="AY19" i="8"/>
  <c r="AZ21" i="9" s="1"/>
  <c r="AX19" i="8"/>
  <c r="AY21" i="9" s="1"/>
  <c r="BD37" i="8"/>
  <c r="BE39" i="9" s="1"/>
  <c r="AY37" i="8"/>
  <c r="AZ39" i="9" s="1"/>
  <c r="AX37" i="8"/>
  <c r="AY39" i="9" s="1"/>
  <c r="AY73" i="8"/>
  <c r="AZ75" i="9" s="1"/>
  <c r="AZ73" i="8"/>
  <c r="BA75" i="9" s="1"/>
  <c r="AX73" i="8"/>
  <c r="AY75" i="9" s="1"/>
  <c r="BD13" i="8"/>
  <c r="BE15" i="9" s="1"/>
  <c r="AY13" i="8"/>
  <c r="AZ15" i="9" s="1"/>
  <c r="AX13" i="8"/>
  <c r="AY15" i="9" s="1"/>
  <c r="AV32" i="9"/>
  <c r="BB30" i="8"/>
  <c r="BC32" i="9" s="1"/>
  <c r="BA30" i="8"/>
  <c r="BB32" i="9" s="1"/>
  <c r="AW94" i="8"/>
  <c r="AX96" i="9" s="1"/>
  <c r="AU1" i="9"/>
  <c r="AV33" i="8"/>
  <c r="AW35" i="9" s="1"/>
  <c r="BG33" i="8"/>
  <c r="BH35" i="9" s="1"/>
  <c r="BF33" i="8"/>
  <c r="BG35" i="9" s="1"/>
  <c r="BE33" i="8"/>
  <c r="BF35" i="9" s="1"/>
  <c r="AV36" i="8"/>
  <c r="AW38" i="9" s="1"/>
  <c r="AX36" i="8"/>
  <c r="AY38" i="9" s="1"/>
  <c r="AW36" i="8"/>
  <c r="AX38" i="9" s="1"/>
  <c r="BG36" i="8"/>
  <c r="BH38" i="9" s="1"/>
  <c r="BG79" i="8"/>
  <c r="BH81" i="9" s="1"/>
  <c r="BF79" i="8"/>
  <c r="BG81" i="9" s="1"/>
  <c r="BE79" i="8"/>
  <c r="BF81" i="9" s="1"/>
  <c r="AV20" i="8"/>
  <c r="AW22" i="9" s="1"/>
  <c r="AX20" i="8"/>
  <c r="AY22" i="9" s="1"/>
  <c r="AW20" i="8"/>
  <c r="AX22" i="9" s="1"/>
  <c r="BG20" i="8"/>
  <c r="BH22" i="9" s="1"/>
  <c r="AU2" i="9"/>
  <c r="BC33" i="8"/>
  <c r="BD35" i="9" s="1"/>
  <c r="BB33" i="8"/>
  <c r="BC35" i="9" s="1"/>
  <c r="BA33" i="8"/>
  <c r="BB35" i="9" s="1"/>
  <c r="BJ36" i="8"/>
  <c r="BK38" i="9" s="1"/>
  <c r="BI36" i="8"/>
  <c r="BJ38" i="9" s="1"/>
  <c r="BC36" i="8"/>
  <c r="BD38" i="9" s="1"/>
  <c r="BC79" i="8"/>
  <c r="BD81" i="9" s="1"/>
  <c r="BB79" i="8"/>
  <c r="BC81" i="9" s="1"/>
  <c r="BA79" i="8"/>
  <c r="BB81" i="9" s="1"/>
  <c r="BD79" i="8"/>
  <c r="BE81" i="9" s="1"/>
  <c r="BJ20" i="8"/>
  <c r="BK22" i="9" s="1"/>
  <c r="BI20" i="8"/>
  <c r="BJ22" i="9" s="1"/>
  <c r="BC20" i="8"/>
  <c r="BD22" i="9" s="1"/>
  <c r="BD33" i="8"/>
  <c r="BE35" i="9" s="1"/>
  <c r="AY33" i="8"/>
  <c r="AZ35" i="9" s="1"/>
  <c r="AX33" i="8"/>
  <c r="AY35" i="9" s="1"/>
  <c r="BF36" i="8"/>
  <c r="BG38" i="9" s="1"/>
  <c r="BE36" i="8"/>
  <c r="BF38" i="9" s="1"/>
  <c r="BD36" i="8"/>
  <c r="BE38" i="9" s="1"/>
  <c r="AY79" i="8"/>
  <c r="AZ81" i="9" s="1"/>
  <c r="AX79" i="8"/>
  <c r="AY81" i="9" s="1"/>
  <c r="AW79" i="8"/>
  <c r="AX81" i="9" s="1"/>
  <c r="BF20" i="8"/>
  <c r="BG22" i="9" s="1"/>
  <c r="BE20" i="8"/>
  <c r="BF22" i="9" s="1"/>
  <c r="BD20" i="8"/>
  <c r="BE22" i="9" s="1"/>
  <c r="BG94" i="8"/>
  <c r="BH96" i="9" s="1"/>
  <c r="BF94" i="8"/>
  <c r="BG96" i="9" s="1"/>
  <c r="AV94" i="8"/>
  <c r="AW96" i="9" s="1"/>
  <c r="BI94" i="8"/>
  <c r="BJ96" i="9" s="1"/>
  <c r="BC94" i="8"/>
  <c r="BD96" i="9" s="1"/>
  <c r="BB94" i="8"/>
  <c r="BC96" i="9" s="1"/>
  <c r="BE94" i="8"/>
  <c r="BF96" i="9" s="1"/>
  <c r="BD94" i="8"/>
  <c r="BE96" i="9" s="1"/>
  <c r="AY94" i="8"/>
  <c r="AZ96" i="9" s="1"/>
  <c r="AX94" i="8"/>
  <c r="AY96" i="9" s="1"/>
  <c r="AV96" i="9"/>
  <c r="BA94" i="8"/>
  <c r="BB96" i="9" s="1"/>
  <c r="AZ94" i="8"/>
  <c r="BA96" i="9" s="1"/>
  <c r="BE5" i="8"/>
  <c r="BF7" i="9" s="1"/>
  <c r="BF5" i="8"/>
  <c r="BG7" i="9" s="1"/>
  <c r="BG5" i="8"/>
  <c r="BH7" i="9" s="1"/>
  <c r="AV5" i="8"/>
  <c r="AW7" i="9" s="1"/>
  <c r="BI5" i="8"/>
  <c r="BJ7" i="9" s="1"/>
  <c r="BJ5" i="8"/>
  <c r="BK7" i="9" s="1"/>
  <c r="AZ5" i="8"/>
  <c r="BA7" i="9" s="1"/>
  <c r="AV7" i="9"/>
  <c r="AW5" i="8"/>
  <c r="AX7" i="9" s="1"/>
  <c r="AX5" i="8"/>
  <c r="AY7" i="9" s="1"/>
  <c r="AY5" i="8"/>
  <c r="AZ7" i="9" s="1"/>
  <c r="BD5" i="8"/>
  <c r="BE7" i="9" s="1"/>
  <c r="BA5" i="8"/>
  <c r="BB7" i="9" s="1"/>
  <c r="BB5" i="8"/>
  <c r="BC7" i="9" s="1"/>
  <c r="BC5" i="8"/>
  <c r="BD7" i="9" s="1"/>
  <c r="BE2" i="9" l="1"/>
  <c r="BJ1" i="9"/>
  <c r="BK2" i="9"/>
  <c r="BB2" i="9"/>
  <c r="AX2" i="9"/>
  <c r="BF2" i="9"/>
  <c r="AY1" i="9"/>
  <c r="BH2" i="9"/>
  <c r="BA1" i="9"/>
  <c r="AZ1" i="9"/>
  <c r="BC2" i="9"/>
  <c r="AX1" i="9"/>
  <c r="BB1" i="9"/>
  <c r="AW1" i="9"/>
  <c r="BH1" i="9"/>
  <c r="BD2" i="9"/>
  <c r="AZ2" i="9"/>
  <c r="BA2" i="9"/>
  <c r="BI2" i="9"/>
  <c r="BC1" i="9"/>
  <c r="AY2" i="9"/>
  <c r="BG1" i="9"/>
  <c r="BF1" i="9"/>
  <c r="BJ2" i="9"/>
  <c r="BG2" i="9"/>
  <c r="BK1" i="9"/>
  <c r="AV2" i="9"/>
  <c r="BD1" i="9"/>
  <c r="AV1" i="9"/>
  <c r="AW2" i="9"/>
  <c r="BE1" i="9"/>
  <c r="BI1" i="9"/>
  <c r="D3" i="10" l="1" a="1"/>
  <c r="D3" i="10" s="1"/>
  <c r="C3" i="10" a="1"/>
  <c r="C3" i="10" s="1"/>
  <c r="E50" i="10" l="1"/>
  <c r="E18" i="10"/>
  <c r="E41" i="10"/>
  <c r="E9" i="10"/>
  <c r="E60" i="10"/>
  <c r="E59" i="10"/>
  <c r="E46" i="10"/>
  <c r="E14" i="10"/>
  <c r="E37" i="10"/>
  <c r="E5" i="10"/>
  <c r="E44" i="10"/>
  <c r="E62" i="10"/>
  <c r="E30" i="10"/>
  <c r="E57" i="10"/>
  <c r="E21" i="10"/>
  <c r="E27" i="10"/>
  <c r="E23" i="10"/>
  <c r="E34" i="10"/>
  <c r="E65" i="10"/>
  <c r="E25" i="10"/>
  <c r="E35" i="10"/>
  <c r="E3" i="10"/>
  <c r="E51" i="10"/>
  <c r="E58" i="10"/>
  <c r="E42" i="10"/>
  <c r="E26" i="10"/>
  <c r="E10" i="10"/>
  <c r="E49" i="10"/>
  <c r="E33" i="10"/>
  <c r="E17" i="10"/>
  <c r="E63" i="10"/>
  <c r="E15" i="10"/>
  <c r="E28" i="10"/>
  <c r="E43" i="10"/>
  <c r="E54" i="10"/>
  <c r="E38" i="10"/>
  <c r="E22" i="10"/>
  <c r="E6" i="10"/>
  <c r="E45" i="10"/>
  <c r="E29" i="10"/>
  <c r="E13" i="10"/>
  <c r="E47" i="10"/>
  <c r="E7" i="10"/>
  <c r="E12" i="10"/>
  <c r="E61" i="10"/>
  <c r="E55" i="10"/>
  <c r="E31" i="10"/>
  <c r="E11" i="10"/>
  <c r="E56" i="10"/>
  <c r="E40" i="10"/>
  <c r="E24" i="10"/>
  <c r="E8" i="10"/>
  <c r="E52" i="10"/>
  <c r="E36" i="10"/>
  <c r="E20" i="10"/>
  <c r="E4" i="10"/>
  <c r="E53" i="10"/>
  <c r="E39" i="10"/>
  <c r="E19" i="10"/>
  <c r="E64" i="10"/>
  <c r="E48" i="10"/>
  <c r="E32" i="10"/>
  <c r="E16" i="10"/>
  <c r="E67" i="10"/>
  <c r="E6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ECC692-6B99-4E20-9887-1A3CA5D0376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37CBDB6-AE45-4C7D-8B30-33FDADC5ABA9}" keepAlive="1" name="Query - Products1" description="Connection to the 'Products1' query in the workbook." type="5" refreshedVersion="8" background="1" saveData="1">
    <dbPr connection="Provider=Microsoft.Mashup.OleDb.1;Data Source=$Workbook$;Location=Products1;Extended Properties=&quot;&quot;" command="SELECT * FROM [Products1]"/>
  </connection>
  <connection id="3" xr16:uid="{E0753273-3DC9-497A-95B9-91C1D5A0B9B1}"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4" xr16:uid="{32E32EC1-A0FA-4C69-9394-0DCB673F009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0EAD688E-E686-482F-949E-EF72F0557DC6}" name="WorksheetConnection_Orders.xlsx!Combined_data" type="102" refreshedVersion="8" minRefreshableVersion="5">
    <extLst>
      <ext xmlns:x15="http://schemas.microsoft.com/office/spreadsheetml/2010/11/main" uri="{DE250136-89BD-433C-8126-D09CA5730AF9}">
        <x15:connection id="Combined_data">
          <x15:rangePr sourceName="_xlcn.WorksheetConnection_Orders.xlsxCombined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<sst xmlns="http://schemas.openxmlformats.org/spreadsheetml/2006/main" count="3639" uniqueCount="1278">
  <si>
    <t>OrderID</t>
  </si>
  <si>
    <t>CustomerID</t>
  </si>
  <si>
    <t>ProductID</t>
  </si>
  <si>
    <t>OrderDate</t>
  </si>
  <si>
    <t>Quantity</t>
  </si>
  <si>
    <t>UnitPrice</t>
  </si>
  <si>
    <t>TotalAmount</t>
  </si>
  <si>
    <t>DiscountApplied</t>
  </si>
  <si>
    <t>PaymentMode</t>
  </si>
  <si>
    <t>OrderStatus</t>
  </si>
  <si>
    <t>DeliveryDate</t>
  </si>
  <si>
    <t>IsGift</t>
  </si>
  <si>
    <t>ShippingCharges</t>
  </si>
  <si>
    <t>CouponUsed</t>
  </si>
  <si>
    <t>ReviewGiven</t>
  </si>
  <si>
    <t>O1001</t>
  </si>
  <si>
    <t>C085</t>
  </si>
  <si>
    <t>P180</t>
  </si>
  <si>
    <t>Cash on Delivery</t>
  </si>
  <si>
    <t>Delivered</t>
  </si>
  <si>
    <t>Yes</t>
  </si>
  <si>
    <t>No</t>
  </si>
  <si>
    <t>O1002</t>
  </si>
  <si>
    <t>C084</t>
  </si>
  <si>
    <t>P127</t>
  </si>
  <si>
    <t>O1003</t>
  </si>
  <si>
    <t>C062</t>
  </si>
  <si>
    <t>P132</t>
  </si>
  <si>
    <t>Net Banking</t>
  </si>
  <si>
    <t>O1004</t>
  </si>
  <si>
    <t>P160</t>
  </si>
  <si>
    <t>Shipped</t>
  </si>
  <si>
    <t>O1005</t>
  </si>
  <si>
    <t>C052</t>
  </si>
  <si>
    <t>P117</t>
  </si>
  <si>
    <t>O1006</t>
  </si>
  <si>
    <t>C035</t>
  </si>
  <si>
    <t>P158</t>
  </si>
  <si>
    <t>Credit Card</t>
  </si>
  <si>
    <t>O1007</t>
  </si>
  <si>
    <t>C032</t>
  </si>
  <si>
    <t>P121</t>
  </si>
  <si>
    <t>UPI</t>
  </si>
  <si>
    <t>O1008</t>
  </si>
  <si>
    <t>C040</t>
  </si>
  <si>
    <t>P164</t>
  </si>
  <si>
    <t>Cancelled</t>
  </si>
  <si>
    <t>O1009</t>
  </si>
  <si>
    <t>C007</t>
  </si>
  <si>
    <t>P137</t>
  </si>
  <si>
    <t>Pending</t>
  </si>
  <si>
    <t>O1010</t>
  </si>
  <si>
    <t>C018</t>
  </si>
  <si>
    <t>P134</t>
  </si>
  <si>
    <t>O1011</t>
  </si>
  <si>
    <t>C071</t>
  </si>
  <si>
    <t>O1012</t>
  </si>
  <si>
    <t>C013</t>
  </si>
  <si>
    <t>P151</t>
  </si>
  <si>
    <t>O1013</t>
  </si>
  <si>
    <t>C006</t>
  </si>
  <si>
    <t>P105</t>
  </si>
  <si>
    <t>O1014</t>
  </si>
  <si>
    <t>C079</t>
  </si>
  <si>
    <t>P141</t>
  </si>
  <si>
    <t>O1015</t>
  </si>
  <si>
    <t>C061</t>
  </si>
  <si>
    <t>P103</t>
  </si>
  <si>
    <t>O1016</t>
  </si>
  <si>
    <t>C034</t>
  </si>
  <si>
    <t>P184</t>
  </si>
  <si>
    <t>Debit Card</t>
  </si>
  <si>
    <t>O1017</t>
  </si>
  <si>
    <t>C088</t>
  </si>
  <si>
    <t>O1018</t>
  </si>
  <si>
    <t>C020</t>
  </si>
  <si>
    <t>P153</t>
  </si>
  <si>
    <t>O1019</t>
  </si>
  <si>
    <t>C072</t>
  </si>
  <si>
    <t>P142</t>
  </si>
  <si>
    <t>O1020</t>
  </si>
  <si>
    <t>C087</t>
  </si>
  <si>
    <t>P199</t>
  </si>
  <si>
    <t>O1021</t>
  </si>
  <si>
    <t>C039</t>
  </si>
  <si>
    <t>O1022</t>
  </si>
  <si>
    <t>C016</t>
  </si>
  <si>
    <t>P174</t>
  </si>
  <si>
    <t>O1023</t>
  </si>
  <si>
    <t>C092</t>
  </si>
  <si>
    <t>P111</t>
  </si>
  <si>
    <t>O1024</t>
  </si>
  <si>
    <t>P114</t>
  </si>
  <si>
    <t>O1025</t>
  </si>
  <si>
    <t>P113</t>
  </si>
  <si>
    <t>O1026</t>
  </si>
  <si>
    <t>P161</t>
  </si>
  <si>
    <t>O1027</t>
  </si>
  <si>
    <t>O1028</t>
  </si>
  <si>
    <t>C051</t>
  </si>
  <si>
    <t>O1029</t>
  </si>
  <si>
    <t>C037</t>
  </si>
  <si>
    <t>P159</t>
  </si>
  <si>
    <t>O1030</t>
  </si>
  <si>
    <t>C043</t>
  </si>
  <si>
    <t>O1031</t>
  </si>
  <si>
    <t>C023</t>
  </si>
  <si>
    <t>P179</t>
  </si>
  <si>
    <t>O1032</t>
  </si>
  <si>
    <t>P162</t>
  </si>
  <si>
    <t>O1033</t>
  </si>
  <si>
    <t>P139</t>
  </si>
  <si>
    <t>O1034</t>
  </si>
  <si>
    <t>C086</t>
  </si>
  <si>
    <t>P116</t>
  </si>
  <si>
    <t>O1035</t>
  </si>
  <si>
    <t>C048</t>
  </si>
  <si>
    <t>O1036</t>
  </si>
  <si>
    <t>C090</t>
  </si>
  <si>
    <t>P171</t>
  </si>
  <si>
    <t>O1037</t>
  </si>
  <si>
    <t>C010</t>
  </si>
  <si>
    <t>P173</t>
  </si>
  <si>
    <t>O1038</t>
  </si>
  <si>
    <t>C015</t>
  </si>
  <si>
    <t>P188</t>
  </si>
  <si>
    <t>O1039</t>
  </si>
  <si>
    <t>C017</t>
  </si>
  <si>
    <t>P166</t>
  </si>
  <si>
    <t>O1040</t>
  </si>
  <si>
    <t>P133</t>
  </si>
  <si>
    <t>O1041</t>
  </si>
  <si>
    <t>C070</t>
  </si>
  <si>
    <t>P108</t>
  </si>
  <si>
    <t>O1042</t>
  </si>
  <si>
    <t>P149</t>
  </si>
  <si>
    <t>O1043</t>
  </si>
  <si>
    <t>P169</t>
  </si>
  <si>
    <t>O1044</t>
  </si>
  <si>
    <t>C060</t>
  </si>
  <si>
    <t>P187</t>
  </si>
  <si>
    <t>O1045</t>
  </si>
  <si>
    <t>P136</t>
  </si>
  <si>
    <t>O1046</t>
  </si>
  <si>
    <t>P177</t>
  </si>
  <si>
    <t>O1047</t>
  </si>
  <si>
    <t>C057</t>
  </si>
  <si>
    <t>P130</t>
  </si>
  <si>
    <t>O1048</t>
  </si>
  <si>
    <t>C031</t>
  </si>
  <si>
    <t>O1049</t>
  </si>
  <si>
    <t>C081</t>
  </si>
  <si>
    <t>O1050</t>
  </si>
  <si>
    <t>P154</t>
  </si>
  <si>
    <t>O1051</t>
  </si>
  <si>
    <t>C029</t>
  </si>
  <si>
    <t>O1052</t>
  </si>
  <si>
    <t>O1053</t>
  </si>
  <si>
    <t>O1054</t>
  </si>
  <si>
    <t>C027</t>
  </si>
  <si>
    <t>P143</t>
  </si>
  <si>
    <t>O1055</t>
  </si>
  <si>
    <t>P178</t>
  </si>
  <si>
    <t>O1056</t>
  </si>
  <si>
    <t>O1057</t>
  </si>
  <si>
    <t>P148</t>
  </si>
  <si>
    <t>O1058</t>
  </si>
  <si>
    <t>C038</t>
  </si>
  <si>
    <t>P120</t>
  </si>
  <si>
    <t>O1059</t>
  </si>
  <si>
    <t>C098</t>
  </si>
  <si>
    <t>P163</t>
  </si>
  <si>
    <t>O1060</t>
  </si>
  <si>
    <t>P183</t>
  </si>
  <si>
    <t>O1061</t>
  </si>
  <si>
    <t>P181</t>
  </si>
  <si>
    <t>O1062</t>
  </si>
  <si>
    <t>C008</t>
  </si>
  <si>
    <t>O1063</t>
  </si>
  <si>
    <t>C003</t>
  </si>
  <si>
    <t>P168</t>
  </si>
  <si>
    <t>O1064</t>
  </si>
  <si>
    <t>O1065</t>
  </si>
  <si>
    <t>P152</t>
  </si>
  <si>
    <t>O1066</t>
  </si>
  <si>
    <t>C012</t>
  </si>
  <si>
    <t>O1067</t>
  </si>
  <si>
    <t>C011</t>
  </si>
  <si>
    <t>O1068</t>
  </si>
  <si>
    <t>P106</t>
  </si>
  <si>
    <t>O1069</t>
  </si>
  <si>
    <t>P176</t>
  </si>
  <si>
    <t>O1070</t>
  </si>
  <si>
    <t>P170</t>
  </si>
  <si>
    <t>O1071</t>
  </si>
  <si>
    <t>C030</t>
  </si>
  <si>
    <t>P110</t>
  </si>
  <si>
    <t>O1072</t>
  </si>
  <si>
    <t>C063</t>
  </si>
  <si>
    <t>O1073</t>
  </si>
  <si>
    <t>C099</t>
  </si>
  <si>
    <t>O1074</t>
  </si>
  <si>
    <t>C095</t>
  </si>
  <si>
    <t>P150</t>
  </si>
  <si>
    <t>O1075</t>
  </si>
  <si>
    <t>C047</t>
  </si>
  <si>
    <t>P198</t>
  </si>
  <si>
    <t>O1076</t>
  </si>
  <si>
    <t>C014</t>
  </si>
  <si>
    <t>P104</t>
  </si>
  <si>
    <t>O1077</t>
  </si>
  <si>
    <t>O1078</t>
  </si>
  <si>
    <t>P135</t>
  </si>
  <si>
    <t>O1079</t>
  </si>
  <si>
    <t>C054</t>
  </si>
  <si>
    <t>O1080</t>
  </si>
  <si>
    <t>C059</t>
  </si>
  <si>
    <t>O1081</t>
  </si>
  <si>
    <t>O1082</t>
  </si>
  <si>
    <t>C041</t>
  </si>
  <si>
    <t>P123</t>
  </si>
  <si>
    <t>O1083</t>
  </si>
  <si>
    <t>P147</t>
  </si>
  <si>
    <t>O1084</t>
  </si>
  <si>
    <t>P138</t>
  </si>
  <si>
    <t>O1085</t>
  </si>
  <si>
    <t>P155</t>
  </si>
  <si>
    <t>O1086</t>
  </si>
  <si>
    <t>P190</t>
  </si>
  <si>
    <t>O1087</t>
  </si>
  <si>
    <t>C083</t>
  </si>
  <si>
    <t>O1088</t>
  </si>
  <si>
    <t>P129</t>
  </si>
  <si>
    <t>O1089</t>
  </si>
  <si>
    <t>O1090</t>
  </si>
  <si>
    <t>O1091</t>
  </si>
  <si>
    <t>C045</t>
  </si>
  <si>
    <t>O1092</t>
  </si>
  <si>
    <t>P144</t>
  </si>
  <si>
    <t>O1093</t>
  </si>
  <si>
    <t>O1094</t>
  </si>
  <si>
    <t>C076</t>
  </si>
  <si>
    <t>O1095</t>
  </si>
  <si>
    <t>C069</t>
  </si>
  <si>
    <t>P124</t>
  </si>
  <si>
    <t>O1096</t>
  </si>
  <si>
    <t>C077</t>
  </si>
  <si>
    <t>O1097</t>
  </si>
  <si>
    <t>P191</t>
  </si>
  <si>
    <t>O1098</t>
  </si>
  <si>
    <t>P115</t>
  </si>
  <si>
    <t>O1099</t>
  </si>
  <si>
    <t>C055</t>
  </si>
  <si>
    <t>O1100</t>
  </si>
  <si>
    <t>SNO</t>
  </si>
  <si>
    <t>CustomerName</t>
  </si>
  <si>
    <t>Email</t>
  </si>
  <si>
    <t>Phone</t>
  </si>
  <si>
    <t>City</t>
  </si>
  <si>
    <t>State</t>
  </si>
  <si>
    <t>Pincode</t>
  </si>
  <si>
    <t>Gender</t>
  </si>
  <si>
    <t>DateOfBirth</t>
  </si>
  <si>
    <t>CustomerSince</t>
  </si>
  <si>
    <t>PreferredCategory</t>
  </si>
  <si>
    <t>LoyaltyPoints</t>
  </si>
  <si>
    <t>MaritalStatus</t>
  </si>
  <si>
    <t>Occupation</t>
  </si>
  <si>
    <t>AnnualIncome</t>
  </si>
  <si>
    <t>C001</t>
  </si>
  <si>
    <t>Aryan Maharaj</t>
  </si>
  <si>
    <t>udantdewan@example.net</t>
  </si>
  <si>
    <t>Mumbai</t>
  </si>
  <si>
    <t>Maharashtra</t>
  </si>
  <si>
    <t>Male</t>
  </si>
  <si>
    <t>Fashion</t>
  </si>
  <si>
    <t>Single</t>
  </si>
  <si>
    <t>Doctor</t>
  </si>
  <si>
    <t>C002</t>
  </si>
  <si>
    <t>Nathaniel Sami</t>
  </si>
  <si>
    <t>arunima23@example.com</t>
  </si>
  <si>
    <t>Grocery</t>
  </si>
  <si>
    <t>Engineer</t>
  </si>
  <si>
    <t>Chakradev Kari</t>
  </si>
  <si>
    <t>fariq31@example.com</t>
  </si>
  <si>
    <t>Hyderabad</t>
  </si>
  <si>
    <t>Telangana</t>
  </si>
  <si>
    <t>Home Appliance</t>
  </si>
  <si>
    <t>Married</t>
  </si>
  <si>
    <t>C004</t>
  </si>
  <si>
    <t>Veer Balay</t>
  </si>
  <si>
    <t>nandini41@example.org</t>
  </si>
  <si>
    <t>Lucknow</t>
  </si>
  <si>
    <t>Uttar Pradesh</t>
  </si>
  <si>
    <t>Female</t>
  </si>
  <si>
    <t>Electronics</t>
  </si>
  <si>
    <t>Teacher</t>
  </si>
  <si>
    <t>C005</t>
  </si>
  <si>
    <t>Gavin Batta</t>
  </si>
  <si>
    <t>duanathaniel@example.net</t>
  </si>
  <si>
    <t>Bangalore</t>
  </si>
  <si>
    <t>Karnataka</t>
  </si>
  <si>
    <t>Business</t>
  </si>
  <si>
    <t>Adya Tella</t>
  </si>
  <si>
    <t>yashicacherian@example.net</t>
  </si>
  <si>
    <t>Kolkata</t>
  </si>
  <si>
    <t>West Bengal</t>
  </si>
  <si>
    <t>Student</t>
  </si>
  <si>
    <t>Frederick Sunder</t>
  </si>
  <si>
    <t>waliajeremiah@example.org</t>
  </si>
  <si>
    <t>Jaipur</t>
  </si>
  <si>
    <t>Rajasthan</t>
  </si>
  <si>
    <t>Hamsini Bail</t>
  </si>
  <si>
    <t>thomasamble@example.org</t>
  </si>
  <si>
    <t>C009</t>
  </si>
  <si>
    <t>Girindra Chatterjee</t>
  </si>
  <si>
    <t>bpandya@example.com</t>
  </si>
  <si>
    <t>Ahmedabad</t>
  </si>
  <si>
    <t>Gujarat</t>
  </si>
  <si>
    <t>Chandresh Zachariah</t>
  </si>
  <si>
    <t>chanderwarjas@example.org</t>
  </si>
  <si>
    <t>Chennai</t>
  </si>
  <si>
    <t>Tamil Nadu</t>
  </si>
  <si>
    <t>Darsh Murthy</t>
  </si>
  <si>
    <t>bedivansha@example.net</t>
  </si>
  <si>
    <t>Advika Jayaraman</t>
  </si>
  <si>
    <t>william46@example.org</t>
  </si>
  <si>
    <t>Delhi</t>
  </si>
  <si>
    <t>Raksha Mittal</t>
  </si>
  <si>
    <t>mistryhemang@example.org</t>
  </si>
  <si>
    <t>Gauri De</t>
  </si>
  <si>
    <t>neel78@example.net</t>
  </si>
  <si>
    <t>Harshil Pandya</t>
  </si>
  <si>
    <t>pdubey@example.org</t>
  </si>
  <si>
    <t>Reyansh Rastogi</t>
  </si>
  <si>
    <t>arya14@example.com</t>
  </si>
  <si>
    <t>Lekha Gupta</t>
  </si>
  <si>
    <t>chaitanya60@example.net</t>
  </si>
  <si>
    <t>Owen Mitra</t>
  </si>
  <si>
    <t>tacharya@example.com</t>
  </si>
  <si>
    <t>C019</t>
  </si>
  <si>
    <t>Rushil Din</t>
  </si>
  <si>
    <t>batrayash@example.com</t>
  </si>
  <si>
    <t>Jairaj Shan</t>
  </si>
  <si>
    <t>ucchalwali@example.net</t>
  </si>
  <si>
    <t>C021</t>
  </si>
  <si>
    <t>Wahab Magar</t>
  </si>
  <si>
    <t>ekaja81@example.org</t>
  </si>
  <si>
    <t>Pune</t>
  </si>
  <si>
    <t>C022</t>
  </si>
  <si>
    <t>Abeer Pandey</t>
  </si>
  <si>
    <t>madhavi68@example.net</t>
  </si>
  <si>
    <t>Fiyaz Sangha</t>
  </si>
  <si>
    <t>triyagopal@example.org</t>
  </si>
  <si>
    <t>C024</t>
  </si>
  <si>
    <t>Azaan Kota</t>
  </si>
  <si>
    <t>anmoldua@example.org</t>
  </si>
  <si>
    <t>C025</t>
  </si>
  <si>
    <t>Rushil Borra</t>
  </si>
  <si>
    <t>harshmitra@example.net</t>
  </si>
  <si>
    <t>C026</t>
  </si>
  <si>
    <t>Anamika Yohannan</t>
  </si>
  <si>
    <t>bshroff@example.net</t>
  </si>
  <si>
    <t>Harini Mammen</t>
  </si>
  <si>
    <t>advaith83@example.org</t>
  </si>
  <si>
    <t>C028</t>
  </si>
  <si>
    <t>Pavani Narayanan</t>
  </si>
  <si>
    <t>sudiksha44@example.com</t>
  </si>
  <si>
    <t>Anusha Bath</t>
  </si>
  <si>
    <t>masterjonathan@example.net</t>
  </si>
  <si>
    <t>Manthan Modi</t>
  </si>
  <si>
    <t>kotharijagat@example.net</t>
  </si>
  <si>
    <t>Finn Dugar</t>
  </si>
  <si>
    <t>oscarborde@example.org</t>
  </si>
  <si>
    <t>Amaira Dhar</t>
  </si>
  <si>
    <t>bhasinnoah@example.com</t>
  </si>
  <si>
    <t>C033</t>
  </si>
  <si>
    <t>Gavin Karnik</t>
  </si>
  <si>
    <t>luthrabanjeet@example.org</t>
  </si>
  <si>
    <t>Nandini Bansal</t>
  </si>
  <si>
    <t>uchakrabarti@example.com</t>
  </si>
  <si>
    <t>Raksha Sundaram</t>
  </si>
  <si>
    <t>balakrishnanwriddhish@example.net</t>
  </si>
  <si>
    <t>C036</t>
  </si>
  <si>
    <t>Maanav Rajagopal</t>
  </si>
  <si>
    <t>yashodadeshpande@example.org</t>
  </si>
  <si>
    <t>Ekanta Gulati</t>
  </si>
  <si>
    <t>leelakaur@example.com</t>
  </si>
  <si>
    <t>Falan Singh</t>
  </si>
  <si>
    <t>hamsini96@example.net</t>
  </si>
  <si>
    <t>Chakradhar Nair</t>
  </si>
  <si>
    <t>memonjagrati@example.com</t>
  </si>
  <si>
    <t>Aadhya Andra</t>
  </si>
  <si>
    <t>rmani@example.net</t>
  </si>
  <si>
    <t>Anthony Randhawa</t>
  </si>
  <si>
    <t>abhiram90@example.net</t>
  </si>
  <si>
    <t>C042</t>
  </si>
  <si>
    <t>Eta Sagar</t>
  </si>
  <si>
    <t>saideo@example.net</t>
  </si>
  <si>
    <t>Jatin Sha</t>
  </si>
  <si>
    <t>adweta96@example.net</t>
  </si>
  <si>
    <t>C044</t>
  </si>
  <si>
    <t>Gunbir Keer</t>
  </si>
  <si>
    <t>lipikasetty@example.com</t>
  </si>
  <si>
    <t>Darsh Rao</t>
  </si>
  <si>
    <t>ranveer17@example.org</t>
  </si>
  <si>
    <t>C046</t>
  </si>
  <si>
    <t>Kalpit Zachariah</t>
  </si>
  <si>
    <t>owen10@example.org</t>
  </si>
  <si>
    <t>Caleb Verma</t>
  </si>
  <si>
    <t>tara00@example.com</t>
  </si>
  <si>
    <t>Sudiksha Tiwari</t>
  </si>
  <si>
    <t>ychaudhary@example.net</t>
  </si>
  <si>
    <t>C049</t>
  </si>
  <si>
    <t>Gavin Chada</t>
  </si>
  <si>
    <t>sankarangopal@example.net</t>
  </si>
  <si>
    <t>C050</t>
  </si>
  <si>
    <t>Mohammed Subramaniam</t>
  </si>
  <si>
    <t>hritikpalla@example.net</t>
  </si>
  <si>
    <t>Nandini Boase</t>
  </si>
  <si>
    <t>azaanchand@example.net</t>
  </si>
  <si>
    <t>Vedika Sathe</t>
  </si>
  <si>
    <t>nmahajan@example.net</t>
  </si>
  <si>
    <t>C053</t>
  </si>
  <si>
    <t>Falak Dar</t>
  </si>
  <si>
    <t>tankqushi@example.org</t>
  </si>
  <si>
    <t>Ishwar Ravel</t>
  </si>
  <si>
    <t>naironveer@example.net</t>
  </si>
  <si>
    <t>Ikshita Panchal</t>
  </si>
  <si>
    <t>warinderchauhan@example.org</t>
  </si>
  <si>
    <t>C056</t>
  </si>
  <si>
    <t>Chavvi Maharaj</t>
  </si>
  <si>
    <t>pandeyyashica@example.org</t>
  </si>
  <si>
    <t>Vamakshi Thaker</t>
  </si>
  <si>
    <t>davidseshadri@example.org</t>
  </si>
  <si>
    <t>C058</t>
  </si>
  <si>
    <t>Dominic Narayan</t>
  </si>
  <si>
    <t>rajubhanumati@example.com</t>
  </si>
  <si>
    <t>Andrew Patil</t>
  </si>
  <si>
    <t>pranit35@example.com</t>
  </si>
  <si>
    <t>Caleb Roy</t>
  </si>
  <si>
    <t>wazir79@example.com</t>
  </si>
  <si>
    <t>Charles Srivastava</t>
  </si>
  <si>
    <t>harshil81@example.com</t>
  </si>
  <si>
    <t>Udarsh Bala</t>
  </si>
  <si>
    <t>hardik52@example.org</t>
  </si>
  <si>
    <t>Jairaj Batta</t>
  </si>
  <si>
    <t>onishankar@example.org</t>
  </si>
  <si>
    <t>C064</t>
  </si>
  <si>
    <t>Ekansh Vora</t>
  </si>
  <si>
    <t>ramakrishnanupma@example.org</t>
  </si>
  <si>
    <t>C065</t>
  </si>
  <si>
    <t>Qabil Deshmukh</t>
  </si>
  <si>
    <t>shankarbalhaar@example.com</t>
  </si>
  <si>
    <t>C066</t>
  </si>
  <si>
    <t>Mugdha Sarraf</t>
  </si>
  <si>
    <t>lnori@example.com</t>
  </si>
  <si>
    <t>C067</t>
  </si>
  <si>
    <t>Sachi Panchal</t>
  </si>
  <si>
    <t>ubasak@example.com</t>
  </si>
  <si>
    <t>C068</t>
  </si>
  <si>
    <t>Mitesh Sengupta</t>
  </si>
  <si>
    <t>kamya71@example.net</t>
  </si>
  <si>
    <t>Ryan Das</t>
  </si>
  <si>
    <t>ethanseth@example.org</t>
  </si>
  <si>
    <t>Jalsa Pillay</t>
  </si>
  <si>
    <t>ndayal@example.org</t>
  </si>
  <si>
    <t>Kai Sant</t>
  </si>
  <si>
    <t>dashzarna@example.org</t>
  </si>
  <si>
    <t>Onveer Nazareth</t>
  </si>
  <si>
    <t>balakrishnanfinn@example.org</t>
  </si>
  <si>
    <t>C073</t>
  </si>
  <si>
    <t>Ria Sagar</t>
  </si>
  <si>
    <t>nshetty@example.com</t>
  </si>
  <si>
    <t>C074</t>
  </si>
  <si>
    <t>Bina Rajagopalan</t>
  </si>
  <si>
    <t>kkothari@example.com</t>
  </si>
  <si>
    <t>C075</t>
  </si>
  <si>
    <t>Baghyawati Talwar</t>
  </si>
  <si>
    <t>imangal@example.org</t>
  </si>
  <si>
    <t>Jagat Dave</t>
  </si>
  <si>
    <t>rameshkashvi@example.com</t>
  </si>
  <si>
    <t>Eiravati Gaba</t>
  </si>
  <si>
    <t>lmistry@example.com</t>
  </si>
  <si>
    <t>C078</t>
  </si>
  <si>
    <t>Charan Srinivasan</t>
  </si>
  <si>
    <t>lajitadivan@example.net</t>
  </si>
  <si>
    <t>Vanya Vora</t>
  </si>
  <si>
    <t>lmurthy@example.com</t>
  </si>
  <si>
    <t>C080</t>
  </si>
  <si>
    <t>Bhavna Dara</t>
  </si>
  <si>
    <t>wrana@example.org</t>
  </si>
  <si>
    <t>Upkaar Kaul</t>
  </si>
  <si>
    <t>chaudhryodika@example.com</t>
  </si>
  <si>
    <t>C082</t>
  </si>
  <si>
    <t>Omisha Goda</t>
  </si>
  <si>
    <t>ranganathanwarhi@example.org</t>
  </si>
  <si>
    <t>Aarini Grewal</t>
  </si>
  <si>
    <t>nazarethchakrika@example.net</t>
  </si>
  <si>
    <t>Amara Narayan</t>
  </si>
  <si>
    <t>advay45@example.net</t>
  </si>
  <si>
    <t>Urishilla Yogi</t>
  </si>
  <si>
    <t>yugbumb@example.net</t>
  </si>
  <si>
    <t>Yashvi Sehgal</t>
  </si>
  <si>
    <t>settykevin@example.net</t>
  </si>
  <si>
    <t>Urmi Balay</t>
  </si>
  <si>
    <t>nilima22@example.net</t>
  </si>
  <si>
    <t>Ubika Samra</t>
  </si>
  <si>
    <t>pkarpe@example.com</t>
  </si>
  <si>
    <t>C089</t>
  </si>
  <si>
    <t>Reva Kaur</t>
  </si>
  <si>
    <t>dakshdey@example.net</t>
  </si>
  <si>
    <t>Champak Padmanabhan</t>
  </si>
  <si>
    <t>uvohra@example.net</t>
  </si>
  <si>
    <t>C091</t>
  </si>
  <si>
    <t>Xavier Kumer</t>
  </si>
  <si>
    <t>gangabrar@example.com</t>
  </si>
  <si>
    <t>Ranveer Dalal</t>
  </si>
  <si>
    <t>skibe@example.net</t>
  </si>
  <si>
    <t>C093</t>
  </si>
  <si>
    <t>Kamala Munshi</t>
  </si>
  <si>
    <t>kbath@example.org</t>
  </si>
  <si>
    <t>C094</t>
  </si>
  <si>
    <t>Vrinda Swaminathan</t>
  </si>
  <si>
    <t>uganguly@example.com</t>
  </si>
  <si>
    <t>Kashvi Bhasin</t>
  </si>
  <si>
    <t>bsura@example.org</t>
  </si>
  <si>
    <t>C096</t>
  </si>
  <si>
    <t>Irya Loke</t>
  </si>
  <si>
    <t>xbrar@example.com</t>
  </si>
  <si>
    <t>C097</t>
  </si>
  <si>
    <t>Brijesh Karpe</t>
  </si>
  <si>
    <t>vaishnavimadan@example.org</t>
  </si>
  <si>
    <t>Leena Dey</t>
  </si>
  <si>
    <t>tellahiral@example.org</t>
  </si>
  <si>
    <t>Frederick Merchant</t>
  </si>
  <si>
    <t>ethanbutala@example.com</t>
  </si>
  <si>
    <t>C100</t>
  </si>
  <si>
    <t>Harshil Bal</t>
  </si>
  <si>
    <t>pandyagirik@example.net</t>
  </si>
  <si>
    <t>Orders Columns</t>
  </si>
  <si>
    <t>Customers Columns</t>
  </si>
  <si>
    <t>ProductName</t>
  </si>
  <si>
    <t>Category</t>
  </si>
  <si>
    <t>SubCategory</t>
  </si>
  <si>
    <t>Brand</t>
  </si>
  <si>
    <t>Price</t>
  </si>
  <si>
    <t>Discount</t>
  </si>
  <si>
    <t>StockQty</t>
  </si>
  <si>
    <t>WarrantyMonths</t>
  </si>
  <si>
    <t>MadeIn</t>
  </si>
  <si>
    <t>IsAvailable</t>
  </si>
  <si>
    <t>Rating</t>
  </si>
  <si>
    <t>LaunchDate</t>
  </si>
  <si>
    <t>Returnable</t>
  </si>
  <si>
    <t>HSNCode</t>
  </si>
  <si>
    <t>P101</t>
  </si>
  <si>
    <t>At Rice</t>
  </si>
  <si>
    <t>Organic</t>
  </si>
  <si>
    <t>Saran LLC</t>
  </si>
  <si>
    <t>Vietnam</t>
  </si>
  <si>
    <t>P102</t>
  </si>
  <si>
    <t>In Laptop</t>
  </si>
  <si>
    <t>Smart</t>
  </si>
  <si>
    <t>Bose-Patel</t>
  </si>
  <si>
    <t>China</t>
  </si>
  <si>
    <t>Expedita TV</t>
  </si>
  <si>
    <t>Tandon, Hayre and Shankar</t>
  </si>
  <si>
    <t>Deleniti TV</t>
  </si>
  <si>
    <t>Ahuja-Randhawa</t>
  </si>
  <si>
    <t>Japan</t>
  </si>
  <si>
    <t>Sit Washing Machine</t>
  </si>
  <si>
    <t>Cotton</t>
  </si>
  <si>
    <t>Narayan-Sarraf</t>
  </si>
  <si>
    <t>India</t>
  </si>
  <si>
    <t>Non Shirt</t>
  </si>
  <si>
    <t>Deshpande, Mital and Nagi</t>
  </si>
  <si>
    <t>P107</t>
  </si>
  <si>
    <t>Voluptate Phone</t>
  </si>
  <si>
    <t>Srinivas LLC</t>
  </si>
  <si>
    <t>Nam Shirt</t>
  </si>
  <si>
    <t>Manne-Swaminathan</t>
  </si>
  <si>
    <t>P109</t>
  </si>
  <si>
    <t>Exercitationem Shirt</t>
  </si>
  <si>
    <t>Puri-Mand</t>
  </si>
  <si>
    <t>Maiores Rice</t>
  </si>
  <si>
    <t>Iyengar PLC</t>
  </si>
  <si>
    <t>Ducimus TV</t>
  </si>
  <si>
    <t>Android</t>
  </si>
  <si>
    <t>Bala, Shenoy and Kadakia</t>
  </si>
  <si>
    <t>P112</t>
  </si>
  <si>
    <t>Illum Rice</t>
  </si>
  <si>
    <t>Biswas, Rege and Tata</t>
  </si>
  <si>
    <t>Tempora Phone</t>
  </si>
  <si>
    <t>Khurana-Krishnan</t>
  </si>
  <si>
    <t>Dolor Shirt</t>
  </si>
  <si>
    <t>Sampath, Purohit and Borah</t>
  </si>
  <si>
    <t>Sapiente TV</t>
  </si>
  <si>
    <t>Rattan-Warrior</t>
  </si>
  <si>
    <t>Voluptate TV</t>
  </si>
  <si>
    <t>Bansal-Parsa</t>
  </si>
  <si>
    <t>Quidem Rice</t>
  </si>
  <si>
    <t>LED</t>
  </si>
  <si>
    <t>Chada, Chopra and Kothari</t>
  </si>
  <si>
    <t>P118</t>
  </si>
  <si>
    <t>Vel Rice</t>
  </si>
  <si>
    <t>Notebook</t>
  </si>
  <si>
    <t>Ganesan-Basu</t>
  </si>
  <si>
    <t>P119</t>
  </si>
  <si>
    <t>Tenetur Rice</t>
  </si>
  <si>
    <t>Ratta, Narula and Sani</t>
  </si>
  <si>
    <t>Accusamus Laptop</t>
  </si>
  <si>
    <t>Kuruvilla and Sons</t>
  </si>
  <si>
    <t>Quas Washing Machine</t>
  </si>
  <si>
    <t>Kant, Sehgal and Prasad</t>
  </si>
  <si>
    <t>P122</t>
  </si>
  <si>
    <t>Officiis Laptop</t>
  </si>
  <si>
    <t>Tella, Dora and Pai</t>
  </si>
  <si>
    <t>Perspiciatis TV</t>
  </si>
  <si>
    <t>Merchant Group</t>
  </si>
  <si>
    <t>Cum Laptop</t>
  </si>
  <si>
    <t>Dhar, Pall and Muni</t>
  </si>
  <si>
    <t>P125</t>
  </si>
  <si>
    <t>Odit Laptop</t>
  </si>
  <si>
    <t>Verma Group</t>
  </si>
  <si>
    <t>P126</t>
  </si>
  <si>
    <t>Pariatur Laptop</t>
  </si>
  <si>
    <t>Sarma Ltd</t>
  </si>
  <si>
    <t>Odio Rice</t>
  </si>
  <si>
    <t>Bhavsar-Mital</t>
  </si>
  <si>
    <t>P128</t>
  </si>
  <si>
    <t>Voluptatum Laptop</t>
  </si>
  <si>
    <t>Bajaj LLC</t>
  </si>
  <si>
    <t>Corrupti Phone</t>
  </si>
  <si>
    <t>Gala, Kohli and Varty</t>
  </si>
  <si>
    <t>Quod TV</t>
  </si>
  <si>
    <t>Narayanan PLC</t>
  </si>
  <si>
    <t>P131</t>
  </si>
  <si>
    <t>Officiis Rice</t>
  </si>
  <si>
    <t>Ravel Ltd</t>
  </si>
  <si>
    <t>Ea Rice</t>
  </si>
  <si>
    <t>Sankaran, Randhawa and Balakrishnan</t>
  </si>
  <si>
    <t>Eius Laptop</t>
  </si>
  <si>
    <t>Sanghvi-Ramachandran</t>
  </si>
  <si>
    <t>Voluptatibus Shirt</t>
  </si>
  <si>
    <t>Jha LLC</t>
  </si>
  <si>
    <t>Chaudry, Yadav and Grover</t>
  </si>
  <si>
    <t>Itaque TV</t>
  </si>
  <si>
    <t>Shankar Inc</t>
  </si>
  <si>
    <t>Velit TV</t>
  </si>
  <si>
    <t>Wable-Munshi</t>
  </si>
  <si>
    <t>Molestias Phone</t>
  </si>
  <si>
    <t>Ramanathan, Comar and Pall</t>
  </si>
  <si>
    <t>Officia TV</t>
  </si>
  <si>
    <t>Gera, Mishra and Chad</t>
  </si>
  <si>
    <t>P140</t>
  </si>
  <si>
    <t>Dalal-Khare</t>
  </si>
  <si>
    <t>Cum Shirt</t>
  </si>
  <si>
    <t>Prakash Ltd</t>
  </si>
  <si>
    <t>Quaerat Shirt</t>
  </si>
  <si>
    <t>Sahota-Devi</t>
  </si>
  <si>
    <t>Molestiae TV</t>
  </si>
  <si>
    <t>Grewal-Sur</t>
  </si>
  <si>
    <t>Quidem Washing Machine</t>
  </si>
  <si>
    <t>Ghose, Ganesan and Suri</t>
  </si>
  <si>
    <t>P145</t>
  </si>
  <si>
    <t>Deserunt Laptop</t>
  </si>
  <si>
    <t>Murty Group</t>
  </si>
  <si>
    <t>P146</t>
  </si>
  <si>
    <t>Asperiores Phone</t>
  </si>
  <si>
    <t>Andra-Sundaram</t>
  </si>
  <si>
    <t>Earum Laptop</t>
  </si>
  <si>
    <t>Tiwari-Talwar</t>
  </si>
  <si>
    <t>Vitae Washing Machine</t>
  </si>
  <si>
    <t>Sagar-Sawhney</t>
  </si>
  <si>
    <t>Doloremque TV</t>
  </si>
  <si>
    <t>Balasubramanian and Sons</t>
  </si>
  <si>
    <t>Aliquid Phone</t>
  </si>
  <si>
    <t>Kar-Yogi</t>
  </si>
  <si>
    <t>Dolores Shirt</t>
  </si>
  <si>
    <t>Tandon-Vaidya</t>
  </si>
  <si>
    <t>Rem Shirt</t>
  </si>
  <si>
    <t>Loyal PLC</t>
  </si>
  <si>
    <t>Quis Shirt</t>
  </si>
  <si>
    <t>Sastry PLC</t>
  </si>
  <si>
    <t>Nisi Laptop</t>
  </si>
  <si>
    <t>Kota LLC</t>
  </si>
  <si>
    <t>Odio Washing Machine</t>
  </si>
  <si>
    <t>Pall-Chahal</t>
  </si>
  <si>
    <t>P156</t>
  </si>
  <si>
    <t>Cumque TV</t>
  </si>
  <si>
    <t>Kadakia Ltd</t>
  </si>
  <si>
    <t>P157</t>
  </si>
  <si>
    <t>Voluptas Phone</t>
  </si>
  <si>
    <t>Sangha-Gandhi</t>
  </si>
  <si>
    <t>Deserunt Washing Machine</t>
  </si>
  <si>
    <t>Jhaveri Inc</t>
  </si>
  <si>
    <t>Laudantium Washing Machine</t>
  </si>
  <si>
    <t>Mand, Yohannan and Ganguly</t>
  </si>
  <si>
    <t>Voluptatibus Rice</t>
  </si>
  <si>
    <t>Mann-Loke</t>
  </si>
  <si>
    <t>Veritatis Washing Machine</t>
  </si>
  <si>
    <t>Deshmukh Group</t>
  </si>
  <si>
    <t>Harum Phone</t>
  </si>
  <si>
    <t>Date, Deo and Krish</t>
  </si>
  <si>
    <t>Iste Laptop</t>
  </si>
  <si>
    <t>Ramaswamy Group</t>
  </si>
  <si>
    <t>Repellat Washing Machine</t>
  </si>
  <si>
    <t>Luthra, Sachdeva and Prashad</t>
  </si>
  <si>
    <t>P165</t>
  </si>
  <si>
    <t>Autem Washing Machine</t>
  </si>
  <si>
    <t>Chander, Rau and Varma</t>
  </si>
  <si>
    <t>Voluptate Washing Machine</t>
  </si>
  <si>
    <t>Sha-Sura</t>
  </si>
  <si>
    <t>P167</t>
  </si>
  <si>
    <t>Repellendus TV</t>
  </si>
  <si>
    <t>Chander Ltd</t>
  </si>
  <si>
    <t>Tempora Laptop</t>
  </si>
  <si>
    <t>Parmar, Bhatnagar and Warrior</t>
  </si>
  <si>
    <t>Esse Laptop</t>
  </si>
  <si>
    <t>Kakar-Talwar</t>
  </si>
  <si>
    <t>Iste Phone</t>
  </si>
  <si>
    <t>Nazareth-De</t>
  </si>
  <si>
    <t>Placeat TV</t>
  </si>
  <si>
    <t>Bava-Batra</t>
  </si>
  <si>
    <t>P172</t>
  </si>
  <si>
    <t>Sunt Phone</t>
  </si>
  <si>
    <t>Babu-Dash</t>
  </si>
  <si>
    <t>Nulla Laptop</t>
  </si>
  <si>
    <t>Acharya-Sangha</t>
  </si>
  <si>
    <t>Voluptas Laptop</t>
  </si>
  <si>
    <t>Mittal and Sons</t>
  </si>
  <si>
    <t>P175</t>
  </si>
  <si>
    <t>Consectetur Washing Machine</t>
  </si>
  <si>
    <t>Patel, Krishna and Butala</t>
  </si>
  <si>
    <t>Gandhi, Ben and Randhawa</t>
  </si>
  <si>
    <t>Inventore Washing Machine</t>
  </si>
  <si>
    <t>Kaur, Sanghvi and Chand</t>
  </si>
  <si>
    <t>Consequatur TV</t>
  </si>
  <si>
    <t>Kala Group</t>
  </si>
  <si>
    <t>Delectus Laptop</t>
  </si>
  <si>
    <t>Kara, Venkataraman and Saxena</t>
  </si>
  <si>
    <t>Accusamus TV</t>
  </si>
  <si>
    <t>Oza, Dara and Sami</t>
  </si>
  <si>
    <t>Delectus Washing Machine</t>
  </si>
  <si>
    <t>Bobal-Karnik</t>
  </si>
  <si>
    <t>P182</t>
  </si>
  <si>
    <t>Commodi Shirt</t>
  </si>
  <si>
    <t>Chaudry, Chauhan and Munshi</t>
  </si>
  <si>
    <t>In Phone</t>
  </si>
  <si>
    <t>Raja and Sons</t>
  </si>
  <si>
    <t>Veritatis TV</t>
  </si>
  <si>
    <t>Biswas PLC</t>
  </si>
  <si>
    <t>P185</t>
  </si>
  <si>
    <t>Gala, Sarraf and Panchal</t>
  </si>
  <si>
    <t>P186</t>
  </si>
  <si>
    <t>Doshi, Sabharwal and Savant</t>
  </si>
  <si>
    <t>Commodi Phone</t>
  </si>
  <si>
    <t>Dey Inc</t>
  </si>
  <si>
    <t>Sanghvi-Murty</t>
  </si>
  <si>
    <t>P189</t>
  </si>
  <si>
    <t>Expedita Washing Machine</t>
  </si>
  <si>
    <t>Chad-Kothari</t>
  </si>
  <si>
    <t>Sapiente Laptop</t>
  </si>
  <si>
    <t>Mane, Bala and Mitra</t>
  </si>
  <si>
    <t>Quas Shirt</t>
  </si>
  <si>
    <t>Upadhyay, Gulati and Ramanathan</t>
  </si>
  <si>
    <t>P192</t>
  </si>
  <si>
    <t>Tenetur Phone</t>
  </si>
  <si>
    <t>Khatri Group</t>
  </si>
  <si>
    <t>P193</t>
  </si>
  <si>
    <t>Culpa TV</t>
  </si>
  <si>
    <t>Tata Ltd</t>
  </si>
  <si>
    <t>P194</t>
  </si>
  <si>
    <t>Aut Laptop</t>
  </si>
  <si>
    <t>Arora, Patel and Nadig</t>
  </si>
  <si>
    <t>P195</t>
  </si>
  <si>
    <t>Molestias Laptop</t>
  </si>
  <si>
    <t>Salvi, Pau and Gera</t>
  </si>
  <si>
    <t>P196</t>
  </si>
  <si>
    <t>Aut TV</t>
  </si>
  <si>
    <t>Bir Inc</t>
  </si>
  <si>
    <t>P197</t>
  </si>
  <si>
    <t>Esse Rice</t>
  </si>
  <si>
    <t>Bhasin Group</t>
  </si>
  <si>
    <t>Illo Laptop</t>
  </si>
  <si>
    <t>Thaker, Sagar and Sampath</t>
  </si>
  <si>
    <t>Natus TV</t>
  </si>
  <si>
    <t>Yadav PLC</t>
  </si>
  <si>
    <t>P200</t>
  </si>
  <si>
    <t>Chacko-Mukherjee</t>
  </si>
  <si>
    <t>Products Columns</t>
  </si>
  <si>
    <t>StoreID</t>
  </si>
  <si>
    <t>StoreName</t>
  </si>
  <si>
    <t>Manager</t>
  </si>
  <si>
    <t>EstablishedYear</t>
  </si>
  <si>
    <t>Employees</t>
  </si>
  <si>
    <t>MonthlyFootfall</t>
  </si>
  <si>
    <t>StoreRating</t>
  </si>
  <si>
    <t>OnlineEnabled</t>
  </si>
  <si>
    <t>AreaSqFt</t>
  </si>
  <si>
    <t>StoreType</t>
  </si>
  <si>
    <t>ContactNumber</t>
  </si>
  <si>
    <t>S001</t>
  </si>
  <si>
    <t>Chopra and Sons Mart</t>
  </si>
  <si>
    <t>Sarthak Seth</t>
  </si>
  <si>
    <t>Outlet</t>
  </si>
  <si>
    <t>gavinkothari@randhawa-varghese.com</t>
  </si>
  <si>
    <t>S002</t>
  </si>
  <si>
    <t>Mistry, Lad and Ghosh Mart</t>
  </si>
  <si>
    <t>Harsh Dey</t>
  </si>
  <si>
    <t>Retail</t>
  </si>
  <si>
    <t>falan01@sawhney.com</t>
  </si>
  <si>
    <t>S003</t>
  </si>
  <si>
    <t>Das-Basak Mart</t>
  </si>
  <si>
    <t>Lavanya Sandhu</t>
  </si>
  <si>
    <t>chakrikatara@srinivas-bhat.com</t>
  </si>
  <si>
    <t>S004</t>
  </si>
  <si>
    <t>Rajagopal-Devan Mart</t>
  </si>
  <si>
    <t>Varsha Sundaram</t>
  </si>
  <si>
    <t>manddalbir@wagle-parmar.org</t>
  </si>
  <si>
    <t>S005</t>
  </si>
  <si>
    <t>Dutta Inc Mart</t>
  </si>
  <si>
    <t>Isha Ghose</t>
  </si>
  <si>
    <t>waidamore@swaminathan.com</t>
  </si>
  <si>
    <t>S006</t>
  </si>
  <si>
    <t>Kaul PLC Mart</t>
  </si>
  <si>
    <t>Kalpit Oak</t>
  </si>
  <si>
    <t>prakashmeghana@chaudhuri.com</t>
  </si>
  <si>
    <t>S007</t>
  </si>
  <si>
    <t>Dugar Ltd Mart</t>
  </si>
  <si>
    <t>Parth Radhakrishnan</t>
  </si>
  <si>
    <t>timothy91@dhaliwal-narula.com</t>
  </si>
  <si>
    <t>S008</t>
  </si>
  <si>
    <t>Palan LLC Mart</t>
  </si>
  <si>
    <t>Ekansh Palla</t>
  </si>
  <si>
    <t>keya17@kar.com</t>
  </si>
  <si>
    <t>S009</t>
  </si>
  <si>
    <t>Menon Inc Mart</t>
  </si>
  <si>
    <t>Falan Chander</t>
  </si>
  <si>
    <t>Franchise</t>
  </si>
  <si>
    <t>narulasamesh@rout.net</t>
  </si>
  <si>
    <t>S010</t>
  </si>
  <si>
    <t>Zachariah, Lanka and Manda Mart</t>
  </si>
  <si>
    <t>Mitesh Bhagat</t>
  </si>
  <si>
    <t>bishakhabumb@dalia-morar.biz</t>
  </si>
  <si>
    <t>S011</t>
  </si>
  <si>
    <t>Suresh-Lanka Mart</t>
  </si>
  <si>
    <t>Sanaya Basu</t>
  </si>
  <si>
    <t>odika93@bhat.biz</t>
  </si>
  <si>
    <t>S012</t>
  </si>
  <si>
    <t>Soman, Keer and Soni Mart</t>
  </si>
  <si>
    <t>Jai Sen</t>
  </si>
  <si>
    <t>ekaja11@ranganathan-nanda.com</t>
  </si>
  <si>
    <t>S013</t>
  </si>
  <si>
    <t>Shanker, Arora and Virk Mart</t>
  </si>
  <si>
    <t>Hitesh Chaudhuri</t>
  </si>
  <si>
    <t>anyarau@ratti.biz</t>
  </si>
  <si>
    <t>S014</t>
  </si>
  <si>
    <t>Khanna-Bawa Mart</t>
  </si>
  <si>
    <t>Vyanjana Chaudhari</t>
  </si>
  <si>
    <t>niharikasundaram@prakash.com</t>
  </si>
  <si>
    <t>S015</t>
  </si>
  <si>
    <t>Mukhopadhyay Ltd Mart</t>
  </si>
  <si>
    <t>Dalbir Krish</t>
  </si>
  <si>
    <t>khuranakashish@sehgal-goel.info</t>
  </si>
  <si>
    <t>S016</t>
  </si>
  <si>
    <t>Palla, Padmanabhan and Gade Mart</t>
  </si>
  <si>
    <t>Timothy Kar</t>
  </si>
  <si>
    <t>kapurzayyan@mody.biz</t>
  </si>
  <si>
    <t>S017</t>
  </si>
  <si>
    <t>Sharaf-Krishnan Mart</t>
  </si>
  <si>
    <t>Abhimanyu Vaidya</t>
  </si>
  <si>
    <t>ekta44@misra.net</t>
  </si>
  <si>
    <t>S018</t>
  </si>
  <si>
    <t>Bhandari PLC Mart</t>
  </si>
  <si>
    <t>Nidhi Rama</t>
  </si>
  <si>
    <t>onkar82@chatterjee-sinha.com</t>
  </si>
  <si>
    <t>S019</t>
  </si>
  <si>
    <t>Kuruvilla, Goswami and Nayak Mart</t>
  </si>
  <si>
    <t>Abha Menon</t>
  </si>
  <si>
    <t>rajchanchal@bhagat-dora.com</t>
  </si>
  <si>
    <t>S020</t>
  </si>
  <si>
    <t>Oommen Group Mart</t>
  </si>
  <si>
    <t>Dhriti Bhardwaj</t>
  </si>
  <si>
    <t>zsanghvi@sood-rajagopal.com</t>
  </si>
  <si>
    <t>S021</t>
  </si>
  <si>
    <t>Walla and Sons Mart</t>
  </si>
  <si>
    <t>Upkaar Padmanabhan</t>
  </si>
  <si>
    <t>tamanna89@nazareth.com</t>
  </si>
  <si>
    <t>S022</t>
  </si>
  <si>
    <t>Parmer-Guha Mart</t>
  </si>
  <si>
    <t>Yamini Gara</t>
  </si>
  <si>
    <t>bavajack@sawhney-rai.com</t>
  </si>
  <si>
    <t>S023</t>
  </si>
  <si>
    <t>Krishnan, Som and Dua Mart</t>
  </si>
  <si>
    <t>Omya Cheema</t>
  </si>
  <si>
    <t>ishitarout@dyal-baral.net</t>
  </si>
  <si>
    <t>S024</t>
  </si>
  <si>
    <t>Johal-Srivastava Mart</t>
  </si>
  <si>
    <t>Manthan Chana</t>
  </si>
  <si>
    <t>balveermannan@munshi-sandhu.com</t>
  </si>
  <si>
    <t>S025</t>
  </si>
  <si>
    <t>Bath Inc Mart</t>
  </si>
  <si>
    <t>Kashish Oommen</t>
  </si>
  <si>
    <t>danieldutta@saha.info</t>
  </si>
  <si>
    <t>S026</t>
  </si>
  <si>
    <t>Sarma, Golla and Raghavan Mart</t>
  </si>
  <si>
    <t>Ridhi Batra</t>
  </si>
  <si>
    <t>santyuvraj@pal-rajan.com</t>
  </si>
  <si>
    <t>S027</t>
  </si>
  <si>
    <t>Bhagat, Apte and Dugar Mart</t>
  </si>
  <si>
    <t>Arunima Bedi</t>
  </si>
  <si>
    <t>tarasanya@dani-tank.com</t>
  </si>
  <si>
    <t>S028</t>
  </si>
  <si>
    <t>Raval Group Mart</t>
  </si>
  <si>
    <t>Yashoda Jhaveri</t>
  </si>
  <si>
    <t>tpatla@comar-chatterjee.com</t>
  </si>
  <si>
    <t>S029</t>
  </si>
  <si>
    <t>Om LLC Mart</t>
  </si>
  <si>
    <t>Logan Rout</t>
  </si>
  <si>
    <t>sachdevachakradhar@dasgupta.org</t>
  </si>
  <si>
    <t>S030</t>
  </si>
  <si>
    <t>Desai, Tara and Agrawal Mart</t>
  </si>
  <si>
    <t>Kabir Chawla</t>
  </si>
  <si>
    <t>chaitaly72@sachar.net</t>
  </si>
  <si>
    <t>S031</t>
  </si>
  <si>
    <t>Murthy-Kalla Mart</t>
  </si>
  <si>
    <t>Jack Pandey</t>
  </si>
  <si>
    <t>rajmaanav@bhalla.com</t>
  </si>
  <si>
    <t>S032</t>
  </si>
  <si>
    <t>Mangat Ltd Mart</t>
  </si>
  <si>
    <t>Sneha Chaudry</t>
  </si>
  <si>
    <t>jmunshi@arya.com</t>
  </si>
  <si>
    <t>S033</t>
  </si>
  <si>
    <t>Savant and Sons Mart</t>
  </si>
  <si>
    <t>Peter Borde</t>
  </si>
  <si>
    <t>aadhyaahluwalia@shukla-dubey.com</t>
  </si>
  <si>
    <t>S034</t>
  </si>
  <si>
    <t>Naidu PLC Mart</t>
  </si>
  <si>
    <t>Eesha Vora</t>
  </si>
  <si>
    <t>timothy35@patel-memon.com</t>
  </si>
  <si>
    <t>S035</t>
  </si>
  <si>
    <t>Wali, Soman and Andra Mart</t>
  </si>
  <si>
    <t>Ekani Raj</t>
  </si>
  <si>
    <t>sbassi@hans.com</t>
  </si>
  <si>
    <t>S036</t>
  </si>
  <si>
    <t>Ganesh PLC Mart</t>
  </si>
  <si>
    <t>Ekbal Dube</t>
  </si>
  <si>
    <t>aarnareddy@seshadri-ravel.biz</t>
  </si>
  <si>
    <t>S037</t>
  </si>
  <si>
    <t>Badal-Ramachandran Mart</t>
  </si>
  <si>
    <t>Ishita Thakkar</t>
  </si>
  <si>
    <t>thomasdeshpande@raman.com</t>
  </si>
  <si>
    <t>S038</t>
  </si>
  <si>
    <t>Prakash, Apte and Dhaliwal Mart</t>
  </si>
  <si>
    <t>Dalaja Kade</t>
  </si>
  <si>
    <t>ishwargolla@bhagat.com</t>
  </si>
  <si>
    <t>S039</t>
  </si>
  <si>
    <t>Bhavsar, Krishna and Chaudhari Mart</t>
  </si>
  <si>
    <t>Bhavani Boase</t>
  </si>
  <si>
    <t>diya62@munshi.com</t>
  </si>
  <si>
    <t>S040</t>
  </si>
  <si>
    <t>Sarin, Malhotra and Parsa Mart</t>
  </si>
  <si>
    <t>Ikbal Gill</t>
  </si>
  <si>
    <t>ravelsimon@lad.net</t>
  </si>
  <si>
    <t>S041</t>
  </si>
  <si>
    <t>Dixit-Pau Mart</t>
  </si>
  <si>
    <t>Mekhala Patla</t>
  </si>
  <si>
    <t>vedaparmer@kanda.com</t>
  </si>
  <si>
    <t>S042</t>
  </si>
  <si>
    <t>Lalla LLC Mart</t>
  </si>
  <si>
    <t>Chakradhar Baral</t>
  </si>
  <si>
    <t>lpau@brahmbhatt.biz</t>
  </si>
  <si>
    <t>S043</t>
  </si>
  <si>
    <t>Varty Group Mart</t>
  </si>
  <si>
    <t>Ria Gandhi</t>
  </si>
  <si>
    <t>oeshinarayanan@comar.info</t>
  </si>
  <si>
    <t>S044</t>
  </si>
  <si>
    <t>Edwin Ltd Mart</t>
  </si>
  <si>
    <t>Krish Vala</t>
  </si>
  <si>
    <t>manderfrederick@sen.info</t>
  </si>
  <si>
    <t>S045</t>
  </si>
  <si>
    <t>Garde-Kanda Mart</t>
  </si>
  <si>
    <t>Oliver Oommen</t>
  </si>
  <si>
    <t>mdoctor@goel.org</t>
  </si>
  <si>
    <t>S046</t>
  </si>
  <si>
    <t>Barad, Wali and Thakur Mart</t>
  </si>
  <si>
    <t>Osha Prabhakar</t>
  </si>
  <si>
    <t>aachalsood@chacko.org</t>
  </si>
  <si>
    <t>S047</t>
  </si>
  <si>
    <t>Rege, Kurian and Gulati Mart</t>
  </si>
  <si>
    <t>Samesh Mutti</t>
  </si>
  <si>
    <t>anya63@subramanian-gola.com</t>
  </si>
  <si>
    <t>S048</t>
  </si>
  <si>
    <t>Sule, Kulkarni and Mohanty Mart</t>
  </si>
  <si>
    <t>Tanish Trivedi</t>
  </si>
  <si>
    <t>echakrabarti@kapadia-prabhakar.com</t>
  </si>
  <si>
    <t>S049</t>
  </si>
  <si>
    <t>Barad, Rajagopalan and Rattan Mart</t>
  </si>
  <si>
    <t>Zarna Mangal</t>
  </si>
  <si>
    <t>dugargabriel@ratta-pandit.biz</t>
  </si>
  <si>
    <t>S050</t>
  </si>
  <si>
    <t>Iyer-Vasa Mart</t>
  </si>
  <si>
    <t>Idika Malhotra</t>
  </si>
  <si>
    <t>borayahvi@oak-dada.net</t>
  </si>
  <si>
    <t>S051</t>
  </si>
  <si>
    <t>Yogi-Krishna Mart</t>
  </si>
  <si>
    <t>Ayaan Subramaniam</t>
  </si>
  <si>
    <t>lallyuvraj@chander-rastogi.com</t>
  </si>
  <si>
    <t>S052</t>
  </si>
  <si>
    <t>Gokhale Group Mart</t>
  </si>
  <si>
    <t>Ryan Keer</t>
  </si>
  <si>
    <t>brarwaida@ahuja.com</t>
  </si>
  <si>
    <t>S053</t>
  </si>
  <si>
    <t>Murty, Tailor and Maharaj Mart</t>
  </si>
  <si>
    <t>Chatura Vora</t>
  </si>
  <si>
    <t>smutti@arora.com</t>
  </si>
  <si>
    <t>S054</t>
  </si>
  <si>
    <t>Chaudhuri-Nanda Mart</t>
  </si>
  <si>
    <t>Urishilla Oza</t>
  </si>
  <si>
    <t>karankarnik@madan.net</t>
  </si>
  <si>
    <t>S055</t>
  </si>
  <si>
    <t>Raj-Hayre Mart</t>
  </si>
  <si>
    <t>Zansi Walla</t>
  </si>
  <si>
    <t>kaleaachal@char-sengupta.com</t>
  </si>
  <si>
    <t>S056</t>
  </si>
  <si>
    <t>Patel-Parsa Mart</t>
  </si>
  <si>
    <t>Owen Mane</t>
  </si>
  <si>
    <t>geetikasama@ravel.com</t>
  </si>
  <si>
    <t>S057</t>
  </si>
  <si>
    <t>Kari-Murthy Mart</t>
  </si>
  <si>
    <t>Shravya Sachdev</t>
  </si>
  <si>
    <t>bhatturvashi@bhagat.net</t>
  </si>
  <si>
    <t>S058</t>
  </si>
  <si>
    <t>Chawla LLC Mart</t>
  </si>
  <si>
    <t>Jonathan Deep</t>
  </si>
  <si>
    <t>sdeshmukh@goel.net</t>
  </si>
  <si>
    <t>S059</t>
  </si>
  <si>
    <t>Walla, Mukherjee and Palan Mart</t>
  </si>
  <si>
    <t>Abha Dugal</t>
  </si>
  <si>
    <t>amistry@master-kashyap.com</t>
  </si>
  <si>
    <t>S060</t>
  </si>
  <si>
    <t>Prakash, Gulati and Sabharwal Mart</t>
  </si>
  <si>
    <t>Fariq Sami</t>
  </si>
  <si>
    <t>labanmann@shah.info</t>
  </si>
  <si>
    <t>S061</t>
  </si>
  <si>
    <t>Swamy-Guha Mart</t>
  </si>
  <si>
    <t>Baghyawati Luthra</t>
  </si>
  <si>
    <t>wishi57@balay.com</t>
  </si>
  <si>
    <t>S062</t>
  </si>
  <si>
    <t>Lata Group Mart</t>
  </si>
  <si>
    <t>Jairaj Kothari</t>
  </si>
  <si>
    <t>ekantika20@verma.info</t>
  </si>
  <si>
    <t>S063</t>
  </si>
  <si>
    <t>Misra, Issac and Patel Mart</t>
  </si>
  <si>
    <t>Anya Dar</t>
  </si>
  <si>
    <t>xalakchand@nigam.com</t>
  </si>
  <si>
    <t>S064</t>
  </si>
  <si>
    <t>Dube, Yadav and Chhabra Mart</t>
  </si>
  <si>
    <t>Ansh Purohit</t>
  </si>
  <si>
    <t>ijayanaik@sidhu.com</t>
  </si>
  <si>
    <t>S065</t>
  </si>
  <si>
    <t>Dubey, Sengupta and Merchant Mart</t>
  </si>
  <si>
    <t>Anirudh Patla</t>
  </si>
  <si>
    <t>ekantika65@char.com</t>
  </si>
  <si>
    <t>S066</t>
  </si>
  <si>
    <t>Dayal and Sons Mart</t>
  </si>
  <si>
    <t>Vrishti Vora</t>
  </si>
  <si>
    <t>sidhudarsh@sagar-pillay.com</t>
  </si>
  <si>
    <t>S067</t>
  </si>
  <si>
    <t>Lata, Wadhwa and Baria Mart</t>
  </si>
  <si>
    <t>gsane@gole.biz</t>
  </si>
  <si>
    <t>S068</t>
  </si>
  <si>
    <t>Nazareth, Dugar and Walla Mart</t>
  </si>
  <si>
    <t>Ekiya Khosla</t>
  </si>
  <si>
    <t>maneamol@deshmukh.com</t>
  </si>
  <si>
    <t>S069</t>
  </si>
  <si>
    <t>Kala LLC Mart</t>
  </si>
  <si>
    <t>Girindra Barad</t>
  </si>
  <si>
    <t>rattateerth@brahmbhatt.com</t>
  </si>
  <si>
    <t>S070</t>
  </si>
  <si>
    <t>Chandran-Mital Mart</t>
  </si>
  <si>
    <t>Omaja Dara</t>
  </si>
  <si>
    <t>etathakkar@kant.biz</t>
  </si>
  <si>
    <t>S071</t>
  </si>
  <si>
    <t>Thaman-Chana Mart</t>
  </si>
  <si>
    <t>Vamakshi Bawa</t>
  </si>
  <si>
    <t>vinayarana@hayre.com</t>
  </si>
  <si>
    <t>S072</t>
  </si>
  <si>
    <t>Rayaan Nagi</t>
  </si>
  <si>
    <t>kaurryan@prakash.com</t>
  </si>
  <si>
    <t>S073</t>
  </si>
  <si>
    <t>Bhagat, Kibe and Divan Mart</t>
  </si>
  <si>
    <t>Garima Kadakia</t>
  </si>
  <si>
    <t>puricaleb@garde-bhasin.com</t>
  </si>
  <si>
    <t>S074</t>
  </si>
  <si>
    <t>Madan Inc Mart</t>
  </si>
  <si>
    <t>Brinda Raju</t>
  </si>
  <si>
    <t>cbains@wagle.com</t>
  </si>
  <si>
    <t>S075</t>
  </si>
  <si>
    <t>Ramaswamy-Dugar Mart</t>
  </si>
  <si>
    <t>David Kurian</t>
  </si>
  <si>
    <t>omishakhosla@dua.org</t>
  </si>
  <si>
    <t>S076</t>
  </si>
  <si>
    <t>Sen-Deep Mart</t>
  </si>
  <si>
    <t>Qushi Dhillon</t>
  </si>
  <si>
    <t>nagarodika@mitter-savant.com</t>
  </si>
  <si>
    <t>S077</t>
  </si>
  <si>
    <t>Guha Inc Mart</t>
  </si>
  <si>
    <t>Vincent Kashyap</t>
  </si>
  <si>
    <t>eswamy@gade.com</t>
  </si>
  <si>
    <t>S078</t>
  </si>
  <si>
    <t>Rege Inc Mart</t>
  </si>
  <si>
    <t>Vrishti Nair</t>
  </si>
  <si>
    <t>vermaikbal@shan-basak.com</t>
  </si>
  <si>
    <t>S079</t>
  </si>
  <si>
    <t>Yogi, Randhawa and Baral Mart</t>
  </si>
  <si>
    <t>Bhavika Shenoy</t>
  </si>
  <si>
    <t>golekrishna@sachdev-naik.info</t>
  </si>
  <si>
    <t>S080</t>
  </si>
  <si>
    <t>Gola Group Mart</t>
  </si>
  <si>
    <t>Ishaan Sengupta</t>
  </si>
  <si>
    <t>gardegautami@doctor.com</t>
  </si>
  <si>
    <t>S081</t>
  </si>
  <si>
    <t>Behl, Saini and Morar Mart</t>
  </si>
  <si>
    <t>Zehaan Arora</t>
  </si>
  <si>
    <t>crout@ahuja.net</t>
  </si>
  <si>
    <t>S082</t>
  </si>
  <si>
    <t>Johal-Bawa Mart</t>
  </si>
  <si>
    <t>Garima Chahal</t>
  </si>
  <si>
    <t>cparsa@mistry.com</t>
  </si>
  <si>
    <t>S083</t>
  </si>
  <si>
    <t>Bir-Sane Mart</t>
  </si>
  <si>
    <t>Shaurya Kadakia</t>
  </si>
  <si>
    <t>aashi89@pandya.net</t>
  </si>
  <si>
    <t>S084</t>
  </si>
  <si>
    <t>Tank, Tailor and Gole Mart</t>
  </si>
  <si>
    <t>Sarthak Sachdeva</t>
  </si>
  <si>
    <t>charita88@ahuja-comar.com</t>
  </si>
  <si>
    <t>S085</t>
  </si>
  <si>
    <t>Randhawa-Balakrishnan Mart</t>
  </si>
  <si>
    <t>Vasatika Dugal</t>
  </si>
  <si>
    <t>joshigarima@bhatti-dixit.com</t>
  </si>
  <si>
    <t>S086</t>
  </si>
  <si>
    <t>Nori Group Mart</t>
  </si>
  <si>
    <t>Divya Balay</t>
  </si>
  <si>
    <t>isaacprasad@jaggi.info</t>
  </si>
  <si>
    <t>S087</t>
  </si>
  <si>
    <t>Bakshi, Subramanian and Tella Mart</t>
  </si>
  <si>
    <t>Guneet Varty</t>
  </si>
  <si>
    <t>nathunni@chauhan.com</t>
  </si>
  <si>
    <t>S088</t>
  </si>
  <si>
    <t>Muni Ltd Mart</t>
  </si>
  <si>
    <t>Ridhi Dalal</t>
  </si>
  <si>
    <t>eiravati42@mander.com</t>
  </si>
  <si>
    <t>S089</t>
  </si>
  <si>
    <t>Nigam-Zachariah Mart</t>
  </si>
  <si>
    <t>Chatura Chadha</t>
  </si>
  <si>
    <t>shroffkaran@sidhu.info</t>
  </si>
  <si>
    <t>S090</t>
  </si>
  <si>
    <t>Shroff-Singhal Mart</t>
  </si>
  <si>
    <t>Ganga Nair</t>
  </si>
  <si>
    <t>joshua81@chhabra-nanda.net</t>
  </si>
  <si>
    <t>S091</t>
  </si>
  <si>
    <t>Bobal, Mittal and Walia Mart</t>
  </si>
  <si>
    <t>Vasatika Rajagopalan</t>
  </si>
  <si>
    <t>surishwar@sheth.info</t>
  </si>
  <si>
    <t>S092</t>
  </si>
  <si>
    <t>Morar Group Mart</t>
  </si>
  <si>
    <t>Gautam Kalla</t>
  </si>
  <si>
    <t>nhayre@nadig.biz</t>
  </si>
  <si>
    <t>S093</t>
  </si>
  <si>
    <t>Padmanabhan, Chakraborty and Anand Mart</t>
  </si>
  <si>
    <t>Jagrati Choudhary</t>
  </si>
  <si>
    <t>oscarsoman@guha.biz</t>
  </si>
  <si>
    <t>S094</t>
  </si>
  <si>
    <t>Sahni-Dube Mart</t>
  </si>
  <si>
    <t>Rajeshri Deshpande</t>
  </si>
  <si>
    <t>wrajagopalan@grewal.org</t>
  </si>
  <si>
    <t>S095</t>
  </si>
  <si>
    <t>Tara Ltd Mart</t>
  </si>
  <si>
    <t>Baljiwan Subramanian</t>
  </si>
  <si>
    <t>virkgaurang@sodhi.com</t>
  </si>
  <si>
    <t>S096</t>
  </si>
  <si>
    <t>Zacharia, Muni and Bera Mart</t>
  </si>
  <si>
    <t>Oviya Pandit</t>
  </si>
  <si>
    <t>charanmanne@bala.com</t>
  </si>
  <si>
    <t>S097</t>
  </si>
  <si>
    <t>Tiwari Inc Mart</t>
  </si>
  <si>
    <t>Isaac Ghosh</t>
  </si>
  <si>
    <t>frado29@tandon.biz</t>
  </si>
  <si>
    <t>S098</t>
  </si>
  <si>
    <t>Sarraf Ltd Mart</t>
  </si>
  <si>
    <t>Oliver Shetty</t>
  </si>
  <si>
    <t>sarora@raja-mutti.net</t>
  </si>
  <si>
    <t>S099</t>
  </si>
  <si>
    <t>Barman, Chatterjee and Wali Mart</t>
  </si>
  <si>
    <t>Aadhya Raman</t>
  </si>
  <si>
    <t>aroranisha@vohra.info</t>
  </si>
  <si>
    <t>S100</t>
  </si>
  <si>
    <t>Kanda-Mander Mart</t>
  </si>
  <si>
    <t>Jairaj Dar</t>
  </si>
  <si>
    <t>settyaradhana@naik-kurian.com</t>
  </si>
  <si>
    <t>Stores Columns</t>
  </si>
  <si>
    <t>Store ID</t>
  </si>
  <si>
    <t>New StoreID</t>
  </si>
  <si>
    <t>CustomerID2</t>
  </si>
  <si>
    <t>ProductID3</t>
  </si>
  <si>
    <t>City4</t>
  </si>
  <si>
    <t>State5</t>
  </si>
  <si>
    <t>Pincode6</t>
  </si>
  <si>
    <t>Email7</t>
  </si>
  <si>
    <t>Missing Data</t>
  </si>
  <si>
    <t>Total Data</t>
  </si>
  <si>
    <t>Missing</t>
  </si>
  <si>
    <t>Total</t>
  </si>
  <si>
    <t>Missing %</t>
  </si>
  <si>
    <t>Columns</t>
  </si>
  <si>
    <t>Total Orders</t>
  </si>
  <si>
    <t>Total Customers</t>
  </si>
  <si>
    <t>Total Products</t>
  </si>
  <si>
    <t>Total Qty Sold</t>
  </si>
  <si>
    <t>Medium/Avg Unit price</t>
  </si>
  <si>
    <t>Reveune</t>
  </si>
  <si>
    <t>Final Amount</t>
  </si>
  <si>
    <t>Profit</t>
  </si>
  <si>
    <t>Total Profit</t>
  </si>
  <si>
    <t>Total Revenue</t>
  </si>
  <si>
    <t>Discounted Sales</t>
  </si>
  <si>
    <t>Avg Discount Applied</t>
  </si>
  <si>
    <t>Avg Shipping Charges</t>
  </si>
  <si>
    <t>Gender Ratio</t>
  </si>
  <si>
    <t>Total Loyalty Points</t>
  </si>
  <si>
    <t>Total Stock</t>
  </si>
  <si>
    <t>Avg Product Rating</t>
  </si>
  <si>
    <t>Active Stores</t>
  </si>
  <si>
    <t>KPI's</t>
  </si>
  <si>
    <t>Avg  DiscountApplied</t>
  </si>
  <si>
    <t>Average of ShippingCharges</t>
  </si>
  <si>
    <t>Total StockQty</t>
  </si>
  <si>
    <t>Total Reveune</t>
  </si>
  <si>
    <t>Row Labels</t>
  </si>
  <si>
    <t>Grand Total</t>
  </si>
  <si>
    <t>Sum of Reveune</t>
  </si>
  <si>
    <t>Column Labels</t>
  </si>
  <si>
    <t>2024</t>
  </si>
  <si>
    <t>2025</t>
  </si>
  <si>
    <t>Qtr3</t>
  </si>
  <si>
    <t>Qtr4</t>
  </si>
  <si>
    <t>Qtr1</t>
  </si>
  <si>
    <t>Qtr2</t>
  </si>
  <si>
    <t>Jul</t>
  </si>
  <si>
    <t>Aug</t>
  </si>
  <si>
    <t>Sep</t>
  </si>
  <si>
    <t>Oct</t>
  </si>
  <si>
    <t>Nov</t>
  </si>
  <si>
    <t>Dec</t>
  </si>
  <si>
    <t>Jan</t>
  </si>
  <si>
    <t>Feb</t>
  </si>
  <si>
    <t>Mar</t>
  </si>
  <si>
    <t>Apr</t>
  </si>
  <si>
    <t>May</t>
  </si>
  <si>
    <t>Jun</t>
  </si>
  <si>
    <t>Highest Sub-Category</t>
  </si>
  <si>
    <t>Revenue %</t>
  </si>
  <si>
    <t>Revenue</t>
  </si>
  <si>
    <t>has contributed highest revenue</t>
  </si>
  <si>
    <t xml:space="preserve">which is </t>
  </si>
  <si>
    <t>of overall Revenue</t>
  </si>
  <si>
    <t>Lowest Sub-Category</t>
  </si>
  <si>
    <t>Amongst all Sub-Category</t>
  </si>
  <si>
    <t>Performing Lowest</t>
  </si>
  <si>
    <t>DYNAMIC INSIGHTS &amp; OUTCOMES</t>
  </si>
  <si>
    <t>Brand Name</t>
  </si>
  <si>
    <t>Rank</t>
  </si>
  <si>
    <t>Brand name</t>
  </si>
  <si>
    <t>Top N Brand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</si>
</sst>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quot;M&quot;"/>
    <numFmt numFmtId="166" formatCode="0.0,&quot;k&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theme="4"/>
      <name val="Calibri"/>
      <family val="2"/>
      <scheme val="minor"/>
    </font>
    <font>
      <sz val="11"/>
      <name val="Calibri"/>
      <family val="2"/>
      <scheme val="minor"/>
    </font>
    <font>
      <b/>
      <sz val="18"/>
      <color rgb="FFFF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0" fontId="0" fillId="0" borderId="0" xfId="0" applyAlignment="1">
      <alignment horizontal="center"/>
    </xf>
    <xf numFmtId="0" fontId="16" fillId="33" borderId="0" xfId="0" applyFont="1" applyFill="1" applyAlignment="1">
      <alignment horizontal="center"/>
    </xf>
    <xf numFmtId="0" fontId="16" fillId="34" borderId="0" xfId="0" applyFont="1" applyFill="1" applyAlignment="1">
      <alignment horizontal="center"/>
    </xf>
    <xf numFmtId="0" fontId="16" fillId="35" borderId="0" xfId="0" applyFont="1" applyFill="1" applyAlignment="1">
      <alignment horizontal="center"/>
    </xf>
    <xf numFmtId="0" fontId="0" fillId="36" borderId="0" xfId="0" applyFill="1" applyAlignment="1">
      <alignment horizontal="center"/>
    </xf>
    <xf numFmtId="0" fontId="16" fillId="0" borderId="10" xfId="0" applyFont="1" applyBorder="1" applyAlignment="1">
      <alignment horizontal="center"/>
    </xf>
    <xf numFmtId="0" fontId="0" fillId="0" borderId="10" xfId="0" applyBorder="1" applyAlignment="1">
      <alignment horizontal="center"/>
    </xf>
    <xf numFmtId="9" fontId="0" fillId="0" borderId="10" xfId="42" applyFont="1" applyBorder="1" applyAlignment="1">
      <alignment horizontal="center"/>
    </xf>
    <xf numFmtId="0" fontId="0" fillId="0" borderId="11" xfId="0" applyBorder="1" applyAlignment="1">
      <alignment horizontal="center"/>
    </xf>
    <xf numFmtId="0" fontId="0" fillId="33" borderId="0" xfId="0" applyFill="1"/>
    <xf numFmtId="164" fontId="0" fillId="0" borderId="0" xfId="0" applyNumberFormat="1" applyAlignment="1">
      <alignment horizontal="center"/>
    </xf>
    <xf numFmtId="164" fontId="0" fillId="0" borderId="0" xfId="0" applyNumberFormat="1"/>
    <xf numFmtId="14"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NumberFormat="1"/>
    <xf numFmtId="165" fontId="0" fillId="0" borderId="0" xfId="0" applyNumberFormat="1" applyAlignment="1">
      <alignment horizontal="center"/>
    </xf>
    <xf numFmtId="165" fontId="0" fillId="0" borderId="0" xfId="0" applyNumberFormat="1" applyAlignment="1"/>
    <xf numFmtId="166" fontId="0" fillId="0" borderId="0" xfId="0" applyNumberFormat="1" applyAlignment="1">
      <alignment horizontal="center"/>
    </xf>
    <xf numFmtId="9" fontId="0" fillId="0" borderId="0" xfId="42" applyFont="1"/>
    <xf numFmtId="9" fontId="0" fillId="0" borderId="0" xfId="0" applyNumberFormat="1" applyAlignment="1">
      <alignment horizontal="center"/>
    </xf>
    <xf numFmtId="9" fontId="0" fillId="0" borderId="0" xfId="42" applyFont="1" applyAlignment="1">
      <alignment horizontal="center"/>
    </xf>
    <xf numFmtId="0" fontId="16" fillId="0" borderId="0" xfId="0" applyFont="1"/>
    <xf numFmtId="0" fontId="19" fillId="0" borderId="0" xfId="0" applyFont="1"/>
    <xf numFmtId="165" fontId="19" fillId="0" borderId="0" xfId="0" applyNumberFormat="1" applyFont="1" applyAlignment="1">
      <alignment horizontal="center"/>
    </xf>
    <xf numFmtId="9" fontId="19" fillId="0" borderId="0" xfId="0" applyNumberFormat="1" applyFont="1" applyAlignment="1">
      <alignment horizontal="left"/>
    </xf>
    <xf numFmtId="0" fontId="0" fillId="0" borderId="0" xfId="0" applyAlignment="1">
      <alignment horizontal="center" vertical="center"/>
    </xf>
    <xf numFmtId="165" fontId="0" fillId="0" borderId="0" xfId="0" applyNumberFormat="1" applyAlignment="1">
      <alignment horizontal="center" vertical="center"/>
    </xf>
    <xf numFmtId="164" fontId="0" fillId="0" borderId="0" xfId="42" applyNumberFormat="1" applyFont="1" applyAlignment="1">
      <alignment horizontal="center" vertical="center"/>
    </xf>
    <xf numFmtId="165" fontId="20" fillId="0" borderId="0" xfId="0" applyNumberFormat="1" applyFont="1" applyAlignment="1">
      <alignment horizontal="center"/>
    </xf>
    <xf numFmtId="166" fontId="20" fillId="0" borderId="0" xfId="0" applyNumberFormat="1" applyFont="1" applyAlignment="1">
      <alignment horizontal="center"/>
    </xf>
    <xf numFmtId="0" fontId="16" fillId="0" borderId="0" xfId="0" applyFont="1" applyAlignment="1">
      <alignment horizontal="center"/>
    </xf>
    <xf numFmtId="0" fontId="21" fillId="0" borderId="0" xfId="0"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72">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0" formatCode="General"/>
      <alignment horizontal="center" vertical="bottom" textRotation="0" wrapText="0" indent="0" justifyLastLine="0" shrinkToFit="0" readingOrder="0"/>
    </dxf>
    <dxf>
      <numFmt numFmtId="19" formatCode="dd/mm/yyyy"/>
    </dxf>
    <dxf>
      <numFmt numFmtId="19" formatCode="dd/mm/yyyy"/>
    </dxf>
    <dxf>
      <numFmt numFmtId="19" formatCode="dd/mm/yyyy"/>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font>
        <color rgb="FF9C0006"/>
      </font>
      <fill>
        <patternFill>
          <bgColor rgb="FFFFC7CE"/>
        </patternFill>
      </fill>
    </dxf>
    <dxf>
      <numFmt numFmtId="165" formatCode="0.00,,&quot;M&quot;"/>
    </dxf>
    <dxf>
      <numFmt numFmtId="165" formatCode="0.00,,&quot;M&quot;"/>
    </dxf>
    <dxf>
      <alignment horizontal="center"/>
    </dxf>
    <dxf>
      <alignment horizontal="center"/>
    </dxf>
    <dxf>
      <alignment horizontal="center"/>
    </dxf>
    <dxf>
      <numFmt numFmtId="164" formatCode="0.0"/>
    </dxf>
    <dxf>
      <numFmt numFmtId="165" formatCode="0.00,,&quot;M&quot;"/>
      <alignment horizontal="general" vertical="bottom" textRotation="0" wrapText="0" indent="0" justifyLastLine="0" shrinkToFit="0" readingOrder="0"/>
    </dxf>
    <dxf>
      <numFmt numFmtId="166" formatCode="0.0,&quot;k&quot;"/>
    </dxf>
    <dxf>
      <numFmt numFmtId="166" formatCode="0.0,&quot;k&quot;"/>
    </dxf>
    <dxf>
      <numFmt numFmtId="13" formatCode="0%"/>
    </dxf>
    <dxf>
      <numFmt numFmtId="165" formatCode="0.00,,&quot;M&quot;"/>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[Orders.xlsx]All Pivot Table!PivotTable1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latin typeface="Times New Roman" panose="02020603050405020304" pitchFamily="18" charset="0"/>
                <a:cs typeface="Times New Roman" panose="02020603050405020304" pitchFamily="18" charset="0"/>
              </a:rPr>
              <a:t>City</a:t>
            </a:r>
            <a:r>
              <a:rPr lang="en-IN" sz="1400" baseline="0">
                <a:latin typeface="Times New Roman" panose="02020603050405020304" pitchFamily="18" charset="0"/>
                <a:cs typeface="Times New Roman" panose="02020603050405020304" pitchFamily="18" charset="0"/>
              </a:rPr>
              <a:t> Wise Sales</a:t>
            </a:r>
            <a:endParaRPr lang="en-IN" sz="14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Table'!$B$11:$B$12</c:f>
              <c:strCache>
                <c:ptCount val="1"/>
                <c:pt idx="0">
                  <c:v>Bangalore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Table'!$B$13</c:f>
              <c:numCache>
                <c:formatCode>0.00,,"M"</c:formatCode>
                <c:ptCount val="1"/>
                <c:pt idx="0">
                  <c:v>554765</c:v>
                </c:pt>
              </c:numCache>
            </c:numRef>
          </c:val>
          <c:extLst>
            <c:ext xmlns:c16="http://schemas.microsoft.com/office/drawing/2014/chart" uri="{C3380CC4-5D6E-409C-BE32-E72D297353CC}">
              <c16:uniqueId val="{00000000-0D2B-49EA-A82D-E136E302BE84}"/>
            </c:ext>
          </c:extLst>
        </c:ser>
        <c:ser>
          <c:idx val="1"/>
          <c:order val="1"/>
          <c:tx>
            <c:strRef>
              <c:f>'All Pivot Table'!$C$11:$C$12</c:f>
              <c:strCache>
                <c:ptCount val="1"/>
                <c:pt idx="0">
                  <c:v>Chennai</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Table'!$C$13</c:f>
              <c:numCache>
                <c:formatCode>0.00,,"M"</c:formatCode>
                <c:ptCount val="1"/>
                <c:pt idx="0">
                  <c:v>984489</c:v>
                </c:pt>
              </c:numCache>
            </c:numRef>
          </c:val>
          <c:extLst>
            <c:ext xmlns:c16="http://schemas.microsoft.com/office/drawing/2014/chart" uri="{C3380CC4-5D6E-409C-BE32-E72D297353CC}">
              <c16:uniqueId val="{00000001-0D2B-49EA-A82D-E136E302BE84}"/>
            </c:ext>
          </c:extLst>
        </c:ser>
        <c:ser>
          <c:idx val="2"/>
          <c:order val="2"/>
          <c:tx>
            <c:strRef>
              <c:f>'All Pivot Table'!$D$11:$D$12</c:f>
              <c:strCache>
                <c:ptCount val="1"/>
                <c:pt idx="0">
                  <c:v>Lucknow</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Table'!$D$13</c:f>
              <c:numCache>
                <c:formatCode>0.00,,"M"</c:formatCode>
                <c:ptCount val="1"/>
                <c:pt idx="0">
                  <c:v>1038969</c:v>
                </c:pt>
              </c:numCache>
            </c:numRef>
          </c:val>
          <c:extLst>
            <c:ext xmlns:c16="http://schemas.microsoft.com/office/drawing/2014/chart" uri="{C3380CC4-5D6E-409C-BE32-E72D297353CC}">
              <c16:uniqueId val="{00000002-0D2B-49EA-A82D-E136E302BE84}"/>
            </c:ext>
          </c:extLst>
        </c:ser>
        <c:ser>
          <c:idx val="3"/>
          <c:order val="3"/>
          <c:tx>
            <c:strRef>
              <c:f>'All Pivot Table'!$E$11:$E$12</c:f>
              <c:strCache>
                <c:ptCount val="1"/>
                <c:pt idx="0">
                  <c:v>Hyderabad</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Table'!$E$13</c:f>
              <c:numCache>
                <c:formatCode>0.00,,"M"</c:formatCode>
                <c:ptCount val="1"/>
                <c:pt idx="0">
                  <c:v>1187489</c:v>
                </c:pt>
              </c:numCache>
            </c:numRef>
          </c:val>
          <c:extLst>
            <c:ext xmlns:c16="http://schemas.microsoft.com/office/drawing/2014/chart" uri="{C3380CC4-5D6E-409C-BE32-E72D297353CC}">
              <c16:uniqueId val="{00000003-0D2B-49EA-A82D-E136E302BE84}"/>
            </c:ext>
          </c:extLst>
        </c:ser>
        <c:ser>
          <c:idx val="4"/>
          <c:order val="4"/>
          <c:tx>
            <c:strRef>
              <c:f>'All Pivot Table'!$F$11:$F$12</c:f>
              <c:strCache>
                <c:ptCount val="1"/>
                <c:pt idx="0">
                  <c:v>Ahmedabad</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Table'!$F$13</c:f>
              <c:numCache>
                <c:formatCode>0.00,,"M"</c:formatCode>
                <c:ptCount val="1"/>
                <c:pt idx="0">
                  <c:v>1299362</c:v>
                </c:pt>
              </c:numCache>
            </c:numRef>
          </c:val>
          <c:extLst>
            <c:ext xmlns:c16="http://schemas.microsoft.com/office/drawing/2014/chart" uri="{C3380CC4-5D6E-409C-BE32-E72D297353CC}">
              <c16:uniqueId val="{00000004-0D2B-49EA-A82D-E136E302BE84}"/>
            </c:ext>
          </c:extLst>
        </c:ser>
        <c:ser>
          <c:idx val="5"/>
          <c:order val="5"/>
          <c:tx>
            <c:strRef>
              <c:f>'All Pivot Table'!$G$11:$G$12</c:f>
              <c:strCache>
                <c:ptCount val="1"/>
                <c:pt idx="0">
                  <c:v>Mumbai</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Table'!$G$13</c:f>
              <c:numCache>
                <c:formatCode>0.00,,"M"</c:formatCode>
                <c:ptCount val="1"/>
                <c:pt idx="0">
                  <c:v>1562489</c:v>
                </c:pt>
              </c:numCache>
            </c:numRef>
          </c:val>
          <c:extLst>
            <c:ext xmlns:c16="http://schemas.microsoft.com/office/drawing/2014/chart" uri="{C3380CC4-5D6E-409C-BE32-E72D297353CC}">
              <c16:uniqueId val="{00000005-0D2B-49EA-A82D-E136E302BE84}"/>
            </c:ext>
          </c:extLst>
        </c:ser>
        <c:ser>
          <c:idx val="6"/>
          <c:order val="6"/>
          <c:tx>
            <c:strRef>
              <c:f>'All Pivot Table'!$H$11:$H$12</c:f>
              <c:strCache>
                <c:ptCount val="1"/>
                <c:pt idx="0">
                  <c:v>Pune</c:v>
                </c:pt>
              </c:strCache>
            </c:strRef>
          </c:tx>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Table'!$H$13</c:f>
              <c:numCache>
                <c:formatCode>0.00,,"M"</c:formatCode>
                <c:ptCount val="1"/>
                <c:pt idx="0">
                  <c:v>1965577</c:v>
                </c:pt>
              </c:numCache>
            </c:numRef>
          </c:val>
          <c:extLst>
            <c:ext xmlns:c16="http://schemas.microsoft.com/office/drawing/2014/chart" uri="{C3380CC4-5D6E-409C-BE32-E72D297353CC}">
              <c16:uniqueId val="{0000002A-D796-47B7-9376-FF4FBD491FBC}"/>
            </c:ext>
          </c:extLst>
        </c:ser>
        <c:ser>
          <c:idx val="7"/>
          <c:order val="7"/>
          <c:tx>
            <c:strRef>
              <c:f>'All Pivot Table'!$I$11:$I$12</c:f>
              <c:strCache>
                <c:ptCount val="1"/>
                <c:pt idx="0">
                  <c:v>Delhi</c:v>
                </c:pt>
              </c:strCache>
            </c:strRef>
          </c:tx>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Table'!$I$13</c:f>
              <c:numCache>
                <c:formatCode>0.00,,"M"</c:formatCode>
                <c:ptCount val="1"/>
                <c:pt idx="0">
                  <c:v>2121333</c:v>
                </c:pt>
              </c:numCache>
            </c:numRef>
          </c:val>
          <c:extLst>
            <c:ext xmlns:c16="http://schemas.microsoft.com/office/drawing/2014/chart" uri="{C3380CC4-5D6E-409C-BE32-E72D297353CC}">
              <c16:uniqueId val="{0000002B-D796-47B7-9376-FF4FBD491FBC}"/>
            </c:ext>
          </c:extLst>
        </c:ser>
        <c:ser>
          <c:idx val="8"/>
          <c:order val="8"/>
          <c:tx>
            <c:strRef>
              <c:f>'All Pivot Table'!$J$11:$J$12</c:f>
              <c:strCache>
                <c:ptCount val="1"/>
                <c:pt idx="0">
                  <c:v>Kolkata</c:v>
                </c:pt>
              </c:strCache>
            </c:strRef>
          </c:tx>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Table'!$J$13</c:f>
              <c:numCache>
                <c:formatCode>0.00,,"M"</c:formatCode>
                <c:ptCount val="1"/>
                <c:pt idx="0">
                  <c:v>2431637</c:v>
                </c:pt>
              </c:numCache>
            </c:numRef>
          </c:val>
          <c:extLst>
            <c:ext xmlns:c16="http://schemas.microsoft.com/office/drawing/2014/chart" uri="{C3380CC4-5D6E-409C-BE32-E72D297353CC}">
              <c16:uniqueId val="{0000002C-D796-47B7-9376-FF4FBD491FBC}"/>
            </c:ext>
          </c:extLst>
        </c:ser>
        <c:ser>
          <c:idx val="9"/>
          <c:order val="9"/>
          <c:tx>
            <c:strRef>
              <c:f>'All Pivot Table'!$K$11:$K$12</c:f>
              <c:strCache>
                <c:ptCount val="1"/>
                <c:pt idx="0">
                  <c:v>Jaipur</c:v>
                </c:pt>
              </c:strCache>
            </c:strRef>
          </c:tx>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'All Pivot Table'!$A$13</c:f>
              <c:strCache>
                <c:ptCount val="1"/>
                <c:pt idx="0">
                  <c:v>Total</c:v>
                </c:pt>
              </c:strCache>
            </c:strRef>
          </c:cat>
          <c:val>
            <c:numRef>
              <c:f>'All Pivot Table'!$K$13</c:f>
              <c:numCache>
                <c:formatCode>0.00,,"M"</c:formatCode>
                <c:ptCount val="1"/>
                <c:pt idx="0">
                  <c:v>3043472</c:v>
                </c:pt>
              </c:numCache>
            </c:numRef>
          </c:val>
          <c:extLst>
            <c:ext xmlns:c16="http://schemas.microsoft.com/office/drawing/2014/chart" uri="{C3380CC4-5D6E-409C-BE32-E72D297353CC}">
              <c16:uniqueId val="{0000002E-D796-47B7-9376-FF4FBD491FBC}"/>
            </c:ext>
          </c:extLst>
        </c:ser>
        <c:dLbls>
          <c:dLblPos val="inEnd"/>
          <c:showLegendKey val="0"/>
          <c:showVal val="1"/>
          <c:showCatName val="0"/>
          <c:showSerName val="0"/>
          <c:showPercent val="0"/>
          <c:showBubbleSize val="0"/>
        </c:dLbls>
        <c:gapWidth val="100"/>
        <c:overlap val="-24"/>
        <c:axId val="1791565455"/>
        <c:axId val="1791567855"/>
      </c:barChart>
      <c:catAx>
        <c:axId val="17915654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1567855"/>
        <c:crosses val="autoZero"/>
        <c:auto val="1"/>
        <c:lblAlgn val="ctr"/>
        <c:lblOffset val="100"/>
        <c:noMultiLvlLbl val="0"/>
      </c:catAx>
      <c:valAx>
        <c:axId val="1791567855"/>
        <c:scaling>
          <c:orientation val="minMax"/>
        </c:scaling>
        <c:delete val="0"/>
        <c:axPos val="l"/>
        <c:majorGridlines>
          <c:spPr>
            <a:ln w="9525" cap="flat" cmpd="sng" algn="ctr">
              <a:no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156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[Orders.xlsx]All 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latin typeface="Times New Roman" panose="02020603050405020304" pitchFamily="18" charset="0"/>
                <a:cs typeface="Times New Roman" panose="02020603050405020304" pitchFamily="18" charset="0"/>
              </a:rPr>
              <a:t>Category</a:t>
            </a:r>
            <a:r>
              <a:rPr lang="en-US" sz="1200" baseline="0">
                <a:latin typeface="Times New Roman" panose="02020603050405020304" pitchFamily="18" charset="0"/>
                <a:cs typeface="Times New Roman" panose="02020603050405020304" pitchFamily="18" charset="0"/>
              </a:rPr>
              <a:t> Wise Revenue Distribution</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'All Pivot Table'!$B$23</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538-4AE4-8051-DDBAEFC03A3F}"/>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538-4AE4-8051-DDBAEFC03A3F}"/>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538-4AE4-8051-DDBAEFC03A3F}"/>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6538-4AE4-8051-DDBAEFC03A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'All Pivot Table'!$A$24:$A$28</c:f>
              <c:strCache>
                <c:ptCount val="4"/>
                <c:pt idx="0">
                  <c:v>Electronics</c:v>
                </c:pt>
                <c:pt idx="1">
                  <c:v>Fashion</c:v>
                </c:pt>
                <c:pt idx="2">
                  <c:v>Grocery</c:v>
                </c:pt>
                <c:pt idx="3">
                  <c:v>Home Appliance</c:v>
                </c:pt>
              </c:strCache>
            </c:strRef>
          </c:cat>
          <c:val>
            <c:numRef>
              <c:f>'All Pivot Table'!$B$24:$B$28</c:f>
              <c:numCache>
                <c:formatCode>General</c:formatCode>
                <c:ptCount val="4"/>
                <c:pt idx="0">
                  <c:v>4612379</c:v>
                </c:pt>
                <c:pt idx="1">
                  <c:v>4442628</c:v>
                </c:pt>
                <c:pt idx="2">
                  <c:v>4100483</c:v>
                </c:pt>
                <c:pt idx="3">
                  <c:v>3034092</c:v>
                </c:pt>
              </c:numCache>
            </c:numRef>
          </c:val>
          <c:extLst>
            <c:ext xmlns:c16="http://schemas.microsoft.com/office/drawing/2014/chart" uri="{C3380CC4-5D6E-409C-BE32-E72D297353CC}">
              <c16:uniqueId val="{00000008-6538-4AE4-8051-DDBAEFC03A3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[Orders.xlsx]All Pivot Table!PivotTable4</c:name>
    <c:fmtId val="5"/>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IN" sz="1400" b="1">
                <a:latin typeface="Times New Roman" panose="02020603050405020304" pitchFamily="18" charset="0"/>
                <a:cs typeface="Times New Roman" panose="02020603050405020304" pitchFamily="18" charset="0"/>
              </a:rPr>
              <a:t>Sub-Category</a:t>
            </a:r>
            <a:r>
              <a:rPr lang="en-IN" sz="1400" b="1" baseline="0">
                <a:latin typeface="Times New Roman" panose="02020603050405020304" pitchFamily="18" charset="0"/>
                <a:cs typeface="Times New Roman" panose="02020603050405020304" pitchFamily="18" charset="0"/>
              </a:rPr>
              <a:t> Wise Revenue</a:t>
            </a:r>
            <a:endParaRPr lang="en-IN"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Pivot Table'!$B$34:$B$35</c:f>
              <c:strCache>
                <c:ptCount val="1"/>
                <c:pt idx="0">
                  <c:v>Organic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Table'!$A$36</c:f>
              <c:strCache>
                <c:ptCount val="1"/>
                <c:pt idx="0">
                  <c:v>Total</c:v>
                </c:pt>
              </c:strCache>
            </c:strRef>
          </c:cat>
          <c:val>
            <c:numRef>
              <c:f>'All Pivot Table'!$B$36</c:f>
              <c:numCache>
                <c:formatCode>0.00,,"M"</c:formatCode>
                <c:ptCount val="1"/>
                <c:pt idx="0">
                  <c:v>1773553</c:v>
                </c:pt>
              </c:numCache>
            </c:numRef>
          </c:val>
          <c:extLst>
            <c:ext xmlns:c16="http://schemas.microsoft.com/office/drawing/2014/chart" uri="{C3380CC4-5D6E-409C-BE32-E72D297353CC}">
              <c16:uniqueId val="{00000000-9A34-48C4-8B92-9B79257C20CC}"/>
            </c:ext>
          </c:extLst>
        </c:ser>
        <c:ser>
          <c:idx val="1"/>
          <c:order val="1"/>
          <c:tx>
            <c:strRef>
              <c:f>'All Pivot Table'!$C$34:$C$35</c:f>
              <c:strCache>
                <c:ptCount val="1"/>
                <c:pt idx="0">
                  <c:v>Smart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Table'!$A$36</c:f>
              <c:strCache>
                <c:ptCount val="1"/>
                <c:pt idx="0">
                  <c:v>Total</c:v>
                </c:pt>
              </c:strCache>
            </c:strRef>
          </c:cat>
          <c:val>
            <c:numRef>
              <c:f>'All Pivot Table'!$C$36</c:f>
              <c:numCache>
                <c:formatCode>0.00,,"M"</c:formatCode>
                <c:ptCount val="1"/>
                <c:pt idx="0">
                  <c:v>2052131</c:v>
                </c:pt>
              </c:numCache>
            </c:numRef>
          </c:val>
          <c:extLst>
            <c:ext xmlns:c16="http://schemas.microsoft.com/office/drawing/2014/chart" uri="{C3380CC4-5D6E-409C-BE32-E72D297353CC}">
              <c16:uniqueId val="{00000001-9A34-48C4-8B92-9B79257C20CC}"/>
            </c:ext>
          </c:extLst>
        </c:ser>
        <c:ser>
          <c:idx val="2"/>
          <c:order val="2"/>
          <c:tx>
            <c:strRef>
              <c:f>'All Pivot Table'!$D$34:$D$35</c:f>
              <c:strCache>
                <c:ptCount val="1"/>
                <c:pt idx="0">
                  <c:v>LED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Table'!$A$36</c:f>
              <c:strCache>
                <c:ptCount val="1"/>
                <c:pt idx="0">
                  <c:v>Total</c:v>
                </c:pt>
              </c:strCache>
            </c:strRef>
          </c:cat>
          <c:val>
            <c:numRef>
              <c:f>'All Pivot Table'!$D$36</c:f>
              <c:numCache>
                <c:formatCode>0.00,,"M"</c:formatCode>
                <c:ptCount val="1"/>
                <c:pt idx="0">
                  <c:v>2055017</c:v>
                </c:pt>
              </c:numCache>
            </c:numRef>
          </c:val>
          <c:extLst>
            <c:ext xmlns:c16="http://schemas.microsoft.com/office/drawing/2014/chart" uri="{C3380CC4-5D6E-409C-BE32-E72D297353CC}">
              <c16:uniqueId val="{00000002-9A34-48C4-8B92-9B79257C20CC}"/>
            </c:ext>
          </c:extLst>
        </c:ser>
        <c:ser>
          <c:idx val="3"/>
          <c:order val="3"/>
          <c:tx>
            <c:strRef>
              <c:f>'All Pivot Table'!$E$34:$E$35</c:f>
              <c:strCache>
                <c:ptCount val="1"/>
                <c:pt idx="0">
                  <c:v>Android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Table'!$A$36</c:f>
              <c:strCache>
                <c:ptCount val="1"/>
                <c:pt idx="0">
                  <c:v>Total</c:v>
                </c:pt>
              </c:strCache>
            </c:strRef>
          </c:cat>
          <c:val>
            <c:numRef>
              <c:f>'All Pivot Table'!$E$36</c:f>
              <c:numCache>
                <c:formatCode>0.00,,"M"</c:formatCode>
                <c:ptCount val="1"/>
                <c:pt idx="0">
                  <c:v>2343455</c:v>
                </c:pt>
              </c:numCache>
            </c:numRef>
          </c:val>
          <c:extLst>
            <c:ext xmlns:c16="http://schemas.microsoft.com/office/drawing/2014/chart" uri="{C3380CC4-5D6E-409C-BE32-E72D297353CC}">
              <c16:uniqueId val="{00000003-9A34-48C4-8B92-9B79257C20CC}"/>
            </c:ext>
          </c:extLst>
        </c:ser>
        <c:ser>
          <c:idx val="4"/>
          <c:order val="4"/>
          <c:tx>
            <c:strRef>
              <c:f>'All Pivot Table'!$F$34:$F$35</c:f>
              <c:strCache>
                <c:ptCount val="1"/>
                <c:pt idx="0">
                  <c:v>Notebook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Table'!$A$36</c:f>
              <c:strCache>
                <c:ptCount val="1"/>
                <c:pt idx="0">
                  <c:v>Total</c:v>
                </c:pt>
              </c:strCache>
            </c:strRef>
          </c:cat>
          <c:val>
            <c:numRef>
              <c:f>'All Pivot Table'!$F$36</c:f>
              <c:numCache>
                <c:formatCode>0.00,,"M"</c:formatCode>
                <c:ptCount val="1"/>
                <c:pt idx="0">
                  <c:v>3239446</c:v>
                </c:pt>
              </c:numCache>
            </c:numRef>
          </c:val>
          <c:extLst>
            <c:ext xmlns:c16="http://schemas.microsoft.com/office/drawing/2014/chart" uri="{C3380CC4-5D6E-409C-BE32-E72D297353CC}">
              <c16:uniqueId val="{00000004-9A34-48C4-8B92-9B79257C20CC}"/>
            </c:ext>
          </c:extLst>
        </c:ser>
        <c:ser>
          <c:idx val="5"/>
          <c:order val="5"/>
          <c:tx>
            <c:strRef>
              <c:f>'All Pivot Table'!$G$34:$G$35</c:f>
              <c:strCache>
                <c:ptCount val="1"/>
                <c:pt idx="0">
                  <c:v>Cotton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Table'!$A$36</c:f>
              <c:strCache>
                <c:ptCount val="1"/>
                <c:pt idx="0">
                  <c:v>Total</c:v>
                </c:pt>
              </c:strCache>
            </c:strRef>
          </c:cat>
          <c:val>
            <c:numRef>
              <c:f>'All Pivot Table'!$G$36</c:f>
              <c:numCache>
                <c:formatCode>0.00,,"M"</c:formatCode>
                <c:ptCount val="1"/>
                <c:pt idx="0">
                  <c:v>4725980</c:v>
                </c:pt>
              </c:numCache>
            </c:numRef>
          </c:val>
          <c:extLst>
            <c:ext xmlns:c16="http://schemas.microsoft.com/office/drawing/2014/chart" uri="{C3380CC4-5D6E-409C-BE32-E72D297353CC}">
              <c16:uniqueId val="{0000000B-5173-4974-8595-42A6D617E5B4}"/>
            </c:ext>
          </c:extLst>
        </c:ser>
        <c:dLbls>
          <c:showLegendKey val="0"/>
          <c:showVal val="1"/>
          <c:showCatName val="0"/>
          <c:showSerName val="0"/>
          <c:showPercent val="0"/>
          <c:showBubbleSize val="0"/>
        </c:dLbls>
        <c:gapWidth val="150"/>
        <c:overlap val="-25"/>
        <c:axId val="43551119"/>
        <c:axId val="43551599"/>
      </c:barChart>
      <c:catAx>
        <c:axId val="4355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43551599"/>
        <c:crosses val="autoZero"/>
        <c:auto val="1"/>
        <c:lblAlgn val="ctr"/>
        <c:lblOffset val="100"/>
        <c:noMultiLvlLbl val="0"/>
      </c:catAx>
      <c:valAx>
        <c:axId val="43551599"/>
        <c:scaling>
          <c:orientation val="minMax"/>
        </c:scaling>
        <c:delete val="1"/>
        <c:axPos val="b"/>
        <c:numFmt formatCode="0.00,,&quot;M&quot;" sourceLinked="1"/>
        <c:majorTickMark val="none"/>
        <c:minorTickMark val="none"/>
        <c:tickLblPos val="nextTo"/>
        <c:crossAx val="43551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[Orders.xlsx]All Pivot Table!PivotTable5</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trend analysis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Pivot Table'!$B$46</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'All Pivot Table'!$A$47:$A$67</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Qtr3</c:v>
                  </c:pt>
                  <c:pt idx="3">
                    <c:v>Qtr4</c:v>
                  </c:pt>
                  <c:pt idx="6">
                    <c:v>Qtr1</c:v>
                  </c:pt>
                  <c:pt idx="9">
                    <c:v>Qtr2</c:v>
                  </c:pt>
                  <c:pt idx="12">
                    <c:v>Qtr3</c:v>
                  </c:pt>
                </c:lvl>
                <c:lvl>
                  <c:pt idx="0">
                    <c:v>2024</c:v>
                  </c:pt>
                  <c:pt idx="6">
                    <c:v>2025</c:v>
                  </c:pt>
                </c:lvl>
              </c:multiLvlStrCache>
            </c:multiLvlStrRef>
          </c:cat>
          <c:val>
            <c:numRef>
              <c:f>'All Pivot Table'!$B$47:$B$67</c:f>
              <c:numCache>
                <c:formatCode>0.00,,"M"</c:formatCode>
                <c:ptCount val="13"/>
                <c:pt idx="0">
                  <c:v>636728</c:v>
                </c:pt>
                <c:pt idx="1">
                  <c:v>2358853</c:v>
                </c:pt>
                <c:pt idx="2">
                  <c:v>1077879</c:v>
                </c:pt>
                <c:pt idx="3">
                  <c:v>1675260</c:v>
                </c:pt>
                <c:pt idx="4">
                  <c:v>1033926</c:v>
                </c:pt>
                <c:pt idx="5">
                  <c:v>845557</c:v>
                </c:pt>
                <c:pt idx="6">
                  <c:v>1212054</c:v>
                </c:pt>
                <c:pt idx="7">
                  <c:v>1644276</c:v>
                </c:pt>
                <c:pt idx="8">
                  <c:v>1156052</c:v>
                </c:pt>
                <c:pt idx="9">
                  <c:v>1045945</c:v>
                </c:pt>
                <c:pt idx="10">
                  <c:v>1246230</c:v>
                </c:pt>
                <c:pt idx="11">
                  <c:v>1310423</c:v>
                </c:pt>
                <c:pt idx="12">
                  <c:v>946399</c:v>
                </c:pt>
              </c:numCache>
            </c:numRef>
          </c:val>
          <c:smooth val="0"/>
          <c:extLst>
            <c:ext xmlns:c16="http://schemas.microsoft.com/office/drawing/2014/chart" uri="{C3380CC4-5D6E-409C-BE32-E72D297353CC}">
              <c16:uniqueId val="{00000000-A783-414E-8798-C1A2D2B95439}"/>
            </c:ext>
          </c:extLst>
        </c:ser>
        <c:dLbls>
          <c:dLblPos val="t"/>
          <c:showLegendKey val="0"/>
          <c:showVal val="1"/>
          <c:showCatName val="0"/>
          <c:showSerName val="0"/>
          <c:showPercent val="0"/>
          <c:showBubbleSize val="0"/>
        </c:dLbls>
        <c:marker val="1"/>
        <c:smooth val="0"/>
        <c:axId val="1791543855"/>
        <c:axId val="1791544335"/>
      </c:lineChart>
      <c:catAx>
        <c:axId val="179154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91544335"/>
        <c:crosses val="autoZero"/>
        <c:auto val="1"/>
        <c:lblAlgn val="ctr"/>
        <c:lblOffset val="100"/>
        <c:noMultiLvlLbl val="0"/>
      </c:catAx>
      <c:valAx>
        <c:axId val="1791544335"/>
        <c:scaling>
          <c:orientation val="minMax"/>
        </c:scaling>
        <c:delete val="0"/>
        <c:axPos val="l"/>
        <c:numFmt formatCode="0.00,,&quot;M&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4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[Orders.xlsx]All Pivot Table!PivotTable8</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DISTRIBUTION VS MADE 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'All Pivot Table'!$G$23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'All Pivot Table'!$F$24:$F$27</c:f>
              <c:strCache>
                <c:ptCount val="4"/>
                <c:pt idx="0">
                  <c:v>China</c:v>
                </c:pt>
                <c:pt idx="1">
                  <c:v>India</c:v>
                </c:pt>
                <c:pt idx="2">
                  <c:v>Japan</c:v>
                </c:pt>
                <c:pt idx="3">
                  <c:v>Vietnam</c:v>
                </c:pt>
              </c:strCache>
            </c:strRef>
          </c:cat>
          <c:val>
            <c:numRef>
              <c:f>'All Pivot Table'!$G$24:$G$27</c:f>
              <c:numCache>
                <c:formatCode>General</c:formatCode>
                <c:ptCount val="4"/>
                <c:pt idx="0">
                  <c:v>4307164</c:v>
                </c:pt>
                <c:pt idx="1">
                  <c:v>3359867</c:v>
                </c:pt>
                <c:pt idx="2">
                  <c:v>2886681</c:v>
                </c:pt>
                <c:pt idx="3">
                  <c:v>5635870</c:v>
                </c:pt>
              </c:numCache>
            </c:numRef>
          </c:val>
          <c:extLst>
            <c:ext xmlns:c16="http://schemas.microsoft.com/office/drawing/2014/chart" uri="{C3380CC4-5D6E-409C-BE32-E72D297353CC}">
              <c16:uniqueId val="{00000008-AE49-4BEF-9FE8-B1E37BF83DC4}"/>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REVENUE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STATE WISE REVENUE DISTRIBUTION</a:t>
          </a:r>
        </a:p>
      </cx:txPr>
    </cx:title>
    <cx:plotArea>
      <cx:plotAreaRegion>
        <cx:series layoutId="regionMap" uniqueId="{62ADF2AE-0E27-42ED-8B6C-06C32A1228D7}">
          <cx:dataLabels>
            <cx:visibility seriesName="0" categoryName="0" value="1"/>
          </cx:dataLabels>
          <cx:dataId val="0"/>
          <cx:layoutPr>
            <cx:geography cultureLanguage="en-US" cultureRegion="IN" attribution="Powered by Bing">
              <cx:geoCache provider="{E9337A44-BEBE-4D9F-B70C-5C5E7DAFC167}">
                <cx:binary>1H1Zk9y2suZfUeh52CZ24MZ4IoZVLKpbi7Vall8YbalFgjsBgtuvnyzLdnTjdKt9MZ6IsV9OHFUX
mMzElxs+ZP3Pz+t/fW5urs2TtW06+1+f1x+fltM0/NcPP9jP5U17bS9a/dn0tv86XXzu2x/6r1/1
55sfvpjrRXfFDzhG9IfP5bWZbtan/+t/wmrFTf+i/3w96b57427M9vbGumay3/ns3o+eXH9pdXfU
djL684R+fPr+utXNk1fXX9zTJzfdpKft/Tbc/Pj0zt89ffKDv9p/PPlJA8JN7gt8F6GLGHEUx1I+
fdL0XfHHvwt5QWMR45iJPx/26rqFL/w9IX4X4frLF3NjLbzH7/9797t3hIaPXj198rl33XRWVwGa
+/HpZfdFXz99om1/+PbBoT9LfAl/Ca/4w11F/8c/wEt7f3LLFr6GHvvoP0zx/Np019N1DfL9Y5ag
FwLFFFOK49//Q3cNwi8QFwoxQtTv/5E/H/3NLn9LovvNcuurnlWe/+9/lVXe3zTXXXHd/ZNWERcy
jjlTyMOHuohjJali9Js54ONvO+EPmPwdUe43x6238MzxPvtXmePDNIFXfW2uv9zY8k/1/N+7LMwv
FCaMI/Ba9wBFxheMc8KwvB8of1uq+63jfd2z0IfX/yoLZa66NtfTP2gbfMEV5pzF31Ch1F0nhi6Y
EjED63z73Asuf0Oe+63y1xc9e2RX/yp7HG+aUv+D1pAXnEK8iDm/DylCXCDEqJAMfbMG//PR33zY
o9Lcb4s/vuZZ4vjiX2WJjzd2epLcQDRp/lTKP+C5yIVkFLFYwL6/lWxJcaEE5or+4bEU+/OZ3wzx
N4W53xx3vuwZ5WPyrzLK2+vq2k7ldfenev4Bk/ALJinBRIo/PNYdy4izxWKEJRLfEORZ5m9JdL9d
bn3Vs8rbf5fTenkNxc+1LSfzT+Zd6oIyHEvC1L2uC7LhWCqC/8i+fMT8TZnut8ydL3u2efns/2vE
3F9C3S5R7vzFf7NYxPgCIjeLsfyjRMF3waIuCCdcxIR9s5kX3f8o6B6W5n5z/PG1O4L/P64OH64c
/6qlj1D+pb8X4beKx+9/+vvrQXPA++qdCvLOW/7p5i6/nAt1KPj+Ku3PS9ypN+7o9q+/vwF3+eNT
JS4oQoIwRiiHGpJDUrZAfPvxKZcXSEH0lzHADIxKoObsejOVPz4l4gLCFBQ+POaKAAzp0ye2d+eP
+IXgMcQqKbCgiCuF/+p7vO6brei7v/Twx/9/0rn2da+7yf74FNYZvv3VWcwIIyqoYOyM4OHz9Vto
qcAfof9h8zXva634sxIdFfvJzuAV/3r//8a65+fdWldhPXPbrCKdWNmUyb5v28cS8/VbW+FbV+G/
sTxY5fbylYjqbVk7kZZmNObtwve4eF+se//1++JD7nWvWgBit9dX7V5LV+c8VZjZ/c2AWhUnJakY
SmIatzihZJzy0/cf9pANwPy3H2bB9tVSdDxdLZEkkTEpTNJvXP76/fUB+Pe+THx3faHGeKjUxlOH
BvoSoYW275a4ivmLTU7dmkVi5yZpt3F4+/0HPvBCEnb67RcaZDzM4vzAuVFivepLl7sDta7U6fcf
cF7onl177prdfoDU+xJPjrB0qa1YrvhGcnwYaovLF6wuK/wSudrVh9GO3SaSuKFoPMVdORuIK9/b
3eisuvsEOKv61vYeRGtrZjeWuqKYx4PEMhMEfR1qMi51MhbL3CZuE9GLfilQnTrc97JLokLiFjL0
74nwkI7PO/eWBE2xtXPDFlCBxOxATP9VsEU/8n4PLe55hR6QushtYum2WfFL3G99ks+u+ilM9PNT
b4suK80tMSytidY3MfR8X3SRrt0hbHnPN/TRwoaxZCxtJjH/jJaRJmu+izDPIz3PYJqlGgY8snTq
o31P4zWazZEPfS8Cxfe8AV4LJLemAm/QU1cdNs5XmowjQOkYph/PHeBqi7reDlHW9Zvgr62GpPLn
dpqiR3znA5tHeOi3MnbxsjKZ7T1q062gkUlWXVvziILOm/Ae7AkP/KqvaePwlmd9JPf2tBg0zGmz
bEgfR11SFfgYD+KE9rlchkhk0+Tw9KzjfRene4eaNR30tKxhUBMejsd+HnOytjIbcL2/r81W/tQJ
rt5/39YP6coD8lKvEi2QdmQ4WnXaWCPIi4Ju/fixZrJeH1HVQxY///stQJeyGGopBpmZhm6XUbvH
P6kCmSb5/ks8tDy5u3yf6y0G5fDMiRGvSVyt9BPf+yENW95DtJtFLyQ0b7K5AQtMTdGm1EViCJTe
w7PTpNuarZIZtXMNNtjkGiU23vQe+AAPz7WK2KhW0L5C7dhdDoh1S2oqsS+vgxR0Tlxvm1fgjVgU
rTxTttQ/C2nt61UX4/aI/Oedfg+euYfnVs0Lq1whsraxY/5WtO3ofibjruKrKSqVeAO5LuGXYe/i
oVpsBhp1cNyWDYRO+tm0k1UlZd0ucRieuYfnVW8jn7ARWW2LgV7aFs8yqRw1j8Xms1ruU5cH6a2o
irhdYD+N+TaYY1UQIV630T7zq2LK2zpdC7x1vzStJL+6rli6RzT3UM7DPZQ3a5GLfl/A7zayGa7K
yOYCMvtaQVonp6WiU9JN1T4fdMmH9lSveyGOnC6kfzfHE3eBCva8wZbzSMg6yrNWRO5I9CIyKRry
yGZEZ1jep158d7OzeVr1iEeVkXg3fbqjfJ5Slu9782xQRGw/Fbbtvw4RXdpndJcde7USgruXWEhZ
/SJrzNgjojzg9rjnOGRXsaFfNM0GkVty4Lu6GdZ1GcOcNvfcRmMIR9taicxEw5IVE6JNUhBZfAkC
GvOchkOGy6oqaFYMq/zEIJS+snHUhvls5vmMkRRdFUVCZayBSubgkGz3xGmz2Ud22QMoO5+/3/Z5
Vo8bw6uR2bQtOb6U1Jj4t3VAgLgSl3GfdNoNbYJ3PhSfh3a3OMwszPMfZOka2ESGZ1zmrUuGEds2
2RyNAsMF8/zHTvd6dNyI1I0MpXybi+PO++gYZnbPSfBcxV01rntmXTFleyeqhJuhesQHPQAJ5mEf
GBRltEJoyCqs2wOeUHXMtx4HbioP+lD19BLpfs8w1I1JXKKPXUEfy1ofEt1DM+JDR9em2LNCbNNL
t3Ux5AJjiarAfePBuazcNBCz7VmUt+oSz2t9zImkWZBZqYdmMsxsmGpYfcoxPSxE2MS2SIfJTj00
yw7vchZg1mjC5aEmbk54LWiYH6UelKs4MvGS2z0bkW5OVnXFYWZ0P31fM2fY3BMvqIfXLmflvqNo
yZaI3UDZWc8nOtVDl02L4IFv4EGWzGLuqjpfMgLAfaumvkoR7euwcpx6kJ06SIWWnS9ZTxm/lIq5
Y7V1ge6GepBFU9vkcq9cVtiGPtdNK14OaxMouodYCNR5XSMyZWNf5ehgGLYHUa51efy+cR8ALfVA
y/LC1tEObZ6h0+tVPRXTC5fnTSCoPMhCfzSakaumk3HFYt+RJZbNT8xIXobtG+KhtkZ6HosZr5AS
uv1QD+zTprbukY3/gG6IB1pWRTWVMp/TsSlRQqzDyaiUCxTdAy0ZKorzSs6g+eiTwZDfdWrNw8xK
PMzWw26iyPI/RKd4xAmbeajoPlqZzJ0s0ZyqBZrG+Ly6DVfM2Ry3au06noe8sbD6Wqny4GTtEs5x
Fah2D60lZbIHOiKsTvHNqGlzKnQR2NkiHlprYH5KXcDiandt1ghloPLia1hucD5Eua2YdSIib7Z6
TtmUL8mKZpygIZ/CQhTxsNqWA+56Eru0m/cuWUp946odhWkdezi1u5mGvlxc2tYlTThln6LZ4sDF
PZzGOTNkK6MpFWPcHe2qr63bbeDiHkxHq9YKMmGXVlyVCa90kziDReDqHk4FqaJCRwpEVw69tHA8
8joXRRN2RIU9nK6O4o7CytmOgHec7J3k7BhNkbRhewZ7UMXjqlo3FHO20bYzSUQGlg0Lnj4HBSfs
YRXpHJt+bSGy5ra5UpVFR1tXWxq2Or4LJ2fygRQbc9mkyK+owm8sJW/ClvaRareq3bZoynQZvQL3
+GnDIrBXiD2cKq1bgToxZdVSyqMr2fu+zvswgyIPp11tI6Okc1mkJ31oKvFC4DEO2+xnputt/wXH
wstgVxmlXbN+0Rv6iFn7PEjhyEOp1EsRQbzeMljWTsmObcmTzZIizPUiD6dzwVxZUzNlQO6Jf6ET
+IHE6h2FZRrIA6obGxw3ee+ytjf7sV/Fb6Ue8kC1eyDNpR7FrI3L2Ga2Q9sOIHr92MnreZF7ioMz
eeC2TVXHqR6idsrgtF+9lLZAL5soHz6GmdWDKJ7wZODWAmzHMi8T0i6/CKkDTephdKe9qvKydplh
M0mQXD81o3wdJreHUbrQddEE1o4q+5667SWj9mXQ0rGH0H7J82IixZTGeRQdoip/ofc4sD8QewhF
aBjEHuEo5bH6qd3EJ2m2Jsy1xB5EoxLydNODTpqye9MX/SlvyzBPHnvopMOykRUa+Gm/z8/Mgp9T
FhZBYw+Yw8Ym3g9Q2/G2eCH7NetMHnbMGnuw1M20ls6B0EP7YZ/doRI/h+0QD5KNqsyw12BEWta/
mVW9kTsP81Oxh0c3zvW6LXzKNluh9/s24axyxB7DBPcQSbp87SqtpsxGQCXAXf1M5eqXsLU9RNaN
tgyuxUQp05DdRjG/poqEBTagCt51grCxx7GJISSXmq8JszQ6KiXmIOBQ5YFS2llMlM1ROvJ3pj9K
6GKH6IQqD5FlUY50LLcpcxLIHAuxQ4JG/j5scQ+TC5x3bVuX2xSVw7OlgbP9kVRT0E6ByzF3FW6c
i+uogcVlw14TN3zWdDOBWvFwqSjb4lEqm5qWvGaw9urm0LU9aKJFC0JWBG1jTOIXThbV1UhXHqgV
D52lpXMD+SxsFLbzZI+rDw0vgxIsqjxsrsrRpVaA/JVsU3WIac77I4YMSAe5Fqo8gA5LS3M4q5my
gg7X0TJ/hMOHD0Fb0SdrzYTEhhPQi3MFO46u1gmRWATlEdAQ8vZiOQvoR68g+Lq+dn18tc5jIEKl
h9CqFTEVJbGZrMnLBgiHqRQCh2lcegh1hQHOpZunLB6aNzRqDpUpg5IUKn18sqjbCtLaDGOGD0uL
zAHR6muYOT2AbnCiYGU7WWAz8E+FXa+0YO/ClvbwuZopryWOTLahZkmaXoynrq3CaBjUJ1b1bOnU
DFyhDI6Q9mO3968EsY9xDM5v/5+JOJUeQN2AbV2ixWQ9cG2axDoTPY/meHsbphkPnktEwCtSBxad
ty8WMrjVyt+ClvbZVBMEnnLgvc1qXrxdh+EybtuwfegTqeZc1rxqqMn2eSzTeSnwMWq6z2Fye+DU
O82tWWubqXI41HR71crH0s4zTu4xpk+ZWiLoB8+DMFnZzswlRvDq5ciHNVkq7LZDmPweSFndrV3d
M5M1mvzalPRjNNTvw5b2ILoC47HhIjeA/9k+m61BCZpp2FEdFR5KC1wybQgGwSn62M5Rl9Bo+DlM
cj+GruNQm7i0GcOaLulO3EaTTjZlfQx7gIdTWhaFdLKBLblGb3SL3+sxrBanwsNoo9kIBTMsnW/q
zRTrn3LCg46hqE+QauSWt+O8mYzkLc4iiac3qFh0ENOX+vwoLOaYzRp2Yh7vW7KZMSM0kJ1GuQfT
ds2jabWlybp5iJN4FqdxKcK6w3Dr4W7wnwx1jipQObjH5/OGnzdsDcMQ9+CplqJx1ViYTORFl4h9
e66MDjs3oz7TScEuiVdcmwz182uCxhcmngLl9tBpNJxO8CUaM8vlR43Mm6Yeg4o4yj1w5itt62Ko
TMZBM4kCEnoybq0M84c+G2ki1RhVvRrh3KYcDwbXb1ykPgSh3qcixTHUWR2Lx6zQpK2SBRoVqYsj
HqYYn4pUVQpYadUGuFFbe5CO87eNjvcwi/pUpLliPAeu3ZjtyuADsvQVRNKw03Pq05Bc1MmerT1s
l17RuAZfu9W2TKSa66AeDpzw38UocIFjVawd6L4oF3HooHmW5Tkdw84RqE832mrnpGnzIZORrcfD
vAztV6fEElg0MnpXftTimC4qGjJTbvbYFrxKQEPsFLQzfcKREOsq4zkeMtdwfIg5kNgJVL9J2Ooe
YqcGGHiWdENmqSimBO24vq63tSsC1/ei6aoNN8sKuunLqk/01H5YGxQW85gfTnG/tJFwoPdODs82
G9vT0vTlsyDN+HyjmcxkG5plyKqc7R/jPi+ewQ36oQ5TjE84IuAnGd7ArKrLR3sSThKasLznY+AD
vLAKh3F13w0zaJ7Y5dIY+aEcm7DePPUpR6JuMXCMzZAJOr3ThX2z1NO7ML17YbXIt4U0TTFmolO/
dv2CkpLSx7i1Z0jek7f7RKMRWuYycu2QEVPJXwUcKjxzdTsHbhkvsk5xtG47YX0GSFUJB+pLEm2R
SMMU40HVbBGc0TewOps3lzA0XNXdYyym31PQ+xTj4XTUK9DrJO6zmddFnsBpcQXORui1PhStKupn
7bAt71xrm0tiScSzqSxH9h6uuInxNfT/rHmnRMuf1XAu2T+r6o7yRDQamvHFOsp4SXZajebDMuLI
HeJt7Orrviyj8cAhscRHxKDXnorBre7YIOiSHTicUq+XboxklWGxlvQy76tlO6AYugm/RMDs3U6I
VFYciVhhzaXR034qRlVauG2Hd3dqMV73o51b0v26Ckrz1xPlUfWbRWwcM7ljNWdmhfc9DtPO0iqe
mTx0AqP6wDdRuGcF6gv1gssO7oXF447fYamWZMbcXA7amj2LeyW309I2Mz3OhhYsncVCoYXdlDM9
FM3Q9pDPKrUdpNFEJG2vDXq+dHmlLhuCJprtoO3lwEg9X+571L4y3RzTI43neU+q3OT7uwZVvQjL
QqjnMNuVOl470meclT10faIEF0SF+Ruf6UVovkEi2QxZydubnNbvcqHD5PZ5XjOcxKwNBrmZyzOr
mqucobDmIPG8JJuBmYKgg5TBnJo1ySNVJ6pBfaBOvMzGxAXhNRzaZQWuqmStx6+8MmFJH/H8ZAXX
W+dOxH3mNje8gttg+llPpjbMlREvpym5jl2Huc0KU9MXFPJXYP676VOQKyOeozRtMc/zMPdZLQv3
s5HjDs38Tk6Bavc85djpCa6JqD5T0FROGK5elHsRdtOM+iSvGCDMqBz6bOuHvD328VJl6xjrwCrH
p3mhTqM9IrAjedGyNcW2c3siIlaPxyDl+1SvqR2XPCqnPoODqq/LQK9YZMNudFAs76bCg1vMPG6i
z8pYAY9ssmJtDkRV+GuY7B5cZzbuZHZ4yJpR7TIR/UjgjF1iHMbFoNhD7DJ0DYrXAhIEmPaYOLFU
qdY6MEHw+V6DWPJqLyCEwxmNOQCjjB+GaImzMOV4mF1iuCrNdNfDrdqmueJkZlPCR8PD+P3UZ3vZ
qiuAyNSDG+6cuCo7Ev8KNe0W1grGHmjF2o57ayFfhVbWepnT3GUinkTgpvfyG0wap/Q5OlW6LQ52
GYvETW0b5nB8yhcyaHUr1MlZtHXkpgS2+c3eujaM+Ul90hfDpKvKqh4yxsUcXdaqQ4c4Xxb2yNnh
A/fqqE/8grutec4b2WV7g4h5P9R67g+56PBwXGwfvYcLZ6+iSDXVEbK4Wh0KBcXoqYwY68Os7/PD
4FIwj10F+eeyjaU8RG0FAyjashuasDLaJ4jxmOxQs5w9Uz6h/HmrC7h3to3bFId1p3yK2B47A9dr
cZcRgnSdrEu10KSq6RyYYCEP3tzurekwPGBzGGjLu/sI7P3PQa7DZ4k1U7tNyu1dNpjOHtaCfN0n
Fiq4h+xi3JG1tWgzyG1PDa6vMLZhLYDfr1DeoqK3URQXC0wQySY620MdUThqWPa3YUrx0uWpbEyB
lrnLcmdk6kpcJC3TgaHS54ktAmbfdmDRTJs1+q2tFvLZRBBugmT3iWK2ol1PO9RmkGu9EvP+vBmL
R2a5nPfbPaWizxMrVjhn5KbvMrvi8go1RiYwx3cJC2I+VWypuZZzTdqM1LIvkkrK8aoUrivDYOoT
xqhae8K7uM0E66rDqOSzmqItLA74lDEzdEWRK91lipbLC2taehBTNb/5vk3Pmf19iveyZrXU27wg
iO/NTkdI+WNbqLSJUd+nHKq6LizH8jlkcuO55KTos9iRaUhKNlVnaMWqD4vFsReL20jbcVYa9ibD
79wUvy1QHrjtPcjCJItJxgZkh+4aO2oDrfzdoS7IvDCj8W5228FmjGpgBaZImPztvEXDu65kYbeZ
YKrW3dUb3SEXY9ucfbB8M7SEZZNmMkjpxOeSDdBdiPO2a+AwHLoS/SjfRLTQgYrxsma3Td3mNt0A
QwBGOB3g8uH4aW9UPweu79W6MJAmz4fJNNluxG/QO3rZivLj90F1vzcj5+lmt/nRdI7htBpuCMKl
1T6vktG6+WYhY9joDaI8zGoo37oyP6t9kDk0HK28bDlzQdudwPy1O8L3uHLrbkD4vCih7YTwkMBI
lbAIRXxKmeK72JiF/htaJrQdOw18hEPVddUc1HyBqRd3xZfzkg+Q2TYZKvl2lEUcv+7hPt/bIMv6
rLKNa+hwLWN0LFCx9ldVjOJXGA/MPSL9752W//THxCeWwcRdvHLuYOtwx9qfRoQ690zX82hOUIg5
fIJZetweR9as/Ytog6rgxSCqsf2EEaEnx/F+KWi0sUTtuYPpCltU1z+1HVvxoR3HTR/2osz33/p8
0+7UDRBzD45V62fSUvp8HqrpatPlfCK5W2AJmIFRJnGr6f6+RHC/5U19nlPxvtNysEco2OgOn5rl
UMbA/HxVDWW0H+GvrX5JcN7PQYkkDFO9a1LgNY74fCE5LXJUvZpVrV5gjYuwAEt8Slwf1ayH7mid
4TW+4Xh8o1DxOmy7eD4Gas2tjfhSZ2QHnm2D6SXu7WODNM6O8L6t4nkZ56K22O1aZ+MAszoujd2b
5ag2YD0cF6gQikuueFMGdddgXt9dG6BRMU5nVmfREPGU1ktz2oem+BCmJ8/nlFvuoEYkdTb3tDxG
+f5xqvBjejor+z49eakBigvtauPqjDdOvwNWNf1JlsV6vVYoeqSz+dAjPKcT50oUeBjr1K6k5sdy
Gs2ok9lAs/1SL3Cj7ZGi+gGT+6w5oCcUbuZNkcIvbdT1ybEVATssalLd7hIfgNEd1lUiPomuKKF3
kpsGlNbhCIhu/CM4osAAdh5YfTs+RjBwBBoBXZ0hOI6byHKaCHrEQT9gCZ9EJwhwOXe4g3usi1FM
l6qx7NRLBef+vJibOIhdQMT56bdKRAZrc61FBGM6YJAg3HUvflGjCLvaSoQHbLupUevNVJkQbDoB
51omeYnCihXiE+lmDa1I4lCZaSrpaZi39iiVDqrjiPCAHPMBNY1o8iOa9VWck4T2PFDnHow3Eje2
n2DpfadprsZTq3FQfUh8Dt0GU9e0VXV+rDV+Llj0fORhXTzic+iAVngehKvz41At41Vl7ZRFjLwL
cps+hS5nopw3EsFmR4VNh8HQZFMNPYWt7qE0VrXJWRzpTGg7PAfW68ex2MKGwxKfQ1dwUUQzdjpr
NtycnJq6Z/HYhFFRiU+ji7YVzlNaozNdVeNxKOWLSBibhunFg+daxaOzpFfHqaV6PWG8fBhMXYc1
FWHm9V3fUvZqGhvaqWM3j6/qps8q04cFcZ9Kt5XrWrQFJFLN5HTSuS4+7A17xPOeX/+eMOsz6WZg
5+9www9AZOc+AdbYYeAwUThM516A3WFIj52nQcOtpXY7dMXQj0luOhVGSIOB1HeVrtoN7lzUTMFF
q37HiWxy87xfax12D5L4bDrHu7wTI1HHdtnhzPYNsAAe0czvrdp79O5z6SjfEQynKsoMbRGZn8e6
ZXDBqIDBoe9hUlKfaaZ2kohxblnKobu2HMapZjOM4xz4dhqdisd0H1CBr1vB8JzlkmgR1IGHn9W5
q9Y1GhHM3ZjO5ZKZiktNYunS0ta2OwbtC5+G12k9cYlKcVxNycFBbZXrDiX8vA8Jqz18Hp6ZarfP
+eBS15dD2kq6HAdFgzrNxKfhQcrGyEBal6Lz3K+FjXBTm4ogfjWM1r+r+0HM1OYTLD47mN3cWDom
fYPDOH6EedGYlg5uw7vOpbhCw4HUqEqgI/FbmFU9tPe1hJ/NIvmUzrhsExlFcIFrpXFYXPNJeAVw
TWMakSntgVmT9LUpXjWCTD8Hye5z8OgyDATxcUojBacetN6LVG8sTDH+zC9tFtTDQeyUwoxK/Lpr
1/o3Hu8iLA3yCXg7K5dxcrNNu443B5hcDRNhaB429YRQL2du1ER2IplNtVjNieUTzBeP6rAzduKT
8MiCyd7Uk03J0pbAuJrew/Xq9REf+0Bo84d9uWWEkVlis+km0J7UcW0Oog7MVaiHU1Y7HpERtL63
MK5lmbavsSnD7hISf9JXtA/tmDfEpQXcnjmqpSwP4I/DDu+Jz/3a4RpErmdIrMSAf7MtedeWOOx6
NfzO1F33VbbQUu4H6lIdmzhZB5yneQ40uu+j9IEy0Wd/Nagecd0TeeJ5w+bXpWt1e9o4bsyJmgGi
4Pcf88DG8Zlg+Uxyiip4CfhBueg4Y1YcutWFMcGIP+9rKHMxTRxWL4pOHyXQwA6q376Eie7Bta7A
HQCf0aTDOmwH3Y7V0bZ5WODzmWBqoPHUMmbSuXbzqS0lTmCA8R4W+Xwm2NZCubGbxaRTuTcnZOsP
O6pYoEk9uO5lS/ceej3pIEtxaJu1OgAlNYz2D6f6d3d9JzYxCZkPadRG5lDtQ5eQYQub3AQ3oO+u
nlPaGFTxIdXTWB521jYHCWPyw3IxnwPm0AYtZ1PIU1V1+/s9Htafq7h7bG79A1DyWWA5WRbkgKyc
MoPgPso54RgweqxH+NDqXq0Lv3AD7epNqRONoHU+R5/7pnsfBCSf/VUjjHL4/QxxgjlfeZPMO7AT
p3K1v4Qt7+EUNT3p99ioExvaDgi41crLFxw1/4ezL1uSHMeu/BVZPYstcMEmU+uBpHu4xx6RmZHL
Cy2XSJDgBhIgQfDr53ipZ6SK6eqWpVU9VFZk+EISwL3nnmUQv7ZW39p9GSsWVPFGHqWNcy2T6478
YiX2lvwFI67JhQQv3Wc4/i58iOHXCInpW+YXwiCaquaTPO4X66PWx1mR1cL/WkGQvFmmmnS128OY
lXDhOg2zeSTs19wE07e0L0JBKkr7PisZ6A96iG6zoXn6pUfl/6N8wUaontMhKxO29PFVZjrormvf
Lx9+7fXfDJsHE0+6W0Z+zMZ4g4V6ZrPri1Tvn/kJXhbj3+l03/K5mqg1mfAVO/YmsidXrWt/bzlR
6gCdKq/Oqt99fef26n/RXP/eqv69N33TwvKQVMOqpw5t6+aHrYi7pkvMoW2x6rpjXW1tl09jj7ia
fEgnnO2bDvPAz2NnWN0f0Vjrts+7vV3Dua5CVH1NUw/a3UBAaW3zVIfd+xxFjpluWxYLc7faysfs
vEUZn9p83jsVNTlJZZOqfHbcoBAaGW5dTuU0qq9mrvslzrOWN/053VvYPZcBDT1XZZhWPxdtSPX2
DhZyfm1y2iLiBzbfodnskMdyiViWywBr+PYUm5bB+r4HZun6HLqCbsEHtHwcPpikRyOjuRY/e9Pj
f8/LlK0lA903zRdcobZYV580V3tYNqQutSS1w9cRoC1f8m2OSexzKpiqPw9N1srvvVoQ9AMh5z7O
fQ63Lx0+XUh6J7P3YcsHmEbZwvvGxm3JIZysDjtGNskhSqrNFpXAkyaLlflA+zJZd0puYrEyeWzo
svfQhU1jOCElYCg4Myu702RpREma1KdFzdmEKkz0ohQ9DHDzbVJsGsDf1GOtSifR7/MCCMmmRnyy
aZh5LhLGoRtZm6sq4ygbsZewfrnG3RrrJp8FKrtcxlHXl0s/JF8m17PSh33j35dmD+nRzCNt7/c5
EeylnhLO71NXpentXtViUWW3Q6OSHaVfYjgi7Iwv3R0UGgL3yzSNwYdTZJdqORK4GqMa68m4t6fA
0s1/m0TfjKoYV4DBZw4Fknwfb3yzoeiGDEliSkQXG8hu6QYfQcWyg7QFBx2+rMsh4F6O4zmhANKS
M2sHUecta+WRtfVQjGzz/Qw0JUR2vVSWq70hi20PfsYedc9Gtej325aoQeBxGJPlqFNqt2JUdZbA
JbYOXYm+phafhUuH8UZuOxq/mpJlm3NvHMD8XArKE1RQzqVpWkjkk+unuBUzO8Jgpd1uhsTHQLWJ
g7fajjGzWxW0WyRY5sDkZDBZI93yLekiaGbmlWfmHad9LMq6slR/Q+8jOiyaPhvX0mo62vt2IYq9
Bz1r6o86cMiE5EhGer3TKGlv49q3+49m6MYFipk5GrP7CYu2PgymDsnZ9LGePtZRL0iC7a1VjOa8
z6S5J8618bdMV5UIeaVkr668X1d6TeYmGz9pzwIt4HlPoEZXPo0lrJ0p675XzqtW5e3Uim80ZZP5
CHX5XheYLuHsgs5jDHdg9VmBXx6j7Puo53U/94kJ4X27kzguTI2V9F1neMxPqk32eyeJOpJkEvpB
zAtnByIaUz9Pbb3tjx4CjyTCJBq+AaK8OBGzs/VuGH62mNzUN5pNabgaR91VV1Mi4/lmmZAuW+gs
zZLPgiEy80fs2+oeEvLoGmOk/TukLX2uPVWlgkFQVG7NLvw1MiTW/QTzoPRTJ5tMlqaD0vGJh7ob
7mNVNfHZj80SDtFU6+0kw0zYFWdbSz4SVrXVcz1JZQoTXARPRE2khYimZwjyW3dL5ztLdkfOqWGm
+4Dgjmp8WBAOXR9J3Y68dJtesXd6Kub6CP50PN9NcmXfO3gCDEUFyNA/1BuZsZXU4+YPjI5uViXB
tGq9aTUMjo+VWgzkNRFf1ftaWJmde2MMy10VzexbXUttCjXY1ulcDHFFEHSUpdvZdr11pfMJiUpn
hyTOh2735nPqJD5BSYmKYWe44VM0kbJzrrfIDofhYsmTw9Bub+8nD2HagZrZf0lI8AzxagpRkQWi
INgdyiX1WmEJ80J3ddIXrPd0/Bgm5DPC4KjvYXmWp+2+N2fvoJJ9H5BPN1d5PTm+Yb/fjR/HXDsc
0z4H4r3a735ZU/qCCI4ZB0ILtxr53OFVLjfSuGU+IMQRk87D4JOe5tB+DvSqk7FsD+uq0i7kKnZi
v/GbVUAtNsRYyROpAmpEKNnq+myRshbl+9w00TtG2zkp64wtUWnJGsuSh33XLzPZU31a3e7l1dKP
UVVOPqnCbYqwnEcSW928A3KUhDZvus7JI1zjlbuWLTqY+wBITByztsF556qKTuB5Z/V22yui22Lc
59gVmZl5BN3CbKvGQz232/jZkbaHGGPInHtsNsKT04iRsb4f4XTXTPkaMgTowFc8n/ws43OcSuse
qJ2i4WvSbKK7ZV1q8YwNdd/VP9JO7HgSeli22cOoRLMe8c02faB9m9kPrF3r6tqqRqdniGhZd7fM
CQK+DtiOOlYilymtXndYJcPT3NaanuzYKAVuMxRYeEYEfJSua+2CORndp+AMJ+AQk4M1SD3MVxeG
5B3eU7ysce22Lx1M46FJl0k9ZsUE+0VVRNifqmKrzPZOJ8ylJyENtC50GEBW7ddZREUwi0Ok3Dz6
DQKSlccFBgqifsTHpfRh80E1p2hIMkyOmqqNlvd9v4/DNai79Y6qaNi37zg17NDCI5WQ+OkyqUlJ
kdYT3+92IrPeYifeQ3UWGrceRrMM6Wa3Hhvy9ID0CzufiaulO22OSXo5ubcangAKl9Ha3EmscgK/
OrUvqpgaH8JTKrdO5khNE+zIsx77W96mXs8PxMVi+rrP1mQ679y60XPIUrLdZ3j660/aboigwZdM
x+qhBRzmn0WLi3i9J3reyiFdqDvh/I+MwsVN+vXgd869QvHkxh03c1brcfVt1H/gcXD944prtl5P
GrTQB702dVNkuh7tp83whH7uEx5En8MhjAwGVyrt1I8BnqnkEa71mfw6wnml/TJ1U5ugv4IhYlr0
OtH81HNnA+q3mgg25lO0BByF3YbjA9UeLGNZRFdeWpg0jAEcPR59g6t8yAqCQ12f92Vq3/MFz/eh
Jb5jRbPtwFx7PmQfaQJeRJEGUekCvWjGkYg48uUq6Thla55upJ/uTT3VkBzHsO88Gqm78S7tjY+6
nEGB9VWPk9uONG6y9SEeyAz/XcxZ5ftMDL4+rh2Sch6npE4/CYuUl9JmFaAA0USO3YfBVPxIZu2T
B8yf0uG5a7ndb2I9TCM2zAxrA7R4ENXEVQsT1fmu6jtptkJkmXoMYL5Excaafn22u58giIbuNfEF
bAyrtuAybsxDa4Ex5XWvuumQBuhquyMkavFBVOkwlDOpEtyJpu7iu2wxlyRXZi/FjwC1slaFFCtN
yn6ZSLzk7b6Fj1p0cE3K9x6qxfcG4rb0RVk23s7DgoqrqJWOiljDFS4U2N3XnHuWuo/JAtuDk2Le
4LznG0GZnkLAa1we0ixy5wYfgTwt4+B4kVA2lW2ol+Gq3bDUP1My+/WY8LaLkUwyw/IszppUlGkH
enBu03g/ShxG3uUzrbS9X0CdkkPRs553t62twoMIlwDUfd7TGytESw4CCTYbjlGUHOW8Z9j2fbdG
6tyygbr3S1fF6/MwL3GBGcmUfAld5dei8nV2QrmG1MwWKpoRSHs+b7o+1c7AWCODrhqHbVrsu5Mm
HxGGxEo3k+SkUA989D1PbxSslPqcST3Zoo4TpuDZapJ8HDPNroVX4UcG9Y++S7B0+qtd213eTVEy
PxIPi1e0QKm7VUwkO2qnOJsf18iAtus2XjDIyO8wz4FYG+GlKdzIIUO+C7NIPow+Uoc20azN+35z
N2vbyQfl4aBftniMC7otvkjqqjllWSZvF6bCtYq37ktQq34n024uGsKeOjr3H6iWg8wVMRa0k6Vr
2ynfSCO9zRWq3XAMiKoLJ7Ym6oXFm7l2OghZ4nFmRb8v+3YcZk2vA+iL2QcfCf5OdR6shTJxA49O
Vc9X3+UVnlwBmXyoyY/GVcF9oJSxkK9NvwlQOePVh7K5+AGcu7DtsE0RcxwMknWnySboY5p01KVi
axxdr3EGNTZkpZ5cz3VcyXsbbdYdV+j8ycvOuoQVMmSru1kyQ9UXVK79dKAuiZKTaUyT3ept7RD2
qoa1y31sZvGSLp0hD1O6pOYAm4YwwJLAsvo8RqvsPkc1soR1QUNDm5JYXbt8oQ1KUekW3hRzhxrF
51UapWmXBxqW5vsmaDrdrtu47t8QSuVRDtVOUDzdHdYWNbmGYEgf4KJTJVez6Br9tMXo/Q/jkKX9
0XHsOyU6GsXP04V+d5h4n6QPENVoegP+bBqXsdyoPMeQTW0/G5Cx+4fFOmFIEaRa62s72ZSwHIYi
AuPRXSddeEJrzBN0waBs7jfWdhb7Qj1wH9+ZHkvyXYtm1X9uaSvP2YgRWWp7zz/HNm2jLz0GrGiT
t5EicREgdF3g6UCxlFfLit3dzstWrr2axUcGTb97ER57+ydrJ5nokvIpwnlVDTRa3zG/603lUZLw
NHeumvtCVmmX3NtdbOFnBrl/92NuoGY7CI3YwufQ1ZuE4QAd50dkPNN2Owwr3F2vZBMl4yPDKsOO
SNJ5Etie6o0DLKwHyJpPOiW1P6Vt3ZK+zPYZJUDeMcYUbOBH9B+o+PRUhNVcahHEuDj/pN08K38l
W9XOL52NxvU46sjJs7Vyobhju/RzOSXdtn5pJYUWidWttF+cb6f1aBTpo0K2S3zTTKpixYRBuLsN
WmcKt4Q3EANaoOzFbNYJRenEYCfzsuxwyYVAeqpuR5VMV77axPOUJsGhOqD7bh5C13X5jGzQHKIw
taTIFxN6PAYvaCgU4lSX855aNGi1XHhunR8jk7vFefvEY8/rnyuiTcRhbwmpS+Yv52quLDImThXK
7NsG1lx46tK4T68rjXzWG6PC+FEKXIQydS6Lu5w0oDy82G7XEarUQKKrbcdzfYU6IObXDkeA/up9
2lyhBYjl5xEW57wuqFSkeTYrrWtYQsc9a5YcDxlNC4FdNaCbiyCc23kdN/dCe7IXMxb8hzam/aGr
GjZgqVXL9UiAYNwBr0jpoxg21l77dZbfgMR8QunhEoZIFQYK+IiMmOR5SFT1BX4WuilVj02x0XN7
5xxBZbbDYMSfOy7qwuwBgSOQdZBTw+e0u5tcaru7uVrszWLMqL8iINq9RlNrbbktEW5jtvGXdsku
w51W4GzfMv/CUEu4Uu0TanXwmtyWd573R4iVJcu18Qq1AUaVK8LuxAa8FjuhBb7j9L2HygQJjOKC
9ED4Pb+0KMbyhIKBfgaULu1tOokpekw5SHwgBfFBreeVKeU63JQlEAtFd6Wbw0ZSoflBC9Y8qQnZ
8IcY6pXp57Ym7VpENZCrL/BqQBruTIXNDkOdhASPZpO8mxv0I1dh0DZPNDZQk6/LjBQ7lSz1d0F7
m7ykfqnXIvQ2RrfDs27dcr2KLvrcNHH1TVxKk5PYoDL/EJh5dW3nMpS7copRzPZZu5wkMkFEIdnc
v44USzYXiOwoEAtCskMnM/E7+NemOy5CEAf4W1YZWhmEqh+3hHv+yahIQn/cyArIYCR7OCNZA4uC
EkVJ768pG8fvXbelMfa5rNbDC5zapC6SufbpSbss/EDrrPabuUuq177udkmR/x3W5LavfTZ9iCrC
6GuMyAz6A61lDWREK3orx7nF3kHqUCQqnvzjLCtuoOvAbClTTJHHJmIMaDZKD3JDPQxFj3KdWVJu
bifpYWWrXfOuX7Z38ESOs49mlutTFGX2o6h4/AHcD7dfjRVEQKdoRGO8df22HlgmYOi769V8xDVv
b4a4Ba2NaQRww+MkG89jLeVUUDP0PjdR1X6CUnfLJwrxljGZZzfzZqJHzvx2x+Rei+NYwXrh0NGw
XU2IlbiKTUfOGTKZsecNqX2ppaLhwagR6uF1hd9PTqelcu/8AovXLzAQQXNmg8/qT4CGU56zNeA6
JF5rbAsyjdMRFQeH/lgQ96HeGIrEFFCCUqgyNI1gD8v3qJxBg6cHKhRwE494deSU8HlvrhJDzAvs
13X7nIgRIvANCQzPDT5InjZrbJYC23ZwPp+BjaUPpq15VqQGH+fDOFZ+POqp0nWRZNz4bxeu63kc
ur6/2TjfO7xHG9nnNs5895Aq7lGwhSY9CmGi8QQKJfdPgKKHA7aJYTjOlGpbJvXaxaDLIRj2MHqC
TQT+GNe4F4AjKkNHg3bbg7S8huCebVTrtRjoEnfXUbT2+xXsx/YfEUVsUt4hGvJG7eOG5VMJXI7W
k0Mrs6WYJuev0zFGwVk3w00wNX0Ge3mCQgD+jsA5YNSQZrz6FO2gkx8FFDLhA3CmbcVBZEn8w4lZ
JRwZOO0OeMB2ixnOAyYUzZd6n2xf4E5B8C7aGpU5dsxu7Yt6qgz8y2FeJO9gkSZ4IT0zy3kbs0lc
cWSAIxq1Wplo8ojC9vDoZXpZhJFelUK64oSOCZtPW+rdSn92EGXIPBk312EZY971uuDsrM5mdkSV
Kxy1CZiYfZLFL2OGCq1cvZzrgmcrg9bHsdC+NAw2NSWB33zzqQOgkeX9sNT1B7Lt2D1UFLH4mvG4
p0Uvky4pR6BhazEOK6CtHCKoTZUa4kLykJlpFk8IBGnWPMAF2hyWUNExD8meoYKRJnbfoxmpCjmF
1EM+Ictm5Vd1MJ5/Z/hS/qNFgcpuqY07XmQdb5PHTnkC02SDpqBubN8/Bwj422OiLelDTiG2XwFg
1sOu0Kg7QA54qDcUhchoryYEa0tb3dUjafZznJFtuJMGOG3OTOrhl27q+ZXQtKnvk70awEuqSDuc
FrFGySN0k5xhTc3p7jH/GYI5Ir/Rz0cw3UxfYKpCl2+D722EgMTdiXPUAU75RLr+cocYGp8ynqXR
EKOiAevvF+CHbQF9hbNLDi+WOLkhLKFoLqmLhlMDnsX6zSdB2rJirHJXHvu1L2dqTHvo0lRMZYJE
Gtfm09yH+ohusJM3VQb7NZAvu0s8GNLSxlLXjdyuK0e4KKATUZKWcGIgWFBN1WOejVHoqK7ZuqU7
ahZnshNAghHT+gm1XQ4cNm5zCEZ3XU54DLpjti3x9Mob2nYReoc4cynybmFi8tO0fQc9V4sJmcNh
2qNOzIqom+UVS0wStnMbi1S8wDO6d7cerf1m8MWbTGeoQbZ0fKC86baPEb6NjPI6dum4HC9u1mhI
V7Gv2f1y6aBvqmhsNxRf4MvCYCpUSj2EPrZoVuYlZVjgWQvMiheYtVB0q8T2cvjeBHTX4PYF3pPX
2a3RhGKAUzRMo4O2cUVazThfWzku4oFi81AoFYXef7Q1phFftPZje8xUNkQeV9ekA7KY2dw8ZSj3
sZYTyTN6NCiNptfaZNSL3MUSbs2eZ4t4HwOfaxD/AvzffZNztrQvJlrG6HFUGPg8rZdGFY4FQXRJ
wdcJvsaQzZm5O9c95l54SDKTHmeOxocdkKO4TDdQACrqix0zpBGdbjPzhpeEMiduvMEk6RbVtWC3
KIsy+27odDtfc5X68RwtCGb/khJSkYJdarbjMvbRknc88dHtSOBO9RQtdmmwx8GGvpCojIdDWHox
3zfWQejSU8LX93sHSmMhiMWQp0m7ARYzs4rcd8Gsqd6n3mLzH5BvoNf9OtoR342SFb6G3dkblQbU
U4i4LmK+ueUUxkGmpxkou7/qWraTF6CKlF43LSaBhSE9CAAH6InJLEo8mzuwrQuiFh2nOUmWImW9
jnKsuTtmbMgwa6SwxziSGNTq6dhEMeY9bMCIJ+QdItZEHqbN0HKuOc1OblvkfjLZFpEBlm6JXyQw
PYWstHGRsb6l8WztC7VwVX/lKlv6WxS2DT92tF7kO+8xmik7JbSCOhGEtMdmGDp2U6luaN95gQtz
ExLR2muyIFLnbsVnTZBoHnb6qBfeq+tNz7L9gEavqdaCLKiWp1KPogdsncGjrSHFgsVsogLeHyyY
EnNALuSxBR3wYmHMP8PBkNi4kBIGmP2hxyjILmcUYDMurOPazI84pwcAzyDjYJSG2k2GdykuO8RV
ktbt/gHTk2o7rljJR7nv/BZNNItukqiSKOwYgXtdchnjieSKaMbMVav5RG/3boTyOk7C6D77ZpEw
rWgXWIccnTJbqPPYM8ox40xAuiKTFWvBAGzYL/0Ky/rHEbYLNjlerF5jYBobRbi7mHe56kL23rdl
6OdLopyz7J7OVTacMyh5/WkazJKWag1muE0sfGoAkRLMW8cw8+XYAMSP88jGcXTEjNI1ZSeURNtp
JmtQIaV9k37dOFLkb6pd6e0ZlgyZA/ZeV/P+Ix1oqr6ZdiTdmaSQOp4JUN/pDq4Bs3vfwZIatc1A
s+02ziIbfoaJanMbgoosAL4tEcUuUY7kwJcXzFYaa0H2m1x2t5De+sIFBIeeZ3wEXS57krQFuPEM
M/Msu9BrV3GUYDbfdyuSgT8Q3yp7N7s9Hq45Yu/2y93mFbQO0gUkw1ue6W+A+aK01FRExsKsFf1M
YQc87f0BlXWLAxIb6aXN97PxDzKa17QIURTPWCximiGXMPRyBaUBXIVKYqbywfK1i2A30PDmx3I5
H3/wBfYJ0JJTdZ5GGeKcYL/r3qXznDisPUX7yeVGWKiqATEhKIrXpCFlmtAI9JpUTdV9UnPnj9hG
4YW4dkOzvjq9me123HlPP87bwjI0L5NerkPg+/ZR8N6sDxcPx/Rk+6XKe5jdTDmqUXUBy8224szF
APNRhCD5ta2hNLjHoKSH4B218Q5oa2qBWlEEV2bUfYVwdRI5hEWJP2zMtEDt5ql+Bk0iRkW0IpT5
WYPZiHMRGRvwbpSrqOQLN0SCaT4QzLPWq6Gap9HlDfR+WT4K8AjSArPveXkFkKQA3gKwIe4r0Iq9
iXLmUL7qnGKXdcAQuxFqjxwm9eg7jxvkoQgHGraM1Z+hsA7LnC8eITbTVb862ujCT/APRx1K2Ebj
ck5rUDnKf7Wzgz1vRMUVJlWpKwgYQTaPhJuqAkbJ6YcUvx3drL5W5izrC/ar0H5v5rJnZtXDmNj5
ALRgX0Cyjqro/K/VspEt2Kw7wah720rC9Ljke6jpAwZWw1KyCuLvX2MwvXUWYiEb+nGw3YHITzp7
z9ZfI9e/NRSiXbpiXIPXTZtnAdCiob8ooXlrJzTCrVFWDedHHJMEIJJcyZ3Fbm3/iYb3TwyrMDL4
IzsSUFjiwEjDZCLC+pvqsXE3vY9GeCDa2QBwSlaNWAAup+Rxs4Bu0WDpiBRjtOE+/WMK1YVV9PfY
Rm+IZQojmq2JZn4ckWbalQ1ELXcgD04F6jWMHzGLE+d//E5/RqZ6wwWdJ4tHDZziIwwBJv7OhbFa
SqNQ55YeJxPcSWH/0KEq3cLwT67wn5As37oTafDDcJok9MgEMjkcbGcOE7Dmf/KF/uzV37DPDBL9
LK8lBXOk/9bO8YsXpvondPE/e+039FCU6VNvVEWPAbEfeT2Hc7N06S+++BuGmYtjN4wLo0dg0AcM
Upu8ioE8/uPb/Gef/A09tNrWxlHZsKMikcWZvlZ5XOP0/7VXv7zr/9BBJ61JwQ7CdUn2Ht68TiJl
ch/f/eMX/5MnlKR/fHE2x703m8bjUnOZ/LDAlHxBWEiQKySS3uRmARv7BJETNb8Uz5e+tSmqhfIc
ni30iDhU+jGbZnuvY8Cr//gL/b65/p3V/dakiOuQAhZS2bEXsgYCLYfgMVzBP68hduwlQ+WN/zNk
8cCuGqPf6715H+NJo6fKNkuNXkXVB6Qz/tjWFNHNueMoyf7r0/3b9+3f1ev4+F+fw/7nf+DP30eD
Zl/V7s0f//P92OPf/7j8zv/7O3/8jf+8eh3vv/av9u1f+sPv4HX/9r7lV/f1D384oC534Wl5ncPz
q1069/vr4xNe/ub/9of/8vr7q7wP5vWvv3390TdDiaZnbr673/72o/OPv/4Ws+TCFf23//kOf/vx
5Sv89bebr/OAd22//p3fev1q3V9/4+IvlCZMEMlkgpywS9KSf/39J9lfwF2ggCFiQiiONKyBAbmn
Nd5X/CWjEF8SlNAx5/wic7Dj8vuP4r+A2BZLiZ9k+A9It//vp/vDHfrvO/Yvw9I/js3g7F9/u2hh
/vt54hmjADswIIa8HK8Ep/43K8XSyGDxuQMaI8AF4QFo889YDMcVOFRUuad1bH9OmftnKgXxuxXB
H94ZVCmw7GMB8JfiuyR/fGdV03Rne7ccWCVnODRzkqPFzcDvo2uszgmBRTeqtIxBgdpE+/Nmzdad
u7Xe75vYmp8ZlWEDQxWk0XyA7O/TKMJ4o5MsAeGhQaVdKkWlBmgQxGPWTZgGL2StjymtkgJk5hFs
yZVfR8phh8PMfweztYLTSlDQDLH5AXkqrGRp+l0TNZRLC3ECsNjCRTWGYNPwHHr4dTpFDixKyA2o
ECTPtlk/I68PPIgNywxMtygGzBW39xw5yTxfNu3vMUp4r6TA+1Vhs8jHY/1ToOOhNfpWw0H8rjW4
FJvc472oNgJKa9MCFADFq2mLfpzW7ymLsg+OW9BZ7RKrh4bL+ZYOQPHiJlR5ghlQD4VDADMAQ1Dw
BrR6aXwsnxmYKYdqr02JQvYq9snyhKFYVlYATj4BVExV0c5ZBP5RC8w5XSPx4FHr/6y2BG7Uw4g9
pFDayR/OeJscwDCLcjVL8mEju8V/gvXHSqRk188Ws7YOu1Fo0UwkSgO8boMHdCvqG0QZ+huPyLfb
BBB5kUaU3W//h70zWY5dybLrr+gHkIbW4ZiiiZZBBnteTmC8DdHD0XdfrxUvs1SVaZJKZaaJzPQG
OXh5+cgbBNzPOXvtfbLKfmCUl6WRWazOtdUKFHq71++yfhmDsVnq65LMyXgLIRpqf2vdgcllhbTe
NHG9V/a43E25HEgBjUmF6nJvl5PAfq6XqXlta+kyEm56LQlRuNSbCTqHgq5JBJeC3gtv+OSpa8K0
NCffv6iY3a3jEIdT3VaB3Tfe4E+AnQeh61kTqFTf3hBscfOhGiXDQI1lIEw17D164M/NrW/OtfHH
0VxHj5JxqqPJGbxrKmYafB1uwgnGWxCuY4By0Gvbghmyyqd9MumQ3b1uWnubHJUmVCTHvTnr5G7R
lhOFF4qpjv14GaS8QWnEeCu3WY9x1bs3osBpLuOYDp9tbfIgFa3+kegq/RMPbvOLTyZ76ovae8Cu
DmvVruVaR5k9ph9U9KQ1ZWOWMH6t2fwgdGO6CnPku2xmahzIRvGGYC1d+5OI5v4ktlwsQcwCydjP
pjytw9Qy1oiSz9zlfbk+m2qznmpDEhM9G+awhXl1G9oxF1h+tZUriFJM5uZxig3vs5cqfe8yPr3I
lp26eGVZoA94iXibSPry3XE0FjrQbPmq1NC/IvmVpm/Wnfhqs7yt/cbVitAwOuEEosw7PWiN1vij
9ZnxDGlSvU1OHj+KxXI/GHuak59aJbSpOVv6S4IaztDWmApG2rVTPbPxwo76dRSzn7RJU/kxGEgf
9tZYWbsslaB6ois1IxQLqS1JilQfpbop90aKsgfOsxmQX1I/0ABP0z4t0u4JGqcFnkn08rwVBcE7
ao05RcggTWa/KmftYcWpVWFNksUb/hNqIV1X+W2s56pfus7ALBSOVR229jYgMLTcBeSYWEk50nlM
Pp4MRodNLvOrBlJ4NQfXQdbxHLcIttqYHzMlrTd+pY6vSFZAzJWNiGJiM5/RutPQRtaKHMupHksj
y6Ot6YXwG7G0H1AACjSTY+jHrNvik8Oc36gEFkv9HojCCWxZaV7QTngVmP40jBg0WYHT8ZIPVgBo
sx61ZjiNiVhrcMTcg3aaao6FCeJShYW2TfeIgvNbCdW1BZtdIpXGk2c2B930zB/Z0E9OkIyO00S6
oWFBQQjML7iJxistdPMq18VhXBJProziubY/5mprfrfJ1pVhlY4c6ZnusdlhgAzbgqZMN8dPZLcm
RyPWUHjYsFrcV3Wlp1dFemsawdRZJ4UOnO77Evj2tDJFTSACDN6uTlUZ1GWba19z3C1xsCYxLtaa
lLFdX/cYhmYmOjvbws8SIkBjBIAb0+yAB6ebwpZ5N3KG0ioA01lnyW2smG6AePf8EcNxUn/p5HgH
f8heJujYk4dQGTSmjC88Sd0ngcvGRSs6923Mu+pEalNx3nLGfNxzojyIdOUGLepxfcc8w6EH2znf
2wNqelQVnNToWYBd4Fht61uO7f5WtRDPy23GlNk62TVzoxcNr5zbfa/jlD6yCbVJg6zOsdTr3nwv
q9nY8RedmBip6r1WSXdKyEbNWEjNtZMQMVX4ot7OlUlGiOYi9oNjWpHFT/4F6Ho/zmlMkrnurP5G
+fWT3qi8J167nyMmq8gVBSESWUAynqsf4mRFIypGGX/pyeq2/ijI87hTYi2R3cSUvusQh/yib4hP
IJdFQnMZ/N2WOF0/sEOJF47fhsmpKfYJM5IfrLs07oSZLGDRsOw/kI895vn95gooLbElwZS7DGtN
tBHP71dQ+UAwN/ycR2e42q423cdLbF51t3f+WCs0mIyz7dXhRfrlCS22g0EX2W5R5d5E4WwCqYYY
o0c5dL+3bAJMd9redRjzImHefmnmY2a347NSxngkcLMo79ppcn846HTfW8HS88BI24kxbFmAeI15
ChDtD5gn7OO22FOLaSKWH6vRiC9ul+xRGEa6cGzhOFh8c4RfDNXQaINOmGThPgBYqzawp81ewDTg
cwLN6uwQvsgJF6vseQmApZdey7+g+ON7Nan3qerSkE3mS5jmBmxY1aNSURi0WzAOmjud19QWz2Kz
bgkhqwMwWsV2vmtSONiw4pMwqnjtopEhJ6CzKX+15mCd61RIx19cI+mCWHn9oUWPvBttg0l43L4W
i2X/lIXplQdX5zGLPLOH0jBMigTfHt3hW7I+pfXb0cWPYmNKeGKwnsS7kU1JN6g1ifswXcact9Ma
AZ+BZzoemgnLE8aGvIDZHBdNncfJBjYkOcfwK6OuKYRKm0tf59rrSh2ISG7sXPG54I3vrohjxTld
Jh8Zy1G2QBvt5QHLRW+GOrakKM3WpAKScg3rrliq9ZS1mfYzzjrUisyxSeIuOqkHDTzw5826j5Ix
ZtpnogklAra75l9AupwCnlmB2bN6wXhmm5RtH5IJYoaLaptfZ1RuLmNI0v644gXyfB6BOQ6KPF+T
C+S09aRjHZC7ckas9DN8O10wWnV7HITp/q5i2uDFjgPpFWXYtY0XWIMhds5kp+8z02/f0TYqto7k
ML+oegUTBUuMfYrmn/VQW44ipv1ajaT5oTtBPUBcM4e8EciItMkgq52daasPMY/Ba2v4Zk1iPkC7
JhwPThpW1qSjgK/kPS71ARlzyf01l/Zj3mhaNLN5Y8eEs4xcL7a5cqf4itaM2OyOctuxOu0XliPj
nSfR+mY2n0cdihxvmHK9qzt23V2eLkhZa166T5uxZiqClkmfNRarXMxx5vPjpXgDLeK4Qn0lZVz2
+foe27J/YTSb6mG2OcsagnX27CEFbv8G0Rh/2elUCybGfVoFyor1Pqjobr4t2U9dsGlp+mI3K6Sv
6k37MvdIY5kJvBCwf3SBBc7mOg2NcZ2/M81dwmZrq+d541Dxm5qUmBCx1GV+QxwPReUwLOZhxBWC
TlYs68nmQaToLTG+zSs3rV6kqUJrX62Ua6xuy3umY2MVFnAt+tHpyi5KDJE9N0WrPakVA97mggFt
lbtJlgd1bjSbcg6Ul1tsJGnHWYelENqpKGOgzWVlXsJDLLwXFU9EAFnxSiXIRVm2YdJNJe5VA2Ea
wl6kiIbEF/ahZq98tK6tXg02GewaYAwRjUWjnyGH0ynC0uL1QeL05Ttwndef0CrTP4WbdKmPBZOq
qCYTuEJgR3SG1jXVmz5a5cvc6/K3WSXqALi/NMcRYe6jpjOGsGNt1lduq0Tf0cY6D/NaIGtYWg3b
bya6cYbUpDz0GI10fMpSWjASsc3hYBsgPbZS7WMnZ/iSoeIx9Ltso8AeQWuC3u70q+lmrXEuJSLz
DoBef3HrzvLh2P/UW7m4PrxgikfMcGPhT5WWJwdHJBAVHaCHGvAYAqWCBZ4yyJ0TmVM8cPAtxXHI
ne7aWwnb28CEsDfasEP+tDT5PjNt/TjLxGkCTeW/hdvrnW+5GVq51zmPIq+xK264GVqFlwvP1pIW
r+kmKtyHhoiAUvY1OsA+U9oQmkQz+bMpHnpegIdMi2W0iqEJ3NLW6RsoPzqFy85f3aEA6NhoLLYs
D9OxxHk5zfoOgSXb161RP842ZoVq7VQ4GFSNVoWKFfNtVru8U7WRRRoMpu+u+PPWJRcPluf0O/Jm
DiMXGx6wOUr6Yr7WotPfdKAV8m30HAW669/reBqDITPF0ySkjAAr1p1TLw9uqi1zaDqjOMC3eMfY
ZQsH9YmZTJxQnh56cZudDaMgiafL5BbpHQaxVCrvtE3dbAcq9mLYcln/kb27Z+1X/92saXFNJhxT
w1TfIMpJntzUtD7YH5f8llyggcsHNHYlEtFgj3qLjTJOnYj/YqFdN2G5brAgXFHxpn3zUsHiHEy8
gihrSGovVpVq5zKuR39C4jm4Ip1eGxSkz3jUN5hxfdW+p9Gt+0+roA2iAMgQWutY6tu+y4tZcpKa
SzhkUJMMipvyt2YM3d1qpFSWU+pxgeWLoVMNNGsx72AFcQBiIyB41pb5Du/KSLTnPNHj6I3lBWNm
qJg2k0ohLG53ZiObzCEYgiWavpyxE4fUSP2JpHiOnYEf7QexINsEj5nFergsGg/FpJubc3Aq2gRY
XQsns6l6uwCbH63Rt2pDfA5Azn8aJzNjxG6vID25l97Rm7zFO+Ce6JPAqlOKaHbpiT8S81eYMck5
93M/36/5srkB4CyF6UjGxC9Ml4PybUhLFh7b6jCMlvVkD/pUYUnVORIJhJ/DBOF3RfnssahmFdHQ
+yyLac7zsp5MGDpTvxu7pjlg4qF6GiSj9x16y/BrWDc57P8a+v3fnnxesl+d6tX38K+jz3+alv6/
NB/VDd01PXSH//WI9JLhxP6q/mlA+j++7O8zUs/6m20xhrwNQa1bJOrfB6Se+TfTNdk0yQRUkmdw
yzT5x4DUtPkKhqr8Y+kA0LdYvH8MSE3jbwRZC8fTpTT4WgIi/wsDUuOmm/2HOaV0bJvZrSXwaRuG
ww/+z3PKhdagLgzScesJIoUt6M2euDW2BeTGPd4a7wjv8SMntsCnB/hjxiK+IKX/Zxsivb8msf/6
c5im7jqui2OWweM//xyWl2iKl3k6MI5A53UNmsxip7ZAjHdperbbQyuucZWBVs3UUw5vG5j2hWJo
gCuzXsbWve/Nw9a/bdm9pddnrP1NkMnBodyQ4Szcc2NgW5un3kdrfyRBf2/Efes7jcArMb7OfX63
OgjvcR3lVX9dQLfw855Mqxkxz+zivnq3q+RBy5ma5E7xMmZWF3HNfeEWhUJ0RxE6glvO15OuiRa+
UUhFx750lWFkaF6sddkV8XrIE+s6Q8H4tk2RzgfbW9bwwfCMCQPRCTsCk321iLuproydg+lqNS9K
UzsMyMEk37Vie0ry/LnlXOuT5WBa7qnGNYvz09fd9nlZHGzlpctFVdx7ts34J2HEsNhKHiwne/cU
iw/pvNHs/+DRP0j9U+v1V5e+FlD10jndk4iNvTmoyFi0cDZNxn0uPwbz/2Adi2hYy5+qnH5nrSUO
44aXhKb72yRW/dg7ZnqsSOk4tMXYhou7nQdjvmhy7EP35oJlWBZYq3iuyuTY6U99zRiUtibc7Pm5
XZKrwc4azDA5n5ZHNF+9RowjGJ9gIbReK7aTQEcwvuuf23r5Btw7Lr3+Y+tJdwWC8NO5+UjmDNNR
djYx/u7ARcIqVhE02CuPl184O10w/7MNtwKznqJVn+4TLf6Im+08Ceupc72anm18hUpm5PZbVQRp
6BNNFGlGNoEECtcCvZJjRZ1ZB0Vcht4yfOZgDqYNQaEv5YfLo9mm4jWrdN2P9fq3avEZrynb6/q8
8vE/R1U+/NKHJuX/jgFm1tMg6sg12E1Jy59Xxotdvbtdtz1wZxbv01ad+8J+RLKc9nKFmu1EMh/B
rkKX+QibW4HI68OQFh9ijP8Umrqs20PjvPbwOL7REpIBJf3I2Ez52rwdmyR/R0ibD+OkQqab1y12
MRtR+yK1To71YK/Ujc2FCirou5SS317VnU0Ly6QyoXFIr8MSlxGz8gPBaiyeGxbWf9QOIH96JYfg
rlYV87ljX1t14Aj4Lelds2zM/SRe3pttOGyF+EkxFuVzXfoFqM+lxVLPm1MQryesCE0f+2b20ynl
ri2utqEHc2M8okmEhmKtEQNqXVaHycTWMqTsO93EO7k2ga2Vex4NCMPUJPODmbY/GfoYgCXfq9E4
pab7UJvbK2UJyYmUA5kgn6bICADdnGAlkGKsKM3Mfs8606DepHueaoq7Nv0lJvtqxPntdTIfPDA5
vx2ch4w0+aVgdW7RUtA4v1VhHPN2e4SjYRBmqmpXlPXBqfX5rmSf+k65XPAGOspNewy2WH9IKH+j
2rh2Ygv0XueTb/mcdO1IKXNB15uhW6w5aLppZ6/4jPDxXSHNHkFYWx/D6EvGJjHAMDvIHDpaTpqf
irhWexVvFfkDgn8RmnkBieRAqy3qrNLu1d26h7gefpCQ0BxSY8TO4sq3bV6f3XlOQgjvxR3O9N0U
/t2LrnkPm9X+GErn0xxMQMz4Tl/HH+1avBdwqvsB+1vCkG7VFO3qSjeWmU+rrT1hATouldFG0q1P
w2hnAcbPzW9tZfopmRwHV87HWZcHE0lg65pvq6j2OEe/ZLIxa8QSTb6EeaECbf26pS41WvkH59fb
cuuqVWFH7UxUq+U1QWqXfVRZjCBAgg5y877M8WZsQPvyvUHHkpcy9sq1V1NZdwuMR8Qbdj+sxnvr
1T9X120juyIjFQbuKy9cXoyKQI1h/jF58bXW5Is2yzt9Gu43E3K3Z0a97/EFmSrBbWP/uVkjQNOS
MjSy/m7jYwXFvxTTvOtYskQzRrztyoacAAcHfDMoFsaEOLL04syrdxyMsY6wA19xdmHPSpMiMnLt
YutMH7Ik+90ploZv5ZM+lD0fc/IIsr/HEHbznfFJFlEn3AuO4aPa7BNlZ1R2J5EOQeFKKB0sAfoa
n4TzY7SKV9QUcs66PeIidtw6aDGR+Kzc3sEX75tOhI36TPv6vvLc96kzjnjJw6G0z3M/HOap2THx
xT44EZEmBejhElOjD4z7n9t4DuEID2t2D4OG/yRlKlUePJ50WRofSN0P5jwdChJbfNfbY+UsQqeP
D0wXtnCZuhfo8a+uAKRL7aWg0XyXXhc6tGtitvzaMw9zOd4Z7t2yWWFlVxgN6u5R26wLQ/IdNjzh
ezCTDF/cKyuO/zTrOZnciFaQTIvvatrudUcQwrZhBrG+h1hhgR6BHEG1qd+Cac6+M7P+nSb2gyWG
e0t0LBhJXsiaiPSRVtjpvA9Y8TAfvwfHYBbI0VmRj+N090678BKqD16RN2aEJ7f8nGTxI59qhl8E
BBb53aiPD27OGEw5HC9xemF9x/tmTI9dr07uvNyPuI7WhtUmTvVZJSBGq2b/9Nz2nh2cB7WsFzfJ
aIRzK8g941BZ5AAZ49e4jR9pzmoqh1QRI/+1dfXPylrPqXYB8wHfwzDl0A6JtLn0gqlOafRBLuE+
n83qZHEopHNocyyPG+sZmAwOYzQs1X62Llsuj7NZPuB8+zPJKcKfn4XYq3iah71YwnIqWx9z5EUl
buyXXnuX2MVjV4tg3sTTWE3oRRPdy/AD810JB/ua20VotdoOL8N9k/cHg4WHvjVlb1Dhjq9tJuYy
/lr51d3glN09nv6DqvrfLBI7p1lxWFo+wM68syvyQwSCOQsBaL3Ls73koXDFW7d0Pz3sR9Fg28y/
pvTNabU+YB65BUtevaJe24/z5hmBSHvpQy5Q2CiV7RXQ6ax1pyIvg2Jg+lLbzrVJxY8kX3+Z8fje
T6yeQcbCw9a9dUVzUHP+lrvEgIC3C4Ixk5vrenshF4E+r/ILHDtoTk8tTqsg7ver4USIBJjBLtPs
eMFMFIfn8agzcfXmb3zgtLOPQ+ud5sq7xkP2kPcnLVtDgaVkeVq2FPRtl4r6AVGFeZRJIANjMu4P
phP6+ITBDUYX3i6f95v3mrjmezLrT9mocx7IfZa8FFmxHyBmxsy+bgj+TTfekWfwOBnXyuIBwgqx
ZZ8a7ffS4qVQo8OU8ec8Dwcxm3dZQ/SA1i6nhbg70E/x7dVvKe/miitjNlA8O3WIPRqJBph9uMuM
NfFL+YK/Fn5r+MpwL+swuaETY+yR1A+j5r4XeCfg3N/a2wyv1Y6jefaI3MjwzHLRMqmPxamtxLNR
vUxOlKjVngOSltAuYld4HNbVa6K7WkASWXZiJ/rd6HIjd3q/ndyY1VWNFNUvzUm9qMZIdYxjbL4c
097w4cyFemuHbQIiRk5k7fX6XQ+DvHq5Li9dYU2/J7wUkY2utMfYRe+wCdj3eJSBKdkVrBxH/yXq
Mn2UViXOepugeHDYVwfUveKNea2MSADynjZiZDizh/QTPng+lBkhD36uOUY04Jo75aAwIwlOBenz
1o23LbOj4a7JwWUm94dvKX+55bb9JD5AP1TOOuxjPTdQcjtrR5bZwM6WtTvpdV6ddcL8n+n3qI8p
zJi5sV/ysa0K60XyEwea13K35Ol81EFMzmqyk+OorebO7RLuuE1bWNthyGMCSU82wFQSOqOa9oJ2
n0TcNU2wEJl+1LAiXczajU9lN/YnLMMMvFE6+7el8/jclWgug01MSm2uFyWBQ310rvxZycF9I7N2
/dWouj3ng4h3CZLUg71s6ge2Hu+e8Uv7SqPD+yP7pPopczF+aGBeTBGnNH+wp8F5AXtJn/CWrY/9
TMKUMXfO02Tny0OnvPS82m8TMyBA/m7vbcPyFCvDftVse538OlvNH2Do825pG46ybSkfCcca7+cM
P8HKhfmZOhn5ImqUhG4sy8+82+rrWM7D1TGG/oHwjvxYoXvRQyKsewliTarkuDPWOtkn1PXA+2Qh
FdMmGCubRkCSQ8UWuKQBmr5ZPoo1w2adxKZflDNJMlbqvFtjkgYLx9Nn7mBkZ/W3dbBz1zhr27Zy
ptRkfpTZVS2fS4oNOkudYBrK9cHEdJX4TbVOzwjEwWpkYb8S8qYMiJ52++WUuUbH26N9NfH0Emvi
Vdbbg2iLHyIrD7ZTHVNlBvY2YkkdCLERyxnkIMqaWUQOKp6myyS0NS9yVu5f3f2YtfY4rUj3o2H/
Fihhlpl/2V0RrSoPpqTYDXg74DRnLgbbIVepkZ64l4mt38D098VUL2ZtHzNd3pf2GKL3BGlu8ROP
+6m4N/XuzTAGLyLF8GPbUka37LqMukq8TPb0GmvGQ7OK0meC7Wdpcbcu2hFD5oPMkunYGKA+ZJWV
h4rQPaQC82GVI8EldhmovI68Nr2QjtMz46Mo77MMw529m7oBuVczwybqx/cRhnVQ/dlLkbM8ucMd
893U/X+SAgl8xjDj34cd0hYQaTBx9JosLzd071+GLgJ5Lh8cMR9E+U6bn503NhqTJAS4qBnletJF
3d4vKtkeOZ/SpzkTzouR9/lDF7eM3XtRTx+ymKqfbE64XTW3t4aILO/eub1J6e2dKm5vV3t7z4y/
3rjbu6e2BLOPVTNAUbya4+0dlbe3db29t+XtDY7/epnZg9OfSPPQTgmez8t6e+vl7f3vPJRK4o3a
S+X13n4eZ6sg1S2WxzxmLEqcWHw1LcfcNbezxbidMtvtvEliTh59iBks27P14jor55LRU58naTo8
Y8/vn3XVV2fyBLtTs3XDQ3KLB/RuJ50ZO5x5t9NP3M5B53Yiaoky/hAflBww92bHtFHYQ9oUd+zt
MB1v56qWJWZU/XXYjqU3H9ZCpp91Q53R6Kv3ZOeFF6WWWbxBjNIwsOCZAUqKAbpd5/TR9pTxK/a0
JapaFESW1OALul0CaiwMIuy4GfrbHRHfbgt1uzfyzCOh/HaXYIeBWrndLxgphw/tr0uH36Y6JoKb
qL3dSfJ2O/W3eyp2y/S4sLRO3e6w9HabGVxrTHtRdSVZG78ZEp6l63md35pG/zZ3lf4hAbgany2Q
5vvquAy1qtGEYvGWhLcGCI8sCQZQBc9mNIrb2pGKAs7MPJMMoxpg76YlpGkWYXhM75uJJ88q211D
03YQWoqUZWPj+bIrZ1QHxfye5kYNxq7HU9eF2fDXd7TARQK3Qn7gntbcmoepJke9V6q8qjoXX7I1
zXOVc0jsSY2gX8XHTqVQ4RtFgBN28dPSoaSs0mMNkI6nlNjQWyYk3UKAnatg4FUJSSqby1TNaZZo
atsnmCf9MGv2D9zn2MX0iU6CyEG2H/Vva3mDNNYl8rT4hQ03L+WQVhGLfrtw0/CyzpjiIknD/ocm
5l2TunOxRs+L+sZ+JZ6KCkgzrUgHO+GEJdOHFI7ySQIC3slsKSIuekyuepG9sMCOaKShJ31MiJfM
yF9km5ES2HrFoXYps8dKPyUEQJA1ki7pDlc7Rc9QFiHWus/M0JmVGNn3yhbCoGy3lKq4YGWEsd51
1B/+XPHHZx4MsJPpwyH98lSTf7urBU7VolPmHrytC43Jq+DK7b1M1UisJbpwqrdA2nQPJI12X+Wo
P1IX4osTS4uuPb82anlTZlU/z3BLDyb5Q3t7HHG1JWOh7lK3ScOyYKXrsK5NNGuGsbfIxd5Jd9vQ
Fad+N5m8a8Coth+TxUYG3+pCRvWfcz25x9Uosg9cQ58OPIdfOU23Jyxj2Fee1e1jcFgeK3L4Woxc
QWf0kB4NeZVrvLWB3jBfRDoknIqUSEqLRqedv7L6Q4aJRcXEkh7oRSzcbyoe+A2vdK3xrR/ovemF
r3OOiQWc4VumZb/2UtRnNTjx0Ww8/dBw7V5U7P42mr56KUxt4yngQNGq+jddzHcOSZNWwggWIyND
Q0vs+0Y1OUmffHall/7uPWoK2C2uduzxZETVBuGw2c91NT/mElAgv0DF8USYWbDW7nUzlIm2XX+z
SPxpNZSgFCYSRysHYmHJOTIjmo7kvu/MKbRyDkdDp/GYasllpezueTJM/dXjbad7NX4tikAIp81f
3a48GB0Hl2ZhsXbKpvORZNO7hCyp1Z2h1izer6XjkgDOzUIG0vdT7Jg3JEm1h2yY1DFFtj8Am24f
ubw1mbhcd9tSTHxd78K85MO0fcZZUYXsb8VwP5ZaYDsMvViu3Hzl6Wod4Tn0czp7+ZG0jv4hVu5w
JZy3vjqxtvzE9UX1ZLbugcTt4XO61VbtrcqybvXW/FfldavBTG1wjxpZMyGWT6ozTlz7Vd5KNnJj
u/3IJ/7/Zaz/E8zfMtGL/nca1stXlZX/7f7r9/gfZax/fNnfNSyp/80iZNaVpudIT9q3xRD/4PzF
30wDWFFQ0/ybwPVvnD/Cl0d5wwXlCaQuBwr+HzKW/Btaj8lX2chfDtto/0sy1j8XVK7tepYpPf7H
4buZ+r/GjnetJUcB1h5lScOUFo6k0NrPygb57rbB14biZPfLdqB1TP/+UCFZ/s8tBuKv1QP/Xs25
9FO6ix5n8pngjeMv+s/S1aLx7s5uU2JR0rZDPIhbqiSxL93SLz4ZXwQAljkNdD+l+7HRs7tBGfqv
mtodGmDhfkp5iW5LZbflfnJk70OUOOe62xYC7DLr1HaIEhla3MUi7zYcu3Wi06bIWw+x3oRx17iP
k6c7dLuVzIKWC8lKUccRkvgPkv7T+NsyGw+Ej5c64/v+whyJkJisGAJFiMyupGcZfKfsrXsW12ov
ht5CbrETe3sEJDXvTNlrLy5IXSDADx5moiZ9F1PHJSn0ep9p2vqaZ3DFcC6lT9u0+WkpyExcdefs
FdzPTpYtxw37gxUsnXbTI6AfioPttubdLdoAX7KWjfNRax1lndtYa5u9jYN1n2TAwp0WC3jSdJWf
EvDOCgqKlic2KEMbEpnARQzq3nP0rYd1yvu7Iem0A3laafVYWcn0BzpP/1HbfY9bAi5/DXQ6qoYU
0Hn+mJMkJTZCztUzWTbvFB1OhLH5RqgNZ1nbZ6+umwOEf3+YOpnt81b7FKNOAgpknAjLkWu1JIWA
dq7Ix+wscizrh61aGOc17cYvq2DAK5mnlalgka5MQDjzVqq7Gm34mJZLdbCmdH5JYPP3XszwHZhu
2/W91KJt5NdN0Lf+Bb2EE6Nu+jhgyLHsCyby1drOd14B1F40XXOxtGKvTJcpi0PAtO9qvTzQsuaA
hZIoDYz0xt2azWkTVE7l4glmHfSu0Up+/YSP7ryxsY8JEY1wSqa3m2yTGM1h7N+5X+Q7Ln79QiQI
z3RCLIzBhdXfnvMhYRFciw3ov7N3HkuSM2eWfZV5AfwGuENuQ+vUqjawzMoqaOkO+fRzUOS0/aRZ
d0/vmwsaVTIyIwLun7j33Kukh3juXSoCoOt6w1yPxCFzVBunCGokyU0McmVCg+YJsspXjtNmTz7G
FGvTO66D7HIKDAI3sqqBLKlUMvxI/U5auxq6IeqtziQAIVMQ/7axNcBRsefFWCcHYROTkiTzzS89
+VXaoX40ZUlb7sHyhUzlT3Q8ofdrjkTLckMFL1orVprwJI0faSLGC3YS+5lwWtPajNXIGtmGyEYX
O/ZVuwl7Jxx2lmE0e9irKZ5nE/4sQXVNVB11Fg1f9TQm6GFSIS5pa7XWD99X036mxVkHCOganms3
/VJjm98PRZptmqjLn1UinENZNazIEufg58PvGZwzgPlx2GWllL8jfA/fyajSw0RA0ZXiMD7SFeED
YFVZ8nbK/uYGcX02naTmoR4t/cKULviZhjI8GpU7bwyHi7tUwwBrTxXOITMbIh8xF6nrbLXxdpJl
+0bwRrPNu8G6QU53PsO5L3cd/OnfAqHtdiiH8rFERfRUDYH1CWrAvbcYOO/DGJ/7NPrqBXhStc97
rCx6jAom0U7ziopGvkB/sI8xE5pVXU94TZysz5jdddmwr7FBQ2EogU6vaXOs9mfO3D06x7KNaGTS
3LfZ0iQVqn1+8r2dw32YTvFvpneud7Ans5u3VuxU80EMwD9WGkj+tnIrOEcxusTAodlhSN+OJnj4
hukJekeXtZDBNmFM++STb9o4rUpE1BxIXgAGwKBK3oJRQhsHJztMd+CgpnIjZVdsAVt4wUXXU3Ga
5WSpXWMTK7ryDeEfw8a3fjiGE9yjuuyPjemFb0qKNtykRj8YkC6HxCCfqeex6ZGofYIdYjcf6gCW
FHIDdO4wTo9oVklCbdJsfliiItQyF+q3YYQnpETHcNNtrMQpxh257Y3pA112SXkZ8cZAoTSeSsiT
v5pwgu40V/F28ASaYbPr4M9P/aSbjTsV5TtffqasxYyqao2WMJD7LNSobjtqbOTTA4q+deE1bGs6
TRLiymbl+jGyj9rQC2UWaUQmfA63a/QH/RsgOC+r7Td0U+Z7w44K4eUsfiadZsVvz8Em0HO7M/NI
3Q2jG3wrOVc3sxmDdC8dbYLcdudwXueEUuynaESiwP8sOTfIrqt1VHvyGQOZywbJ5qFnBa2bw5S2
/AJFNiN1KOJ5QC5npXTBUZYWBmCJrK45M23OC5h1Sb6vsqnUjCecrlgLl+pz5/+xQxUEBxsrNHFq
4y9+Ka6ekNk5OK9uXS2OqmzxVmWLy4qPDPnv4ryys3y8NIsbK4mQXK7MxaPVIzAEyhlLQ2NeK8r7
JlTdGjKveakXj5e1uL0gzsbxNig8CQOZRbS1+MIiktsvKA4HTtM5PhdBM+Cm6VjoeeRV0Uq7dgAe
bXGbGdZiPANuqOAYoVtcHnSDIkG3YhuZgf+dAiGJ1t0EP4mdaKB+t5Pp381/bG6mHo2d+mN+CxYf
XGH39sanl38wsmovtTvex4t5bs6G6BVhw5/RkLcOW5NOmt0r2NXFeofRuL2oOIohbyzOPLGY9PLF
rtcvxr34j4dPYGIYcVGTvAdwR5oraTvt1Z9j0IclG8meC7lr1N42K/yBsESfkVUMtx4RtcfKr2EC
+MdSmOTyZv/xGWI6Th5H2IurCYXcmcSB7bwYE/sqf+wWq6JRzdaammwHULXcUMD+tHtCEQccjtli
dSwW06Od1rweP0h4AkjZk64G7JGZK9aQ6+OdDVMLB3ha+vdDjGaYnbklERuLxWvJeIyV+WLA5JaD
OV/xpaIOohBioYhZc/rj2wTfPD+6IHWRhEtAUciM+IWOgkysdiUy9KgJdI5fiFBphkFJ6Z/dH8Ve
8Ue91y9CPm+R9CEWQN3XYPdA6fdH9Zf3TqmI0CjC4VgmLuR9OjeqtYxd9RNtU3NWk56X/YVNFoIX
ASjb1V3SvWlHiTcIHQjNI39mF0apAqTf7ZwCOiJ4um3amO7Puc68B7sNh1cLvyrMxT7JTpEva9xN
jIuSbavM6qWJCjVuraHneSpIg7pvVD3fmDD0h7b07OcUCA+GJpFCyXP991ER70wv3eVYoHwXWXM4
km7CL+3ym8CJ7IgIwOWWwB3M2l9BBt94188CXRmY8ukJsxYmASp2Ya9Lxs3OwRyr9tIZQUzUYFQx
qEiL+rdGXc0RD5OrXz4Xm3NVxW2+ZsfHIZawZlOXthny4a4sbObGcJ9Y8KMy7+etHRlTeBehtyw3
aWTxqdfTzBvEVDDJmZvV2tk5Uyye+jZsjVOHEdKEESVEfwrcBgiOZWUUHVUenLrey1nCF+ZIBeyG
JqJ6OzvVWO8U1Zrwn+t5EG/gZtw3Huq0P1l2K88FPpbLzKFDXgBHxcvEiL48w7mKWVAlQ4MvaCT2
Y+MnQUvJStjceS5z49M3IPBtwgXst8JmxOx9EKXCUUTn0O9w52DT4zMJ2hN04PAtz3tiBKa8Ty5z
rIFkOARrHPOq7XZx2xi/TCsNT1lowVE3uVWOE8I1Z135cfouB1widAmGfuPTrq9M65lRzIXUR8zN
tCAqF+fZxt8SEFp5KcjGSNZQ3XB28KdvGYMEHThye2S+6OTxBhFZqDDJYT8kKrZxnjVhHExU/9a5
3v+j7/q75dtahuf/0o45IjAtF2Mbnapl23S+f0cvlKLTXZ7AKgotAEmVjr7KpHxqrPpdBsUTkS5c
rOAwNhSZPxTUr4f/+vUXssO/v7xrmr5NdWfaWNz/9eWzUIkiGwy9bRd1ITmT5YU3Pz//16/yp6P9
95dZDPfSQh9qkuDxry8zqbkXw0zEYY8lZUNmTR2tPUMa/sGOSRhZZ31NxrQIyvi75HoS+EHxV6ys
Ph/eLZBDx8kou4tbF/qRhIjgurxlWJJNcTOGenoXgkYhyVyCgjruRX0vTReFyJ8/4n9lxf8NdgF9
65J++59riulBPtv/c99+fv9S8b+MZP7xk/8cydh/+SZzQNMHjxQwDGQq8s+RjAd6QYIfCOx/MBmY
u/xzJCPNv2zLcQUTHIlQisnLf4xkhPyLnAB28DIIkO0BcfyfKIuXL+Dfv6BWIBwIDqbrmnSyluRX
+PtjqEsduG3n9PsaSz0w2Ha6Y4/sEokcJO2XEczZeTCDpv5vgCuc5csD/q+vbNt0JwQkgWDAZPdv
r9wpQkUAtfV71+7CXdJKp/4sBL5avNwWqpCutjI8n+3Qvef0tPMWbWydrX2PONh1iPvM3Zt5jVJV
tTL/CJswYURtlThqkDTotd9KptXAA/FyFpR7h0FYZbtuOtzu0OQ0Zq2a+fiXxCcvNZFne8Fc7QO9
0vg5VSJ4Lcy0iLem6PuHSS0sXHZ1yRliJDMZJDuMnZn+du+YgBJiJJyeNK7ibCeIVJBSTEhr1mi2
v5hEgMmU/WZGN71RYfWzJ8PyotohfQi6zHuj72z2kHTTS1vU1hL+bYMFNSI3fDF6/KTbGcn1cfIX
oWM4/fII4tqbuMBDetmjFghqaB3v/bjzdv2IkBSzdrY2rPI1IWACOSZeGBgLT71veCxL0fsVxHE5
+BO4YSsShgNp35X1sPEBxK6FBOoaDR0/2LKgKGtylDFtliu3blOmCuKTUQR9bWDT0eJHjwGW439i
a5zvBjRxqwa56Aqh396FC4DkCt+niis8J6Ea7oa2ay4UFfo4hy3+slx1O11hGKtau0MzCDKxi1Ct
6CHxtpkv5UaNgEo1knZIHAqteSKdo82Yb2X0AtZQ23UnLHDJXg6xWM+MtNadU4pDhgB0F9ZRQS+W
ufvAyUN2ARPpbkNrbHuBWYs+M8qPJabo79rqI2xuBB55hmvcMK+VR6tqksdpzlW2ISHC3kQQLAlK
wtCrV2lqSqgJPukcGxvkSLAUT/SBg7TV5+S5GdEs6DCRx8Sz9xF1tn/1psT6omYsvrU3pd7az2pH
rsiy7x6jKruYOEAxardmcktFgMyQejEybeNUyLo+xQQrY6R2bd7rtK0xWc8Ew25bBzkEW5XYcFHs
VC4BKZFb3RcsSlgkhQ69r11l5UYUwrlBxJqXUk/ml1wV1n4ED10wn4r9p8IxWojEhW1uGizTYuvg
9jGhtbv+1YQWxyK7mfoH1gATxNJ4ik5RVM8w8WitPggjmNjvCIqsxpP4phv4Q4/T4JtHU2OsXLvU
pNRPlYDWyiiLxZcfHeiZ7OeqbXWIfdpPJt5M0PQriWyIFQuRWHeyqPrXIGqoL/3AI7TAHQU5HIbd
DlvfGaLmNA3a+lU1cM3gMFqvmYwbYNOFZf8u3SEkCFWKCdOaaqRJ1tnkGI8L+X/nBg09o2K1DzNU
tHJdNiYJiOBJ4udOJHimksY4s9VipsU/5NqJEu+xmx1WoXIq1C6fjTvce99ulH2pIr5Yfbqvkbvv
ugn7eoHW+YBFSt65NmD6xu4uCXkvK39ys0ugkb3O1jJYNWu1KWbI/Gnd3Ep3Vvfgcb9p310spGQl
hDqPDmbq1dfS88ARR/xFHirgXVR4yX0MPXoPPcQ/k80htnoYq6/ZRXo8FYZ7M6cUASAt1XAJVYai
EoqnvQJmmSyKCYamaeoLPGklA+pVOznWl5cOySkXXX4OPO9uZHTJeFJZWiKuL5X7i3weYiPh0BPO
42OQ5Lk03nErgkGCM1u6lvMC19aDPdB3D/BpMKzFSehvwA/2J/JDftWy4fxQlW1TztbhJoALA73U
pgfPcHYGI1EnQxEl1IFxcW+Y8BnXjuzk2iTz8xGnINqo3mCytsIXro8EXfU/tVF0NzWwK9jGFbyx
MdFoTNo+Xk+6QnfIiJc0G4e2gNMi+vKZOW+M0sFe4Y/8YY5nrnMGrVjZhHjxYcmeHT7HVTEyiWNm
Zh6jIWMrZyN0jMIDyA4Mt4Vz0nnsXWvhxqfOdX5zOyU3mDT1Pm+biJ6Ub4o6pjIjgypssmjbzrOJ
B5e4pHJjTE37jSkZtD2RC+bFc0sFKSdMiX2PWyMdkYD20RWf6iMG7uxNJ7QNuSf9X9jAuz1I85FU
LB6YvUNr0x/q2k3tbd/3/o1BUPHq8Tmt+9FqDyTflN9d79r3amzCL4IlLPtJAerH4ziXJBlUmqnv
khvSphtIP7QVBg548D/tzNphRrvamV/gyqudU6h5nwurP3tJsBnb8t0YO7gQ8YguhFlvJr0NMylp
7ZOio5S2awxRTG0S/TzQm2OeIDQGJQPSWXyfLXvafmjuJ798CHE9A68m1x3OhHHPjjK8jcawDJBD
LEH2zlRtsrGgiW1EE02khB8Ly0u3g2+3rPC5mZwWCD2jdf6E+ApP8bvxxp8T5/txUFBHfFMAupuD
eG2MjTgYLChWSbRAV0R+qf18ZAzVOnu/p3wOI1yDZHTyIcejfU6d6DWSDBshuPMFCAeO50iCYWUH
1K8LY44fC3LFt1Wa7Iwh3CZspXd66sQlHoF85Ya28MBAPR0joREj9vpKEAt4C/DB2IbGbD2pBnKL
Ctt97QHi5RMattSCco0u3tz04/wS5j1vZFHV28Lljc2bMkSn11f7UNUvgxMbz0FVtgcdoGWh1ECs
6LZ6X0G8QuMcgKR3apIys5YExU4g4S5t98Dig819GtwrY+Lxhdt+N/K5k6+l8Ma0/WjvDYTw22z0
on3rZ9NKypYpi0ps50y5oD4SpFqo6QLH2XUqUfduUhPbwgrDJ9YmHD4Cz8wfPbIRzmaQZ78BK7tH
gyvniApieEtreFYI/glcGRyzatfgv8tN5Jnhb2LYuoPrTD6rbRJqN1yz4Z6hNrmAVWLF9+RDcHNm
wIlObmSP+1Gk8jOwWhJ4TDHesWHCg2vUJfkfYSfcE/IEJjw9BoFTJLrkKQos52z6vfU8NWn4K1dM
0Rc/drH32yjJOJis8Jhq0zkRugU1hPS7YBtJI4GcOqKBYGrWR/vK9LN9wWrzVdo+4W0McpZZy0iG
liAXrctKsycZLvAqPoSyuGckZTwLz00P6Famczqm8xKd27/jbisIp5xKwgUpHwgVKxXEgS7AgWGa
aAecWM7PWTpNv7oUJPWm9rNscT71j0GM3BM7jMsipgg7lh3C26HsUq/Ax8xbGJflKaat3k+ib3Iu
P4/sN74H4CJs1HdFAQLIGY3xuR8K+9BD0H0wAsYFWrjhvVSVf80t3zprgFWoOodsDT6yepc2zrEK
wruro1uL5JOFY4RCg10cGHE/swsq9xggASceqm8IGRfblDM+rbbdV4ag4BnCZFx7DZ3FqlMQU1Y5
fQORrU5Y3MiPiPdBXmJjw8uzFsWkH11tzEdG/Nm6JKPyRbp9j+C51Qydw4EUrtkQqXXPFcH91kUe
lhZSQN1NgSdpnecEugRzSQqpLFmcuXZz6zI7xXcefKZJbW0NYWWcM+W0R/vq7pqmjr8pWvKt4dbk
VUYzzDBoaVO5L5yhPdZNrz54aOdHI1BUm+gm91nLi/iGKYgW9rOtU5Bk67LNvK9gvdwGZfbjZyXF
2DywfmryJwOZNeme9ZyGdCI0eOuQfOVhpUtcJmtb9GiuISQbYLUICdiT8pc+FvYQPY81MqTZyMQ+
mNyo2s6DHe07BNQP9SSsj64K7OduxAWAe0UE790cBfM2TZioRIURf4+Dm54M15afjQ0kFnRcAhZj
qN3xEbq0/aslg/0UDZX0V+AwmseptTgrZobfFGzK4lRzYIjuGwj55aoFQ8WIrDA/s9CzXxwXcv2z
z+hO3/Bq2BJGGLOurYX5eovWlhwdOaVIGJ2IiRLhbYSIJB1IDLSgfAk3Hc6+lLodnLAuJtda5RlP
rw2Lw9pU3IfnykoJ2clkU9+i1ovjzWBIzEYgA4Fz156YVlVfLzjpTn6QVRrvS6IgXtEpdZ+Clggt
Y908to79kBj9JhpztamJkztrJDWbiO8hyiHX/Ey9ePgRlYhl3MRJXtO5N96tunL8rUvQGErcaTz1
GhtTH/jVncCw/hABtI9IyxhDdMD5tpnq7EhFHV8YiMIWh4B76HgLP3sv6lETGO69HdftrjC8vaUr
D2ReungKhbUMhtLH0jbsa6Al6dQOViicKzUi5NFvTFBI+RSeq3ZuOXE8vL2x/wM18jdRJOMDYoUQ
O2TTElghwaAjPO2D351Pul3cFckOB2K06QcRv7Z+0L0NKU9ObpT6Lc2jaBOOrryWqMpOCcSZh6yy
f0f24sGqdfDYUM7eM4kFZUSO8y8swTM36CAOBMe6z3Mf6NMcQdMnoGJ4zSzAOsrI4psKnfSepA8c
gi0BWOSu1PoyEviDgACatBsV8UPPAGAj6wTZA0vu+r6jJ/1qJmE/xEWpof8h3IbJ1t71WACOlde8
deaYVJuRUB/Kg0J227EK/HU7oIzPOj2zsyPN1Ro7c53lkhpIp+Ids4+4MkjOzjm50O+J14SIpjjz
nYg6jWu1f2RQPf1IqMVupY4A3MFjvXZs0p80VR4ZvAQY7WZI2Sdp2/U1BKz10ivOe6+uuh8JAB5g
hjr5nNiAk28R0FJbaOyuvkezxhCdpyvhViHGKAFjF3Cn+LAl1+lEjwXQbkdISHotZR++5r6jTg4D
6Vej4nulYregE+xLSGdTBkVMWvceshqUqP2wMXr20+NUiytxzuVvm9DdBsZYKZ7JxNQ3s+DOw3cY
ym/iveiwurZoz2akmKDPIYwQgy+ahVUIkhfG0AxRdZNpjLOGXb/psca54Qej9ZQ5U/3stQKznREz
W/EwDJcYD5sSs3Qefg5witidR5wvZ1W1Lk4rGb1ibsrcSwr+B9KSy3Jll4KN+oz0QH/l4Mj+6t3S
XQSOM9Y3rwI3ZGF/DE3vrXIZ0jiFri4RlRrqSs4OfqGURQ+qu13Se/YjUAtra7mtc+CdVHetpfor
+fSQ2YuuP1t9A8UXVtkW4WN+mLpFOBer6qJ8DgxSBur31jOTXZQVxqOTZw4rHBOqsLfWHPHVuqwq
zMBEH443Mq1iB709ZmIixuE5dUNkvSIIqOJVnY3Jb3La4Oy35rSdUtagkEsGhL1VOU1vGT0keAh0
A8pLANXxx6PXJDCHhlrEeH53VAFANaCBfoggsZ69tOQLlFgzv4OhqscJyA9mEMKTX+2i+a0yAkTY
XEwlwbDh9LuiBj3GjsExxJZhExdNtXF6w8DxlXxlEYMtgk/RE06f+QjlSHM1rwcNDW+IU3Mpxl45
ZKrT1KonMxzEPoIAdcYr7PNpEgHWBbmzgQdF5Af2tLjzH3Wi7DtkC0RWRDabTYltGUpPmLGrKMvz
YJfuEdg2XweDod9pJmqk2rBzXa4ppPwV++3Ay1dcVYonzZjPYzf51ySa4g1Dj3ZvBaH5FfP1+arZ
CBCFiz2Zn8+bM5ZQ59rTQe1cUHiPxJ7fT3Ns7bmbh8csNMoSzayELmU4JH4YMOZB/bd3jjDvlpnQ
B4HcNqqNerAkqL8yvaOyK1CRc15dY/a4TLsUDv5VENvsZ1Maz5U3zrhR+llv5Bjnr2buIVkNhtZ9
oDTIEffGWXhH9Jy50oOnDpocDZgfMtlIhZ3cD4EBxHkYrDTWIhybs87QhnVVe7ZbZol41EX41kRQ
VyCzqw+4yuYVWH6m8P/BsFJ27zzIpGtIq0O5UzVNeB9bpryaNVZKgjYr74we2jvIKktPIpnUudZm
fU7sxH90rbzelQMAo40gH/F9Ur2+Y7imNHRFtYjVvSLbNggUMGTbdbqN7AmYFSooLSJiUCNhfhtY
EI59OIdPLifTyvUwYXAdzSBNZj/bRWkX7VrHnO8C1jN77NoVTLS08K9jpuuH2RgJ9yQfh//KkOXB
xVX7Ofa5d6qdOn1xkcgGHN4KKjzmzVXN8AqZLlDJO3oCQdYeqSsb0+ypuTz7IBWXma76VQTYh3bP
8letMF58jZo+nYaKPV6xJFcBeiO5Mh8fvFCgdpp846hztz4ZlYlsySibHyahPRssCfhvipT0tcUq
Pzt7uBrNHchTjQfYZ6o4j1yk/FvnqG2/uMBYGnbkY9fepozTelqTOqy3tox5xiuoLqjtpnDfZU1r
cfGI/mYRCvUKkdMiHrOMEJ/h5VoxuVqofi5Bfh5hLvTJQ1I/ZyROmbvEUZC+Zq9Py51BOE117uNY
MJKtK8H3luFHh38zMt7KFOqpb8YInHqKaBb6JAs9krDQJufKc5On2JshFeaBwbB3RrA1bNIm6X6n
Hollcze4PzKB5dMn5dzaeawpm21KBku+cyQxsKu0ge2zynOQq+su8OWjAlGVrYcgAe+Zkbj91tky
/eoNc5rJGB5MG7BDi/VvBmDxnNgzOY0yHPYGwbF3uKMSUGtwBh9AhhM4Ikiuua8HBnGyt7HPZvrD
sRKEkT4hJxao6R9GJWO8DSPbTOnJk/JF8YqdBulI6Y/kK7mxYF1p5QxS9JF3Yd4qFq43N1EeuLgq
qJ607smdCKf5mfGlc8LY4N0DsmDEkELTv0TdDEReI0P9ZmrgQvQs4QRhNGR1YIyjYW/IjWwPzJAR
WLdRNb4nvssFwQh1uuqCmOkufkhqULCbqIRLlumwvERgI+zMbbMN6dPjNRTcBAei0uGPJOxyv9jR
KjJjprFDMlqx1V4xdXYe/FpKYL3DhG078aaFDSqZ1G76Cs4fiqYq3XGNiPvcDvSDJOLsjcH58GC4
XYl2yoJ6hVZyr1UtXyQ41ztW4fY2QbBt7qpETITFOekd3HLCFqvBB45Ept5HMrr5WRtgdVu8gw0j
SCu2z40/snWxsDQhyYH/eZsSqqy1BjP5Ps1AL1YuxfUuxsy/N+MEC1TQIpjw8FwC1+CNeKgw4BnI
gUT0HVox+pzEtqynKFzEMQA2iqeUTNrtaIQ00ATvOFyn5HejjKORGgvp3NrKUo+I9cxHgfPpjhC2
EnxMmDQf8+gnN0i/4BZ6LDlXUxkmY5xSpYSa6cZ6wasjCNcK0DkWTcIqXHXMPxGKICEBYxv+RCM/
f9YBD892iCnYQEk1A1TlGWCwO+GzAWnQ529823oy/vKEm4Cp53inTBn+ZEW8HHA8RA5L2Tf0tOKI
X2S+mqL0TnEcmnuyFdSZs50LSAXmt7I7QJVBxc0H1Nl4cY2kfkD07J3GKG0u9qD7I5DK7rcCtLB3
+do2q8EPGg9SxTj+ckky3rR5t6GHyEk3d3V5IKTKOzmc25veq/InGxnWyRBk7czAAb5LjAn1eiYS
ZU/mY3lICRCkRouK5tOqTRVvI1wFj7RITL8Xm1zWS/8BHU2OqsTznmbR8k+YlXYKUN17pIEdt4ih
WHckEMNPOjOBovIePqEm0z+5gQq8Pt4QPBuzJcN1SbhUsq1UfN8VnnpE4eGwPeBsKQFk2khzTa1x
Lns5ZB9+yAoRn6JQ9O7dsWSaALCy+zEzVlsu5F5c/Y6go9CjK1lF5ZA/IrTI0nUcpKJ+Ans5P4wZ
K7aY4uYCBtt9YLlVHnPTAvct4NWJbMR22Te0GnbVbtvWildzPIR3RT+5J34suuPpNr5GC3UX//Y9
DnsgDkk1ftIy+7cOB839NBbfjeVsiqxDahNXWInTYLq6eiqekgG6HZjHap3GwdMEc3ObubnDzcjo
8qgVHhPUMSO6HWG6S3AZdYXr8fBMtd7Y+cL2bg01wEGAOco7xITDSIrwqCnbf3hxBT7JNHEL2nJs
H20KejqB3DH6ld9xy/Uj6dxJ7yzoO6LUPqJsbC9sV38SY4oZuNbKuYuJjLwObmU/jIwzfpSebzsk
0oYRAbYd65u449s0mNGBUzVckP0++ktmClnbid9gIHtjpcwGCY5VKSNZM3ZvrU3mDFOxdigRzhjC
yzcZcWURmU3JEjPhzCwxgM9g21Jhq69f2afqY8H7u40bXR3GmKw108Me46N5q/amdGxu02hkaaV1
8cOVoQIfMnfb3J3836j11HkwFtAj1/2HiSgHol+XYznPMJIh83EoZL2UvZWcOzoYYcXDWZHgtRdF
gxiHbQ7j3tr5rB27tNdxro1jaKABtJmRJAhNs/mqR4dDLvCaGvm/ip+gv1g75OrDc+KN9nc1TONX
Qtn63Ixdh4EnG5fzH6rexQ1SH6ueHMcfTcb+clHZR6+MSClN5oIeD50xh3Hf+R57GLzzXDSZjq+D
YZpfuKT9YjvUIQD5duLimsrAPeLNIV1WSwOnbdCORIzJ/jg5aOTRpqJhbpVT28TbiJJU8TCf3hqg
tOxt4mAnRM2dX5JPvCWME9BeFRK2ttFeMl/h53F660FkJy+ARIUDDPGWAw3mJ55NnDuuycYPCVPF
bSUwYRorK5icWw2JHWaJlngPYP2y9CxKN8Ut6XayuQTYIAG9ZnaEuKiqgnXh2tZL3rfsUUSZncfe
G6uVDg3oOCjnvY3TquU/ILuelPguES/sbElRH1iIeuuidJxv9GzlrWaD+sDlRe1CQHy3Ch2u9qM2
CyvboEcf35k3i22bpcYz7C4T3jKuiC4C7bS22Q9uB2ifmzHJzasf9OI7A1/DJZYHO/JzySS1ra4P
dw4qgnXAcPg8F6Z1GstmvKF0gyRtLUPyAqIpaxqxhZpi8WT1YmukwwMJV/cSmTTdtXrvKMJPU1jm
R98oja3OLLUh2a3/ZdUYzDrKiZtYTme8sf7Ggxt8MXBuQjfiX82pgxPC6pT5biIRuymMDdesHXCa
aRMrYzP2qMSQ3r7HXT1je+/LS5U1GAxiy9jaIiyOueWZP/MaZEpU++2l6Kr4DmteSgJbMiRwUob5
p4ok7jEr8I7tXA0H6nXGxBUZj/+rDfr/jGQhW5SRNfy7/1wf9Pwr/yyjz/Lz79ogy/2Pn/ynPsj6
C4mPi0vP5f9PmItx6T/0QUI6OJeIrDAXNRASmv9n2Qr+Qk2MmRjDpPBJrAB+qP4ZzeL8hRyaMFam
j74ElfM/s2wF/67TcR1HgkBnOEI+vbTFYur6W0ZSkvmJkimaFmUykbfS5FDABQb47XS7wCiGX6kP
VN9A+gRmtZjWhJxjP41dyQAZnUqAq9/csoo0U8b9g/Og3EHvLPJwjxpjMh6kbLx5YeRepR9hNKS5
3Wk/dL5bEVY7CLcsfTyQ/l8KFqi6piaUsVU7Ju47fpT4VVPRXJuKpTlrJZ2Eq7Yz/TPtu39MhoE4
DJwwQX5gmdQwFRio0cA3gW4th58Q01v6Cf+M3Lx/dyn/1sQ+C1IDgBbPjO5oPlu2rbsGeSCpJ9S8
7BWr9KUsPJskPzz+80rkFMN0d5wE6zKIijuuCZvawLZq4iiMwLl2oZ+U+xGf3UvZmv1HYIIbZCuS
6GMdpOEzd/SYowjIWLYlzbIJ4jjgFjVG8il0LJM7jTr0tS2dJOOOTkAZ44xa9cN0syarP2AVGX5W
IFZ+GJIcQ6oFpe50NhoMyssc3kRuOa+hOciLltJ4jjPPfDeqEocdHFkumaYfSMCIym0rI+izU84b
HoEd5BfPcXln/O5djB6g8ttD1YnqYuYJRxgfc/nldmRQqtikG0BJLfglUWusTInZ5P8ydyY7kitX
tv0iFtgZm6n3vUff5ISIyIhka6QZe/Lra/kTIORNqa7wJoWaCClBme6kk2bHztl77RwmwNWWIcL8
3J8m4l2yuMCNAYMvZl3fUrRUJYKteu8mSAX6ZjhUfmOuwYGRGBkPyUNHktxiyGKmoKOekeEbJGgs
024ePoh8yw4Dc60zD1SX0aEg6nvrwe5Yx4Xvr5I6ZITaIGumpmQKVHs735Dpi2qqdjWPBrgFFDcP
HJPlUnK2vEKB4WgimZ8b7eBckzA31wUxrDsPh/iRXxSHstHoDcmZ5g89z/OBXhHFE9HH5ynjQa2r
wf+kyzNuyAJo9nllJxAugietBw7QdbVEkpTccVBjtBXW6lk56DTjLnA/UnDcx9Ss3SVNK/iRKKAd
HyKxaap3mTABsHyE0/xMLziou3hRdm2JqSMU6SNahV09ZnfKxoifiAMO8NinWYlnZ2ByRbCt7lQH
165VaonuO/cXipPpE++Bf24s6T2EufDKnUmD9VAQzfLW+Gbw5LZZla8qx3IIFJFw5RdqJMAUucAt
UwXdzy7nmbqY3D6OtC0qHrxr6R73OOIkWXnuSwlI/SJk4GCD1jfIpazAOvuQu8ye7lQNXh2x3hg1
n2YhUSYToxvCtSYfM2tTForYM2uiT4Q33SVuCuZB51AUs4jBoj0H8Z0aNQl8E762hzEIyDcYADeu
cbf27yrN1CVN3eEwmaW40AnkxDc4/cy/RD1Z9J31EN5cz8GsgdaDwu6faHXbz5xeIH0M4/QZFql8
mqBL1TsbhcUnz3f6K/F6x0GgAdpuUU528mFFBcwSDY++XEQJupnM1SQbmxziF04mHU3PMyN1MdZU
elJEyVYxHb4meYaWRdoxLG5hP4K2d061oW2+JDXWXcJoTK5sTxMPULexu+3MLr6Sy2zd93XsbVHq
tKc2UfJnxiPMrxo59gsuvvZU5I2DmHrWu8BBqGjhz7qUpZyTRVFPJUUqtPijFylrF+ohPnKczU4W
M2U8FULcznyGZT0RgzSA3PMKY83761/8vJX3zMfNB4jQNKMYrzrJAaW8/xwX0nRgeEz1z2GGAGtK
Zr++qTK9rIVeel1wyGCs8c5nlW7R+PT1+ha1jU5k0M06T4OEyXqR7IawvJhZ3VJ7GsJYKecGEAhb
azcGlgQ23gLc5MWl2SPTLb1kYoKHuXxsGCtSuKe4sNLwCpQjPpN1EPzMUa6ekezkG4v8H2y5bX+M
PWnv/FaYn/mscwZCYJayEm1hIoV/5LDLb2jH3ikKdU7DLsNg5DflkQYMaTCV6Ia1L+Wn1RQVrCij
3jk0u1+NRG+8oHvNvEJtefWB4AObT7SdrIws77/cKv3OGuWvPcQWnEGsdNlXjDQKRx9Sw9Vb0Ql3
D7b8ahsuRXLkGfdky/g7SPkl5v3oAKJW4GXxRnPdFsb0RkwxlklGxvW9HaEcJlzMUOvatVd4Dp5m
6Y8bKTA9VIl6K8zJ3heqJSOoTj9vNrfiYLu27ywUulPULC6ePyx646YlQenB6t3sPPYGDIlctZca
IogfiB/dqHY4i+jANbTwsBR1S8QOFo4K+2SBUg0WVRKY88KrQwy6Q1gB5fe7jHgtQPcL/AgTmDJx
Y7QnJn/sKldutZMdiLDosmUkJk3jM0Gev7ICTtcL3IQKC2/xIadCHkAXde9OoRrm5AloCIZmROcm
NLOXpWPoB90W9XbWQ4BpBCXm0u/H7iihMsqNjdcKzBLiMg6Izrds4x6KiuwFqDDVJhQzRlwsFfKt
fknnmX0gtZtqXEw2Z88lTnDvZ1k13dVHNHhN86RBKlJQzRPItgjDbloWzKCrKrhyWUwJYzFlT/T+
gf9GYTuQzhEN40sUJV8hj/s7vdgVZc9ZJECo8kZnZEhF+iH1OIzSaJaE/44Me0qHXpCZxfY99sf5
3Yg1wV1+MR4ypw6HW2o2kuahnRBn18MZxYH4bOw8+hHzwYvYArcRwJBeSCbMm9pR9XPl9+WONByo
cT55WbXs7lQWxS+5kJCu5kH8cky/eBt6V21sH5HjIigAHe0KDp67oQyFWvS4lgMuvjcXQKrLO/aA
YQt0qL8EAj6xTUH2AjoiP4yNMR40mpCVo7W5V1IQjqZ8or37koNYYKfBPqm5V8yd5p+2FuYuiNtm
5YiZ1CKpeyDAFt34RGwZlzwjmJwXCAhXvhj0Ujn1ym7EyjeJGAk4tIGMkt26G+pvxx2o5yoexXz0
1jRdoLYzo5TtIFeuZ6w8e7o3HE2aUjW4+1xNYke/pfoQrGfLxqWkEI2s03VQmhuGOxU7jI3Itw6C
e4/kkxNQpGEj8XSfS3yMC8Lt4CYVpVr1EZPK1LEvcd8dbXv6BUgpAZDPNjUibPTEVwfr1J0FClmb
UusSMlzflPGgjy0BcltjxszTDOwqYW31T21Ut8+TC+RrTImkHqzxQoQtbVZmLIByvQyXM7rMBh3a
mqGXh9dOhRuHpSxZ0kqmt9v3p5RsjU+40STsZWa2cZO4PJlEVL9yv4kHcOkeg8xXJM6rBCyriE1j
V6ZuAobP9+9Vz14eoSc4JjrKr7bwiwvUl+jeRMd/kmaZn3qIAEBhVS7ueENxMmLNq0+cQ+R9Gdvi
ezaxrbr0xa/OaFsXcVNidXUhvsMkCs8eYwWUqEn6COBPH0FvETxBeFr6bliyPbNsFnuNx3HVaP9n
3PXhzi+JsIrdrLu0tFfeXbeF1ZOVjPwICUNwPjmZOqtJSyp/Alj2lYwbWlJCTawe7a3TOJZAdatu
F9Y+SjThTw9RljXzinbXoUr9aFUaaK6cMZ9eBqcpr6NM3irPj+7MSOXvUG/1zvHB0E25syWJAoga
bdyNn3rWGiM4hlS6XJfahwm3UFG8VtRN69Jkce5CD824zMWryVGG2xww9UDxtaJ+pO+IpfxHWBb5
wYpLHuC6cU+B1ZIrP8ddpxYNuaf3sY05XHZeBwBqHn9GU5EvvZR9LwpsPpnR3qZhbHQafR+djA+U
r+3j18CIbgIqgOkwpd7rOgZ9i2gtbNXekgWTuKq/Y0clK9Kh5F2ZgslEjvzdNBEicsxq8TcMP9N0
6J7yUMlDhsaCx7rv946wrIM/dsXabnKSGWQe7Qa6FiF65oXSRbb3i6+BiK6vmPnGPiO/IqCENTGt
FfXPyUimY0GmGWz3tEDVDFQGYthgruFVVJuS4flauYN7NUSANz/J67uhK7FEeJX6NHlgEHBZ/T6z
24FUmww/g9VQTujQ2LX+1AI7MwH0xelEozhtqBey4iO3wplLAfshyzn5yWHM3veChmYWgShHwKKf
DWNmjNzP0Kt06VjvOCiMHxJX3IZxgtrhSmdGlIYFEUWMBjn0tIF1VwcSXSfsribIwWv1YZhv0Gkw
2w0HbP2c5Pp0qRp+L+GH+dtUjgNP1uBtqxtUq4w6SBCMDmns4Oigedxh+kAh8iuk4O/b8DSWRB1G
ql2OfTmvmMDh+R7MA3MmeEu+/NbDuCOC8CnAobr0rD69S9kSoRWW0w6hAw4UtwYC6FSopbnKd21W
/cfcW/U6JCjmxcCdd6rIzP5pUDOhGutKzKm1CLf8PC4uaBQszlyok9e68t0Poo7aSIh9ZVLSdo4B
uIrgUwOWip2auxAxXL0oLQPrdVmyxOtUhlsbaCKwd5wUlPpVsInqLPhpol+7MakIXkOk7P8grczz
FxAM8xdFibRW4RRe2mEu3uiEpdspidKdZzvjh1fi5bglHxBm2k1Iotxyvo8Noz/kYh7vjaYZGpga
OelQuDnXUe7P+5lOxUMow/ojZpa09WrI83Be0d/PjbP3J1euvXzA+9zaZsf4hTzCrrVMlCi6um9F
Cyu7q/r625zj/snAV+Avmt5tzp6ovPXQTTS7c6aa7yBZ9NZv7F8pwZYHl6kQSX3Ite+C+IZERxfw
wsLRLtHrdclKGaID3D3bhzqy7Y0xTfKtEzmV6+wXdyWvO0DrorpEdS8uBXx5JJzNPK2qpByYCxBb
c5f7rbpSXGdqQQDetKszm6VGs4niJ9F1iBBTFHvlyYDp9lw/ZooaFgRZLnfSDt1VyCnmZMcW042C
iZBnGliob6kyU5PHL26GxDyqI9SA4dxn+6H07IVohvlAHJg6aD0PbwQy9U8hVeh9Zw/sJnPmvEh7
TA9hb2Wfsd+xF0XDfBGzUM4iV2Z8qt3MOpcNYrKEfOgFei+xN1UPmgXxgV0tsZ2Jj941oDuGuWN+
IKnOkbn68/jq5gByFgxhyAnyW9fU6zisOsCbDRqmCjAHxiNj3kygDs7s4+o9GSP10vuazBzlcjAI
WnjcgV1dncANnj0/9w9BLZBqdT02dMOWoKEnSiyk+Mzm/Szt3yy/JSrCzGiuuqO9rRtrhjk25N77
TGYjRQNCjxYV+dHIBVVnmt24/R0R6GjMsjsYZDE/bfChBjogSWYwZBxTND+cwbkO3PC4mHvk3l4U
sLpiRc1xUtx6D5bkVwKvaSGWK+SzU5j6UOVN169LZrGfhsv5YsSkFK/C3INZ7htatvSsVGTiACLS
0teUt0BCH9MoK84It/myNlYcMbqY3v53vaH/B9O20dAhs8eN+D83dreg7euP9ve27j//1j+auj7J
MP7vPV3+vX80db3gv6wQCKBJ2DQ+XUSD/2zqEifjWzSVmQcC4bo1fP/Z1LXN/7IsnB6m5do2YgjL
/f8xff5pfiYFHK6LSbR3aNk+44K/tnRDO+29Bl3LuhVJwXx0Rq+W2Ajefrspd//wcv7u8aYH/ReH
J1ALjxOljdrds7muPz6mQRhM37j01iAk+x+9aQQbeBMxvcI2B8QtVf+PAKT/EfJlYc/9l0/0bh1z
08Qfa9264r/3qkPac0GXR97at0aYiwqle4IsLCFIDu4QhwJPpo9B52e7NgoeOpytxkLzt36UEwYW
U4fZofES52AhfF3bc5cdwqkYzhB15pM1srj8/Q2y/uyt3+4QP7krBEFBvun/4ULPfINA6rHE7RhV
ksJpypcE2vKfKCvCFbgGAPCxDyYwDSrCBcz5i67e8EIFquge3KS6kHqey2psGe3N1a+//3r2vz4n
fD2HI6BFM4Fnkufx99vph0iPGXyzK1rKJWHJwtaUwv5a+c0AwjkbWfJo2lXHonXGtWkwU26hma35
zsEOG43/ahNEeUXRQ0KaQrJj3I+xBdkiYjZK/1n3+bvjesEWm1V9V1R29dkRVL6FmaUe/v5a3D/Z
c7dbHTCIDbDx0gu4gfF+v5YgnQez7RyxVl0B6UTUpJyRX0qKhqIRNdRpR4ufccraqJrhi72ejmVB
tHe+KGUrYCSGxn03ju275/YUWhjjTjI3xNto5WDAxNmvU3tV+rQT/MKIr6R99vu2gihTx9m7EhpR
UyTeQma8l9boliUp98GUYuKakPnmdeFdLFkiDzGiWd2coZzF7dSKNqihwV34PrPnKXCZNwzOmeFn
8hV4NYA3q3PUUXiaeTY9x5hUaXLgEXOwp2Q2It9VhY/l7e/v5f97cX+3bnMvfZMRveNbNIE9Jkx/
uZfKl00umkmsrciR18rMS3DNg3kK7GDrO9YvJqbjFdANBBo54pPdcQIcfnm6qD/R4rdnHQ8982bU
WfuhKooVWxjMlrIEdAyFV91VSQXIrSc36RjDzf4KIV89okOtjmGB89By8vikZi+OlwUJjwsIMuMp
yLts03ae+R8eHFbWf1lTeDNvWwJmfMGr8MfFBtQo/u0loDLoL7G0Cb7g1rp7xazuzpi8cKMtXF2R
VTCv1UF8dJRgIs94Tu2smXJDUO1+10Ns/vz73+HfrK+By28BNxL7fnCDR/7+SBcxWa+FGASOOFss
GR78Svpp7zL7WTEyOPz9h/2b2wAswwbaYTqBxZL+1w+r2B+GYGrFmlOn/2Zydri9xdn17z/l3yyI
f/mUP95SRi6p1zi1WJO/nH7Dmq5OHE1grrltOW3+/rP+zYpwg1ECX7AZybq36ervt49HEuAQfZF1
KRz76Bhy/sKL753c2kGGNjKnXJQA1Ui+MM3yjszZevX3X+Df3NLQxR9OI1UIlz/+9QtUxiCUToRY
F4CaX6xBu8ipZ/8/7ML2n4gHETCoMYUIWMJtkznuXz/GZsm9TfW8NefeB4UCeCnNaUuJez/KpypM
r2PpLJ1x+BoHfAJJYVxnq4ggV1Xg2ZxhWoVd1yzbxK3uvUYNW8IMwFCO6K0U5fmUmGuV0hUle2Wv
qJQxoTBwW9Hk/0aH9x+4EX8+H4IEBBdYqe9a4W1Wzvz9999sdudcd2jp1pptB58fngoPW95q9uDT
/v2v8y+3LTTZm93b7NvDGhj88XgkMzJiv4Oqj/SbYc2UGzvfnJkl1GWxcZqo23Grw//woZSCf77V
non12KdcYmX1BeXZXy9xsFthS7zyaxgwT8x8q7VDUjzQyXF4c3QFTtEamwcDs3QdD+8+usaNjwfm
g7YxVg4zOVL7LBAW+dhLvLtGIZRhcdPbtMak3KIfIhL5PbKb96rHs2syag4ChkANicwLXZB5iVN3
DwbQXdTMY+9Cb1BLLTnvpxPKyBuucJGak7nBLinOQUUed4yXWdlGsfFH/NQh8qOFo+R9h5wYXVLM
GdV84Gi2ZNHf527weDu7XWfvw1XzVwkv7VrOUqyQAcVvTWV0V0Nn9mbIGsxJc0YetmaQWTd+ti1S
rwQWRp/pfaI1e8sHLZNlODb9l11gIXATwE1wyx33fUxtnBmmfFIKsWuwhZa4SCFIMfUXhMFEEj2+
EcsfvhDM+skDqjdC5zmpCKHajYUARUcO1MUF9ndnjV7UcWrTLWlPOKAshHLfjZMHZ4nicZNasbWC
xExnOrT6CG+eh1IzYpf6kTfEkqVNSd82Iya08B4FjqcVCmTGqSVSBEBNmqYYmAWC4xJy1P10Wo+O
uQ6rcceBf97ahQNF9qnrSaAjP7Wd7PDXNJDrTXdO9913RnX5ktpVvsFOLddh0L/KRB8aOTabpmt7
BMnaetFZ5tz3eS3Qm6mKRspUoIQO5xD+h76X4fwyMow+9zmah1YB50iw5QEnB7+9BJjSX2tot1tr
LsRd2wfyi3FQc+0IEaeXk8S/AlpWWziHzc7UgSL1KrDeCAIrXofU2ZZZi7Y+zcbgrqqkgmhXoKcb
Y5OADGnTDwXvND0X8YzOOZq6Z8X5eKmNenoykkhtVWXkF0PpeDePtfGQU2hdOqTqy8y0zZVFgC2f
7KlLNBvdOh+YlUHcsD6MCGkBtElxsWulyYzXAF8z2d4nXfFZ9/70md2ucDCFsa2j/g5Ty3aunuh0
Y1WUE/E90xlafrOljz7sKyuvfkZom5/ogFkQTjpM+B0OxUDn1sEg+WXVthptQUi3pkJzcu/rIbnk
uppXppoIGEER+Sswm3Fj9O50kKqWV2AE34kW76VpYhVprAqnTW2n4ytu+WrnxgNRbRMK6sQZAdY1
ybwnJrpcdHX8WqvmVYUDWX2tsOrPorLalzjIvR2EQoJMnKlaw0C0l5x8gKvJWqzqEBFEVqtiUxtB
jBWEL2WRYPHi1qVxxhqJvJCkzVOdlw+ssOOObtKwhwGBfdwjNcX2bziJ/tsR8bGo8Do1uDLJwUHu
cMs64f+AWeqxH4nT6ZkjbnInCK441RHXVkbw6HTTZ0PC1UNRD95VdKwKvIPzipZEvy+kuJuV6dx3
ieQ3sbsK7Qxoh4OLtoWXinldEg5gSUNAoHalTn5Gmm7u0P2IJ8LNRTQnzy2qE/43IiJNQn7WotLN
ckJGjuKvYcjoablAMJR9NLQ6T30shgtB28W9mKrh3AqD/AFVt6ukyLbCTd/BEjfE3mQlwSpYmlqz
XtFHJZLYkNkFrAoJPcZo/4SD16He1tlKh7fMdsgUd7YhyXuJONp5G0e6L06kmaM5MU7YBMm55edX
mDqQX6LpSKTrsnOa/ZxnT1Gel1yxyu8xnFvLYkrtLxMW+4PqMyr9AI7YNmtsJKNw7TNQDN61tj10
tCqZd3p0Hi2CO3D5E2zVRT2i1G5bzqpbh7UNe0YfExTNkDTgrLk3AX3vok/3aGwZ5mOV0/hPxv5c
ij46DR3ChYWgp//WztJaKT2UDBk5npHoHEl/g9mt5XQ918fWamNGDc4almB86Wbghq09WMtkcGZ7
6Vcj1GZdYydJQ4zuoildCCzkC+LZRnrpVNsKst6xcoz+DhA+iVRmWZ6SqlIH4eGBcz19DxQFhy+e
lo/UrauPuTZzImH99CUqA3fdjm5Kp7F23vjWaAS6XFxKQG7bcAzmbeKpBEaAkR10QIfX99g5a3vS
vBcq3PVp1y1Vm3EcxCaxauJK7hXhqyz9AuVxnZvnYlAwijSLd5bW97X1K0/oI6D1npqnoCVLoyEU
+84eiukBIExwVIxHj/7sZ0fTdaa1W7TRazmH0xsT0xvLurAexljrbSlc9sLEzrZujUY7qMS8VMin
N73GdK/w1O7TJCR1yonZbpPpzoQ4uBpzrOV0dtq1ydWeBtC0R2xQ4hQ5nVijZDefbAwa9wi0HCTD
JCG6YQxiNszicy8D/oSECFBP9qWkzp4SIWkZEvK94xFd6675DKRINiXuf8jUoE0yLHEJGWPICGik
+t60b7B3O+Svqe4qzHQtybi5DkXK9FmNQbu0lBetDXTPZ0d71UNLZteXSLV88+2SnCLDfZkiV9DJ
Ntn+NMN8MfR0q/HH4Sxx4acbridxHGigTQ62URdW3gpBEMISIEWPhuhhdI6QqXvIvyLZayZz9FRd
F2kh/sfZlTz4UVsbajWWnrtHPDbvy8B8DdzWvwv4+8iiDOMem3dxnlP95TU2Qpu8dqiAi7p8LOvu
YjTOzm/gCAX1Ic7n+E7kobcaJ+KKkKVlDFW4z7GfiqV2JpyhvntuYrXu42hJoRZtakZaigbBlKxx
1wJit8Lu2rZN/MwRE6cbFhNrE6IgoZfd9PXFdcLoxa9960HK1jwz3VIHpHjjeRzH5qsRqQmMUyfJ
01DyZQzTFd/OaIY/gzQpD3kKIsxO+HtWFBirGvustUgp+jZ4sB2AXKMzfdhh459k30zGAoA5Sr/Q
Lx9U6Zd7dHT9dzGMHoF0jqGOGMv7bVMpB8u5lVrPRkRNkiXk9eDFZ7/uaf9UeHqxvcAddtkqOx09
ucrq+PHxvTGelvF20kR8UGdqj5FagqIS3XbxQt7piPV2LuJV3RQtxj8GJdE665zEW+gqCy+4KvuN
nRvDCiqbC4k8MsR7rNmCfBUV7/jSfGBehnHrlwPRGQYZnsNCK748IU6SeiZz1r0ydAMtxZivI2Au
Sqa6UVc1JYhHe3AK3vzp+tkrOHEsTcnEFCaO4H91M9QEwoKbWerlxOxx10HPvElGEEXcthvT9n2q
23rWtxbRuCqlp1eKvJCT7dQWkThdsvEdMJ2oL4BZ1zIa9yDjN5F0VplEhc7uinQJshVhMFOZHY0x
VS/lOB+76Gt2fQJs7CciNT4sneyDKf4h8uYtsV13R8qkvNe9Gewakyhm15Q+sMogb1dFRdRkZVpN
vahmgqWkqWoEE+G8k4XRWbSibOqkQJTnUNTto9HkoMmrwGEAq+zukpcp5IwGBTAO7BJoBl+hA44s
4vsiHB8jrFm7yi3L93E2ESvUg+nsaC0N32gc2kf0RnrLZM9Yl0r5uxKiDDY8tr0v5HygVaQVLWLX
Q1FQOmrLmxzgcaur+wDixa43rfi9JKtoUVsdjIUqLsdlHB6cMlf3Xk7DBSdCqtGFpmoPLn94QVbP
phMEvYPRPcbq41UzZ1YT7NOii7z0F3/nhi+Ws1rpycDVSxmTuOBIMDHl5Bqtqf+bK36ANFm7tFrX
tR3KU+8mRMKmXuVvcI342wy/EkuuWznoymyD2LEweDRGnwODT9PwGWZ19c6B3TzSoqi2NeJtXu4u
3BoxKW5uBBqcECoSf8qvlqbjZnRa84N32IbkPkS7vAvmO6M3oRf4YUEZ3NXVHrGUcTYTJyL6YCSt
tkB+ca0pPoDA5OWSQIhqe5MRr1LHtY4yDjBbmAdbNmC/ujjFlKeTR7c3qsdZOAaavHa6ZwKLWESG
3j1MSpPAvCJ86HLbPts+bnf+yfjnbSkkwrRKHrtBagKkrdw61hnjaJUZIenDbfvk52Eerro2/cnC
UlySfhifB3NKM0yLebWxwDv8AMGuuYYk3yUwjE/ILuKLNccaxeJYHaoMJYCKu/aSWpIxo2HHr6nq
oituwZIXiN7LgMr6KCnYXmWYgoypcZ9vqXkAhWsGgutAjuFO9z6oHboM6ZXOYP8CcGb6Gg1w71XY
N+ECl3Fzj93Np50y19OupF47ogHxvgdLEyUwZ2V67/Co3usgm0osuYNt74XP+TgB6mbt8pqmLOGD
Q7HRWVDuGLdmrw3aoHeduSaDRpPBwaLSs0luczxkz51FgrMdTNbalUbdLHwpOdgEsTRPOumTi4G7
Zm2hKd8hFQKCzYyOY2BS37FNZgi0ZkKG2Ihh2U/B9AKzsXw2UoPAXkgQK9zWMNp02V5y/+Zpxv23
CPq82ykuwVioQJW/+K8uKa5uQWmZT4FPOgnDwIGzVSAejAQKHOHNVCHw+bBv4xd7tlqLhqnJFJ/8
plRjI4nGdT/39tUiQprjPQUPg2ej/xBJlL2XAqsLolLR9suqxLL84BAEty20Q7FrzFOnj5VLNmwd
Tw9cKC10VY+ItgFUbtnUp+3oE7SZO4bJdDiKml+9nRUcrekclqgR8Q0tORiI4RhOaOEgU1j+tCpu
AvgVlbRhXLE3tMHRIk5wWI9CvJH7LXdqxptczE64S41UTwvZV2ALqPCzirddKByvlRyurR40S8E8
d+MiytMw2chyVCus5BS3/hyo9dTUk32ivcfo1EsFg6qgInYYwZmxHwk5OedO2JBCLgiUuLlOB+1z
TjOC8desQhDZnL2Hw2xU8lNYCimOKtgiUQWw/JtD75wQasyvNj7dX/CysK7Owvji0vV7F0EcABOg
2gNbIcsAvw3s9amTASHFQTxdmgpJO56/udj0ojdPdMNi1vNeFsOKJDbQglGlrimBMpcKy+EPjpYc
F/1BB59ZVud011m4X7UVhLc8tIEYzySolgPsaHAdg6cgGYXgGZQbvTFS4r3qi5SDXlo9ln0UnNAm
ExNpBM5nYdOAGhrsU63L8IR+5hYa8yHHM8HNpgW2IJE0BljnF09jN7Ybx1TxUeEjvuYC2gJKuq72
F10P3mpigr0HQGqvlZHW7VoisX4luKzfZWxfL3Ee37RHAVo3rsRqDvWc5R8V5dJ6GKp2x6saY1bu
rDuCiQ1vwQ5IdMKI281YtiOaM9I5p4gsEz9hlxz7+ZxZFgcDTsOfttDBnu5qfLT78bux+u+6MZ5N
jgDkhaXW3kFlvwoqx924A0toJcrupVZxfMD2Hp4yN06/e1/iK56rdLrQ2WJnkBTWt3wJH+0IrpS1
qhEjz6MyvpvwxrpktvYLU+rQ/Lx9BOZDJKDhw5i4CUH2sJ6AQfYpR3uPcSbEAfCX6KsJOHZv6r5q
ijiCzy+irom5y+fhMwVuRuBdMLbXMfLv+qQV55Y1WHBZEWF/I8I3hBPdsW/1vK8Ht0WFNL2b/Cve
wjZwXHIwybe4WPGbsESMq3qafwQdfbh4Cyzt3a+D4Wpq33mDSsGVsw2jPsTIyYwL5FQpHaJj8yUK
DT3jQsQnaFj4GahlwN0XebDS1nwGeqaPMIWJ4G21+pqKkXab7BB6Kc66xkg6jaOHNlpGJWIpQll5
DwwLFwklLSmpbFbgsEa25Da3RyQ7s7GtzKZYydqrGuLvbHVpbKPc4Dnx95Vvkx7ASmc9YoXzftLK
yMIVQRBkisBT3M+4ymVUJ3eWTV8wNJqCM2DnnCOoaW3Gczh55CIvgwANDb84SvPZdhm6Bih9uiQk
ezd8GwzHf0lmzzvkE9maeTBbtGbluBLsvQfYbM456DtvhQVCv/UWIBwppFxSHKi1PfbDMu2hU7ph
OJzHAUwavQRjWodkP3EG4nx1D9KFp64f+iN0t/RnXOPIVAXiUvJ0xyuggvJZeiJ/isEXYFmJ/Rfm
9RVHojRC9eh2GldtDOOi8DIAJ27ZBi+BkeIiUYX92E5lyHk2RTXr3vR/M+5q5Tg3btKNyKnzvlxi
kUWf747I6wdqSTwfFeGGKVrbJdqWCDM7ZhfKran/wTKKlt/DiRPi7Boo7QH+tnum0MF8QxoquWlS
v3torcDcFZT3FatpACW/G21wEKEYjPu0mDKS56sIPoNEgl/VwBUH4Z1Gt9S7IYfzEug5g2bTcAZq
AAbWUabu/pu6M1uOG9my7K/UBzTSAAfcAZiV3YcAYiSDMylSLzCKojDPcExfXytuZltn6mbdrDTr
fuiHlJlSEsnA4O7nnL3XTuf6Dveq/WwRZV914mtaq3e/8IEJoJAn4lCN7VYBy+3DqlPBsBRnhVH4
QHSU+QDIyw5Q93mncpkQxfT5UwU3YGORPf6jtYT1SIyz8wQGKzqCRlu3Rjs+Rqh9WKTV9DAhUjzo
QuY3Mztppctq2wNBeUB0FD9icyv3/dCpnSjpMtPQtc9T5ei9hCMHJBGbE8OQN+11JgSmwtjPmDih
QLt7DWw6zJLhx0C18n2B0IuDZg70QjjALJEbocff5JAkjqaoAYyBVdq7CYRklHMDlCC6A9vVXpOn
QesdjNut3VbcY2ZdW3PpP5y+XK/iCU2Rp4dOknrtoJszWEkr+k97JzL1rkb42eIbF95WyNuWlC90
cHkz4uGAzgxqpyG3i9FyszXb4srrUIs0xtbPqhtycvRb6aNy9ox4j13NOi4VxrDBK9Q9Jtig7kEE
rsPBIJ8dlXvsXHVtQjYzJqfOIv84ye5rA0tGgp2EpYlyWEwETmIUWa5ogD3ngHzixnQDBg+BSLEh
IbRujmhwr2JgDtQSc/HdHqI0yO3u67rG15ZFVbEhjBi+syXicsNsX7AdGHLXSEqgVaZHeHF9s6n9
FlPDQJL4JR/SvZIGSE4Q0cYGiJiLFk5WW9wnGU1Kyglp+fNXrG3qishRJ7RrRdGu513MmhuabpyP
YZHKbyTLOI8Ajyu9jROBdBthmdpBshsOBTmdDr2WOjlJA2D/HmaxfOtGy4jfI/4Hr2fXKOpe33qy
IYpTa6HSRV04bnPe2yaglt6uWJ3IuvEbWhldutyjYI0e2wY6TKr92t+7aFsvWRSx14pTK0XKAHOc
puWAeC59j5B4B1S+PFJdatXZk5FC1XCoSBP/PU4jFmJL2m5gthjBrlRKfYJtXVkgPf0sv/djV9qk
w3mESyya+QgD2uy6kOMarPk8B1ML/nhRSK7xGm9aBUrksp76Ct9llz5k05g/6gHydsC6URFXutLT
RBsH4Vmlyn3DXqEv4HX5PQe+hp/D1yWGEs7NPXVdIOq52K0rqUVeu1hwkyXbfWFyqykGR6rFqEFd
4hndK43iDvjCBJZlHtyTqyQ9fHg4SMclq1Vxg0keSHzT3toQ1PuyeU9MWBDMuW5hPW/iGum6EV/B
nTEeHevCo3fiKr6XHEjOPHEJqPmspSKG2tHHQHwX6ztKQogwi2gOBfAxpktLSz4WWtrS/zrG44Ns
51cn6udhw4vLGw8d/DiDkY8xQOydqqtvfGIyAtXxoCMkXHBIiovIxtIP7N0VO2ROlywrmnJLGUCl
OhjOHG+KdSw/11EWQefYPULjBKB5Ym8GN6JmckZcMuhYoqDx++kRVuzwHOMpB+Vn06QuZHuTIWAw
CwKObSPaWrNrhZaX0KTo6yh6pV4oIftZbhu6ub0ex9oeiMTN+jLo1DJfrUNvQjSSecbBN2Us3A5s
uiVkKEYVgUe/YMli/7CYlg5NSh3B+lOSLVVU8rElp4yDFv3T1DQYjsjsrY8Na7+MrLj0VudzWksc
H9G8vi4uVVsZMMqis6F4WG7xsbxOk2Xfxygx8SUP9vKVwMb8oDkdn+HlqNelXS2aX4z1OBKtJKVk
i2+e58LAKINWHn195RrZvuzj6NamNfRBbUoVApfzJgUHTKOC68eVNBLX2kbE5D5TwsGNAmWK4jeY
SgtXqG8wL+jH/Lkk9arTzQQseXoZ8LJwBeNnBsj7xvLcQ8EsaatXgPjmssCGkZ2kx50ZpPAwUmRd
SZ+HGjSa4zVUJiMP2qbAAPmjWtObpnWJ+EqXvSu6EB5KfVEss2XTyA9Wwr6v8AJuE0HAQI/SRm8c
0cQ7fylJhKpRw6jQkek3PLWyQdTYTIeS+vPVrHx6q8ppjzIT7Xe8wMDCZsEDMqVdlG7I0h4fC2mR
OdBaQw5PH1EswZfutZt45bOYVd/tNc06PzCdeOXnctvNWKn4HljLzeBi7erHJj0xOWHkIMriMHd+
AdbG1BicnHJaH1YwyQeEZ1MfCqDkBy83yRKoQBRwWsmyV+T56cdqdVZQIa55VMTu0Ceem/RKrg5L
mHTHuyFnbDaKiEKuFsYV6XQNJVNbO8dOjA7seeTgN2QJmKdxgX7CCK2BoZ8k89JDmIAEyFFMOOE0
cMkDQ+iXvMct6Xmrt03V2O0nz8o41omjcnG5bCacSVDRV2TmahBnKrh6k3RMFccQSfR91Xzvs9T4
rLFeB52rjev8cuKdVpE+oNerb2zsuyDEC8TB66rwbWf2nU876MUBoIZzi0Asb1wr6j05XBTqIpB5
PQdOlrFuVSK/RucEx90dOTvjSbpixZ0DTKneTrNKg8HPmfvXANA3eRtZXwraDbAiXVJ8cj8Jq9RW
cOzxRuZWLT9AQ7gRSQI1m0eeAUTX6IRR6xtZUCR6Cukh2aEJdhzQoTG8dgjKHy2ez/uksXiUYmzc
k7PWDxKp1qZmDkW6kN2HGYssDarROZpw9emmkOgc4lODm1M2+R7m5/CljVjriEpmoD9VKNs2iwkU
Y1MaOgGdXMG+aWIXJLpbJx8OOto3LI3pLca8FlB4bgQCoeKG8EIZeNCQA2HGiitVYLqv7OUqMTy2
nLgeuTt4D7x3YzLeyJf8jEfXPkvfvuOBoltPNykoiyG7S7Ae6VBn3aVycJJyvgGG1xT7hqpX72sW
zyRIun488Fi3HB9tWqZT6eH2xHL67LZmjxnQTEczrH2wJYHBlUUysPrX1WhFB+mW3YeISQ+g5x65
9nDbGuVyrMwZmHVujB1xFxdnfAK84D6mWfTI05V+yavGep2EXYTK7eNtbMh4F9XRequqGtexq6kv
sa0ydi4s8xXV5fCcr4LGlFfijctW62K2E9gFPRV/+vHqhejD8y3wreWxJc/luiqrcsduUWyV2/Wn
asYmtlnNUTB+sf5ZJZMKZVftlZFRfYm4KE5yia2jMfho6dlDQAUW3rKDVbje0Ggh1CPJjfc8jtWL
3XPQJvKwPPRGQk6hAu08p6DSrUFtCzHr74bfCgANIrI2rphIGUms9Bp65nzHE1lwpHa6t1qN2Yft
F/TSk3h9dF0xTpjeNE2dhfExCoaQrvEGfSO/5nRJnhZiEjRIH8BGgTkO/aM1l/2NQ1opbnWvGk8D
ATFol4xJb7HlpAfC4Jmg4+m/W2x8rNQQJfZoKym2BJ6jUbGwNbl+5j5FIz6/pKk5iOALOHWFmHif
efWauGeI6a3Fc9KVSEhw+jIFrc9GbTy7lfFpI+18KhvMqrV2op1Rz+nlVFuPgZOmL6bRjbcL6Oon
/Gfjg0EiA9zz+4lW605genvNa9XfScueXw2iR7YZQpQru069QLuRfmVZeVXAbs+LcTkfTGV+Y+eO
uKqK3twXMVEKMZET2GzH/Ps4RkRiTsIMOlLrKVVMVgcEVgdqwxQfSCMGknJcRx4Lt2/3IybCtzJu
OzzWyyo+StvgPNZfEhIKzslXwIPiEKI8fVn8wWGv3BX+mxbQli/SiEp7LE2wfstG0fdRw76zXX3C
DAEKT1nWK1AOIKoePxWQgrS07mm2plcAN20gn0PGV8XMXDdmfiSI1b5rXCzjpY8pAgwtsRcWLY2s
+gEwaKdm9owi0vOeYzQsjsV22g15p2YQXRhxraJrrLz4zUuS76iUPj26rQExGrs0snazi0St7RUZ
Hm39mau8htZl7CtQB5sS3yaJ9A6YqxHKX3w9ufXLrFl25tUN54LBkGEtJnPjZMsrG2jLCcfUtY7F
2DwuvXVAMYQhfkxIxKyKQE4EZEqmQqQIzAyyPE27p+zNTSyMw4rJo7Cdg86Wa6el+71Af3mg1eXg
5poxcg4xeuRmTSkmtc6+utjudwaI4TOMqfwRF656khUVY72mtMLL2tr/r/XCqu8Y3ZMAOsTvRpI4
Z0pgcwdBId8TRtc//1Mx9387KGz/Wd+8l5/9f/7B/PGPP/62//X3hHuH78P7H35DqggznXv92S0P
nxAMh3/858c/Y8Avf/N/+of/8T/D/JgW6VsOxoX/3gwSfhZJ+nsrCEXmb//oNy+I+wun94ufw1Mm
DkmJ4u9XL4irfiH6Dsw7QsFfE8D+jxfE+8VDpS59dTF7mOqiTv0N8CO8Xy7GER99ok1Fa8u/FQD2
L3wf08Oi4TsO5AbSCnzvJ5dGWkkmdRAxEAgy29rQNB9Qm8XTazKi+0IX+qQNdFeVjTUKWk/SXC2o
CjaysWJ4WVNWvJV5N753bZ0eo9zX26qArMk0Um8gBCD8ojSGf2jOD3x56IwX2HeclsUn5NFvEyeC
cFp9Y9tmxCYDravv0DVFT62IKeJbq/9iwwx4r2lGhoZYqAaRydwttXzI62K8KmD4bmZbTS+0kU2Y
FSszx8SHM58P9SNsstfZoFVgwV7mLNLOW2UY096ssCsS+8KBvm/IIljaRyYWyTa5YMrshiZtMxt5
qPXQPjolAyiaPeU2nmCrex1mgJTz8H4wybMQywzgWUTFDz9qqmuWvOSbpygAvKUfvpHs2z9lWpT7
LIrUSAPYZocebbBwWTnDrWtVZH3NM1LolSORZ7Sefz3RU10CzCfYSnuQkF9tYLUNUFdkSfSZR/Ot
thhD4E6e6D7HVsf4ZZRnRjScE5FZXrp/RY+DGz9BYHsrJukVweW0+X/ysp/Tjw6V9o/hj6/3P1/Z
j5pVChvz8I//j5YEm92Jd/G/Xw++fPbDf2w+AX8Vv18Vfvt3vy4JvvkL1nbUkabrWg6+AnTuvy4J
nvyFibFNHp5v2Sa/Ihr/jfkl3F8EXhwT9bP0BVYW/uh/LwnWL5IRJJAu00Uh7Tp/a0n4FwUynC8f
0TMri+W6hOT+UYHsOoAnCtw0+y7R+a41M6qsWKUhYmSPntly/N3l+RObmHURbf/eTqJ8OMK4oFyX
K8Jj/NMKlImZisD0SUXI+3gfizz7dNjE70erarbobqawjFbIVpq/ReW2jASvZInUcOajIphwUcI0
jbzxr7TYF6X1zz+XgK3mmBLfg3R/sj9d2NYOoc3efhLF14FWWmhNRHPAyTiIwTn5/srRj6iBXZQW
c5gsZwl87G/aLi7XxrakME2i3CHO/fQz5B5LxJxpb9+kc7sn44WuObTSp39/C/7kjjsOnkN2HN/F
EnH5898x3lwuMpjHzNvbtTzIfEIv5aaHKS3Q70z99BcXluf05+sqbejq3HEpHB6kP363TnSWOWee
v/crV+1mj3FUphvxF9/los//6e7hbsThQXoHz7D46akSUW61k4zcvUTst2kx2qG80g9jmf5NGw63
iC1asejyeQj5/OkbSWPlil4e3yjFElwa2Q+C+XBG2NWdneV/4eb4kzsF+M/mYMBubUrzp282a6cG
TeS4e0aVBJhxvNgkI+BK+oSAQzJ1+PcPhrjci5+v4sUeY+P9UaxTP92r1PKctXNjd98aJEN3Y80G
5UbmQ2ElCthGkocNILxdMhAKstYZihCzjL7B6a82U0WSDMEP3Z7+3RjaOZvdxpRkiSrbK0IpIe0O
oimb0EsqUg81Ao3ALqF6brpmTQiLnoCnNcNKPopkSLwxM3XflWV3/+8/o/Un77nPQUugg2Et/pfn
capSMUmmAPu4SsQxk4Z3XEZpMm2Xz8ZS7UDm9Meqi3+4Ns02R+TiCXyS9xeX+s+eV5+V2/Ex5Eo8
ij+9FdniVJCS/H1RaMDqDrlypvI3FuiXv2miAcVosvGgNrQ9ybX+6TslDdpqgkjw6kVpGcwaUlNX
l1/7BJHSX1xaZf/rA0smiWlxYHXwC/76579bWtrSsg1X9O7egcm6zUcjvdAK5jtAPfODMngQBAdO
OMYlSsCBoJPBM9sAbG0Dx64GcOcjq9gvLjyOTa+leoTYJN/l2HoHQkeGgmmyXh79fnCuh2Gsr/KE
MWbVJcCkUCVm867wfJSa2qIXUrr6CIDCOzSJo8jtIPoJrWAbdh2jYFt22PJbbRbWRsa1jPbTQAMl
RsZ21kkmketbM43NpFfbeJwFLG7aUpFZZu8EipVHh3yzrVmgvVvQKG5QmbjHvB3cV8aJzu0k+OBr
T5qgERF8JVHjnzy4MGcrw2AFI3hbMCAn0CPtAtLS0EnNunly8C68Cl0170x4PU62bQV8Z2mhbqN2
2rrVuOwqIDKH1ByyR8Ns2lvPLD3ielwiXXNMG5xzJ7t9beYxOtMajF4Sf00ZTLTeh5oux116AG+5
kX2pCsGpPjdqhVaku4UwZd+4ZRKS4nCwHaM80M1CFdqNsXiABkTXD9mmd5E597crWfEEnKDa7dsu
3/NxmsAbEUdERcsZ+9LSOY11CnCGVWq59smuuLQdiWsB2hlpF4t2m6IqmsZPjkxck8lGBZ7gVaoL
bRFuGEVcMltoQp6c/ovVV+OLZBIFwF42PbErnem/cGxb6O3ATSHNsXSYSZt0X1tyWDslnet2VOW2
bs2oZ2BEfm/Qrmz9MEEthuhZ4dQagb+XHkRMb7zyuN+iH7l8o9HL94imexhzb1mERivdOo2Ub0kj
0Hr7wnkje9QE0G3mye0Is4t5zUjAOOodEz08iwcq+M5ZOkKsysl/oXE8FC+2TZDuiBLro5XAIjZu
JHni/THrHwtSF4gHTSY6+xxxTmXfBQQ4uj/WmDQcJHApsRLmgFxw74kGwVKW6+Va5GV7WtWg6jAt
qCAihTQiId5pL1YOOBvWg/KbsiV9dHoJRuhfADGdX+ITi5GVjVCrzgCv6IqjdvH3dQ34OzDzsgy9
KrrJ9RwfpF3TXQbbzs+bTB34k8QjFBkXj8LqZTBQvGbuttOj1Z5QPHVX8VCVj3Y1AQhPl91MTCMC
dX/eAuQZdj0/22EyauYV7eAfPGmW3N+5DGM183wURPr4FJxa7dw6tl5G23Ov7KX9rC3ZblPdAQNM
2varH1FDc0BlpmZYOJeUkYkgF6NGbLtK0iguGuC2yLn69EPgyyOIYASQHJOqA2TvyJiU2LR8NzFq
32SVNcFP7KLvjLxktMmzCTpqZhLQyC1+pH9rHmjyF9tpGSF4zezCHEW7j1HiLEJmvRz8ySiBhaBp
pYS1LsADmJjC380jB8R5tZwrZAUZ6k8qsk5nMIiaUyxTj/gkrx2CckVe2/exBzA0eiZykHiGzopv
kdWKKxJz/ffUU/azWOWwJb7LZqofdZpTeRcdhCnrQ1IOKVI5Ei0kc/lTCjEpVA2HY7iUCXbq8dXz
6Pd6uLYDdr1lM2mtD120VmdccB6GCGdawxqTCBTOLkMwYxBD4OiM6K2Sgze4tpvebtG2Z+76KFq3
Pzdrnn6bU1Zck0A+iCZWum/bfL7rx3oC1wRXFEdDvNH56j+r1iHKu1uMEP3Peo797FUrHy4SjrUA
k20PfPYuKsoHk1xeEPKlOk7aJmM4z8J4JS68QG+wqyn5P6upGoCXN2QT8K4Z1uvst/bZKfrzFCXk
8jVZHMyIVQPhLBayVNuJ6QQmOKAKl9ZFUU+72vExREJb2WQWYnVQ9+MDpqUq3XUOcFOUpII+o/GD
iRciDlc+cUha9zgbGdTVvMqKlEXLUliwp9o6o725b9Lu2s4QkrqWQSoDK/g+iqp3qybsktTm2e6A
ScW0I1oHOnHv9mGSrs52FujpbD3ZN+2ko4fKjMotVGQarZ5zdmpSwHzPYHZrq3k3Tbr9GvmRFzB8
rgO1rHcKedsuA9QzbdQ8qdfKJQ0Hje+yg0aT24FnEkWF0MeAlVcvVfPMuWy+FwyFDgXw/X2H6jWA
FMT4k8bwxmoN/zHh877BHRyxPs0F+tZClWpmOW9JqrUKXbshibORuZVLl49IuLkiDOtX966QFRTb
mMXry8jo5JswyPZiaOF3+hgTj+LtFOOHYOjXHwuZyyg2YEZNrn4nUao+8uVwZHr4FzMHKi4iWwY/
S/HA2h+aLD43vITtfs1IiaVLlr9hE25PJCSj+dAr7szlEiFL93uXpkygLOXxGk/dVbdGM+pv52UE
WRXGvgFaB2urzSZ/p0hc2/UEo6G0A07kbhD98OTmPf5M12kfhTIf3bRvDzXK6A38QvNANyw7MUlE
nt9qfdR0nFnldUUeteShGFtBplZdQGyFi7WNOhq9U0PuLM4pcacbFJyVmVRvtef02xZlZUQu8FXV
sVrMvV//YEMiQoKB72FV5vgMR4ps+HSW02dXrNLZ1CZd96zrV+gtPs3+Qi47w/DqA0nG5XFK+x+1
EPVpniLr0bb8dteZy12KlPC0rJJ5uG/P9OcsY3wZ8zz+Idccdxr35rb1FhPBfcusginxwyoLJuxl
9L3zW31jVUa8K/BynRRO/ZzlUeeHeTTnPX4MJh9IIwhxNO9bdCJBbyeCXvM479bo0ruK0VGc0G2Y
NNCFubNsPdCEy9YdM5H8yllArG2GUqdTMOcoR7SM6g8xi+LqMvwcdtXAFfFVVuyjyreOTlKDpUzU
Ve7o1wWh+Xmu55u5qPvvwC31NbqYJoytYg6oDW+0XfdbP+r7dxu7w7402/FYymWf18ZLhbebuKqV
tFwidqtTHZXZNmlA+8Valc8zuo0b351IrWATPMwoI6ul7J4dNK6bitl1yLS8+95W08rOzaFgI9Ia
h5uOp7ARrM3McOIbt0FDYo3Q7HqzQbpaCiPHF13UIY2M8Y6AjC8N8ink8fo6EWMBZnXawlYdQ2CY
zbbQqDVronA2Y73uAboxKRU0Q9fGPYuVkelFH3XPwR7BQ5xF4bJGDfJCaCgEWlcvyGXTXeNW2zE3
PyqVHvRkDUc4auAlyeAhR8wlKphQOPa+GQdwKsl8RrurfXfX1xLHn4JntkF47p1wJmehsFP3YBdP
I37IsAXLF1JChRez956jPJLjmOxklWTRPiGpCrUP3NuulB9DK6NXt1TDpoH5CqUEVVO2HoamfV6G
HmLsSCKmoV+8TIx3CeNNLu2bP+CssBMDx1P9Iuz8XKXqEZ4rw/DSuoVj9Bnn8DVwLhFrqjdmGj8N
SifIGJpTI93rVFpng4ZqgJ+/vy4647rjCboGrZHvo8kmPGV2s11MwDe7FFGzcIls7KJfVvs7rbhi
54kWr+yUlQFeIxLsJDIxr+zTJ10j+B366rlbvRfk5/zXvudN9HWuUXhYxRvQieGqJwAx0EVHoFOZ
PCfCP6APfcKQ8laJ9tgMmMAxRt7YKudnF2Syq2actprUrA0gbtICDZ0h46B/AVsYhc/U7piYPtDq
ZlaXJd9oOxwVmAbDw8NhXCAA7YgkIUuig7LEeAuWXt4ujdt/ApL3aZrJI/zQ8uSjeN+NQNr25RR9
y7HSBWQXOE9DSybvpcjnlYUH/ZEwBt2VPXzyqJS7zjeL05IXJIRGU3I5Sql2i9eRsFG8UKhQsKZ6
FnM4v6rOwiHLBPs7Z5Um8inuJwefDCVCP6X016XBGYYPnIksZykArOKBmA3XmvtN3coA33AfGWDf
OvaUBkp0X8dyRe/DOb9SnD7LnJBLzL8bq8F8B86bEYN9xoP1BdnrDS41Z4O/SgdQkk0YOkV3TJK1
YdOvns3BmYMOiY9AkfyaWQxeyRZvABB/cw3niyrMIVg79uyl6blpHXhCYWuYp2OJVR7j8SJlcQDq
Yh0c4HW4rZNl07R99p6OGlErQgKWlDo7udUlu8ZtjRBnBmdbt/taWXrcO0rxSfGWoxQbb6WFjyEp
bWTWdqF/uEti35JJxOlO2cVuIRNuZ5BzAoTUPFfULLuM+ufEbI/DEeRIKbq7DgUqUxmvfU0aQ4JJ
jlCgrutjq+N6FzVtIMf4BhjPcNu3OOVn1o6t40fqXPsCLVp2kf+mVtferMIkmiad852pKI69Co1+
TtiahvK6EykASmT65J9Oan5CiU3pUhGPMOEO28XkIn3MfKgTfkakCzO3VFi6OYjE0Hv2WxNBU2Ie
YxzUp7I9VMuabVE0iLO5tMU2JroLz4XnvGCGVy/eLD+j2RIhaSrjPils80sxFqhXrcx4bJqx+wai
OL4bOk+doS0CjyfgYA/dedzPJVTcCUMiBNq+3Dq0cUKig8kmaFNsLhOnedxRVu8+m3UeGDpm7mxC
lIVxTY8PuHNPmrVOGo1AsMByahZvS8tRMabj9RHFSbVNWwuod8dRaKBE3vvERtKrzjgrZSY55m0l
Se5BNI6pfHnT4BspmBA/8PruTIR9x8jBqzhlRPR1ZTzfpZg4OC3mzQmX4RhWvbpPaEQFY8kdXxfC
NcQomVfTS8mZ9CNMEX16duauO2Zmsa38ad75vOjUUgS9Eks/Ev/cca6UdnkGFMABt4KFJnML/8ga
gWpZUTjpWag9Khh5xfdBowboer9KMR4iDHOnyPMjei41KUspp3kKsEdGYPbXvCLOWc3D99m3p1cr
j8mYWotzOyfRlyJdv1OOdw/+1IKWiztYVwiF+53FkPDKMPtnIeQXvi2Sk84/Jko72z7hONw7yxIA
YpDIyxhNc6O65EaYBr2hqoNsX2qTXlBpWHQdU4XTFq04Ua3NDgUSIkCKPueLjgG78gg2X8aMbToi
vWnjVRohYAKCPlgyVd3Tq6ieG2Pyg85PmvcsT+yHlPCKO9EipE8WSkNCLtPuLhf+t7Yo/Qf6cSpo
CK7YlA7QmQkoSTD4Ln7TRrvXID66ayJh863y5/wIopmWaAuCrsUXtDeQK4CB9SrkP1Z6WhLy9GD9
1u7Gs+oJxdL6deod8xCv8fKKEp4wauw7dDjUNzKUMg4H/hIwIIi3SN+b28JGP5GPS3pNMFEWQPvO
jjx+92TLNDgpq7g9zLGdXMdjlW3Xuk6vxIgZfmPkdFSvilmTxeBoe7xfMtP5PmZIyE4GIXL7cXLx
BNhqdV8tpEBA0id3ltsOt90Pssw7F2X6kjXXSTwsT2uJxAnNk9FFW8+YByd0ULm8TooRJqmiVHrr
sD6ZIiaQbizYHRdE00xNHjOlWTP9Lv8oIyCVmWfhuZnneGtWqg/yvpHPUV5d5cN445VWdyqQo2zq
nL2Dd7VYz1VX+pekdZtP4a49qZjEXiF3LeoXvlH3XBZV/QqRyL616vIGwWu+y6rGvZYJclPCZ6Bz
Z95QvTUYnE9g18V2ddx6CZ26jQ6WjMbnqV3Wxzwa26c0t52zCVJ4OxmYzk3srSAfMrrsfdEUB6vx
mSEPbqpxmEWoUZAWsSaWJvsv0SIQa1Yf9V/sTsY2dYlF3+AzRVs36GjXujG99KXNoxDkAxI7V2sk
jartC6KqpuadqGohL/ckf3JZf26whaGGwIwHOY9iEpiNkt41+3eS71LRPUSyZ/XKH5TnA/8YEzAQ
9C8x05gxASn6zgG6F9LJGYM+GhWuI+OGhjv8ZDjR/Rix8DJH2JGeS+ZX3oCyhah0ydEINAY9wkT7
EHk8DIuReISzBH+NwrB/cds0S8Iktw0KhEa9K0qpgz8SqtZ1JKRO8KaZlQ36gZIy4v0v0dsmhtrO
bcNPNSSv08LuJ6Set4aVmxce/XdUj0QiYN1CyDK96CU54BUib69aSIj1IvOuF1W/tVExgM8x8qBI
AdZUA/IaLNvtyfbSBwIT9ZZg1lPkmCgxeVqIQKArvKWro89un4lvc413JiyzsrQ4gy/ufujMEZGl
2QxXjtvpvetKiLhxZ3rfVTb6e72I5gvtj+aeif7wEE/e8Or5XnbLlacupnW3s8bOveUsNwU4ADyC
YmrI2qP4HBJQ+v5qzbcSxTuSS7+IvtGD5YRPv7y5quwY6LrDmmduxt513R0pIUYOQ7FtsiCv/WH4
gW/Dgq9oRatJjABgrn0pK2gnvd34z+ylSPcR8tHNkoumDMbE0q3HwYf0w6HbZKTqDTCEa7cEdJJn
z7mCUmQlXnvdx3gOIvMycYlS4+uC0WAmAHNbgOBg5Z/6B4nLf182lnlhubh8aZy2adzT0ZOuO9NE
5ywLrWduRXELZ35bJsLcMOkhzKCrQtk4420E4W/os34z2dmWCghBetf8QA/9XA2z/wwZu2LbjReA
3nHVl6Frra84Nb+sPWEX0OzEjuz0EO86erEG3Ei9pOkprukJMdA5xkVqvOB9TIFk07uk7Z4HabKm
J5ytYVkmzm6oqbraWGYHD4vZDoKzQeMl6ewjJ1hEXGkHE2BnDuyKm7r3kPxJsG9V0HlDtnH6icwd
zyA0ccNUxbipe+yEO9Mo6ePQ0UgebVQ8Vxz66qPIVL0laLt5VCOJN5CKFVJuNF5MqWl44IRfyai6
6+3KsVjAbPVkxg3K8TymiOyoVurQBoR5MiCfEY9jLvMu97D2tzFtTXNy1Sufa92Rk4EFqNWyfrHX
kSBEKpaC1Mi4pnGztvb3RbQceoms90NiTy2yury2eSali8WS8E9ayLkd2T8clRMuOXmegem9Ktje
6Jd8kXPuvg5L4l5jHa7PBRKBBwaf7lEJvFemjOMmVNKAuhMbDsjtoej9t3Hxag4yJNEfTXY4k2fb
RLOyKpp2eEV4t7KRSPXQsBzrE7uZ/UwQgEkqVdb8yN0KZtLg9wCRWpOMma79L+7ObDdyJM3S79L3
LHAxGsmLvvHdXS7JtYS2G0JLBPfdjNvT90dVz0xm5HQlGhgMBnNTQCAzSyF30uxfzvlOSqJIE4js
q8EfdAxHAnWBRSVoiN0w2mSx0XHvVPKNhC7vlkjp/CP3cEuTax/d6rESL0R+kLPb6ah4T6EhnOpC
8OdyAD2zyg0aJlJncSgG2MIwRpCMgC5bWO8dAYuHgcAYlI64UC+ZGTKN8JsO7MYsmO3Gxs6GSP4E
R0X9qkq7emKJFD4XUVG9Grz7W6Pjk0/5OLOjpJI8TGUyP4dTFb+QjsCridhSvdqtId+ZAou3vJu6
dQ9IZxcuacmio4SfHZL9Sh6RU20IwZVSpRDfp/EXyUcY8pjbrEsT4klHOnOxnlD0PRluER+d0Zyu
22EIXlOSDNemhy/bnPyE2A+dwpo2VL2rqzZ8nxmy8AJUefPqlyo8zdTaFNUzWSoZBeAKA0MX76Le
feTyKn/2pa4uYEXMPcsGg/RIt422lHnp2sqMN5gMJhHcyCiY3Zik6lpRvu+jLL1Bx0HwEcd+s3Wq
uriwLlN0eRHzLhdNGGJ/u1h0kgPS1WzKfT4clyGksLt0YaDkRzFMi2U3Vid8U/UXkSgsBiuIVBBJ
LIhbK9tP8kestqa5UVhLrjkw/HpDXpS82CiPqj1tMkl1vd3QRVeFi4arJHeAOhsA86dFrMEdA+vh
gv+7eXB7r/rpNjq/Lsm5OM0gJX4FwvWvQ+xX5wgSDcpz3Lm/XMLIfxK2OoiV0Vf6dfFLv6Rt23kk
+3gtRtBkCU+dBiFCwj0deeBRDTZ4NMRj5zZEiCy0H8JSw868N1olniLAAV9l1D5ZUCPWZUdF0k8Q
1VdeHsHycwDTXWY9TO9FF+Bsbpmd6sUwxwnD6H0+dIqxngsEodjRBvAh67qnwDBkPZunNG5EsYmV
BZK0HcPkZhqVW21ctq6cEVHp79Csqas45f7aZMwrdsPc8OgUJV7ztY2PZ0/WA4vo2jfM6x4sC2ur
Uts3pgZgwRlHHI0rvehdt3UIIaftXoQ11ekGOkh8BCpQ3cd8Uf5O+J340bEgnLZm0XhflEaihypY
TJ8IuAeGK3kNmLn2CuwBbIynacfTnHb70OLOXEFxgUWHHVm+6SrALFhT8l9FoTP8kGq52QI5AIIz
mNobpRWcIghvbUuGDJvjYVzRWvOeUCPxG7BMsDAsEExA6jWTNfY43muUz/lXGw0hI0vlIlKekIpY
1tlVjDC5C0Qr9w6emXjjMcG2V4nbsvBw+AePlup7fBKTsMptHS1oP215FRnxccLorLPSz7AT+dET
iWuv80iZFjk2Cz0pD5vPdvLILxuFxfXP6ma6whSQLyk/8mVu2DqwxKB5K4AKZYc2z5yvNFfm1dQK
yIfDPC2eqQI7XdbLdZ6qCfU0SyAeyfI4RJpFGcyr4CIDxpnsIDW3SRd2n3OKepPppNE+p15cbIae
aoLUqF9ObwWYIUVwAssTXIbZgcfGr92dprZrr6dJGxt2tfT4U7YTEjW4wbZvT29TxRu65vpXA6AF
TA6O90vsu7c5e9+9HTXRY1wUDmitzhgPaWHF/Y69PbCpTry7lTndGzIVn4ZktGOV5nmyrepLu076
w/Hi3DzMQxUw/BXNCz428lSjyrrJIQPeR4b9d0KMRf7wZ8lLYApUUFzcsBOFWIQaf1AsxJm52H0a
f+npWZ7SMV88ScZqruqEe5tS9RbfZvrD7Huu0n8tmBD/O7kEEhS2oKhyEd78pu+ZbQMWCuyy/SQj
dRvIuj30bccWwWRt70A3BHoac7WCIey/hpkrpdW62NV9ZkHB6T6zmmB13y8YdmKJw07DgqkcpbMb
KOPZN9vWhQQih7FMIckC40adD60U1WkQKQzpjkRayASrwWU26KDUytd6yGbOFSpg7nriaKB82Pti
zIDkoA7aSAzgIAkRs5uDCwFiIccNk3VpEvmZlpVYG16vDs1iSE8rolVWNGNIpUbf+ZuPzv6rjJDM
UzMQjuPYTAe930RsBY8SH5+gWkdDSd9gXoQYp2qNpp6UNSRLw4Q2A0MJt9KkyVzs9LQL8i1VwKIx
GGwgnlFAIHHcg5XQhdymASnMQIjjdTUaxG5q+t08owB20vRQppn3N8Kcv/DgUeYsQnGiW/lf9DmL
cu4Pjx5QvrDugzbYm22NBb8M+hkczAw/fTbUvTX2ctNzOa9hMMcnyzT1TzZe+tiai1qPgZtrQYiw
u8Fk7IFu42+ezb++F4gzgaijbg9Qpv72+UbM8KQlCXYhUoQzdHSi4GyGZfs3P8b6ncu8fAhAmc3l
FeBot377OTULY9GFdbBn/QkKv7c944CnV2/GMZcfNg08ZyQ0vdIKy02oe3mfUIQC5Bqa7ArNTnAL
zS9DNsPLUrtlcascDV8jC2cClBPzsVZZ9/SvP5q/QMI5r03LdU2kk4KI0yU+4o9fXJM3MwMJnr2+
w764AiTmYv1gOJiGGV5T2pCnIIOUnsCOgmkLYRQjTtzn8WkSk9wgZpi+YCqM5++/1/9pR8b/dyJt
S6KqJl6Do/2/Fmr/UIoUjyx+L7/+KNT+w3/7T7G2b/3DRByLMnABrfM180CiwVD//m+e9w8Xnj3y
NsvDyMtF8Z9Sbcf6h6CGtL/Fu9/PxP+Savv/4B/4iEZZUy9vk/vfSfKQ3u/iRctBSmu5nik9njyk
yn9+8uJwqlvXkSybU7fI98CqB7I4XZK1gtBz3zvi6u5wKaE3qDMTQ/8MZw1nprR3jugo9ly4rkHH
zZz1VIik1ALHrH/oudyUPd5+z8vcTQy6/+ipuv+IE62OJMc72K9UZCTrYC5xYPS+Ox9BcfkZnszE
vA/xZbCwbeZb26GfztE6HNJS87eQS/ADc0DGGdlwMMq6/Rm1/UROe8auICiSYJMHln9jKp2c6Yut
7WSndP+eJnzXxqMhVJFsO5X6V6nDxC1AZIBJmXydOHWCr7SQLEPJ8mG/3IViX03afIB+kNxmtWSw
xdG2KfDaMUBU5BnBHLU3JkLvnT174HKdPKqSVWy37yhr+YuS9sjQyqeChj0xZcM6Fj3QEFf7d0Oe
RhtJz37pfVF/mEXe4DQ0z2KWbwqvOZwg+mzB/n7Kz7hNr8gBvGMLAq1W6ItXZtcG39yGkAyQSWiZ
iDNojywFIShVhsxz2uuCZDt/HDCZE2nyqFxKOQRxCLU2lkju7Cq9arORJbhfiA0gBYXrBJ4OiRFT
UNBQM9NiSGZX74ZjTNcTQ7m3IB3dYwr66kJykoaWRbnxmAt8rTT73WGUlPhjHOdoJZVDwBwdm7ki
nZxuthi9Q9+Rm5tHuv/ROy6iqzpyIU2Nc48YkKREvAnGsbIb47MDy7EGxWqDm5Z2t9I4xJ+HXGJN
tNE9FVGMe1TyiWxDUSRfiQTZgN5n6bArr1yBmiz3Jgymt9615a1X0V1ic00/2rp6Vf7kvaK99/Yw
+bL7IhP9pZs8+VShYVnVSWyey6Txzmmuo01jyXhD53AOgTKfESqUu7ZxjENgDux+I2HfIW9i0Tkm
BdMTkfFEg10sVlaob3yIdtf5KLpylcMiWlteYZ0nloITIOHUe1KeHdtr+s/4SCsxPYxJNB7hLVsX
m66CJGq37t8d1x9YRCygs7lL9302q7ehCGEpl0F3CDzTeexMxksgh6oB8ETavuUybNo1G7euWbNf
h9MQIIWCYTZAmdsIiw4HQoZBRAJknW04EDNhkPkA7Nfgx5Qk+F56KYsnURmEKHcGXwViLC/GxYTX
bVX2TnU1R1Auna4vTl5qg2xNTGDNnouaPEvs5AZ3RbDyZ5FfBjBu514G5mW0en9c2Z6L2naurJPI
VKeI2rSqT27y6NZkaAS72YLd3re4NQGIsPmEq2VcFfil9Hqw0EjxQ8v01p6d8jrs5+zStXhxVTiW
W4zMOfwJMR48D57AXhlDfUcQYXjrE7d+jrFcMypRwH86Zro7351oZgKZJ2c7JZKTOb48Wzi4rsxW
xXsyntSZJLDhOi7y4s2t8wFRUViB17KnH3UoqmDt1k74aLWF/WHZtLnh0ATkGTTtg1vW4yYRiK4S
Unv3XmLxbk2LvTaM8uEOW+Z4x/53YLtUtWpdsw7ZcKRusQYfjMZsDx46yTPoJPNAwDa2YwJOLpYM
igsNofvUGPjVTN+sfg5ODQVlHiv7EM6+8eBN2r6lhHCfrJDZFzzdIb3CH45mVXkpeZkBj3TpOL/K
LITIag31E80Tpth6bJ+SWCc8FBmympzxyNaxAFCnyM33rNdjto4xXMo56rDotik4QpIgHoRXEDGD
ihNkvz9Mx4VsfY6KZN5PMKf2oIZ9mPftjJImtY4pYMaX0mi9XdPZ+r4J2vDCH0NEDAM65wGqD2ne
8U7ZZXPDik/f9JKU+MlT/U5YdvFmw4F+C/yiuGhJup89MrYd5wy9ZirBwfWtI9c+K84jgrJmC9u9
EGs3z2LQWznu4V40mwGO0lEgebnUzYjnP0s+7Xb0GbB2pzpuOeO51ch3fauduRlB1Xj3UZMg4x6n
ox970WOT5v3PsjOHjWydkdH/UDLG0Gg8tijpkMOSGQXtoRXDsDMmR0aAhpz6XHsGigBBOHmrgdjk
Pru60LTLg5sSQlEk7ko4L+3UnlydGNdW1YNtZe3nJdH1aLQtU14EeRPzHdYOzYFYzXarWqtdWyNZ
sluUnQlaNXwB+SlzIKssytpiFadYCNd2DGsoU2l+jGmv+F1IDN22I6DHuG3fTOylB8bPXrP2B2dk
6mq6w0O7JAZqYc9buxlcROJFfw+42S22yAGCw2jV07bw0VaQKhCshvTeo8Mg8Eh3F7PjPqvRXB7C
wK4/EIQVp7Hm4yl55h8LnJI8sbW4jrva2RAhWW8QZIMyH+y9cub5IPtx3pd4pl4gdX1lXFp5Eb7H
o9cdhmLZNZXkdVZMjoGKAVkMj7hrKiYghnPfuRnQ97QyH8TUIwdqgbjdxl7JVAD3kmb4GCMbkuVo
7RCK2RCjTLSZIVp6y67aJ96P5uz5tT44qKa4ZnT1VaiiPzC59E54Teb3NnazFcK7C/agdpXn04yY
vwgf+AIKPlObxV2Ttf67b08McLomvrEi9E78i3CVutHa1zAzLthbzHOXJHBoerPf9jGcqrVp9H29
G+y0O9hSjSaHkxn8KgxICaFhBLshy0Szah1mvCjQh2Rr+aUUe0mm97FEmnkPSCpKtuRm9YdyHDU0
nQ4d5Z542uqe+iIpr/OIhfLGKPI4RtzlrOMjWgLYDuyu0+E2GMf2NARtfhcqJ/lZcOIgKoE6uM5H
Uus7ePk/8Nek25Ryd+1nlvXYeX2+g/wyK/7sQfcN42TnpDaRnFVismhjhtAQ3Xwgdt3eam+o77th
uGW1vSprZ8UP7I7o0qqNHgmo8E2U7orSAuNqFq3bbhi/hmQcfw21/dUxMXvz8v5d1gv60BVRdRsY
kTzoWQNR8ZIEU4MznD0H731Tm/3VIp7dVCHSIq+LC+QcXE+dqZ2T0/iP9jwUVx2Etq2tDX8TtiVK
2g4cJXHhEeJet9zFnU6uyAoGBUpi4z6sBuOBQbHaD64lGTSX8lqmU/jlO42z4x2NEM3MDl+DLh7h
XMvrxPGji1nE475j0YLGoED3EJPiEXkRKt+Sq3Od2guqTiiscnYfRKeJeceu81R0bEev+bDSnlRu
ow4vRdLi8B0qBrgcUWyaUvcGARnqkzx0tlFjEHeSOzpZD36J7j1B7LkFm9RsyWIxKgBogwfi3WRt
Dt8poroajGNB4Do57W2/tVp0e8UorQe0OYSO1aZ7rZHdHtxJZDCLButJtcgsartzDiwAh2OSh9XF
g1zP4EjONrpB00he8J8wrRmy+t50HLVZqH23IkER63szPayHgJZz06c7SKSNSsDPTqCT/IMXKuK4
I6C0fkkwiuxckElZWYCbLM1tQ+DNYc6ASwTNJHYeEdnHsq8thANhwFUzkedMNbCw3svx3JnqzjU7
BrG1eSb/M2Xq0j4bYbVpBhHf9BNAl56kGaJP3R8OdvOV9Nt2k1Q0LTW4lHVtmyPKP4AZbVgWWGBE
gqCuq9Ra6oLFLg8G+uRC5cO9mbms4cTswhRRIb/B6LELxWX5h87y8s/p4R+jEG3xe5zQ733ab1MN
A6xQOphJfBgHjSDDcfGz94F3IjADGoeLvB61r/GjCezx0bes4GXy+/rWjiGW+iz0XtlEpWCrKfDJ
4LGjfayn+nF0AjaXroHg2csSGJmBcSn7Fuh34ycIhQTfgLkOBKWEEdrJC7wOw6CoKaFz2qpEnuGJ
rSizK99PjM8ICvfGwdRwa6R5d4C4+aSbbkG+1OiTm8BipqK9K2W5ap0u+FjGRLy0meveiDzLdrlL
ctcGaxH00djz3qjUoz1qonQFEvsdIs9FK/0gqFBWU4ZMBtbnBEUznu7AAZ9J0JnPCQk0VOA+0iHT
aoOIrjSO5Q6I6MyxHbXul60aNmWGgL23njALYkQwrOp5hjJlI1rwIVW1sezPkI+mI36pheIV2fKu
qrr+tmP4YuxGjoNr9AL2T1ebyVcdQnCqheFtBxXb9xV6GMwsKPznUJLEA/ZSXgmljYNro9jo0rlq
2IvoZAY7ZY4/+2586eK52ZXaTXaiLfKdOzZgeyN6J1m7DkuCObkOBxcxL+IsBVoUXd6KZGHS4a05
uZ2zkhs6Lu1TSP+KFKwN2foQf3zPix4cx2AcjuB8++NsUmFbydT9qmNFKVgMw8hcfSDhVVMvLKvK
EjeVbxnV2V7q7P675M6/y28WucYVtzBFeVpjHuODtHf4jxjMmkMc3zpLJe98F/UsfayT9V3pY/4e
OR+o/7E+q3Ow9ATZ0h1A2yKHJ+9tcqIiw7+F62CxXwy6x2JpMNrvXkNSmXEYLS2I892NQCQrnoql
RSm+u5VwaVyGFul8IQfYfvEUsC7UjQFBcQko+m55MFbR/lheW9YH1XgjrERpnUbSqreTqBk4txkP
bpChl4hcy3uvS9NGLUJUDrpBdUEkl+4hbKOV95d+i7Thh7oVcpMb9b2BcPpQG3xgxB9U9wXElXWV
UCkvFDpcfJTCBJ6DQSL4HjUCwha50qmu1zHoBYQBfA/rODKtZ7tBVo9E0rkE/uA9NXwHMH2XljFb
msfsu4/MQDNfx5liUkCTKQDnrqHC0HnK7y40WBrSmuCoPVo046CXdlVbMjo3dLD10somS1NbLO0t
f8ml0aXlZYMkn/KlDZZLQ+wvrbFrRP5rKeAUdmn2IZcGWi+t9Lw01TAXy73/3WnPS9MdL+13sDTi
03dPjnfCwdNFo94vLbtamvdxaePVd0ffLs090mXjc14a/pRDughhQqkeudxKf08GsmVIoJdxgbsM
DmwA+X9j7wZp8Oc1jcWIOIBawq4E9zXSpj8Pvjqi/WgSGmM/KV+cyiw5Kjv0t4izgy05eClzC8e9
mELB2SBKAJpaohFVMXN+ZbmPLA8VXvQ19Xo4FbmYrgzf6i6+5QQvFAZIK/z6jNGu22ozmPEIOcN9
y35OrwqjzvhOU8I1WN1lB1PRdBI6wk56IyPDO3V+VKIDmfhbgVnoqawwV723syZHqFAyRh63HGTZ
95mWfp9vgO4468T3uRcvR2CwHIb/+gr6C2bhnzcQxfSyWULB9NtyIWjR2LAQ8ffFynuYX5yX5t14
ae6Hm+4O5GN5a+R/41X/S+YqP9EyyTe0iOzjqPR++4kDAxak/km47zHhEFLVJWSgg1S4ycaEeCAq
6fqqnRpFxliUxR+WO6stRPLs12y5IzRR1BK7MkUmxtiBino7hw53OAFQnolMNTSeO1XLR4kHM1uh
IobilwnPz7YKUvNhbKrm7CDTOclyHo9UMpxPjFNW0vPv9Tj7+57yk2FDke5wXDY7pAjN1bKbf5ND
Gh67IcyPfeP6e1DCxo8iGdqzVmV2Bw4KPhrG1PmqpyB+iIGqvcPGT7MNSSrDJh2T9klEznJ+FXb+
/H93pP8n6NL/G5QlnkfBMu+/ntTfvxPLpRjU/3FO/5//1T9n9J7/Dx4BCAxs/0AjLKP4f47oZfAP
sQRfSnc5JbD38wz+jyH9kqltB9Ab5P9M4u4qreJ//zfbYeQvXJZxTNd92u7/1pCe9e3vZ5UNT9Fk
2E8v7nhgoP58VlUmD15pKFSaJFDT0YVjF16DYMWjitlLHkuf2mvVjT2b3iBdTB+NtKlmCyMrbjqq
umhV2JGPmjdjk0sc3Fk2QYbxlhFyjhIfde96Hly4panm4D4HxbgjrIIjKmu8Qe2n1mG4T3tKtxu5
BuaqROBqb4elbC5KeYxx2bdbNslFvZdTmr3OtG3wTpxFnUvqXNUi/SNBaG2WYXQe/V5+OE0D5xhx
xX7sA/8ysxW8bgzf2BaIUtYBKO1t3WgEF3bdfPY06u9TORJob+ah/CjQBlFNRhEGC1unxQplV4zo
SHTRV28Sz4OClpkbejC0YzVCWGAFfTE+dOw898nktjbT5ka/glUON/U8ja+4BsZhNTDyu6FAas1N
gU2g51hQM6BF2yawIleGM29kCt0GrQWk01XfLoS/qERaXbRWgyjX0gHyYMuJ3s2SMAj8INMixmR+
CY1KtO2NFICbfWVRXaghpgQgtso4dZ2DgK4vej2zqwh658rvp67cd0jUUaxbZUt+QqmfQUphqbWV
6vgFslzUKwJfil2TlumHo3R2nlNRX3KU+1+xZY0/Au1ix9QTNwjUuKY81dlM8pFTD+M2xL74VHQl
eqvZr+S6cLWH52tqKiq6WbtPMbaGp4a9D0NDwJ/BCltedU89kTZb/gbjUz+o/FLiyLjLrC5FhDbh
w44T1e0dc4xeUpoh10Khm3j+Jik1lFDf0/OzZhPUnqQ1WAYUaDhWO20QpHQwRJ++u10PKDCossi5
snC9tSu3NUu+M6vHCM0a9bFrevJKQl9O6BXZPfTruurQwKrJg3sOnqF7okyEJ6g5Tl8ZDPrnNAkC
bLPMG/W2V2FR88BONN8Ik4ZgZbVJ6eyHomL6Fw6pU29VUwAnMysDn00a6HNXUFjpbvB/ZGnnggSO
+akGYtNiHWApuoSpcvJ7ktkqLG80yEkjnYsVz+oKc2Pc7vOudFkKMLDBs6WzK88jc4IkJSIHamV6
G6ssMCW32kGrFk5M4c3RwfBGbNGW4Y18DaLUYkhIohYKNm0goax7HQyI6u18Jxu7PeK7U+mugri0
MyuTNK1hNpyJnDwV3SNrwA/fxGnwYg5J84zhw/+QrJ2uvKFHYwdCGSP7wK5cVP6z7hM/XzNJEatJ
WeLdcxNp3mK+rCSKowGcZjDm+rYpZzxjmdbi1PYCT8zMZillFVXrF7eKu484jRiG5d7k53sGpUAI
7WzWDA8m4vHwhpv85NDsHY1ZNvPiq6aOBoyliUfdGMMx79cjsqMYkL2OzC1yeireJmEgP82onTY2
3ki1DnxrUd0Cb0LCzAYBIAOuPKLBeGDfK2Ek7xk6VqztQZx/TVA8dmkQOeeSNxxlFyPtz1bK6sbz
anc/mub8BPsNc5YdOuKz1UVKxronxdU4y6S9YRzYvxksLPHCAOKwTGA2IH6jHzxR2NaLgKeybOdq
x2UyvcJUyG+QcpOC0JrgKJkLRvbetVQZAA/tP9NWjHsvYkmDqwNlYTySu61TS3dXhbJ6eY5yOT9w
2LjFI/lp4bufGv4NeImSH+A17amL6uwlmZxQr3zle8vguTCeG3MkmItcl196iGcgEmmN9LhRDdYN
3u+zSRTAl3KawOFsT2xUmQRK+k8Czh2EY4azBvwF9mELV5zXbIAihEexnB37uvUmQlTCyn30CSsH
9j1ownM0b4roOkWkQVrFV+QfvkXKKnB3JvaKmal+xzdSP+ihF0hLAH24owsZneOMkZxowOgiEAJS
HQU5E8Jp7t/JeUP1SLJJeQkyg8lSD7PrCHnVPXoIJV4UPsyaWNCB3UJNWg70ASWSB5M0BJd/F31t
08l58V/5OQLzwDlmow2LPxMzLhebjIov8LfeLVgR580w+uJi44PfOc2on/Jo9JNLESuoHsqOAIY7
7lC+kTo0HpgUjQ56pjr5klpC9U3ayt8acxPAUSZt2XuMULP9Gr3ELjZuUTRvbosdAEFs18aLuliT
fVJQgSYjSFUoGl6xBfjO5M9FAM2gbg4vuu1nc4u9IOo3vvI4tYRhyedOSsHFnYUHczZx0RUBStcg
HB6ywBuv8MfbBzom0mULfKu15fcYCn2XxaHSr2iEB6iGRbU0oAKL/Gp5D7Gg5l55dtmZ3EJeucfa
M26wrT5XmH9WYVRBc06JRaoSN7xKHJzpGMvF1xinaObjgK0C4eNr1dfYX6YETxfk/rDxfrpj8kFW
g7G3EszJKoyQkukOWDVQnFE8qyxpyFeqOYlXsduR+MdkYnCOQrpgBibRpPVxEGFMLqJRof5yDOn2
oFMmVLuRl2sC0dpldTLG/ldVNTBgbUtZTzHq0nlVmziPSQDJ/fFm5vH5CqWccVz1lDoizgsFkZpE
eKHSaYfrPT1kUWpsbZj7PCvQIPWo/I3HC9GhRUzSY6VycxunqXefuRB1yTbNN3DEsR8xHfvlL1rs
3IdaPc5T92E0Dt6qWYpkM5gpXGzhhvIG5Z9EhzWU1jYrmR6tTEI45HlKK8P4gcCTng4TQVIxPtdN
ySA+AYfc+CCltgUPDM16Dd5xcUw6xMa0bIjrxADyYPUz6jw0VNW2srTzYntxlh6D2el++g1J3AWJ
Vzw7KPuPBbJfZ82J0Hs7RN7+7cxYeFrN+OeuB4Kozqay8c4pS8cfRd05JyKDMJeHfaw+altJCpWg
mt5M21PpZhIKeS0Tc3xoOiJtfl+imFhI6Jo6NJI5buDJxTqR8SlfW8TbET2cOR4JQiMJOOhQma5W
PnpqBgJPFFGo/zI4bJ9dM7UvulLxiTRfH944lO5kxaU03kRtwL6AgG4TOw42K4tu2kpvtWexxnCk
q5jaGvG8sTLVSqJ5k+LotpafcpyZBIEjEOf2m70GWeyIDHJl58V87ea8pmump/6mcHN5N7CUfnKk
gzPNxSd+ZI3ovWBw0yj1rLgB4lJH1caPbPTHOuH/8pxU3pTcEmPOhi7tCKl1kJ6/uzJo7uy6kHBA
Wg/INrscZuP9DPyo0DbPSe8G/M7YdM1d36UbQpOQvauYtA2DwvTOjcgzQz1ud+swtgDKc4y7T9lA
VcyREU81oeugSLd+DKv7GVtK9dNmB53cZ2riuIiGpTpKCUWp96FW+TuFQng/9eMUnf26ZjOIlXFC
/G6Rz7DNigS9BPwpe1xxQE9qA4dCPWWhsAhC5Y6+1QRJXeGB7Le8Au3PQrvW/cBUtdtYdZDfxfNo
/LAb+El2P7p7VhjBTwyC5o/J8Icr33WN18kMDYhcTTrfDVWqXzl/KRdEo2yxLnxEDcSeLByZwvSP
ZhlNzyRkoc7X3DHPUuCpYsovoP9HuZlm+0olgOdF4OSQXhxVEyrDOghevEHs7KpLyrCFYeEXJ+mB
EVqxSHeOxIdKQvmY1ScbGXO7YaaLm2kfOoTYnWYlsytXiwmEnFiiMJOU9M8NGYLBrx4V+2fX+kRP
5oMu7W1HL/XECCKO2eQMY2sRnlglxpqnNxanBBcVGBYjrYmNhsTD8NgqK6KHK+T9YJzt3K82RHy7
KfSgdGYEPfe0OxsAvpX/0oyD5d+7FXXJPuBJq1FTjEi3EAHqd7fEczFFBP8NCrOfGnNvG9loNPYj
GO0jmTL2EhJh+MU5lqomBcgRvXMDlYKCFT6Dv4IW+mhy3xC+Fk7hXRZQE1yWMQRxc5B1IvucC2lA
XCjYMLDcJfkXNIopibYtenwZK5I3WigOJdSk5jqeK8qjukq02NgWBpkblTpleHKtro9vGWFqeSuT
MBwOKWObzdi75R0ircY4g5FM68cpN+15zzrHdXbdOMfJEVFMkr4kUd0WB7cN0e/XGVPXt2KezPeA
8YhEIw/V4y2TURmuvDGyPIokOFYR3/tgt8Atuo4ysx1ZcltLaFW8pKqYb47sOyZHrOr1ugkhRYaJ
OwVnru9mOGS+xc54wi+6tYlnOFSmne0V6wGXMlCOD3GpiuJIvmBq7uK2doB2CA04uxLITNYzrDXF
wMgGjm7EvbFR0SDZSJHJe3LYbGrof+wHFzKRF55KNOsN2n9lIyjlZiiyrYFYq3sdFzsIgoSpuCbp
xPbWRhO7c7GSg/LrE46SKThgp4YRoNzCi5+4pGR3FCPLMU65YTj3cCiWdIcETc4PzAci/cAr1Vd3
kVbTppTomsA/ABpdmZ3sL6xf8PlQ3DF9n1TtbTp+HbGp0JHOByvyvZ4gBDHnWz+EFrvCFqF2nt02
2Iv81rhKiuw1SI2FvQ464RLDUPosRFi/YS8K4lVuzpe0i+7TvjH1pk3AsnJ8DzkJjU6f7rNR1oyi
Q9IfbVVwTZUkBv2aE2q9IxAFOiNGDIDCVB5Pn1PUOg7DNCuiYDX77tQ0vX7QViPXWuJVpr2ciMNy
GoNYBZHf6wjC3gZxVHYVjbyxVC0hObChP7m4vo2o/0D+8x/kndmO3MqanV/FL8ANThEkL51kzpk1
T9INUVKVgvM8BPn0/vL07nZjw2jDNwYM323gSDpSVVbEH+tf61sjsCIMNNRK0QXjbRaewjDw+o4m
CAgi6q1Xt5aGhpWbYFGhrPsFjIJ9DcyKZCu/G8eXW00mTIaspiYVjiWF60MHx0aryvtqOfqBaLV2
/9pbLi+mPGu6z9KQ1ZEKOYOmNS++eE3R0yJXrpbcFEpQYraWwrmHl+M8tWnt7tMGKmBmL+b6y7H4
cshZ3ohoenjhKx8c3ECZ/P7as+rtvPbHhtXnp+pN9YbuObwvraIUG9eNfZowUR3Bli0WCwaoIvRN
werIu9KHUVkD3CS/IagxrdoMDTcYR3wvq+OXwc7gH/bWqjw4+3IlrqLzGm2p8rE6RQ2P/ajvYlqM
B5Em3WZNM3O6+WtiTuw2kNv/74VL18IS/F8Jl9fPBItxnwzd53+WLv/+ff8mXfrmXxAyyY7KQPhw
OX0cvn/bi+2/YEVh47fAyv6LAv8f2qVt/2UiWkrfd2Bcea7kN/2tXVriL4kVHewtBw2EeEIE/w7I
/3tRjer7b8D8/8XiGq3zn+Llv1RTDy3fQbgEM/iPzbU9LlRO2obectCAhqAoFdPWRJPLZk3cPyof
6NwYSgI1kSavcCvAnVoiFizFzoHhGSmdVRnv+oq+nI9yoQjxbhrN26+oevu304JQi9LVOXqaYutN
50H8QHXARraJWUM3j6JL03eDGiP1bC7uXD+2Nv0WEXUiQx6CcoFo1lUytiPyl8iZTE6BjwlFwnTi
2qDNCBEeq1Rgl3z0eW2zXWEJph6qQVl/rKx2txnLLTLM+RgcWy64J5uEKcionLs9shIOWbAwiIP3
yKzzxWTJNW1EYfb8A7r5NAym8KNO1FN8F5eLx/3qpyZruNz+oCiVgBbVsbC2Ws9O2fbFcsFsyssT
DxWrkAt3vNWT4L0ZXOxcKwwvU+9m5JWz5MX1jVLuOvyMZrTYHZIYw2Ga3feOCYQl1farbHvnYpjO
onZr70/FwfDVnJ863fCOlKpHVcY3joS49EFBbUvmu4/2YOVL2JjuzUkgkggvNTFgoq/Q0XhdMfMn
j9pSVMRaxm/RDTx6IFje+JhBSXFpMN/cK6P0N4FbpO/8aZKwqOoeYngl0NuKhp3kylsJypup3CeM
kau6ViqmiUziiw022ugdgLrLasCyqyUqK5OqWK/u4HUGwT3qkUNzpubpwIo3e6eJZB73I4if6Rp3
esG4yTVpR/5siweMUhYVm37cVxffHOp8MwUFylSNu+QgBraaYb+keXA03ZzqAjCzKT4l6YzMw/AD
D7b2hwGdu4bho1aE2WggIb3wQklYPgEGmwoizXW/bJMywI2eeA1Fxa5q9EufJEZxyLTj/mqw7L6W
SU2NsOq6r7qPLX3iU+fyXizjpePlNwyaeA6EvKQzoeAV/YCgTGgExqbhEzg2KJo8ZZnp/GoCC84Y
1Ut+iRlM9bgGWHAt4YJ/5+TMiK+btOnyy0Ap02OXejczuSRZOWqQethGaUyxkpM/z54JNqNs3n14
LU/GmPQ/12CR50Dkh6lm/c99bPj2M93UAg2uYKp5AY7DU88yqcwJR7NZnlFW1y8ojOt1EmaHk2ys
E+u+o7IGyGyd2/MW81gzHVZTwZnJAtxD2q3zNiKfVv4YEFfug8wzYewGzdLAGghyiivBH7+0S8KA
bNoldU0+TcPDFhiG4HFfJSJqFDzmTbYYyjqPDmcCgIDSvXYgfSnsSuqFVGJWpjjta1tvvQVilbSU
seKYXWycsW1i8Hg24zdjLeL96lGhW+q6+ioaA7Joh8lNxa5+h5VRhkCbfNjzbVf+WDC3o79AE77H
W4Rm75b1uWLofoGUkDEYLYg9aRFoIsmu89AFAggIb5nsME71LV1ssQHnFrXLQ4tm+GqVeX/ul1n9
FLmdBNt1GAomd516MzzWZIr3wdLOu9GmNkI3BgyoDKAchQ2mdds3FGBIpOkcNRBCJhboJog6cnbI
Dnuy+MLh1DGkgh8PydOtbyO+0N8tvZHBbiocjUeIG6eJytxToVfM09al1uMuaWsD+pB9i20AKJyf
mzmNYVOKRVN1gzWoh4xTttZJ0qx2mmRTjHu9kILZ9KtJrhcuiqR7LuazGgqz7WHtLN59Ndk1zUtA
JCwVe9Wrn/WGGc2aHxTk9sCMYqMW4pZ7lf7vEl8tc9nq7EUHa75K3tfUMH8NY2FtfXINxLTybheM
SYulz5cQF8mOYndmQAlpYm4P0u0FP6Nw1zn2czWc2mUJqhfGdQdgpMuaC6tw/FQuhvmiFmCwG2nP
3rSthIUTjMBD9kiYj8F4NG0mM59luXFGZs8+QWNg3VWpOeZX14nX0FccOQTOnXLbAI5kgCbs+IBZ
Sb1YPsdcNCltDZwXKYYoS9zYaYGghpjsSDC/BgtuE84rK8W2zlc+3a6NKx/xYxpEgRe6ksN0pNA9
ksvEXwREa/OUtjakGM6GGomySSWBHIMJ4pj6NvV1RGTkFgBAHhBISDWwnBR8UOyuBiOipY5a100a
olEQL4A53cW7oRUB2meG6gkg9b2igPXRmIaUcbBN19+5a1BAXoPqF9wP4+2BW5LqD6cxWxFt3Tw/
YOZDgknTpV1CWBlYfmDI8kVgF4J3CLDLQ5+zg9uyZnQ+6e7lovOrijdi7fdXlp8znkGogD1+NI5W
Ou8cGiU8Vd5pWVMp7yfT27zUAS5vFcDhMoz1KUNNmCnIHPvpmgfr8oKs6nfRnLH/2qi8axvSKqP/
TYh8OZSOsu6g0VH5Vhsz6y88XHML70GtSD4Tb2crBU51TxWrXg6wbJvgYfElSAhj9pKr4XTBDykW
8Uj08Nw6Wao33lA+jWWQni2e+QnxGnIADodchLBrgAAGCuaP+lfWFFOYNjd5zOxzB8G4ZPmiQDW8
4xWh/ruZYiy4umaPsVrkSNspP5qaNxNnDC3xqcqeeeuR1p1H8kRLxyJiwqrwZLSVd7Jaz7T3kwNj
rVS4f4oiYzViqVtnVUyXzrgiuqPEEEPxWnzN2ovJNMEjAheC5+3JLYwy/5lYg4IXRXqJFPN60KVJ
oLwJbg/KZnYoE+Yvvc8UcjxQKnvYQ6yZz0YC4j40eb9uK49yd1IAqXc3tQas48JVX+4skx9Jv7yA
9IAZYWfKTUNvots3xRsOvFrC8JDsZQgocxbdarlWezpCyJW/eGg3YHMhjhunKcuOlrugPHWx/4hf
nfRWnlovhXSan4I8B72JrAj/sFuvZmaD3C7v5ZDw2kqy2ZA7YbNsthefalTzZnY71G6ufynWLF+z
W6XTWx3D99/Lmjx5SytF9zjHmGO2Nnad4ORCxxkuaWDxZVQqYB3iksD9chQyC+ONnUxHaO2u5HbO
7YUMUl0Gp6pypufW9HEN8uQtn+egr51jrWW5Pjld+zTRUlgjwrbTsnEITj8uHnZx8j/J1Rp0ekC7
6Al/6o5StIQrayiGsgk9NyHOYEPrJUzly+EhXbvkiIpDkx70TLz49DhjWkBZL4cZfxEO8TCuG/LL
ZqG4y5lBvjrX0a8C+O/Nqm1HcLNtpujafzMMKKeosaB+jj57kIpl/BA0ew7a4GVJM/drnFoUTuV2
1T0r0PZtJGwLUA/j8MkhfXHpbSpKAWAq6902XetNMqvd9YOgOr6YFNIDdtFyL0rpFlvTxr2joQmR
Mcob9zcXJMK7J4kHYhBw3oe4/7S7NmY5OBVIhcrOmz9N3rbvVioaA7tW4hmhiDEohEa6VDxhR/Uy
17lPv6ckl2cyLz7PbaEF8begtT9WNlFh0K7F/Htwy4qli8tpHPOIZyb/pI0RtWFJnrPcxs5qO5z8
6ENOcGod3CHsZJDjL7lV5MsOhtiY3aUEhewIlreX4TUdHbjwDTupHf+F3mBylyQhRF5f7YB9NPi9
W0efR8gRbLfZFYeprexnJC8rjWzUJpj9OKq7BU2Fz/56WKcVTljuc81H1TqOD6mfQtrqneZsFr2z
sw2mgrRwvzG+oSOzRXeYG4HSH+EoLck7rCC6MklnsDwtoSkxMZASvTZOC+xr1iQEsmajR/JArUz0
CYxZvUUJhDXT0+E+skTejf1K63RSeOBXnAQLb6uD4Wk24pUGHqzCDV9bYKO6y0NHVnl9SI3AkFDE
6C3cmjJx2DZPhvEjGeRonDKjwbQ+OqX3OjuTRIvIXAsTYTeRDit8D4McF+2dcm+PMwpM6NnDwKef
00XHxa5Og4xvoVh/OFgvf9r8LWSUzYlJUJqvN0wXUqR71+n0T6DqA930Vu7ep4mDmcAqOWGzdWJY
H7vkhENMf0OXA4SxeMURdX9NDxM2+SuPBj8+sZ+yf2Xw36IC2oqIGDLwhyS0lXX/6rH+qe0lxspf
ua7NdzFmZc7SmpjrxMKEHuQ82/LDjDA9g6f/xY+vvPQ5ZIhNwjo5Zeyo1AEnS9FEE6Dx2WyBLCyx
KO9tk2EIF7WZWicwLrHc8SI2CZWkRsariucNkQRB8Arukf1TDFxgIfA03q+uMgGXL2MBJDsGlb68
YlCnGNBgk5Pt0r5Kvqa2E8cpGa0f0H79qE9Ed8gbjvnVJlsKFuxWwEgj2raDice+xFdY6kqe6eEC
sQHYiy37n67RxvfKm8ReWl3y1mEj8NFfGyBzccaGZe1I7ZzaGpZ31AMOjdkyVnLrlzpgVTOrjIHS
hscRYi/V936D3BmqIQ2+Uooyn51evSYB4ZQNXS7Bpq5YCSGds9IiMLyn/tc/0Zk4Q4Btq2Oj0+bB
m1ozatjvd5g6RVFsl3Tsn7p4BtrWjd6CJSXtf2cDcvkusIOB2B0guNuTffiiNWa6x/dbW/zbTLbT
oqaYlB0WUjTJX7xAfB/+sJdYn6aEC55pVF7cMZGPrIncTZnE87We1jP+JkEsilrWJWwJEuWu/N3j
K3hAw4afZ1fzeU54JbFB2fdZwcQ7Sed9XZMvPm6arzG5MAwJX8XEUquPnZKieLi2ZcaErC1q5HGT
nkrR8xea6ubB5xrepQQ1fjJTQBDj8JPPbv5p2kJsUz5HDPoVKYmFenpCU+KY43d6jvGg7DufKlkO
zgiju8PyFhlzLAzrEJude3Sa/LBWPrgvOYLkanRT7bKyc547y1rOHk0YvwKIMmeokvPnCMgnwoVZ
ghMaFlMfihvBesshOf9eR4m9o6JaCZSg8OmKJcG1QSilFX6ajfZT5NJftqtsxWUZne5AbTubU9Zy
+wzX+aGBhcXHpMkfZt9Z7ijmAFgtCKFcZj0xFfrkTb+XrM/Z9jNBkpUu/ReUXzauNF2Esq9c3sSF
H86k2SObSf67MHS374b2X5cJreX9aMG6E+O1lxyig8zqLGwcQZ9LWQfqMFjLnnYzCjCHBFO50yB+
5LIZXhl3WwSKpYfG8683B6TvqCWR9sd3koCNZL0+YUVdf4DVl08VyXJNkCwjTkm9QL+pzNEKU8Fx
iXKzF3VxnG1o2Elhyfsxd9mfk9UGISXqimHHKN2dM9YxO/FBXKaC9+noue3H3Jlnz1oA4pnCE09F
QHCezIB+LEwX4cgkBRsSnfhogeF+0D1DL8WIKW12Zoscx2LvGnGTz6jsairXwoW3iIekFRLHCtC8
Bl986yzE47QHCljNIf4N97wI22KQCtbIFuSNKntANe+m9IJj2NhOXMY7AgCMd1KVFw4q6Ojr4L9X
RtuAiO7aNqwcdr22pdgKYX5jwTnpFykh+M99PfD5CEZx7yuMkcDJ5XKdCwNj1Ei3bE18Z7cMiuaS
VTX2WVtZQ2pH1MeFCocfRuabL0K2xFN1u/avK8v70Fa5897qzNx7wHH5rkLjbyTff/inw9brCeaf
WMUxhswJsFshBHPOmnu/dFV8knBPQ11b6AXDWn5PixfvOR/qp5Z1H+NQbNyRufK3bjy/DxkX60iN
IqtLun/3GF+mMCv0U1IX3l0jYvCRA8+BYRMkPG8wAoj0bOZddSRk4X+bg/NgANINCRJAT/bi5UEC
+9hqA2SWxR5hcxNOMm3U+0Rnw1FqVig0eK/yTdql+CHousbhxE2iyLF57dDsF94bIFYZbO9iLZZf
YCTpvsu1+Qc+isF7ICBjAygok1ip7xoDZME1mUiz8mclB6wjv1th2f3WcHp9YPRe/iR+Vj7kvbAP
7UTktjNLqlfNnA3tSPPV5BOVwYfdJ0xSq1A24zBZZuK66UrahEfLo+mUmBEEO3ayKf93NwaI3L//
X6yYtPAY/Fdbhf9efSXd53976D6/vvvkPy8W/u13/r1XcP/ypAg8EfDji/H5f3ZMUjvrMSA70uLi
Rc+/AU3+9kRbwV8kKojB/AfR5N+3Cuwi2DTgiA6EvCUv/s+WCv/wQ9/+L0ifWpivIdUK+Q9oieTD
P1HONWCZVHP/nFBB9rJ60EAiOkTkveslPsxZqyZUZep659JutS0GJf43GRLb9v4JjeKv4fk3VzaS
I9Ao6x/ObFNMMjWWwMaF0/dv7KvHiBkrPk6qtF/GPA0uWqL5YKIhU65xqo64E6irtSBpkJat0x1Q
OWogAcz+RLyB2ZQgk2wKmRLHUzEBlGGJj6uNXr3QenWXZClk+IzX+tZFA3pM+g6QFisNwullx9rY
IIqrVQGToaNzyhHesq3wDIaJOcLaJndoc6dx/Wf+Epy5zdHBCJnkYcav54U3auvITk9/1gY8E/qF
7sqUKJEvM4Eq3w/OpynM4krOHJEAAwHeQm22Zy1xtclF/3KcYf2y8k68AFelBWpxwBfkc/8AOJGb
m5KTFDDuXP8aPL8/kuLv7hN3sE5mDaddJuBHJHfWg6JUJnIrLA1m5pyKGrWGORcDjVSvrIBwTWVc
mqGbWfLDGqkGqKVpvyZzgHsRjOwxq0CUrbzBLm2ijB2/xNyjbsionpPuADE7uCjDmY8TIK2oW4pd
taglat12PC+DQTAtddW2mdtmCzgGGibeLGe3eDM5xsHFjiXk8CJaap2CtHYiT7XJc1HN4oNRKN7y
TuugBZtcK72z8k9rcbcjXJXSmK+qzLOXcdbG+zy30y7D6XCwXQjRXW3z3KIghpd+N321ZeZvMQhU
j4wwmIFjaYzXmdj/KVWOG1kAeHo9X92kPRCIP/stMUelUTQm07v3HExjGxPQf7gCl7dL9uCG6ARN
3hX8LYc8fN9L3kXJUhxkQpdSjAzSA7jsZY8nJGUlncQtWIO+iuaySw/OBLmwGcD7N3k+fKSZGqgA
H0DAKAUZvTKMX95KP7I/VctdCUySxy+fp5SP1Q5sYL5t8O/e/kt+qW4I9jPTEaFLw76VoE/LVbkz
mJSkth6xPlsPYznpe7NB3WibSUfY1NJNGVT3aYHWmJTjum/UMDxSWyPprnHXR3eIs227wl8pHQoN
JhDsD/mSVvcIz2rLeCG2vMsJKjBt8cBoVdSR8gsnqESHem6at4I8PN9N1hIVwAiA+OUfZ07U1pqD
8iXG67HxFgiX/BkQ4ZJWHiYdrBedaPdYi8HfV5WiAxCfBhpiiWBeGkGw7ZTph1qDOOgUGkA3GP42
V8zEew/uRs8LvhNoArBDOSIkP2sY0m8wDh59VbmUhwyH6mlJMDyNjpb3aQ/jYNIzKYr+Tjcrj72p
Fle/dpd9hvIeuZO0rspP7gMOmS18uHtzBIyJUYlqkmo8U8GX/l5wif+hM2AMb5suZv41vizWbN6v
ntN+KE79g8NjEVv31Fyr2R2OazWJHX44ec8OliImTDhPCgrvp93c+LDZIA7DPI6/O7donziZ/WPh
1d1PG/McInMWh4GSZRI26YiLVLhK5kffFaHmw4/90RvHZS9W6i0iGoRKdHlyH7s4yecdBlG/ucNp
MVcwzjDdYL5VUQLWYZcpUCwJAjFmVQoVQpap3oB/0nQg3o2TAwfSmcHdpfGb4xpotyX5bsZnFj7U
/hR8n8n0DeJHafnjo2HXBLqRYLu3viULk2PqQybscJEJydbQSZYdZ9qy75exOs1LmfxorGqabuo+
P9f4fqgioktqtzZzpeC84mC+JE0uTh4UV3frNMH3kstcHZuqarczObCTX/Tiw00D2AUZ9ODNNDg3
a4Un95XraWjRftD8Set8abYxT+c/Xu/3mDLX4aO0gpGJtb7HN8MgO/eHyjDhm1uS5sAqpc2suYkT
oJMCkCPm6v6gr4w3M9HB+sMtu+IYZDgAYRh5x3hO/VsOujomdjwXdKSTLQqHNi7IL8ygOWENufoI
52AKLk0ZW/m3NEQ/PllZ6T6rpnb0bmiM5rPnR+Ezju3qrS4S49oqWbGBr7mgYQvw/1YG6/za0Mhl
cEnFQGun6SMvA+O8+ELHZ54nXShhj8lQsJEIzdSZnRDev3PCEOY8VdovfSLuVR/SFCf/WIstnrgK
e/84e1mRPWKyro8DINHnsWsZCdiBysixWlvcTWXQ/lElW+9tknryvWq183uZ/eU4NPj+l5SANvsT
/5syQxARMeFP9uCWuMSZq5MNWlr7bCdCXivNVzXPC28/WS1E/t7AOA1bq/1RurJ9cjmtn5eybWGV
GdNOwUsSeNgSni0QG/XVIX94uBkReGQwu2Bz9gi9EvalObUgAW3FXnaa8icDCP45gwOCXTvn4QyP
nW6SwGzN9zro0h+zoBN+0zUp9v4SHqyzTetR/JQmcfV7XqHZjSJe3dbuhW9uC8voaL2GwvVoVZTe
GJahHpNZzB8F69BXx5id5xrD/imwerGzHeL7cWGo10oGgKmsHv6gnPgjmLXmLHKqbooKnc57hJyB
hA5FXUxpxqNY7Jol6IgZYV7rb1ZL9s5H4KM9j8X7a6ctin3yjEA9mSpMvUte2sN2XRcMwpT1lgLE
Tg3alVBBNCt1jPta/0LGnTGloVgqu+yvnqPK0EgSK6xKF0szX2AMlNyfZdaG9Nv4x6TU6z2uVxl1
vORpZzNLg1nM35M/gQlQlXnZ0xQR14M+N3FlAGbjEWIfPCyI86mvs+TEOFPjlrDwTzA2yBe3HylE
wEhdzWTrPOshb5GcaZ7io7DWaKJZ53RP/K6dyJZ0342a8kz4+hEdQN55VrfVf72okk6Wrv9oYrlC
yRPLEdDVsIvzTnEdOcGuam+lr3Cp4Yys6h7nh9gNLp9RF+H2IvEDQn1Bi6O1qnG/6cDRXfUhzfET
g94mc/KT7X10uABZC05468lz9L+YL+vdYAloVBUV3e+krNqHokvRIPO4IG7qSv+OkJME12SOMov6
PNj7xq0pMQ+KfUbt2gEmutwLM/UJKcmpvatTDltfIJJYY9mgj5vW8tBrUiWnul7FFUoVzVsiMYht
OEV2ZkGQv0wjQrNdmOZeTH1xzHqRPRBcdvpt1tTL9wR8wQvZIGXv/hDEUWUARYqCrPecEEeDbMIZ
hwX1q6XPtl6je2YxmYmOq3YSXnL0e52GGdkgLNNxSc+ont3jWncN2aiuulTeaN5ls4fzch7zN10n
DqY4Ht5oxJYXH4I4bjFiEPi/+LY/3ij4tJibKQsvQL2HyZmsXyOWQKTx29u3I8TyzGmTCD6449hE
iaYNooP+gZQ8nXKwpl0OFtvLiy1DD41mcaUusxBkHZDUPteZtPt+koNx8rPsk6R+cN+CKTY2y2oX
32PlqfucU5Hbf4AFDZiF1wMRPtJWrlldPYwWUNkm8w1Ab/DABdeea3N2z0FgDDtIlOPO1QB4Ml3H
f3C2F9vccrx7LVKbAdoDEFPPnsUp2hhvhlw5Q9DQ6VsIwB7sc9oGtl4h2qd1lvDHMW45dx2uizAN
Vv0pMuwHwLndPUItXeWDYCxjEUfUrv/u3KbEv4JXwxNWw82pYoZO2reFNd/FHUNBOjtnh+/QNlty
b4vMX782NgQRyUUDd4fyvzKNPdAaRfJmjd1di3d+h9bf74vaJiTf87i5dELlZ5l33m0pX4yHmjdG
FKjExqIjlkdXC6IxRXUu6uIVHeTbiP37YUI0za0kD1udm7s0qeajkRIf6tDfag8inrSG9b5o2/L3
tHTjfc30tUG7UJdkzZOD9BWVVNavnMXrMAzuDiE/NBXLYMdwE95S6xzdUlw7iwtJ4YtY6DegpROz
20iTrk3cITnqVJySRVIep875msqr8nCn4PYiG5s5M56IRqDHkXNkZCy//Jld2aaf5peGH6YdiwGq
On1Y32YLqoVmv/xR0Uh0jDvlnv1hdB9dQDqnyWymLfHSIPIMP93H/LSfxwUEBSbwzmIExTHMxxC8
7MJHA+2ziGqhD3Eh5T7v0pOfD1jaie76QPCwPJTANedKFBFTR3pCssrCzs70ubMFpjLJ3YRaWo8Y
d0vCdUbmsAMUXReWeedG66oPLn6L1mSGWN3Jp2kMJjlemOIYryXnH64FWHWQuEOwk8YWVjKQEdWS
VBSNu+/jxXonQ8Juq1XFqaGMLbIMS10LQ7hbMQcYh6bM/uk7vvNO5LN5YgKm0ihmcZtXcX10qsZ4
sqZRPOVrm3NWEi3Butsll27IEth+7Yow3cy/LcviCU2cjMqOof5yED1Z3A0X3WZn6ivB+5jxL1Nz
95GqXI0cVkdqvLTZaJxtAC+bhi3uwUC+BBQwkqshV/rsEwuN6FTKaB1ggJ28ytmSXPEj4TUXGGKU
AqZ1JE02/I7LK9IscUzrnDmh6j4tWbEGN5w4dHniH3vHPuh8NU4mG8QtLcPD3RAM/YmE2BNxSzIr
LPltt7ur7VsE8Drm5hYP7478zo88me+r2bQOeaKffXY+oEGfqKCkpcu6XUtA3GKAcyGj4Xungg8a
WSJ7Sj87hI2w6DBjKTw2T5key0MwSA72mX5tN59tPsddfQx8AEAiKU8EvNazZCm99YRfHEpS1+6C
XyvPkoJFQpUeCQyrvYOB23SqdOMvgITsggfeOhn0rgjG8KMpeFytSZn/duysvuTk0NcwnSs2eiNn
pG0ah6TOnEgQztqrAP5gnXvxWRew6YxAAcW0eOlvMDPT3KhsOgG1F93MjUfw98U+9Y4Enc5WCVDK
oVuiYWX82jTecDFdz3lllX2zHEwDIU0b5+GeNUZJ9XO8+GPoZ6PAJ5k2b/R/FZHv8ERZJZyGcg2a
M/a96Zm1y0MuaAtcBL9+ktvEzk5D2X5XWnRXStLoYCITWm054E9m40dtZ5U7JKbmmPksVNkD55Gd
d8uVDS/Ny55tAtXh36Pgpg+hV+lbO4nfHqfM9x8wuIsdIVorqrwAi1vRbKdWmzsJNWR0Ypp0rPrD
QbN+Ipvb88LRwfJYshqwsczJbjcI397PaUVT4mzypYcChQljDrbQ3pXaNJ24EM7BfdNIwGpL7F9g
81wVvQc0UX+7DmalfvVOQfBM51fEQvVhSQmcDemvWY3fWPelszGbmkHcbjWbO0nBWG9h8uDaNMJZ
FDrKbANGklHOGGYn9ncYfg/cXIfcEgeLIN7s4imneHvDO/zg4y6qFLFJbttvgD93RiWCfe+tB2FY
Z+HT+8SstUOK/jHaM3AA7Tj5seU6YFNlLndOnPwYHXuF3WK84bgS92Wmh0/8hM2B/53FFGMLKfL2
CNIN4AEOzWdK6q61g989gwdON5y8kLdmZSzsDw5wNmJmK94cp4SiSe4i8hfrrfQo7MiAioV4MHbM
0GFHw+FSD9+j2dubiat5E3iEoPLRx9lSSkps7KMkA1PmOkzm8qWV2KtygTO1nTDycYHDpGxYiDv7
olo+jMbHQ3UjC6TzrWezcIvhmUd2D4kkvWYxbMzAGh7mrmDUYyf+kPTOK1GFJfS0M0VWYTIvWihG
noUFi/ryHVYuMpIpbbkw4Nw7TWF15BcQTPOOOljBntbuza3sbjXUwpqgt14wlZ3x/qX8OFbPYwa6
Z6pOcdAHJCnGO7kGuov6EXDPWFvlC9l4/RFUwylb+5xibDDLZaMPkKFhaDZsQrcFsP1jOvTjzsgl
NgsrsQ95b00P7TqpnwreYshP6CdP/hcQf+H8QKMAOZAvD53rhcbi+mgx+h4TlKEtFWAXgjU8qEmA
7kzt+QfXpoe8msd7VSK3jGPdvJEiXA95tmCwSHGQbq2myTbVQGF1i9n0YnsoZjwb4t3krfJ5TSgR
jc1VX+vV1WiZtmyPUmYkXAxNHTP0dQOkMNCpTPONojersXGQeLa3gE5onPR1Etq943O2xRN/WWTc
XzKMd5s6M1G9jmtm+zQ66v6j713jaPNS3NaOuWB6Xb3fzRr3GBHm5yDOnku7TvZenTV7bLH5m8Gq
M2pF9zDCFNxkKd0geSvjCMgAiA3ueeZk6AlZQu2PXTRP0sS6xvJou6we1gATs9hxbUDit/P8Aye6
RjrAPCRT5V6JadHKAr0KibjImxY7Ad+zw6wd/+Kphu0tuhABIpHx6+L/wd2Z7caNpNv6hTYNBscg
sNHAyXmSclBqvCFky+I8B8enP1+6qvuUXd3V6IsNHGx0XXShLKcyk2RErH+tb5mIUGEO/oqb4sNF
6po15P1PuRMPZxJBlVgkNz3c090eJRUqqWEEz8lkJ4dGFvmOtpuhXDZRjG1Bw5LNTGwc4nWfhMlb
HQMiUYlpQzmAe1GESbvILFbkaNJrqKpuaWg8F8ZU3Hnk6wOow+M+t2PtyQfcCbOMo8ey0YS4erYt
xpkhE6xStF3Hh6FhS+b6OL67Xuj7wQ1yrs48I3w5jI5LYbgT7f2A/m5+xMSeFKkDZ3njicppeyuU
U30yZ2Pr6FvNoSdFtM41Uz8D8Q+OmlOY6yoEIYaxhw2QcCChBhFjwUVXZvZB79SiZvMHjJyke4xK
cfBq23iAwxLs0tEwrjz48VQ5ZrjuguqGa2BiCpI3M6vVoGe4LmkVhskeYmn0BB5/QtQkuKkiQgkr
RiN8lw7PCwpn+uTREPKuxV+KmNnnpMDAfojB+u57+MZ1U1DCYkjT//DTKLuyDXmNMXvfgKZno22u
hpd0i+4meLVTv1HTWK4S9s77YdC5XMlEzKWTdxumlfl7CfRjI0uSCPju9WVX4BsJkAcxhCTTSW87
Ogb1lFq5EeDSCoSv4tayEOgcmDZZ4eLpict7mZjtnFgcDXuheuxGWvh0o34mTVHNa8AzawqHnPtJ
BdFl1JrqzQpuKGzdd/u1SaITD7pFQqy0OdgE/jXEP7LFr8V2pyXXINv9EMUxD7wh3o2G+xmx/b/Z
wtXiZorlSTDYJTZW6V2xZbOY4HiC0KBEfnBuSX13OjmB451DVwL37lKKgZXxjUZvLkY7Mu+GjL1x
HU/mvsGI/t45Af6dAn6xEnJDAq6bsUuy5mOH5yT3THxrmZ/G26EzxIZVl6OxAQ1Ezx/jVNj3huDy
y10t2LX4ADYc7Polm/ezivA3DwymVkx4D4KNeiNVh9cUVXLZGQTDaBjVgF4OHiKGdQ1Lh5dLMsYr
NS6JUHO6RUsX6JjXvPm0JAduHrHd6wfhYsEk/xfvhAw4FCeJhzJEVlblw0UY9NcBTXVnbo/Fz/C9
h5Emz32Y5w86NxH+g35Vd663HFR6LdL4fqT1nlokPPuUtlOEA/DnlrVumb7TDqZWBjscnoVIo9ZS
eR3PZLA9xd4rTBWiAtRw9TDCo1c7PJApiC4fRwxlH4VNb4lW0CTNxmLi67WbbcFluMDTCR1gnBJq
y3gs3oFZ80/1NE27UTnyTnoqnSdl/GgHztlpYm9FtOTdicU+hfR+S3+vLZvcYj2aZ4990R489ryu
InhH9dPYxi82TeqzsoFQUhXgbpOzT/B1AYvRe6htkzQONZ4XUy/qPXVYiiG8Ez7ZVPxtkrpnSzM0
0BFqDFIT3LcqLK0l4GFtnSlvFrTngVnTXdCHMT1KU/+eUbzlUz9esu1WNdpLa3MHBMQdRIvZG7JQ
pi8pN9wFnSUXg6i3wuF5OrMoCltLGvU4rbBboMN6ZDmhNyqn4sHSkRwdup8q+lhnLpUiT3oVWrcN
UGlvJVzprwKtgfuHEoADf2m8y+X4qOC5IBAaq4Ln2503pjFpVTjz37BIZEvWw/4c9VO3heWKsZdA
h36DwmpXzv3mYeJSfsJHAdwFjT2EHxM2sGXSpuJdW+kbDvPuW+gqznWIBl7HUChJ7GmPJzJKUG+t
9smmZOjYacMNPQ0cvWDG1If3/tTHMA1UxDYzLU3vim+m2WKJnXhc0WRA6ty1H9tQgC6k7M8mUIST
BiXTgh3N6C09BrbU8rmZDnSPg7cH9+5iqizh/LrRIyihess4im0clQjRihO1tXFb6I7EeEuDP4sd
bu4lffcSu/m3EIzKnJrxbxzLNeqDI6p49cr4lrLhY+A2IVjNQPXLbdPqct8ZMO6Y//G/RVvmzd2I
0ZotpW6/UBLEvcR/1ps7zXSar8RQI3feGH6xKtvOptXOLFZTRwJc+gHE4RRpFYM+LuiOmXCN/3pV
Rql9bp0behx+ORdK5fLt4VUzN5rm18yfQgIKkrEPSlcO3NaEbx7Y7Yp6TYzhGLc3QKYuzmAxhkx9
kc9jC2JojKnvTmkkpFHWwlVVZPMJf40OgL3K1IzOglvL+RSTmHWdgdoz4dtfQXYociSpXu0aDZiX
oTxQPqiyG3dIzWPaa0kzd31Q8rPeIHhO4LjtMCLpJnY5vR6iFRPFddVzAQeTfM9DPVjBu4hPXPjV
ctK8dksSyzjqXfjuNTeEZ8SeFndh92qVFNY1VlAtce2dWspzFmAaMJ3Cupr5oTHOHcK4i2p8KaNF
0ujVzDSKeyaC5AHaSjwGZUWtXlKvvYisTN6RqRuCAuhZ3PZUCwl35qfEacjIzwdiWRtOgeGqMTX/
0gKj5qZy3gZfwfKIc1gvutfVd7FE/BqQwC5wjBMKrnLbujJsmlZhGPvnPu+jlRq04dVX4ns6ITok
nm8d87rOnvKItQNHsz4DGhed294z153tpNm89iqKipmiONM8nnyPclG/49SRxPE1bHV1cQ0GPku8
hUE3x90Y7W0PQyDHUrBKIBU4p5Fx9CdzeBjGROA3b8FgDR4HNPqwmSBuR6tgdHrrmbyt1C4Hj6Xr
gaYvMQSQL6j0J4g/YJPbG2lBdeltMCsWcUSEqLDLKyczdinKqtcSI+1d3MfdKhvTaEHS5o35m79n
IxIfwFpDu6840IxR5uztkkctniN8nMz+7lI6Jp5djFFZoPcrGmVGegyVi221rPflJKJV0jb6JeyN
bs2QAZlTlT0uTHYt1Rokqf8QdoNzj1zJW4kZCrpVbu0ZTYsTn6rF/sAayzt6POw50zXgC8XkGtgo
CIUf4EG6nyPpm3TN9IUzIFO3YdfXXjSX1sTVg5Z6DSarPZptedKCaZGj5lFwrpytlbqxhwHdLvZB
HiDGVUQX+QN1165o1YN8NxWfVe8IgG0OIxW3MNuPFOvASgH63hAt4PWKpjTWgo3C3rr5K7NRvScd
Np6l15FImQV2Hj3x/b4Bfo7XAyICSxdzdSBAgmPb4AOxa150C6NhiIM/mvUCxy9BEJ2nf8f8Tl8Q
TyPpNpmtA7yOZMKsFt0e8hb9CjCCX9VojicqX9AIKizuKuRgUIPtdXObQuOSglfgM27P/p+YXnRR
layQi+PGPJoBT2hV0MSceKuo5/rN7PFRpHbyMWlZdG282v1gAucd7FbsojYmVcB5G3+gNPoaFg0Z
uXmN6e2FNoLxWIgKA2gOXmeMhbbQE2IfvRcrzI5+l5D+jxykYPYM39BAOXkYlXkMwFoQgRowLkvq
vRj8D9sizD0orWSI99RXcGtDdJt3GgWIudJeiY3Wb17IfoMMTKfvUZ9ZbbrYppoRsZJjAnmWNSbK
mCiV7fEFtdUzwtArTcJf+8FLWcad+tE0wnQbVTYkF5bT6EVw/nxWo85YB1TNSHUs+3TOGg2nKR1M
k+TMsgi8qCPaOORnOWbT3M+lc4RIQQSFThJcuQktSyh9isKioLBWednjyehhhpBZ7pU2H1Nz/uOA
kyBLrCa3PjPxErM6KrDmxQFGPqkZOL1DTa61ajDOhaV3B2ptzJ3ieXTB5KHhJCe0zaZ9OKV2YG3I
uQYvocrNxyohRY0JmdiRmeqYOYD4rRuIP0Q1klrcx0aP7qQTa2LgpZp5XycLkFKYidyAlSDKR4T2
LqIGSPTBAtYuXMM2JYiaG5h88skxykVBAHzhVE5OErz5jAU4EVX4VTtrYuwMdUJXiWGKq4u2P490
4a0dnqZL5rvZQUuNk93l06pxCnge9uTej3VVcN4fhq+EHCtafmV/Cw75lJdH9uTdY+zOLgxpvQdD
s4YTA+xbaVyY77XRYa6W690urt1xmgdBCvOnCOUD9BBtO5rqpUGHTij4qKc7wIYQzSEFrVlK8btE
Y3tsjeyCBS85DOy5NjF5jYXVyycMuiFc8Cq6YdeH+LHCr3PqwelgEG6t+AnrKjMCkEuYm6KunJfm
dFdzQYBO9yHMEBrfNmFy47aEOzuLkCN9KXcxmQwaVbMFqQq5wW+cb9EyuvkUlRl3xNDvRIlxZopr
9M3adbM5jAxMwXmN64Mw/7PmmBdZ+4/eUPansA7yBZD+BEGIfgSY4eEiG+JzyJwwwg21sSSwIzIZ
4x6TKcprOuT3SYGnPK+Trcl29kwODN2AQ9TBg9hPuh6T113petSN4gyXTXm19HEfBAyMpGbDSskY
2uhgaDaxP+gvdLNQhppm3tq2rOxRtBDrZ4qZ9DaP850onHaPJoAnxLKHRSSMCqY1H5RsfEWI2qho
A2FQrTN8oOESv1I1r5w+XQUk5W9BR2wdRYttR6/o4IAuSrqxhR1z66giNGvp6ZnHdEdajnzYkpWj
WDGT1Pet0X0va4HW0wT2Bsg+0h5RyfKe55Y9x/817vAT0GLpBcO1U8FALRRMHDKM0wWLZbqc4KAc
A0/kl4rNxaVXowG7PCvJEnckhqlu6fZE7pp5SK3ZJwA6/6lrkmEWThxKUaT9KuHOJybNeMl7pp94
hGJfoBqEhbZIciMhp26H27jHE52FrnEWkRPdm3mDUD6FKcDM3lQntIHwW9ozTyYbnoNdQ4jE7iCc
/eg01otI+oHn2dSgGg42QaXRA7yaDCm+rYh5gm153yrfs3ZsVIJviIS3lMZNijKr+AwhyIToWbf2
TqqXmxT0rFOgC0ey0NUrkHwDXqcZveJPm45oG5RZeL62nGov/g6ERlzGwWFy4Bfp1Y/9cMlYgON9
rt3ScaX7ALhXp82gsue05oUXMslTMC+tNt2pME4+YbF2DznLK4OZ0T9WHpx1vBNptslUbC212Pd3
bWaaq6phreHwnOsn2lr6V2QW546RFQwcShNIvfRWc2RiYD1kLQdw8OzJQ1JoX0F/QSqoWT/b1N+F
wdAwzrHrY1ANAmpTh6yYcM/M8oLgkeVGGsagOsNiMxlbcgpw+Bytu0wgENHn+7Ze0LlarqYaIaOM
vZ52KEN8GrH09zh0ynxGAh22xUiN68lhc7BiGOfviCak676m8Gg2cNTn6IxawDTKuPTABC6xR4Ar
wAhwzf3ogdWVPY/NWZrl19xAwHGZpYXJniTS8Oj0hDxBdTB40lLFzJpt7YI9cvLsxeWIGK354UsH
1zC+tfT2yA7o2xO+Gh5RkZasXN20KFaBaZ0TPoYTz/SuUZk59zhyzr2YPDPTnfEBNUxtbBvqYD/d
tPdSb5tPzDXjXBaB/TBVYtp2pJbmfG80wBmRB7y2d9A0mMRwq1YzZWU98knjoiuMDph2bHkRlyUT
7Gy47yJ1Bq6jcMZRHwUETa5wk7HnJDG1zhndPDTdUHJibuyNblUwlxopeptD5Sg/KRewWSmm/DEJ
+QzIi5vk6ZxiW3S9f1/HbX2kfzvZhYLfP5gwCs4S15J85OI7DxztrvPHRi2dlLwisI+UZ9B/4RWL
49hIx1XY9Ta5WXkrDC/85WD76WuqRkCaEZbhRydl/mHjvjp1uR+/JV7T3dsmQxd0WsywSUencmjF
+fl/xC6//l7cv2ffm//+iQT+t5//9f8TMLhjCsA2/xoMfmo/2m/h97oe/+iCv1Fv+LHfbfDGF4Oe
dku3INu4zGHpBP0dr2N/sS2o9LbtCJv29dt/+bsNHoc8BAQKSG6OeubTMHH+boTXv2AioaPXvHG8
yIiK/8QJ/6euW5JP0nJ016S6k/97s6f/ofDXLj2MO2VbLTVpv/pYOtnNcJILaPEA2IB4UlH9RSnx
oczNb3/4pP4J2eeG7fmtqGb7QXUpydGfX/oXOP8tAJ0kelPR/EAhSxAy1QkZp5SJ/7WvQPH99av9
qZ2ZQacrTHhFtu6QnTT4sP/4TplpQXImorTq4sTaBZUP/Dcm2jlIIwG9X77oBAjXfNPVMk1bufTc
Dm43NUaLzmlfuiJncjEFT3GWnEbl3tnMaHC52oAr/efqRsxMKgimCDV7weL4G7vqX1OQ/smv77E+
S9u1uFa4oH5pmzDqrHGxT2FaIEa5cU0zbmaFYtpYdfjJNTXZRNJGiX5oDievjaMHy7ePxkCEkQde
w0awegEuGiDU6K+alR+wDKyNIvl6C1ziiKa9olLxbOj5s4BjEK8lHTFBL4muh3DdJXTDoDL0qwb7
ob5JFZtCSxcj00V3OlNEM4/J6AByuVg2h5ix/9ok9izpw2XXZgvOUmoeRMkZyuilTMcHq/oY6xsA
aJi9DRF9bbhJxoUiv3tXQOuksadM8AW07dYIkRgxm1MuLXkzxA+frFqYayM1gquT6OdcS5GVPF6Z
3Xh6MHDVvKPBu+uCttH1EKp6bxCa4nSa6+4Md3K9sEQbHXFj9zOYTdWG/FWwsoG8wI3zCeVrvX+Q
Mpkgq8QNG2nf2kxwzneqKeSbqfOkD/KoOEob73DrlUF7mxK+DVRJ3ZZB42tpT2zqWqXvOrHvjbC/
7/UpYK4gKXrFalesbOj6uxzCEwf5iRxzLlYaq/ZHFMUfEaDsbY97d24YBAhBb5014PizYiRdnKSv
kQx3leU9Bp2D6MBXYze0TYiGHyiZe9Fx59MXlzXVHfSw5dAWVzqz8n9T5mH8CuWSNll/bmGawik3
cI1fEjRewMG5VKNYtmmaBwtOPgX6TaWwSJFKB+LPo+uKdjYc8Lhpb6Fvk1kuJeclaHrFQWKVGAwO
E52f77F+y+/khscHM9HTdWP7zdzxbuKLWSTPTdW2dy4+wc//keXqf103NWEsusH+9Zr2f5rmPftp
OfvxA7+tZp7zRRemwTmHuJLjereg2G+rmfS+EPXij/J0xST447/8vpoZ7heP75sKCvht+JNMloLf
VzPD+iIMMl3SEayDpsu6+Qsc7q9gcY74+bKUlqfrJM6oJzOA0vFav1yWRej2eqg1Jhn4CdyaPmgh
l6jwzZg+X9ID7A2n9AR5Gf4qBT4yn+O1oxGL+hzMh6FyqRKubd2tFxOe5lUu9Qn6Kc0GBWNJwvAE
ksCCSY/GO0MI6/sobq577t1oZ9kpxWoBAj1k7S7aOnmwjO28OVlRbpw9RiX3AY4gFFMtPwyGF22b
wMdoZVgP0iq54l3yAXopILDhjL7DvLpqoCfFFr1rtmPuXMoC3LJtF1PdT3P85tRL3XbZUy2LlctU
FBJRS4TExjFYVN6dH2jivtOagPBp+AY/JtqP8GMXMX5dXP2Ntyps84PTAStH13zD2iyxb0aw6xob
eu7gj1vMteo8eV6/SyI9/PAqpwMaJJpdLtS7O2iSR6der6ijAorl8Zoycr77nSvuVTV8wJWwsU6A
yrJi7d6pXIwK01fE5a0WmAsA6c9DZe6RfA8W+owa211miXUU6hj/XdqdLDDPK38wP9K0XDcWi0Li
jJs2HcGU9OY18JiAMuWdWBLxz2ZBQdBXxM9paA9L5bovAFcPMRxn8EqLvulrSEcDu42gkgvZah2F
oU2Nnid2WVaMuPitNfEnlLRUnZK6xF0zDU22tAjibfrS+jr2rHdARvTzRN35EZIsVmnWsLesMQid
FE4XfDNuVIIQS9ApaU1OCaKnBoBk7DptK3nMssDdk8MZP2tPkey1IrNCih2mPbbZ/kAL2VEXZfRp
1T2et7EE/gtwdJY1YLfsKIUqkLQ/CCYXUQErwt1Lb5Hg2DdpQNhRoHzOD/KUFK636J3pQsXWOaGq
SAt69zRRILS1uzTaR5UCy0fG1jgR/6l4do/fIAoPK6mlbxlkuju2GlBKUhD4ndEkF9dtSX5hr90P
umQa5WBOjssek4w53QiI414l7lHASLyooGnEwXX92MNRkItqkY9ahO/ISrJ2pTIELfome2LdrpcC
Xos73uwiLS3uO1rZOa4yv6ek1Zr8jKF7FIP60rTYuIBQhpETmxk4ui4yae+j3UDX5y2Qhpiz31AH
y8aVY4BnNIwcxk6F71Jo6VPvTPkFW5ZWoyJhlgc11g7NijK1aYVXqnloJDRDsCmMymes63WEdSSX
agI1Im8yo17Aqu9kzhkqRBcmLYe7bu9XYdqvJGZhQX9LXUs8NaAItomdagUsmWjyeF3sDysi1KkH
kkmLHU7dfg70y4fOvBxZQ7N50Ok2+WvTGY1ZYaPbL2H7RuHKzzTZfBRASzLcn5I8nChG5tF55dmg
1KFc5z13jKdihtJBLcdF7IuompGhDIsNjmEAUUanMVRBL6EQBSAA8VU0Aj4sN9FwKFrLll+DQhKd
O0ThIzMi/CpJnGcPDem8771fFRaePGKGt7y1SE6QEumqmlorl8tMkZ64D4EkjHsGHeE6ABullgaB
BDDpjpyo5g2QddcUCrhii49eEf6utTZaeVCcSdFnMBPBHQnO+XDb5pQnhBcvp7wAawIv2JbJApNX
xxstQ7clj0/hHrtd2nyLaefQWADHOQrvcuKe731etBbxv6G6a4uGkFgIendLHen0Lhk12mED6c9p
rlSXXkM1vEAkHBZNXo2v0u4r7CNhejZjwWMvCohB5rmimdotVl3XyNfAqBBMTGVNb0KfPnqnxa2v
t/mTTx166eULraHoB9SM2jv8vfXMURBVwdYPfZdBSewSc+1pPp8o1vCbw72nAjRlyskWFDiFFg5+
uw76UhmLwmW4D9EwT/s9T+2nTlkD8IOwUg9x5qbmxU8rSDOpSyEO0zEHnSSH8TgyJB8udorHfpNa
ZBM7nQziQwrg/gMXm7BntPw14ULWVnStCxxqb6hcqt5NWF0ZFnZR48wqdqgioo4Pre4rNQ2+nCE/
ADCRmFQI4ZTTSvgN7u2h6U5Kga63NCw7nTkMd9Jsz2PSWls/dOKzRAZEaUX80CbdZWCUDq8NXphz
qemg6zuCyNdmSgFT+bRVnqDjFF9zCBkbNsT91u8yVyNoIbN3x49um18G6i6D3uNAlTKqjYglgC3Z
PqcReSBymBTMMDxq/WROy4H8lOlUHSB9958+QklL8gBy1JWsFQqNqxETM0wnDJduocfpZyQdEjSx
FuqUnnTOhbok5znrtXgddZHhrjyICelBEPniqTCGSy336msRVGVA+U+ffzdcWXx2xIxe+sogywF/
z1s4dka2hHkFCjOHm+pImbF5B3NTA88NkOqKzb3KDrS8ywSjamE5OLq0Ll56eihfoGaZch433rCO
S78waDpKrA/qK7uzkxjyqhd5SvMigyzGjb77mNbCfptaVhA4aTwk3WwMXpxOw0AGRpVU7JhiOSRI
vZCG62x8Jr1LEdgCn7yhtp1lJHSJWMjzdtuDpMY0UycrCm1hA06wHkj+elPzOIRCu0fcZ5QHE5Th
iROkE45kjezYze+Q9zwlq3Sc1TppcYbiY7oMU1XsGjW0xmoyzcY+13GXvmRNwEUHD8e8pQM631zg
/iG55kGZwoBD6YBPuMLQamQ1nfWvCrCFnRlPauPRdpi0nzV9ZDI8FDHCnMaUV4I/dKF7luiCwaKn
Y4g+Ty0BVBlJpOd1ACgzOES55ozzDmDvWWCsDHZwGm390MfxhC3Mw+OG3l5cvGIoidPG2the/Aoe
2JNPuGwgkYWBMWaY6JEDzBNueQ9DGMkiAp6JK+S6V5V39YcMhg87F0YBPs99B2PsBhK6ufFsOSxA
OBob1rPsaE5IyMyjqAGkTGDmjcxNF1rcTIfGt6Sa5Yz+9xH5n2peYtDruSC6+tsgHcjFGF3ZPpj6
PWhPDEW1f9G54ed1E/lL5TD5a9Kye5GirfZZHAWPcVOpedIAAsZN7QRXyw5IJrO7yfmGC5yjtMeU
B2R3sDSmRWPVBh+N5GstlQ3bE9+nOhnEr46SRBXZidB8tHo1VOs04qxMdj7hsZwpx0lwOQMdhyVr
PlK4FfE1j6MbLL2xbR8GM+7LrRipbA6NKfhgmeNh6dc9cyrqlM1gk0a6vxScP95LkXn7kanJicqw
U+UKKrDxPHLOLykczSf7QDpLLqi83VeTzTTWUNfAiRIxo8Bh3xMbemfBiB8C14BT2pbdGrIyHYu9
qSUYLqllnnGUqT6CAF2nKGwfIq7eb9KOWndaGql8n1lRHYul3pjWqjLd22ADE3q9xngV+Hd0O+Mb
L3oGn/1AZDAhZDGv1Fh8K5vxm6o0BklKRBlgAd2woZ2ZKbk0Ji5Aqv5wOPsnMtpNJvt/MtqfTzw3
me0PCp6JhV8viCNurSKtFG1DTb3LUy2+/ucvA8PDcyxO+xz3f+FUdFOWF76v9Vt3qFEISfWBCB0r
aqn++nVuMtzPb+f2/QoLdxInQs5zP78d4WmGwoPXbqc2b9/j2woPKIcTQTBSyjwftCT6nnYMADCG
ZMa/VQl/FiVvnybgERP+niddTre/vs2oD+j7qk21teqoXGFGVA+GhIENKGLiIm3Ss6zwzSYk5l+T
sUC7ZzfR6d51Yndh/dhmiABX2G164bDvn4bT4BbF1jErZgW6HkBqA+jJqFPro/TYUPqewKObfGY1
ISWHtvdvhJo/vyFOwsi7AN6Re4Cd/Px5TkQs3LRoy+0UNQ1Gv4R+DCwaUa8vgWcAw+MxLs3tX3+J
f35REwKiJYRkZ+q4+i/XZE2g3uoYO/CiwXQwXZO9tGIgFuwid6ze//rFbkf6n68YXkzoHm+Qvwlp
9+d3CLEVHrvM1LYH4ru0a+NjSLRVpg/q37yrP99paPRsQ1C8EDlM+1fBOmtEWVRRvo3wVqujJUqf
hTMXdrv563ck/snnZ3sWp0i2iQZpml++tCCJrNie7HSrLCaoYcuWwm+HMKB8zTPhoBumQcMLMzOP
Ja9vjknfmtaJocGchSj8aH/s/kqBcw6zpw9y9cf+sP6xV/zrX/VPn4kQqNG6h7DDx2LfRhh/fPoE
tx50SsyibRKGurstZatOQzFwWPqPXwcSJqgsagVuQ49fPnvoWk3FVCLc5j6HgUWNlSpaBH6a7n68
zm3UFHwvfn+c/iYp/QPN9Mu//u1aZPzz8zzqhyj1j5/42/86UVAQymHMBFbpL5TBHWUSCS24H39U
B//wk78PvFD78J2j9t3sEBYVEf+QCM0vPNYtrF9/78j9u0BofzGkK/kBhmC/A6H+LhCKL57LJUbk
gnYKG4jJfyIQur/cWkydEPVMQ0rGbtJCNvvl0aRnehz42kjLmLBg31Oihc1ZeMIMl02L0QZfs+88
01StY4SvnYhC6CaR3TyAfi8WTWNY8ELKqnvodfbROPAVMXswx3dyaLFQ9aG6FP2Yz3LqBeexTbBv
VmJN3IRtke/5hTIyJ0W/6b3WoYnSlv1wcAodx2FQ5NHRbtvAm9GsEUY32DKtlhhrGoM6LrzgsIuB
LU3ZSNma7VKoSEOMDo6ncMPJRFsj4zhrMQvhdItjpDkvtwFGEty7kF8lQztqbrIQQ/5i58VAB5sv
2g/eHKXVeFxSFgKzvbqNQ2jM0BBOZn0m/HVvl24818ijkvHLM3NlWwhdq9qsOB4DYQNz22Auv4+U
oOGXXlOLoi23nPSdkfh4mfx+UPjGiSa6G+AHpr6xJigcS5+jKDXjTu8Mc+LU2luBKgKWMx2jQ+EX
xNrZiQH95QiAs7lwo/1gkCcgUzbCnMlMt4YFW9cNomLnyxeIUO1raiS9NXNaRaMZ7aWfoeVq0EKA
dBygsI53nMcxHCobvPCsbTyISpANko3QjP6kTVp3js06+2ZmIfhzIqcBTtGq116ayhq1hV85TbG2
qsY5aYYNkcewgjQHadVhF4HZTkjBTCEu60pXBM0mpyzm8DPEp1PqlC0ixqavk0vZ1KrV0HDA1kyc
MaMacQw/xy0Q6CYTu3pf8/YiKsuVKAkhGHVTncpRK09hV9cbUxXVJWSEBy03wlcUTzHUm5Q1a5nY
Wfmuc9i617uY1AusdGNeoPXstFoZS8cinoUTq1k0kezK2TTm41pZVYEKLHAUBMnwTEBzvNOD3AO4
njRPA+Vcz4zASoDQkwS3p0v5kvlqehAFRr4cIxSbsKGDduP1x1hQfJ7SkDa3yiq5a0VKIoK/a+2m
Q7PwCTAzxaMeEfVIXwQNv1I/1cYSdXC609oAFINf+zshmG4aWQjPAuov3Igwe6oB6s8LaT4yjcqQ
caiaa/BaVh3Gd26DG5GeU2ffJxevs81tFPJOe3zxC6DGzb7y6WL2VTQ+lgFAT6dth52J8xAv+9TN
K1QhmrTGGpp9ZvH5J4YfnIQtprOJ6LcYEXSOXOvmujRu0+KQ6pZP2VvqTAOoQaLYFg+4JacnDWV4
kyJAeqs+rmALmDBOn9IwN55RrssnrM/tZ0uM68kV9tbpZbuxEv7uWMfzhZSgnNNoZNUr3r3mDJ1E
vPeebxdzfCUYCaNWn+chx6N5nLUwE+iySPGAxma87M1xwnXtGO/9dLOtllpjPTI5DI5WB6KDrEj2
dQhi9yhr03mLGY7QJGL7aERO08G+h18xlpHYRlmRfriN7yFlVzrRSKVhj43dnL5PT4/LTyOqxNPt
QiDY5U6fTFr6ciF7PX0k7OOex2w4uTTZdVRrKkhyTGl63qdWEXnHz/BqmkGorVtryIEeY2i5Zxfe
7kaeERd/iILvGQhLTNP0DD4nXk6ZNdGGYmOieATIvr75mQBABUnjmZBMmsRwrq2XCxBzbYQhCFfp
pc6C/N2pLe7+jk6DWQFz5aRHTmfggaIHmlHAcLDhNwu8/xxNh5ICKjqOcBpH/gDtSie44XAN3EwA
qwAIoaLowkIl0+0KAldaO+SkRYvGRvgaY+8Ytmy6TFKiRcJNgmsZBr1URnMJMJ+uowIpFm9q2zzE
mDOXTFOrLcZkZ286KQCs1LIwBucJ9WyT/6bBIdTLbDjQ2olwUf5f9s6kuW3sXMN/JZU9UpgPsMiG
BCeJogZLtuwNSrItzPPBwfDr7wN2kmuxu+TKXd9dVzotguAZv+99n1ef0nu/dXE2VANlJNXNZrEK
rag/ZGMLC97QJtLOjIko9syTN3mTIdqHeRjfZg5ae9o6wFbTWQNHUi2As8HtomGP81B+wvGbP8Yq
cr6ZKSBUpWhLgGvQ77E5DSSL+O4xN1VxlWR9Ea0JbqkX/bB/WyC23atqdK4ok2stk0whc+TezLlb
dhKJuZdQMFkPRFjeMBXMJxd+/j0Ag+jalMq9mvyweBm7xn9BHdzvGspdaMctq/1hIL3fjlViPioD
rsZsl2IDks47Rm1bf4/CaHjx63RJsLQcCYJWQ5gCn29o9y70eAiGZPo2BCK9gf3BWLacNvY9gOqt
Ao8ywZXtHKgOY3VMBxLsK65BlCExNuM+c0DczNN0iGOIGJqw0Wi3ulfUBAkscEMPvvvJpwqOj9Fw
IK6iqxpeNPiFaCgLM3yI6Vy9Wcop+lsDOxLXOc+mojYUorwJOchvS7xT920xIdv32669L8ntxW1W
kV1rFKmwqcyw1ZWqBwnlKjc7dd0YbUVcVFex0+W0z6zU/CGKgXq5ZlKjW4d4sonRmQZ/a5pKf3Jh
unxmzyamlmsrBgxEsepb6WjOdZ579Y6Lrv/kxy1mTUEQL03QFPFeZgKfyJNw1g+J6spHq2ysjqTn
Lr2eG01fvHiT9aWqdXcMgA8cKBK7RA0TKX+luqG5lhXyQDpC5pUNf3YbdsSr4vSjHVXNw91cdrwQ
1BFouoWUXxy/qd6gjsxf9KEFuifxDHezlwfp7JUPftjYR9FaJgBat3O/SJMk8pUcLI5DCMapz6Rt
jT0pjpNTjmQVkJXh3nBga+xdiKGgWTUETCEM7r2vXIzI903cZ92mcQhiZAxQYjOcI3sO8P2dy6/Z
IXYLVCH4JukNlKITT+iD+nJT536yix2EFiXGkM8mSydXdrOtr/3Y8DcxLkSwCLM57s0xj69cyp+H
aYLLZ8rG3VEi2ZK7ETfYs1JIOVhWMFGQj7pKMttd50B9vnoTFHSEuZZH8LTunQAix2bQGLr6GQKs
2/QjRXYORhu9TmgBWt1LmdTefoD4vupl5lwb0nu0qZ3v4Jd8MoSqvwDOa6kjtkR6COWxYqWkJdHO
pELF7I9yAOFK/wLZYVwlIOD2yaCpYkP/PHkwZ1+NV73m+GBG+lpGG2DK9rPfyem1Fh6+iYlVXa6G
3GdVT4uw6/dzB/h/HSGtAWKTiw72T0RZGK9Lx7Jdo1Fp3IGX6GMTh8/ViF2YmqAk4z7D9FEyUwkE
DoNq0jSaSsljrkfiLkrs8BHbLMkLlUWgRW9D8iIfbaQ2olfaz9op9EcJ6WafYmsO0ipqt5Ee2+s8
UdYjwCbi2uhOAR2CQeTcdIWuHwt9sDfwJ0mD8Al3E2VcHApDL4HXjNFd58k60FzjJIrEOFHEDFdN
qw/3NL6SY4bVcJuhSI0XRysAOnI7Yqg3zSACMnowwBV+ejLGsT1GoAcJ4oR6jyiYNKCbduawSCHc
cT87ylliKyXMqMAEc+leNxwQP/egLbzAGu3oc8Naxw42OQ+1GEwIaT2nxK3RYHIkO8Pz6f1S4nlK
W7wFwzTFd5GQmsusmCaLRWycr7xWNc+da7hPXu5ORzfHio7RQLmfF9fCPYsdVLqi0eOvTGB9S6ZG
yRFaQ1TNnCk/iXmMbmANtqyosiJ1Yq69K5Mv/ua7CjMzSSyiCTLOm4dyKCLEVjPxmLAUZAehtJDm
1uqsLt4X+CZLVs0JH02PiAepfG5iM531gl9JUu9f230nIBog0jPX7WxrL9g9uk9ks82USzmzBzWu
eTiSef+1Ei4V/UZN5U3viXVjeyBiu1TjiDPZailFu/lXhOzc0NCypsUtOQQ6TbemyZ3AQXBvr2i6
oeky1EiNGlEBqpCxNnBmVQzlPZY2/wvsSC46SoQ+tAzBUF0XPW7bKy23NWrZ5URynTsbX7qOQseO
0rp37U8DNMzUjJKnirBccCjw5UBmpZX91rV2VO1q/BgTVBUpQCMIL5JBHjE4bqW1xBTneUXHziOZ
mU2PUFP2qgmHH4cITL/duJbxzFmD1f9axmrf9kV5PXqW/YVlyXlwK7YD6Ab+dakmudjruozT1Pxl
mCOaZn6cjKD66IusW5CA84olaXb/qND+f4nkcap//vPvLz+KpAySjvS67/JdoQMfgKDC+FGFJHj5
ARibCsnfTi/RS/u3/Yv6mSd//Vf+qJYI6x+0Gwlaod2ADpfqxL+rJcL8B3IqGzQ0dXBv0fz+Rx5s
6hRSKIV5juUYaAUpif67XKL/Q7dMV+daDGgBH9p/p6d6V1oVtuPrFPtdSqs8CWXki2J8mkoTvwgs
6AGuSYqa0rVjzCJmkI327pf39K+629/KvrirklJ2//y7gQbtlzLu8t1ROlMx5gMN6nvuxWdFeMCq
2ulC7Cb03YUCMAXrJxPbsoKZ5IPI1J21HL4Q0KWJGQjLQgOwnvPIRLgwgm8C1lea+9881fvi8r+e
iv2OFYnHc92L+maIFcZ3iybc1BhvZdYcwCbI9UBj2IhaYibITdJo6bfu1ssgt0RgA0IuqSEKSEdi
/a7vP34g8/zO/7fcfX4iMu+p5YJPt31Hv3giLDg14Jwo3HRzH4PxsA/R4rKzfSO8HSnCrmpHy2+J
Besx0LrzVVKVmEVmp0fioqAaxuU3jZb5fSiN/NoibPfatpNDLUraXphHrHL4JsbvRMMFSkrM6eWN
S95jNsCIYDMvMcFBVvBdbWMRImXGUKM8xBsVxmd2x9J0bnSyzzmrb2u7DNLcvvGzftvHYH61h8Gs
HhD2BCZ5TUBGgI4hXSbheej9FTTlq8gNdz3q0M4199A52I2fF2ecFrOJqFeNfBDW65U9WFc1C6lp
7zP/s+rVF9UDGYWaDSJ4FAdbfkb1c/AmxGqq2lmtDIqOo56M7mci1kV6yj2HXYlsPWfaFMRq082D
jRiu/DA/Ts7wqQBExPV0O7JlAN0t1j2ouQbi+VYbihWy/MBEEkFEGRqu9kbBQeqst1EMgWfzmfmw
qSu1tRoyhpwvrudfpTSQCcmEL0QaS94js4DuCj4idap92w1rlAG8Hj7Gt4O6GR6q1rnn91ylmrXv
JaDQGeKDoE1qpm1gNK+xuDXLBhuxxJ5OFgnHMzoDV7XNzFQeyHMop8mnbKj2WnuaahQkfvyi0nBj
26/NWH3rkPu19C48Yrsi/7YL9bU/3SVtufcMLN2e2CYFxGeOeifdd+pPiQy/RaLQbgiFtgPRZ7co
ewaOjmOFrJuhZcrQvwupbH6PLELCV3XNSysUPa0VsIaf3VTG97R8qxffwuhDk3KZNKG7SmA4HMRg
fxJwKJ646yuSuqP+K9aDiga3H+2GYZE0gEKNPhd1ViI/BMxuhOXcrMzMIJUydPrik5exBQNsEDQ8
qPyRvDdOJNXVcOgd6Oz7ktsZ3BBYWEscRXK0euvWaTv3vp2VeJAUXrbnefr/m+RvNknBEk7z9pdF
LXiRL3/7WcpETovt559/Jz3ipXgp/9glk+/VK/vkocvZNLtfN8r//KV/CY8tugoMYpcSMTJhfekA
/SE89jHY6BTy6dnSmqZZ9r/7pGH9g/+F5gGaZFvotNP+s1FisMHmibeGchtBAvzd/6avcLl7oWgy
8KWx3fJk5C3z1971wTpS17jIEAQUD4W1ou7/WtbUQy2q96s4BCSL7PhNuiR5zX72CtEN3HalGetG
6auJCIBV75VUSceBhKUh+awqFq9fXvJfbbDLBvrLxrE8omexkzuo9ZcYjYtHtFSI0zGLMLAVlC60
2V58og3pYLF/VE3zYlvjye36ACgyYHmXK+v/6QHQEFCot8itWk4AvygVmK41lVMuqiG6Z0rKVI5r
I7dWFqoV4FOU8sIQUL0vr+Djs10ZPMfHj3Cxm59fgeuhLLAxAeneIl7/9Qk6OzHbnEA1IMuQBYBd
Pfaxc0qa37kjzm6cy3ftei4fY9PUIs/v/QeBd+L6PFXNrqxUtZeR9LcEBTxXkHK2/gTmAXgbtV23
4wY3DD7EEr08aqN5T45NecR+zfYKuvOlS51h046m/mBlrMzLvNgtmb9ErSJZblHVbrTaHmHc2Fgw
3ZpdsFdkEHEd34a9eUfSJVa/kBc5Ne7XLuwOett5AUjV8CoqNY96Ug2U3iEacgqf6OYwWov5EcGp
s7XHYTyNXfZmWHO26VT+Wmog1PM2PM2e/xNh6gOF4C8f/0LL6eX9i2NK6J6uG/BkbMwl71+cmAk7
JmCX05MVehvukl/x17KttuC9SAVc2zEFIdGQMPzx55rL6H//wTYnKrJYkEqcl5H3H1zUvqixd6Y7
ktBx7EpAWsKb5d40KfNHVkfg+9IvqFrTuS4mJnTZpRz+vJIfNB/NTR5H297ryAYXzCnLAGbnh4Ks
wWaYdnmK28zzTZvqFrEom988+6JwuHh216B7iieHM6pYmri/DmudY4OaRJzvfMMsg0ZznOtoaYJY
yn+A1VBtMiHznQxlcUJxeFCWcRgyOGA5FciwcA9/LED2SCvo6Ap3XHldT1tF40sj17DYfS0yq6z5
+8fP/eff2nZRKrjYIrGAkFL9/rElJQa9JaVwNyBfxxfPouDpPh7W5UW3bu0TFCE5Ztm5+RtRzKIW
uHxheCpRLbiOoZNR9P6TwShwQCQKcBcqGO8KHfTKT2QXfPz9/upTkDL5NJv5ciw47z+lzGsoTk2e
7+JJlDvRNtlVG8avH3+IZ/95XbddLmcmx04uBJ558etXBS3iGF3lDgjVWyhCEg7dzsfEWVLNpZzN
d6O3EODAA2tpzNlV4eRvBrXQ+3rGWVL2pAuPgHoNW/lriNwa6WqRvs87BnmWDhRqdFJREFk+aq42
bbkxnkxOV4dk6D0ugj1xekuvjzQcuSGW2MTu7uz0kfXNMeA/JQ1pRRUcFvKnHeOoCx4t7Ukq9EP+
e7vxPCBP2ACJLPZWzTgSbhzRDUQoSQ8Qzf4q9mubMjf9SLl4E2u8ibh1Xos5eXVS654Mx/AqxOm+
lMnfWhOnDsB9CDl+udeo+q17bt3bvEre2ghJM/Jwa4WeD2ur8hlwBuO7jDr87HX+Svg2PsEsempm
1M4q9+mSIAnQZMZzW/dl4mv7IVaYbEz5bJTM9mFZvSfKMF/IK6UdqkFkG0eSj7hOeKgVU/sFbzrL
sknvPR+S1y4aqfs1QIMiNyd823S+lfCw1xGaogdV0fkh2oyNeOaGJfL0zSCJaqUiGqdFwfNGUj60
JhkaGbvnYOXHaBjUWnks3ENfd3SBS0BJ4yyJPtWehU6/1w5pbvqxBTYaNCNEwy7eMsVgHzrJq2Xz
cziL7R2P4ZIILuGB2MXRyetPqeE/Nh2uo6bnCpWFC9AbziMbi6LoavHTkEjw4CbYRIq6v+WAsSN5
/bXVuxYuGZw+TeTdxgdyBWKExbJtUug/ubulRPeGjNpcufRw4Xldz0X2lgt6xWM3dWAe+aLdUKBa
t4hOYQR6gC8D/L0nghfMtdGwB5ACD+e4xxEK1hYr7LJlUqiuaUbzUZPK3rRIY8TyyyJAfXOMin+l
Q9pVGTbXEiA1tOuiw5kavdGJYRDErNYw+z0wvNDqSNhYxRk7dT4Xr2QH5KQSG/oaWbX3qTPz7ZzG
ry50vn0MfufaDcWjLoEfthxPjyBdOVstPwwng1PnthKEPmvaeexOA8NGx3a1QnQhiZJJXj3IdtRz
rXuL1J0dBNJXjx4+TYbk1ZBMjfPAbWeeOyzHrRhtwjcLdzehBa99DjJxA473PAUKRhj6ynuqWzCA
FIdPG5EzIA5+rD5ZThsaf68qaosKJCMIaGi56nSmS91XGEawmxzRgBMvNoTJuvYYtBUw5vOD87ic
YnpYODQNpx1FI4y1Tt99wbVDq1/C+IcjylQTcX1T+X6zSRS/HfDabDM3ULPJYwwc3G806+g1pBB2
q6FCe5+F6XaUKHILFjCtWxYsQTzZzPdg6AKFXX5gqj/3NFWfq5p5BXDzjWBhfxU26et5uQDm8iZH
ztGeYiUoU9SpaUcNnmxrbLHuBFLTkFAgBl4ilwHOQzPnKU7JYqUcY+8BVjzmyJ8D+opewEKVbdy5
fnYAF553JyouWKYi3oBj2OGV6aZvAN3DOwjj24JDEuFls71pu7LeOqMZsJ7+KJcO4VlEUHLoWnVd
8nQWQNgaf1ex1mZuxQsZnV0r8lcoZ+flbCp5EXHuns6LUu+wvACQeE5xCgB3cE8Qzuc9Je577jvl
LiEoCBBp+oqMgsx7C6ZGrvhxz7eJs8DBJX1ts2w7biVO5284TNnbMiXo1N4vW4FwzXtZs8Ccf4Pa
9E9JoWGdLBf893D0otQhHGkZNqVHZcsEk14Z7bOe2sbRadO3rEYo04IfwRTDYDyvdJ7NYuLE3mM1
UbWw3VnbsJoMt503SfInmb8pM3MzaDP/lYejMs+68Eouv86oMfJwEx9n4GaBkzIPSaoar84rMeVt
DmJIVgNih9gz8C4E0+zhcK6bGRcCmOl29sZtN/JvUTWNjHrisenRzUChi+RU+XDGPadm++lYERjD
/PllX7EohNC74vCcuc690YabKc6mnYUUaZVNTN5lhI2AFwmt55jOSrNVMz/VUDHoALfV67xmWBWK
1cdT/DSWz4Fi+XW7tH1OUE6tRMyqzy2o3DURf7CBEb89r7/5sjpiKCt3BNta2C2qat+k4D+WPQ43
PNy1mFHt9EwgAf7IdXlqs2G5WYBvwfk43CeA7XroWDf0gacnaL5QAkg8I1ubw5U+Zq/nsVLK4jX1
4jcIdI+hnk5sGERoKcWrXnYbjGlsjJIpELYyuxkFin5Xc+HOKLpYtqS17iBGWUGZbLYC5RO/bZuc
hoS36hjL+dwR27Rp4n1eV2x4k2xOrJLNdWLHaKoHZDcdEe2r0Yoh4RqzD2Rv8DZVhTg+baSNG3KY
BmiKjr5v6zmi0kVRkuO0nWyVQRqqRNKz80XMUWNM3qqmekZBIVEOELyh+dn8icgYMswJCAqiGtNU
2USwlD1S0EPDoCFsJIuAruREbJGBgTE4sCwAslFO+g4hiSijo+VoUKvq0DqxuDOo/K0H+H9rewg1
RkJTUVhkW8hizsnN3J4sI7a3wh6JIPSj115bkPSCzHSF/A2f6txtM9z/1zOt3lVdstgv17xK4G6L
cVuRwwETwAEbsPe1ojklDpqdsaR1PFS53BA/rK87eJyrMY9szij450k2YOdFShEos/2ZzhzYpHLg
69Ix3OtkMW9MYR+k3zzT5hIrvwderSzUhpA+0Td5VrerYbGuSSoI+XgQl+WSmQMTgb89l/gcDKMn
rMkhNhGfWB4NPzPZ0t5rvBDsLI1fLlDf6VVu0mj63mMUIRIqZtHSgExVxIqAmaG2yWgAR52R0oB4
m06mXZkIF0ysWmYCODQl4MTqUKErKoocnu80GNYo1TgmYh5DbZlsvIjfNIpvtKG9TirWX1sNT6gM
r1o391YEs9cs5fSFXQYfndNsg93J3GS99uJIzgtpY1gHOdv3UZaihGn1Y6tZGfh/lkw97bugTQjn
AZpGmvhYMGuXmw+033SlzyxLSZ+8GWPlg9JcxGEhK01VxtMTPsBm+YXn9ZCzA9mlG74NqYYn2fDy
z2XT2zj39OczdEMzuucypMRRZE37PZp9apBa2dM3EHKXVRyCcSzO4MI4Menc4RBKaqjbzus4Dcij
pbPPRSwOuuHIjaYqf9fXyNnON3rH53AnLKapR8M7IBT+3hqxceZlghWoYNxWyxDlwryzh+EVIjL+
7lLdxzgiNzQ8wS2V5B3MbAXLcypPJ9+LxYlGMtdCdusV5tLX3ohfM6d61vGWw3zS77sZdL3UcWwO
cTci2EPjlOhosmsR3eFbxHlnfOMC2Wx15bTXnW62T72WfSXB/RRJsWvMyQd1yaJmDmkGvJOn8ThV
0YuWnK6X5XSGo3qT9ex45P9CU3O8RyvJXmt4fBwwxrsZDwqnQOBvLecazfCPMGZd7o10IqQ50KAe
i0++ibLJBIUqzZzvmrTuCSd9fKe3Rv010Xn3Jcdk2FrikNuMMCLvNCRDi5cexepNkRPSjoDU+1xZ
ZXsdacnwWKCKWcmW4UblW5HPM62HLIvXk8e6Fnacc7ImHk+aZhGK4PrLIr2QVJTCqeR0cubLcsY0
Z1XvygQvBsDefR4Zu1Dvu4Php28lPfeI3b7FS7oBWXyKYCKSzM6ODsaV8ACOO80yViOGySm0F+gq
ZwIu10iELeJvNB4Ytz17ZjlVOWJJbi3zSIFIuE4WIDp4rgq2HlyRw22E5HiFSowfu5TlTpIQdTVR
mUTtl4+3mSuzh6ZX5GHqeFQjHeKyQJaZc6PHtceYbGVVHpFecIyyAc9Enm8c4fmz6puM4TG2Zszk
Iv7RJoiNqVoQdkgM99pfKHm9xmjycUO/5EPHX2mLNx1dzWsRqvKYs+udRz/3TYz8aXLFZfWNIgTf
KncfvDHZub55T54RV72QnSuttZ9Locqx52aPgFrdOICuAHEte2DE+OzxUaMd4OaVNlF93/rI1mzp
1+vYQOpr6vFpSljGKEZm9INM7MeOvNIIsmbFraEmzPPGbvh43PWcV21+jkQzb4koJ7MCSumKTpAR
gCPwt4x2tjiCzfAZ2vfnvfcsuo3Rtnx88T/bTS6LGNQYTd3AtaljqX5fXlApTdKIIKydVnLpzCDl
rRwpn5uaomCqF/MWZi7i30VaK+ccl6+JA3/I6s9O8wW736PuJQZzmIvucszoha5t6M0+Ziq6081x
BuEntL2Ztz0CEBQz9aDu3ELrAtOTHIBl9HQuZJ7vSMIwfySyiMELSrp60r03spngV00aRxNH+pVb
j8Vx1AwOdIrx5wruQNJiDWlFZnK/djh7aURQni9hvWF5D733IwUufV2iFlzb0XIKjEn+dbnzBk7k
hYfMMMb/vkS++ANoFAhKgfTiLypSaZ7ERcRM2YUIWlaeGMKrrqci4ZocuorM+ZwspVS+H/t/z3QD
Oer/pkT9F0Uxz6eZ4UIvoZdyWcsDYNUQtJb1u1SgS+vMOd53KH+2sYs6MIP5DQJf6Ws4DtZvylUX
7BRBdRz7m+Xj8sPbhAXvopDEzAaLlPn9zmtGBXBCFyCXNeMhGXAt2HNdf+vJzduQJoKEhgC+ShXq
kw9IeLJG4/nj0b1U4P40uAF2CQTIKBD0izpwb/Z6HSN83dnLIrAUDOxFsy26UW5ax74nyvB3/Ynl
6118JPVRAFu0J3SDg/f7+WSVkLxailKEhlneJm8mb9NgxN4YefU4drRLyTAZgpJMnD3g62L/8Rc+
k9Z+/Xg8lShAAOAsTQP4NUs18ZfuSNwqbnZtAlE5jp0jzF77GNsEBo82ivI2gxE8ZOBLkjLKAnxq
DlhteB+GoZUnu7LFl8Eu/LtU9XvX6m871xs3jStdmuWKvFgOaQEjubtGDVru/GEicEyWiE4tct4w
3HOTnGW57RL+eKJad6kT3CccPQ5pD5uqSruGjASzCAiNqveFj2V5jad9COzISYGrx9Axw2HL6t+Q
WYwmk/AR64q6mcbpNbsl8JDQZErvO2Fa3AdhFx/dRkuDMM2iW0QD+MOVhlC89DAIYL8IYlN7NZbO
hjE0oAWUZ25JHUgDESfDDW4LTAeOYy7td44wCTWBJZICRo5jOtTcMx/eb9GUwIzt5KpPWzVQ1YIZ
MuAW31mi8fY+zoujVocRe+mnWtq3UZyYAWKE7hqe5sxUm41vPRafnRSZ85v6s3XZiBKIcwyq3ih1
HFdnUr//sWHQtL6W+96WapUH8pkjqZVToSOZkioCJ1Ic4vpt3TTlLqwHm0TvyYbXvPyAVWbDcZCo
1tOe3DgBSTpIcuCrZmptobSRNeYPyAMZQJgrvDTwMGkShd6WWw5s9rpe3rZnzdrjVA320V/+fFrJ
Wxmbj46gsjeMLlU7p7c2fVuUezPtvN9M7svCOC0WY+mxwI+CPUif5/23D2WNuqUh4jJu510b45nh
1vvxdLpcP84fIejmLBIm408qGY5hjtDcyKM4kwKAVmx1ChBHkNUzhTdpNbwbRJQff+jlCsKHWibY
KcFpxrGss/fslykcaZ6bunEryDIQ2AMiGLcYoRquOJisPIvrk4Y9+1C1OmxUmXW/WUKMy04AEEef
njZGBXYxOIcXK9jUFCB/F6J+79YaNRCyKWvTmoMUk8kaHKB/qH2SxmlOPeplle2Ib1VPH7+Cc7fh
3TK2PAPHEdN2PBqsSzP+12WMaYM3syVGHnKPFqip6faFbRFkBuoRCLxKSAKFRvwy4nk48SLtEwJf
Elul6X3SMjEHsRIk5Qzo5vti9p71zuRVNp0TwIjfFlncPiCC7Q5OK/g6MhbHprHdo6iHBq02FSAE
J0aCMlreWcRLrWJgp4ePv6Nj8h3efUebDrKLXQM3I4K9y8bVlEh3Qd27255ZdRysdtzqdWSsfVWp
q/OX8PsY6wm62WMX8y+45JFhjuKIdE7qdHOCEN1qiXez4jDakz3qBYRxacxrvTuMs/lWU/faw+mi
XI9iPkioDWdmYW3qNlFXAI66fd64uMyc2du5o1BUEAiWddKUypkLwBLLPNXUaqlnlHihCRgJ2tBZ
RXVMZBbx1qeR/3Jbu4pyVhw9TBqQHJf47rtprj/PbWqxCPVXzkD++gyEYRU1sbohOEQ+a9ViD/0P
Xe7uj/f2q/LvbLm8fJ0ceOhfofyzLftiyNS+HyYzNeFttGCO0x5niUgV2YsIsQo7BLNpG9tZomFO
3Clcm5KvmToo4jMvJzgnIZaN4FF4uD7TLCVY47rJIv2lmVIiP2Z/vuavuEel4JSMkC/3oyx6pHox
eaW6+j6ntX8NF5rIcMx5HF47eA9mg0C6Nds16VufIY71WwJqHmGctEE2EyLw8RtY+HsXA8rAtsaM
tTCl2khc3k+aFO2M25i5szUUm7eHHuSbOQ5cOHjwkB0UjmNfeaSXDaO2tbRCo+jZxNcAZiAGw60K
0pjI5oIssie485TSEqZdNuPiW3kEmG3NoWZgupEWtDQiAr1ljEyySskP9VJYLR7pB22/GyeSsQ3T
/jQo69nGsLiafPEpjJMfAz7yVc1d4LqQmthHFMhuYGB6d1L4JpgXAkl8lVNuL+M6KLB87nBdEd7J
9Wq7eDVpRfORo59bv+l9v3fKs74zFTkl2uBwWXfYUt6/uWlMYu6DjB2VO28oO7y7Za60PXkCg0HK
x8c/lPjTzgUkF5M7pwgHooK4bBwXvSDvpMeq1FO6hrjV+c8U8WPyQghj1edi3Fp6mJ5iV8bXptey
4CHN55rASx9VQ5XZQ4rOze2L8sPjELk34ex0W4OK6og7Kkor4mOY1yqlvcj/d0305RxoPuOyBeAd
mAOzWRfireqa+d6saJwYhBv+NKqq2/cWc6AexvKYdrq7ySIr2sbID54GlbcPFFfgj5ixuq8TDHO2
SU0ss41mY7lzs0Gfrm4onPsHbr/3Ei3S3idqlJuh398UbikIHa7UzUDkx7ars2zbLY/D7ZQojrZQ
Tw6sr6BTbDNarLxi7ZgixWUlmYVSS0+mXiHHb0v9mxUKZOnKoHQQA5jf+m2RrjsVaduGF4kn01gS
T02CNhQTYv7NRPuL0cIgAQix9P6XXfL9aMG/lGdFRAcSutGyhvD+2pq8nbnCxiwcJsTH4+XPn8cN
ju4/RyyEQM6l4snNSrqwM/rlvCg4gNTMBloUPoEDibePZzyEH3+e8eeDJUBph+9mQAjm4uRfzAfc
0WljRpG9pWZsbZKJLtyiuT4mhSN3wNXi69G3k03Uudu66lvUpywXbgYzvyqY/GIoUyrdIiRei3/y
ezYqXfFT65W9xBJBQ8fdYNDtqtqHgjx6olOWzd0JSfWck/wO8fYLHhUclqUT0t1m0LlG/kKvqNng
r2J5x0wURAjpHiuPzW4mSS1XuMdoTr41lV8F8+CQZpq/IC2GSq2T8Th54XxtuCyCRj8WFJBa6GGM
dUNj5T9vrXXGUav1ophEVTKSfZy89wYN1SXFkoACn10yZgiS75Dr14O05a5yl920yGi815xLAG6w
1RJLuNKXuTqZrB9t0U+v5cz6linG+dwwxBfH+R4FAntPxrLbZXXzOUnAjfDerE1OXOq6hhtH1D17
va/FWjBPzfivf5sz3knx0Lat0OjMQoLvA1JmmzX2XEwty66bxmZ3IFFHMFlYLhIQlYdRjjMvcSSN
TOrejdFQLOnxVB98GXn7TjBDARvyO0WcIMrQl0FX0Winvy53bdS1p8SgYlvKsGJf4GtqjpHCBSUz
qFZGt+mnyt2hB/MPBP7w7nLH2+Wz++RO4ntBb3Sd5bZ5YHaqI/ola8MKtgQ2THCrmpwjS7J4kZbp
7ru8Prp6fILGLlD7nHTigvcf+5YE68nP8fFov1yMl3oFjHT4sR4FE/75/WwuqENg5NbkrvEYxGQu
deuSHtxv5vDl3nz+FNt0XIdJ7PxJ2UkBmgsT5ffdbCT2up9JMGnT8Zs2dSfcU18nmSe/+UTjr74Y
9g6uhfDfkUpefLGmbCMq+YXcRUnaXYcSjVki7fZAFQ31w+A9xlScMcUhODHd6LUY82mnRqMGzNb0
aN6TH3P++eN3fbmSLW+BcwlAJK5s6Kac9++61vI28fWaslSWfsOnMf38o1+UpbRF8rH5De7lzOn9
9UzIJ1APEDZ3EY87jbjQTvUmt7ewzLqdl4hTCx8kKDWn3FQhDmudRtPKUO6LnadPtV4ccl08tQkx
loriQG9mP6Q3MGEdyAIfv4VFyPzuoLY8Fs5ph+oQ1TD4PO9fg+WNJFiIqNtRAkHakNNvchuqcz33
KSImzENfNZRtiu6LJUE4dBU/kYZLeJ2QN2W0I1oOWh8EDJomqPhyoi5vnQZ4ZCsOtd/dbu9InTBz
m6q9FAdsdfcmbYE+iutVEfUpnPdoQwZfuhbwxNeyRI65CHUzV49Wps7qYxNKsu6spR3NHY20Pcwf
ekhmOIhHqtYoXc+14HTW29/cii4J9ZQPF/E1+A8Lw5DnXkqgfXx2kl5qvTuXMyanidZCRmqVDwVS
EgGBbooJAOT0ba+kUvr5a6JGWpPqWtFDEaibQorDBAplV7Xew3LSEVaqpdUEoJMIpiICFZEVBCR5
iIei4rclwCWl4eL3XSgz5kJ3ctFx68vv/8sNnvY/pdGW/gwFBPYq32MBNwA8l6J97k2yijENH+EU
tRsjxcUKeX7bDngEPx5my2R6P/gpW+BfNk3E7joFhfdPURD5WisRNbt6aq/MgRdjMhISDJ2/+aBz
UfHikwSycB/HpS64f12sNAgHQ45ZWb0LS4Q0Ka0CA5D0thGyfMvnDlGAQMgBEYBGIiR58s1bHqYn
BzwsoEsN9f+wdybLkRtptn6V+wKQYR42dxHzzCk5bmBkMonBMQMOB/D090NIdUtKqSWrTVsvetFl
XaaiGIwIuP/DOd+JP0y23olCoklpzHyFrSnvr1iX85q1YN+NJOzUWMjZLYC9Oy1k3ff379ZffWho
XtEMO4xdnD+JraGZ+qYxxdU2bglRN0kw5/YcqmXesqgZcoamlpKf84pxFCg2ZB1/jbn/DyfWnw9I
ulc45vQFFqOPn7/9mSlbrzKMaqvDn7CCsV7yNvDLssZcqvGffpv586iHh81jghhQXVoGJtKfKlmr
xANOS4m1nx3ERlTlHMvq7qfWjJYBcE80T+ygpg5doOnb0U0+lS/lUIqzm7MPs/Xoo/KN8Qwsdtr1
tGr0AoJlds7okdzs/pxa6ubvP6Y/36O8YqIrroZCmtyfXnHjDB72Vh4tEKxg1NuqW2mCpb3UWTmi
/iKnQs/+Yc76Fzsylgd8I4DC6xzbPz9JGaWDKmtSEGnw+QqXls3uejBPmHWHXYx1eU0iMEZ4IYlS
it0jrcPdVWZDS6mtmaDoq6Rg6x6irVx1oifT3rFIFSwjYwNPaV1ZbGVjl001WIoXc2JFcZURFAa7
Rsgt/qbz5tMM7/QumxWLtimTO8EScpmXVgwLybO3kcC4lkDMzGpzguuBDrai3MXHC4Qi9ub9F8zW
LWgAYrdZfF4zOq5yQMAeILqz4Pu8PIZVxa8bdER94ZulDcOyqlq1mSa+hn//Uf7lsQFsh9bbhRmG
zeGPBxQRlkncABTaws6Pb0WO8tdg47dhxdEt0GKV3IHshZPA/EBpxsDf4YMuFOB1Jc1sXbiNOngz
c+d61ucm2bjJmFTIjNqKQV9nvl7VwHZlgMxA4HzIUYhfYkhEq7//S+Yv3R/PP0BgVBcYgEzdZGj7
xz+kiWxUy43XbguPyxhgc7HKvfmRsOP+GDUB3YY/5a+2D0vc8nrxD3em/edKD+ia51h0h9hzjJ8b
xMAfGNYPRbnVM4SnpdkMt4ZAIucTnIVKOLCfCrAHy8SKxV7SVOBS5IYcNKRfzBBZtYqiXkndg7k1
8TXl7kKE6aGZdEf7TTfkAUblCwBlSBSzZA81gKEhjYGMuo7DuHlxqllA56BLS1kRbfV8lsUMswJq
qpK7plb2k46dvtKDU9ODgnDcydmMs00kj4Iv/g+dYKbpP+w2zbaFjydFeCh0//5D+ovKwmdtA0yS
EQ+3Mgi4P9zKEN5pRlVcbmt0fVdNXW7z/1gGIsqKXOr11GGfj8S0H3ShL+AiIpVIntDbgZudlYuT
LvEaNYG15La+y+bzrXa/2emEfbCrXgtE8OTKI9/z9Hzc/v2r//O5B3aTioLnXmdU/PNaUXZaBWcX
LIDm21sjpPGbjwoxski+CjiyMP+HU+9PxbPHd4r6lD0m2xUu9vkl/a6KiY02HBvB8hQ1WLUYK/It
klnsfpUvttePV6Kj7DlfMD/gs5CzcrbviDi0ykGum7oh9Q//xwJ3wz8dHj9flNcX51DX8rxdl0B/
fHHuCJxOE4WgI6yRtTS8BvDxCOf4nOB6/JPl6y9+3fyIY+6xwJlgy/3jr2tE5bRodwUgu/lb6+Un
MHicSC3fHXrH35bI/22+z/kXfS+p6xLoKf8zQtDw61EW/v+J/p/8nIsELOTvnZu//sBvMEj/F1yR
DokpfNqGzXT7X7ZN/wqDZJw4D76tGWPwb7yB9wueTLgDBntwnp2A++VffAP7F34CzzSFsXP1gf4n
tk3f/amhg+FFIthsWaU4IDvmuur53aNSM9lpiyAH7xYa9rd0JgTJMS4OA8bNVU9yAlOO/DUWOU8P
VMnXhBQW5iBwh+AIShbdxcwhiktbPKczmwhFnXvmofFC9jgd+sD2CjJCfeY+m9NM8FFomE6hiGdd
8cxAEsHobqOZi4QspPyaSq97jhHlAaC2oMy6njbc6jNViUAkbQmwT2zUzFwaOJDv5cxhsmci02hQ
fy6CottH/ehBPTE161lzJ9M+VjPRKc0CJC2JbxffSEsB+cTISztC2wEE5dhpTzI17KklCJvwcSjT
eps70KPcmSNVX5FSqeaDl6q9MXkKB19/DK/4KWlF/Ls5NSg7spQTAyi8+RnMZNaFOxOsmpll5cxU
qwnzur1IZ9aVfsVeNTMBi3UlMKzYtZo7ABDUoGAfx7tg5maRA1CciytMC/UhYC3zCtmKZt6WAXn8
PrxCuCBYqXc2yjOaSyOzGSXRWF/iK7yrvoK8QlxQLrgi+F7tTPpyZ+aXvOK/ipkExlFpbSrplSfW
s84+NQwSt3NWAZucrO2dKR10zwM8yStkzI1ZqaBEs5sdBxlGVTTl0l8Onc6nG8sAhNXkk53dkh5K
0jkgs7HTmQWwxnhwSt3b9JbVfM5zo4R3A72JJA3geyUM9WrMkDSs9dGRxIryzp0RaorV/Vk4AhU+
VhNP2yBeTzVyvWb2mrAJYGZb5joHYoZHZPRg2pq6qNY1pUG0dEq4VyQFeSebG/SAPoz0GoieR2sG
vxmudN5yguzZbDndA4v6WO1KM9Xvkis3jlt5Zsg54OSYpcc3KG3htXkzbs5pfOvk1J6518Fnjosw
BIMlr4y6YsbV+VdynaEFxLdGEleTgDJ1CmHcMbYL34IZe6cJ2371SA8+0hJku8hszHlkYgSXRvJG
LRyvQG5f9cSqLAuikHAlBwQ1wKRoyQ8wwjmf0G8na9+C9STMdXYUJGPf3GtsTZBCpOuZTLdyqvqt
qvJwFbplvqq7XgO51AxLhPUHfWAc60lGo85o33QCfS6t+SYPuhgwvf3M7mudS7PdQCBFFTN58cnW
fUWeev3d0Jr6wnzzoW6qryBpQ7BsEDADiamHOCeUx+omJ4vDcyp7aaRQNPBCbsrElflN6ODmQgbn
De5GmabAtZm3/iKxh5Fs83baDvroQR+EL4nauV4q3VIcCDkQqQB1LPFpREbwGPaPxJ8UZ03H5kso
XslKv5PyrnMhcIPKyxq6CH3mVETa4L9JMKwEoPudRg3ZRfF3UXAmrjhNzGFd6lMXHPwJhsjWkrw5
sG0zbSACC0HIhh9y9EVpRV3Ik6CkdlIOovClwiL0SRwPiA+DRSMCCIevRTdsjdyxt3pv6wQo1cbe
aGBc9UrXt3lk58kimsLw0eOtXUra94VCObTxI0TJKxErCk1cwKz9005uRuIZzqSH6w8+CKw336hd
pMNJ0x9z0yz3lheK29D0w43OauGrShRRqZpwTAaAnT5ucLsMazwwiirQ9MjPsXr5WtmZvquFq6JF
P4lkN5JJt5GliNi4tp55JuQJSAXur11QR82LbZI8EzZjs6pDuu2cVKw1kXr9g55RVWuZFAcvB4a/
AhHqEV4Ohp/3v71Fd0HdaVW2/IjAYOAaDHZTBL9NiPHU6SJ7acyoJbF62MlJaA+yosNIC1/cj2iv
btxWn25MBl5bvyisW2Z3VdLtScwYb/UuwdLgWf0jIWY9KzmF5TAdvHqPgF276G2hV0eLb9ONqprs
RIBDimIKB9vBVtkroN3u1dOEeKoTWZ55m8VdLib7rXMKDB8w0Jie1FkfIoqS4ynuR9pmxBUtvNPO
WisfT1Xr+OYZr3gxrVQok7UdyGM2TvYynnqHyVg/HRtaDVClUEsfJiWyDU666SGcQPsxPYrEsx8M
1nqshu4GPhjarSyHVSWzqVq2bpp+ArSUe6OXfEi55iQPmR3xLZt/t5ck1i3yNXMT5eTVmEblfoe8
PG7dEMTr2s/NEb9qhpUhM9iecJEW2skj3Z4Izyjb9orrvmrqjZEa7machLqPg9aBDKxRpvskP+6D
aYy2oR3TZoVh9oxmf3rsAGifJspasTC82oS2QoQ8VFbc1OyzPtG4iZVuKPGB76nGvgb19XEw+gyP
DKVHsQrqxjsNlZ+eTb8d0btztjpx/m61RcLXWKSX1G6iG3iEVrQIpzDCNqAC8QZ5kk2KAG6GwzEq
yjvP9g1o93WCUR+JmUkQSi4PuC7hvdWifxxS47ORZTltk7DVFl6UWTde0EY/PNlFm8KNuwIq34BA
ugWbsbBVMBA0bJlPaeOpbx5HzXs4eAmHrtkjofCFTmaVh+Li0RvT7EdmETUiLdJK8hgVOwA44zVO
GfzsmrS2brqaZLCBQ3RADzV7gdPDVDn9SxBGH0HU7ni0/CMbm5TxCtq9Xot2RW086BOf85iW6jDW
4YUIqBqTRo2nTaqJfWk1mg+i4SHZSThoRxwy7kNPfP1Ca6W5TYug2/txStHhTKL9qNL8QuANH9Ro
Nnuz0pxtDb3HXBBARTYmVqlV4ZjqjnlzS70HWCrOrWBTcac8krKVbYypKXGdGs1thrXnEdWYxpYU
arPICndZtZlNfJCjffMHbz3YIwNHcFx3Cm/TpYFfQ1RIkj4b42jue9aI66Yvqs+iSelCRFuQC9aj
QsHv+uJa+XiD16L87FuTPWE74RdQrjs+gMdGy55CAqzMdmcDOjzFpRw3oo/rt6Bop+NAZP2Xh8h7
WYXOTWU2yTHXuO4LszY+oDv3+DJSn3Xc0LcWgd+9lhyznGQGKkkxfIWhrk7TmEbJasg194LugIOE
+PmPvIfLrLTWP0JK77YKU+mtOzKLMpjsb7zOELhfveoMsJuIO6xtuGNs8qPa4TN3p/Y2qeqL9K1u
Z+gMbKABUg50iVh4oDhPdVcAQZDqRNGZrNKgsG+y3sx2YcWxXuqavaksGlcvOTFa+sBZ8MkQ6MaL
onaTlx04SztKvPuyqioLu6lubOJaO3ImIukxszTGo8G5SlbqULAoQr9EGRHU09FzOwX4sNPufX20
9FdVTb536MN22HqQBvjsmaV9UWSVEvREbjxxSdXbQXXGD89RUX2Y8pqBf+OL4BMjjYEgqeE2arEk
PbAy9dBHy+mst9oZRadzTzE5HtIgjReW3opTy/KMak6m+cInkId8xogefaEax/qWCSPa5W1HwPsc
EaO69Gg5lXvhRMD/VUf5yY3MvmHgYiUvFT9xMnOWj0vqzOnSdD6moUqvvdeMyvoBPEVz4nklksKA
lLhp6rG/E1qdqMXosWpH1NNhQ3OLyVyDa9IJQhQETg5GkT1MLCTqdaWq6LUQcX6yWgFizchN50IM
a7ESAmXBgmI1Nxdx5Ja3wuwcd9nmLSCn1lGoSnA5RdM6msB1LkRYxc+6iAmpqir67Fi3tUPkUWIA
gdyXIssvPbOebNW1+dnsXe/Oj3SbgT3OPA/OaJF/+mNifESV9M9uILxXGRtQvQBiYq4h6qdc5lAu
4mVYkI3BEgn4DXlAA3FsZYXaIJxYlJKMG3eLRjTjemDduPC60t/YtbMNRJCt3LJqBHbvwFiOKThV
Tq33HkDyIjBliTXOjrfopfMlAqNtbEa3Zu181aRq7MKi1PYD8p+lAE+GUn1nO8mFwNFg0btVvsrI
z3vQVaOtsf4m29DJ2E/r+AEzG7vG3GJ4HuFPtsREVgK4ozbklRxc2OI6cWPo/XBeuIPOvoWCmxZZ
LJIsAKtWxs9BozJsG9E3QJFQoLPoUaPsWNAOqk2Tdjd058WyVP7ZMhFt57q2sxJEFDQjH4ifT8JJ
V0Xi+HCIEu4GPXoD+XmMdFozp23MVSc9Fw1GPS5EiWXTE/m0zpWBH8ANp1WY5BaIOMKchS15nX0x
J/WSVqmyBoG2ucI69E5IG2LzeIcFMV4RD3kz4Z29VVZert1Yn848e/a2skLg2yowFkqNeGbom6xD
WrTRfQg4aWuHlbOM6l6ua13KmdDt4lcjhHwz5a2gKNXGfjsYTkiGnGOEYAXEaC21QII087KuObkj
GdhLmfH++k3mbcWgEepl2f3O1rzwSRqmfGnTAp1HHMNNXqSYOo5DO8J4n8y+v8uAqMVrN6qCp8zO
h/fOisJj66JOAdoLPl8Jh9CBSkZrOOkBSrorRpdlTXLvVtGQr1GPEmY+E3e5OPTnqGizh06PKtxC
DQLarSaAviHhAdnb+23DkddXz7bdPVgz2VcH8dvNrF8OGLLMZv7vkNXvTGWhV7hzSiSQ4ICVwLoy
4AabvyKEZ5pwNHOF6bFmxLAOindEprscrgjisgn7N56sZJk4FVmReR5vc3dwEf5xVTszyRjVTXRI
Z7pxh+pGnzmlwRpqUnU0riDkPNLVUzTTkYGoJtvkikzOvdZ79K8g5egKVQ5T67dR+X/bYO33c7X/
u/1Rziyy9ueMl/+B0zckXj6Tsf96/LZ7b8b34v33A7jffuY3wCjDNLZfTIEhEzCG/vcEzrN/mZf1
mF34FQA+55im3wJZLP0XtCfuTBNia2dDIP33BM77xZ0xYuhucCfN/+Q/CGx2vJ82MDb5QQGUCYff
wngcBf0f57MCSaKJh7LYpixobzzdUx6qwyLfFFOavkR8v14dOP77ws14EII6pGgebGutixo6Lgzf
fVo13UNg8+9Y9YxrnkpqjxeUkt5lmnT7MSFN/KxM3dqPuZV+ID+zLrKJhn3Bf+7cnKXyEuwQl3Jt
dPanQH4tF20tu4sLzOYb0cQ8KQlBql/jWNEaonn8ZmYGrMcAYuVc/t+2Nb5iyZgFjbqb76PKjxZu
FaZPBMi2h4Y0vCfuiPScpjkCMC5gXwv6ZZHXPFp94i/grOor14ujhSN8c2mltBRl5iNGjggeIFy+
jC4BTfY2aZNyZQ8iYzckocv5+FwT9leLfki7i2TRD1WHdOMYO/iYuPqJ+r46W3GsHYZMtzcOw56L
bfY2gFUhHnpI1Oey48pOPbe41KbdEoPXGmuvrfv7rOD8h1HAVi4j/U5I5xLKJiPIeSBNb5DBq9HY
FgGCRc+9btprzazFTZZZzc6ZK4eumSGdspve0eNlUN5SKHhEka3MuGHKAeSZEJiO+Yatm4+hqL4I
W2P7V3RNDW0qF+oV8V/01PWRehnjsP2GNyv8YUzsTBe2PwEDIJCCBMMRO1+yJ3I0bzcsyvTXHD9s
wrAkTaqFj1f4LSXGxd4ItEO3hd+Hp8TPhyPqvGHdVIrkXHuaIASUMghWJLKONmodS/Nn8BQIz0pO
xcnvZf5ljIMDNtowSVEsDe6BFhWrldu4qQenfshGPhe7ng37ifc1DmlxN8XkX2qDa51FFkWrXCu6
5yF1SSrGCvvs9WnyRMkbrdpauwcpUh1TiClfGtEu8E5SXLSprFFd4LMf7kwz/Yxj/w2VaYjxeWr4
0L3waGaWs5KqmNvXtDSMOQKV+xLdhnPue5nex6VvrJKpHQ9IJb0bQGfbUhPEeRYGljIv6oH/mcV7
05JrMZq22kWJH5+asRJ7B6SEGQ3hrmSFGC2syXLvVOCXN6pT42Z03eFAaKzzGluNSwDN1EMcSpzk
KaoysS+EUm85UrJ3FfZEJdBhrcrW94/KqmF4BGo1gzaSwajvrX6Wdcqsf08hIz050CG2TSmt16qv
IoIAewt5JMphg7hvclTtnOCGFf/T6hK1iGHp7+3oaMUl2iGvqW6cIaEJ8avqOQSGOBPtdLkzawKY
lzoM0U1K2FHYk6/BGMI27iMtNyLitnMitC2Hi4/UDl6vTqz3ojcN9eTmiXegnx6Bb2jlOfQ6Ypa7
1LxJwIGcq0Ia6y7umkOLc4W0XDrlZOlWlXsWcZT0ayg/xg9ikY0fvjt2P6Tr1GfTwMK+Unk9GWil
+2zdF0VFVnbbMphUrq4ekyYu6i0yAD1bUs4LbxWMRrACpERnTJw9uZfWXF/JonfOZuHJdZlZ+kbO
GBFihDudrS05zf6ySInv6FheJ5vJ0/xLxwQNXTpH8StWyHkDOrjAfuGAkOw6ThGK3T5juLdAUefz
dE4qPnXJUL6QJAjUlYZR3g1aD82Tcc1A9R2ZbzbqDmdRVG38OhDUYy84EDXEbUXKzhxQr/Rex8Lu
FAN6ywfhQEshakO91DqSiUPCHMhdEIo87jWlO1jRc98yljT62kdUDib+ZUbWL6Aacx99qt/cIkSk
vi3H+dBW4cjByHgNhFUHHkma/YiF1dTn8tkMtFc3HmCXiHJgwciWhLRiMIC5vksSs8KYoGv1RWVp
Ha8H9GvDOjKNcVq2mkqb7cgsjo0Nwq8HYmSoqJQ/0dpQoLUfOq7cdCGl68bHpHfM7qGKde3oNVOO
c6nqmrUnY8bSaZ2PDzqOCcR5+HpfkwaH8TInrItOXyrE2KIdY4ZzmgvFF2w+mVmZkTK9tZyenlYY
B6Yu7t4wOibgSPuGL+xVxTMC73ZbMknKluyjGJ7gDs3ukQ6Hz1IF7TkL7C8kKs27kwT39jDoJYrI
yKZTyEqcS3oeHIjPGN5GvycwxMZL+GZLvfWX80xtr7uRFy4SL2M3ZYDIDYU/+beRCAEujHZuAA72
GrUJ0llNDq0enEUWwG9xafIVbU6ePrLVGI5soqMn3U5IWZWZ3a6oVnXFhKNRPwyfW8VC/tAtSfnU
13GsHOR9PZFexB62SCKJOtprWsZz3/AgvFRMhb6NOB+PZKuAkcqNgi9gGdvIDhgn99vQiIxHSetx
FrlDDKfQ9DRZF4Ryv+Bs5DV75EQeXLuFTD1NCZzilsHfocyy+pnJdW7vgUOPoHjIWnGWVmBlLfC7
lqap4IMj8sWANqG3vECnj7LPWusz+MZ1Ol0KreeJ6UIje06LTB45Q4133ejGZ3Z1/j4rZvL/NfGr
1AoLjyX/agb0LNtfA37+ru1ph2bemNpiI9Be64wbyhxZs+UIt38grXS2YVIET9E0aI/Qw7I72yKG
GR6L06/izsrPVlaEzRyipX5w6HY3aWjTtTGC6J763h671ZRY5ZsmymqP6piBbm1V1oODf4bs8kpo
H0XdkXKBzLPRScsoNHtphj6lAguN7D2BE1Bttb5Pm3XagfQCU1c29Xb2qb50ecPoodCLH15s+/mz
ocLZ7jEq756EKsCYnmJg0fTpRKSLKMVtQPpBzNvlwsnBQazQOMNHQhgQ36kOh++iRWW+asg2NtIp
++CzotuZBr96Um3HLdB33O+2Md2LJtYqWHBohPCoGfOKqGJCqkEVQBALruOpSgVhaGTWe6c+nkBp
D6HnRbsuaQJ58tg5gUCSLhkNMIe6G511IF9Pz2wTSE1x+BK6Q7YHvNfHdOC8q5EWVU+yHTDJqCRY
ZSi7OtgyRXtrML4+T9gaWV74dntPAFp1r/ww4G9GirtxiZ/iiY+SnISy0T2lePHrpc0NxzfDGT2Q
ONLYGKUhZ3CnSNZodDsqWoNwaBBS6Q0219CA2V2Y75PhlU+kyJU5iU+tfnGbgXckyERNQujAO1TZ
VbIzhsh/F0lmfcd6x8uKgrR7CoxB8f7GY7xCGBV9pzvMdm4mg6dET8ptTPIPh19nXsRkpedsdEjQ
0Jxs2qYqdXbctJWgZzRY4eQpO6ot1vDghH/ZPw52Z6HoMr0OQ3ISt2+KDHq0zgRZf2VVkP8IZWod
nFCLPtgBjOMyaqfgxBz6EqNO3Y9TxjV/7YT+t2n8Bwo3vZyFYvRvmsYkf/8ev2f/57Z5//zRxn/o
Hn/94d+6x+AXXUfTOHvVbZxMs37mV+y259BX0k5yYGPZxGnEP/lX90imheMYKI/g6ZpM/mksf9Nv
0FgC+J31G3xdves/+g/aR5IyaA9/J+Cz0ZUQzqmj7JwF+ebPAk8TNxklPKbmIgxJ9fDasQYkpFG2
IwL4zjeS4wq84ZOqsbW4GvR+HKUduKg03JtubX5yjReEZJJpUaK2INMn384a+resIXqinNyK9Qq5
D99rdvgMzut2makxuiCSHe79INY2pSyiGKJ/13wGRThuh7j17tk4JGrN/MX+HuLKJGDKduNNr+Wb
EbtOktrZ0SZzg8Ld7fb1FO0ZaNpUJ4W+SargRpcM/0E7yhc3qoNPobnweON4DLeNFsqNVWAOXGZp
NnzOoUlv0gnlYWpTc+UAYNlObRnvkLuMECIB0bVDjbrNzM7BmPg3SCbUegRbuCtj3cBuKCm9apty
iO39rXJFvA7SITYWueWO2zArUhBRYVI99lNZ/iDezT13umYdal9+QyAeoGppfazWtW0sTKdPeFfL
kLM8QeG7YBDXeOswbrlYxjztt/44knBTmuKlZe1yoIHtDoUwvzfIyc+hSJJTEru0cZ7fPmRVFe+t
sfWWGpMozMvCS2YenPZMRCMrpKS1TxGMv48KVXG0GFpH++pHtzvnlDQvJTfTmQ+cv9PpwI9h6I0A
b1wU44BihY8BywEXPzQT/2uwGW9Tx5GcmrFJONRiDpnn3GT1kUeLKfMlnSWbFL7wNm+UVjzYuZmy
0GSGGfsS2leEC6MG6LoLnL5cVUzV57Ybr5iZ1CtlBfzpkenRyXXOou+dvlpE+HuPjhY+YRNVKycx
8m84rTuC/rjFuim2Xgd6sJ00/XLZ215+k8yBsLjc2Oa7PVPDxlT5ygvbtRKeuTKpqda5E/9guQhF
PUE3ejGMPt3LWdWXhfqp6vT8pMop+ESQED0OvcGiiqns0ziY2cGPQ/cbuVA1l/8Q1HS8mlyqSjfv
mG6A/9ECzWZgbjeQk7DXfrZ2exPYDYlvMqo2+G3Ny2SN+SZV7oD4JpPoNEy+tQnhp48ZcsV6NeBK
32g571mQQgIihUS+TU5cHlE8V/fUzN5xYtCJvlQH+TewAUax51IJ4oPwvCdRDeWCwo58Rg2BTDOm
K+WIeEv6bPFoAOW7xPx13dJh97zWQ0V7W8dpdOlKPbq1JsNmOmPNizBGtREJEY2+bS3FYDvUx6Uc
U9yPuVN891kgwst1tHqnOY29aQZmo0MjbidZfm+N4UCULYG4ulqZeoeXr1TnvLeqnc/uA56k+42F
1CoyCnNfsaQURKS42j+olgnx+dOpZ0JHZ5rszJrYn9X/oZd6qmw5DmgmzBiCacmotqqKIubrWFQn
SnxcBzmc4rZ4yYaMcOOybpqLjYcNmGRYyGNHeOJXmMdyVcRFdgx6i+YOv6Y4lZFVvJQ1A/3WUzgC
CSO283XXQa1YUCGK++D6PMME5Nm2SNWy9wXPhbtHn2YdlDNKsGi9BaRWQvF6+901dfvryf57WIA3
jyv/cOIbqCSwe+PQQePC5fOTOWbUOgaJ+Pu3GDxZvRHqlgvrQfOHNzKR0oVRCrl0MM+cvEZ6pFfy
GW/8fqj4NjRVAS8gchpjDfG+xN4+hQMlrKOw9GX9DyrF6FucD+Peq9XOpvKrrakelqZsINp1mzKm
4nWK9mCSaLrEAfq9Jk0FOIuR3w7Sb/YMTGugl5k8BEYbH8wa8sCyFVjARSOsfdE3lrtEotyteR9N
kh5EuurdPtk6wZDfSk8FbzBoi7ex1/uNcrPiw8wteSHqrb5kURNv4Izl27JT3kupNeEeE2t4O+ZJ
f89/9TbNJJOXlCjrw9Ar/KfAPtZT7jpbBQMSy6tid+ircQ9votMWyu5CUmjM6GHMtJTAygkpGS9b
MYAU8UaQKLRtlONucONOa9Boko0CZ+S6acPmqTMdAy5+UD1R4germhbnC6RWtEo6IY5SpS3YVic9
0rRF7lK2pvME5su8wYurPVitMmfqDaGBk6+XP2pS/p5cZFtPjlcWt5iSmltfOP0BS72xg/4Zn8Ja
b3ZMLvc5sLOuvxIzCAWo/XbAciANBmRKKbwRubj0qkCfGcPa2MY2U1n4DUA5x7p5wH0AfNmcKHRL
w/yA5BZ+w1NYBsswe4y7VBFDNzmK4LR2yt9yvVLnCRXmaWo64NfwDo+Qo91T7iMYpHBOTp4z0qk2
+Ks2jZGOIa40P16Cta9mJEl4wxyhunMZarNMNqJxB/wUfhmClHXTKAk0YRK3Emn72UUuuorbgmYs
sqrD4HrBXTyfIlkdUq54e83Nlk1Z3Ixm/IDIbFGrLN9q0XgeWlfbpr5H3DjXxBLl9207n1kRUbib
cD7HrMiI7/JJ0778+YTr57MuwylQKmx0NhvPBcspB4PrfDDK6yHJSWGv5HxyNvMZ6jcx50yWmBMH
Qax3S0LrgguyqeJxmM/gxrSHQ6FKztzKrEegl72/MdXIiW6U9X3v1eVxwo/w5jDcwjDqeTTnDUyn
68WQzneEN98WRmagvBPzHVJHItF2cDZZV3XXK0gPKkbkgTZ2zA6N2vs26qVz01YZHNNhvteYmVnd
wi8NAXVX95uD1s8mzPmelE0Kr+F6gxZV5H8QaEY+l8N3mngDM6mOVZYTxVJ1hI6VoVDbEDJqsoI0
ypU+6Szro5EMP2QjRDcZaAGICsZ6feddq4ZxLiA0KolpLin8a3GBuixdFtJzoElTd+iUj2FAkBUG
LPQ3Yeb761CTwzHPjGrFcnfYhw6Kzq7Ic9RJVQz7Mp/xW9LswDnHNjmGgb0shlIC5syEODtmm+6t
ruzOaZSbz3Hp2pcOWdZ9MRphvmjauN0wag9+ALM3bwdmet/7TPa3STsmjxrSkoeQYRK4dV16e9SA
Gs6vRhtYGdsJzWag0CMmsXVxNUvuGo1Mb2o6pC7KNtnFUts7tznK/UMVVvmlk31A7JPymg820S86
888V7sl5sAWwYEOiibH16aK/eRF/OLIUc99oVcREEGHktyhgjrWoWsdaW8LWbsE/W3vPHeyHPC3d
W6wpzhJTB9+PPCm/AS4ghLLUm2yP/Sol3YsAefizPbCryKhwQP8/8s6rt3Ik29J/pZ/maVigiyCJ
+3a8kztSyr0QMin6oLe/fj6qqrtTWd1ZaGBwMRfzVOjOVJ4jmogde6/1LQ/00YUsVLCWXe/tKCz1
18Gb2jcrVwXXGM0fYiNetA2hqugaJd2uchGgdXgY6WBvk5grvkwHGR1Qh9Bvqlzt4JVdv8viYTgQ
UYqnyqaFQFqXDFC4avoTjq/rKWiGO1SXSAZyLd1Gyo8O4UTPkYvmyptwNJPn2JL+CtalICWkyprX
gF7Sc9E29RobQ7r28sTf8lde9QgG9ay+WDeZkkez8Hj4SdJN2cr16IZgiRIxYwo0I2ciAP5/lPZ1
xK/hJzGSbol0Ki/kIo+n77o5myuaHH4ia6JFyiZaSbKam3KNnVF/zOvEPnRj3V4Ii/ZHYNBN7qMk
5oedCSIIydzI1mG8wLBiZsIZYJF68uDp9gcKtdcR98iWDSzlgOTnau9UwuVtR0gCiL0MznT+R0KH
BIW1n+j38RChpcqze2LdzUe7NNpd16bFQy9E/ECIcAVuuETnqoFA6prpGY3qPYHZIBjiWMi9sPML
U5I3Twebon9oca8M4E5c9gpeK3TTa70bsPq0Xi51xCd2sXdlw77rJ+JAT8/aTU0Rr41KjE+RxnOq
E4V0HHoNhG0o/TeEVHjygKr3Syefy/pJDRTKA2KNIbTf2zb0t55dahuJumxGl0ZH1GnBeGyVlp+l
1pl3IeeXYUn+d/O9SxgELq2kdk+qVKw2XWDFt6roGUxMfc0vlSXZxgEqysiDUY4XF17HmyhktHK8
SvKvdtELEbc2/cMCOzB6K94fzNxDl/p7MjjiozLIJHT5RUcUX1q6tjmOAHAlklUhu133Xlrjb5gG
Dk4W8gGN/u6AIW4bCT5/0FPnMaMSjJDMjN4FzPARjbmVbyyjdZ7DMjK2ZofQj4SFZIYMjby11ahL
jqFhjNY5r/dxWj8xnbuYHP1jTgJbd4ZvvDSd5lwxsWV7LO5IcrRpyWF6OZtBNWbbHgzNe8xMCUK5
e5814Ea0lr19Mkmw6Luq37p6Cac/tIat3kp6Soww75tgKNHiEvWHTLWrWJK6hsAIs7gpHB+fPVsJ
zzccweaO9sR0J4u2mIMf3HZpOOKEHom5IW6F9DpVuXmB/gwJoQ+IhxGSedP2oL1WYM5dIImOp93i
GrGuLUP1H3by6tcT+MdigGAdTKG80jDZ7aoooSzS1EVGd8/WS7mq6tR3EHPFWxm1JauIyRljqLVV
Jt5H5BGQMnLFLATNu1r2nmOsCmaSTU8bmYLw2JjdpdDbRzd5zqfzGAa09+nolcqMP2IRXCZJppC0
FPqNI/zyieeLzYvB0lWPaeSYhqp41LuOeUCU0oVYauyzmISd9gnSUP9NZp715OuJeABVVy4bvbb3
kFfjAztBSHKwry3RURqL1k+ztdLIJsQVvm+qmPaiEzlYJNvwhkmuPBN/MD4L2sILDVD3vppAi0yx
tOegQ5HuXLcSE/upMzzS9kMzqXLDWua6Ge6I84bZEI3l2qa9ywDZG27N1ifzSUOzOqK43Azg0HZ2
LjjIhlSyY+qPaxh+w44aUkcNlJO9tahgLV2LVBV7u2yHTZC29joxjRAWBJVfhzoNjX9borOqPAjv
aegwPxwNErAhjPMdyNwmRXTdoU57LLtxnqAOQbBUUXYOFIvoos41UmDmDdeVIcM4I/mWamNxSOy6
3aJvoyCbuQQttDLG8tK+w9ZQr6e2yFEyYdBYMJwpZl2NYy6bVOsllvSENzBROgv2VBEQIuH2L/gq
+bLxMn6ia+B2j76y7kcV1YygJ+eNCHVrFyasEL4F6Ltu5MirEmU7ZdLlbpSqFoabxMRFIotc9X1J
oGQiVmObMB42fP8CqvdCeeGroDETJ/o+yPmJ0D9WGcMmM0GF3eYhXXwX9bYDkj0V03igw6dWlA9n
zuVL0yPUEgLdkCyk5mcXIdq/ZdZ3zoo+wQSLX4QckyKHs7mbpEcQ4w6XwCdnqsqNdya4MQVDrT5C
Hx2+7N1o74KrXpaaD7XE8pmSKxUn7yZ0yycV2UQYlYnpn22t83AAyfSas0pztCPR7hHI0Vlirmvd
xxpxm00QFU+ZtLKlWaT5EYMIEDyniMH06O5Ot6J0a3cVYZkWUKs6gqk1qKU+xE66MG0PSrITG1ve
MOtbw3HtGlwVJgEmuesoo/cRIn8wdKTYTZwcc1Mchno3ulzPVnlPqESWDA7ds6k6jwa5E99LPbX3
ZZKmJyeqXZhpmtj7fXwdAOBvf+9uo1QKvuf/4ixs/qujMCGG0A0wuBNi+BNFtI+V6fu25W41iIhk
BcTyrQo6GS1KoVxv4VWcf610CO4CqVDdVoyXkDWGhXaDlmZ8lc5UVBgZRLgeo3hitjD3K+npALxo
8TRBWArJ6F6ozw6njlkoX2BY5m/n0j1EeIuKRc0JUfvd7/t/u2v/P0nEJRgW/tDo+JOH8vCSZe3f
/tdLVvzX344vdZhFXxyV4FDnn/+jJU90JdQH+F4cfPG1zhznP1ryWCo9euGuo0v+I2es7N9b8uI3
eNLCcB3a7x70M7r1f2/Jk5+Jj9+glY9ZWEp66P9BS96Ws/n/ny15jdnh7Kh3PlkMP1gpFbnARksT
eZv5TBA1jQ4cKgp7whMXdZdQyWW+9ny/jEAc9OG0aGtA5Uzfy+M4dP4+D4JyM4aOuJRqCFf6ODir
NGwHuAl5BvjGpz9VaIGBc08Y3YpCkcm8j6exzJtxn2GGWaSMtR6ADNZbh0PquibxfsdksLwygAI9
BJXPMMDJ0TzO9VLfpsnRCzxobFNPETLXVZkKYQ3MtRZTh+jFnesvJ0JeBKh4LsvquUJz51oNCk22
6cYOqflnKdfPVV3+WeCRAOWepjZAboKQpPkefBaDdCXNO2hV+bkZy2g8lmUXHccKS0lhAnX03dzf
jpSXmNKnpXQlJSdqIUpwGBk9uRmFvc3n6jQVScfwmoq1jLtiNdRqemJoHq/pH1g7Y65xEycc79oE
UeCxDoBZL73fq+I20+d5YSYuVGW3i9AkiTjXev8oUPO/2uh3aHsUIL0CPAXxZw0+V+N5rJIH+hzF
QxB57U6fq3aHI4Gz1AVO2Wiu7qfZ9rYsmKq+tVbrH6wWMfmWMhg7Pu1Cse+1DgGCCU/8TtMyZ7iY
bIdhyUQG4QcN2WmXorubaxaNMC1Usi9aESVkTc+ZdFpGcl00Jzb4U8y/EhVhQYSARawWchltp2jR
kFknjdWUynEVzn/TkibC+CBqzTNt6Oyj7LkLK+D8xT3GV7Yx1yuL4BvNQZfA486c04MkFk2wSRmz
ZDtxg6tMOtbey8rwWpiUlkZBjBK3O+9NLluVoz1pw/H6M8y0pn+IBarkoF3xFV9anMM0GTV0fWos
BcdlrRmop1Aj+wjfzAWn/Gof2uTpgd3zP8ZC8p1qlGtIgYzQo63OoxKu/b40z46s/RfW48SlVw3F
RswxJ1MWoeQOYfBTiJeEhvoRyAjdyaub3ITav5i8wog27YTuxETmc47slBi0sgiXRPMVjIAilA4i
Nzg5p1XVsFX1E6cKz03bdhe7mv5O72h8mTi/frP4WLEir9b60OkL8EoHIi9XHVrsfgHCXdd4f+rC
x6yZNh39cOVaq5SKhZiW1Mxz4JfCZjSSdf7G1BzXvg4jpMwrNuZArcd4kHOvvg3DNeoecYsBgLxx
q9AyzuqiJjAzNkqX/Xpo9e/9HMGjNZFBFEc2BXjyAuAd6DJ8cTCgjYAGSz1yL4fhzcR/uB+NXLzZ
aiIbh/HKeQgE/fEWzvlklPY1F4WuiuEWw/2gxcELu2m0x9SZ7IvRh59HUypbgNPFgpJ4JjOpOuN3
nULTmssf7tOAvAsQ68TOKnD1E5EuSdxZ9/Rid4wHaVGbBZLHrvC+VyadqdXQaEzhnSh8jaa4fw38
uNvI0h8vJ9oh15GqtUMziuw69gTSgqDSZs+LAc5Dq+DsLxrHykhKw2JxSrlJaMjy4Jl/JNvFoa5f
17GBusT2npGsFGtqY3maOs4ZblsJxKZuempGSzyDBHJgAs59FILumI01s4evcFh7UHok3dJIDMRV
HUXgHjFWfkByV6Qrl4ohWjWO6Z/i2Bl2o4zcdVjRJ11jbPNPojZSRlSaXlLAVU5dzOI3/YV5k/dN
Wm22RjzjnYlCvhmVokodhmLR2a7aCM0dITeLtriTovOOWZGSP04w/VtuhjZCpWnkVN/qWzyN6b6L
rWgtapLPrSlPduSIilUqwh67TNmveNWrdT6v6WpENkeqlHaQwWA/pUGdckKGqr8VjOSQ/KXRpca6
d5HBEL/yaq2iV+d3wC6r+ixY56/LoINNXeXusCRjvtzKPrSvZWsnd0athd8NPFwMlKKkW8Po9Y4A
YOMdGYnRrlWi3yo70A70bdBN9KbKOQoyi10VfRZfBCLrkzVosek10Lx6FxNOds6oXffooW48YC4p
blLeWRQ8nvnEvu0d8yrhvC7EKG/ArMF2rgPgkaWnZwe3qUd1xWR7oL2Shx8xXP0z5y7/ziyQC/N2
0KcJ+pozdl3Zlwa6l5c+y+QDxw/sP/rkLlFAZzvbRpcLRcDQ8AkCJoMb0js32WA5p7Sa5Cq1pv7U
VZqNCjh0aB7HBkHCcGuxGQc9wqIo2gQhlmwsxgFyZqNpNo4Wp2fh1Nk6inwGy1MRVt9pf0XhpUmE
2IuG2I+JJ5Jhc6EnuVjG1jCcsBaC5h991HbIaU446rsnsw7iDVMe9DzsYtvOy/J5jXfDgjOdnyzB
PCiGt1ZBQLGEhjB5pfndAoGNwoTlF50djX7dnaZFSVTvmz+58M4mZW66vtQOkzu13zN6lhtCcLrb
KmAbWkAeTggMCNxDQEP6xYyYeXKWMoOrAEcm3Xa4iJtSCGsZVNLat61NZkFdOO3R6Q3j2GXMCT1S
BfC7xNF2tHNWupmluI+MgFFb6Q/XxLHJbTNxBq+lW3I1m/Kb36tqmbGdwFEd/V0y5PW5FxXjU0hE
d3Xsdddh19PJykb2a1ouRxcLHwN9hRlesykGwCzg2ZTOyWNfff3vldX8v2izkPacKP/vFTPH79VL
+tVl8fuP/MNlAYnUxRWBno+Hy/inTsb+DcQIGcAIXkDDfVop/ijKDfM3B7a2A5OYmBMwJ9T4fxTl
7m+INnWGuwapvt5MSflPinJiJb4U5RTkhFrCWNFNHQ2PZf2MUPJaeA9JQqolh+012eNsKm3OAGtJ
v7Q9qTjFk6235lGyou70zGr2FM5JunQzr+C0rzUPdm/rnIzpDj3KglPfUtdVvk9n8ypFQ+I67OBE
iNDOdq/0sJHkTEvZR6dKlPmbPYn2WCsamoeWg2S1bEkE7jaB7SO0s2mmJdioMEkv6qiImdXhVVmF
WRq8I2MQGU0GV1or14qrnkRPKyxxs5Kye+yB7X9DyB1DFzPC4SQm3T9OdVm16Bl0+VBOvfngE8Zx
V5PdcoU6gDFwN2GKlkoPDh1kZLy6SQh6gbLHO5hAzC5r1StQRJrOXKyzld0dTAo/nS2d8chBjqF5
q6u+FZsEQECKgmaaMzcCEGyLXuiOWmFFGfyr0EFRvxbh1GLHg+OeYirp0/5KdtilSEWymxqBJa0O
IN8Jsly6bqTuMLKu9GUUZwUl65CfzFaLmAxEY3XKx1gXqHYYuC8lyJ0Q53Y83vYTM2Ka/mYUbppm
SBsaWA0T2Z5lB6VIXyRvCX21gkKoTfPVWCd8gE1/+1GP6vgq0Xxvx52x73Q37iAhUIn4+ehdm+A1
mkXkxdWwrms9/2ZaFmvKFGeDv5UBdsWiGvQABWM1YG9JHLB2unzTB5fNuaVZgNSqHbg0bgBCbdHH
knxKUZsPJZGcD24gbEbcSIJd3DcI9Je245THOGvR1oQZBIXYLWm+Fw2Hxb09NOGMnAwG9A18wko0
epet29ayzsh2850Iyuimzuwmhy1OG8TQQ2ZUZWiOzpK6rb9kvB9y2iM8KuBo8t1WIfpb4OtoNnzQ
WFwCf/L2dqfF46okgMlfMY03+HuGfC4dzjSLjByXhChILxuY4dlkUvcMksVuHLTJx9FMV3HVSnvq
Vm2H3r1EFVYtdKAkhxqoBuS/Ai/8onRRjC70omo/pEEyG0lyQgHK1gsKEmS46FFMt2w30Ihc9jpL
+TdZN9A4L8ak3yQDv9iiDz18Bji8CzSdJl7HMpXJexthEt+7maYvlS/aaiXTOFeIu+zQxUFoNUTi
eRExQA7BeoTSpZmpEYViV/F9MXmXqdNyQGmrHuwIxQYZmmYJZ9qRu3RELbfTaz2+V2avb201TmsH
/Nwp8Or0OIaduSkH0yfMOumd/mIEQmSQoBrl91XPHAf3+c4QXd8u4UAX8cH2MnVLoOm6SWtMnLFv
1BNTfZ6UEv/1hd66BEeCoMeeHnhoTxbwa6Pi1cJvcDI7pqBLtPQADzTTT8Z7uiEoVstx7EDgWuMg
kw11IicaskZiRpJZnMAg1crw3LdKviZpXzLxYY8N9z0N+OkqSlJjXBq8Mu3GEwXj6d4NBtwLyCcs
dy8ZG05XVtCO04WmafF9MxIIhHga/NOmHewRw74IzRb9bjOyzJMDGLraLFZjwkZz4yUfCkLM3JgT
LMX/CINC501aFqKlVS4Ev+3if4vCG/W2aNGJZENxXZtdszUKrCr/vfv2/1gPJepUWmH/fnM/vYDY
fHnvv38vvihhf/+5P3Z4+zfDnOts0HWGC56bcuGPtpuJRpYAD912BSbzT4fl33d4gx0eli8+SU6O
HvbLH3d4+Wl+pB2HOw5tzH+yw/8kCSPvx2NS5Di6AU/NpXCglPiR+SfyHp6jpdDo9dnBywjJ7Tns
wUh+bmh6L+jY4beCIRST8+G7wayR0u/R/OmnvO4erT5+aosKIfk0K1hJEWvK5jrmZL00pTF747Ro
VRbER1UifSQvOV3oXvIIR4v3ezxYnqSlQeoQikFtSa7nX7Bjv6p8P385F36fICkL5ptr//TLxXoa
NtOY25Aq4pXBi5f4H6oqrnXpLH+47/+ip/7zJ9ncSTHHJ4Ceo7v6c8BHoFWG06HaWtUGjSbYaDHo
GKJSVkYRrH79URYl4Q+NUtRr9nyEmv8D/o7Ypp8oqhyee4K2UQsq2b05fukgQFQPzcg8p/KMvU8W
8TKVhFYxVSxWTtfWS13aHUCXMsTr0jc7Rk1bO4L9gIZCqexCEwT9CFE9Blp/zKVDiMLKZk1DF5y/
VkM2LguLzuugytNoBxxkUClvfEvneA+TwUIxsmw6eEm2TrRb6I8vspueyjJ6tkqHNkgCKOXX18CY
79w/m8Wf1wBcNtw9KSHsYyn++tj6wgm70dK8Ve6S0cDMzYDXvCzCBiAHY/b8scgkJ8QOGSWj6tmy
Y3fZe8rZ+9df5PODvn4Rx0BaCCpYtwH5fUKmf+hej+EwBFnAKCRtqHKMsqT7oTmPblDPeIz0DcjT
0Y5pH6TpsWoh74jxpvNjZ0ubKl1knnkDNOt21jbgBd3SXnmZ4uA5GwGFpOL8F1/2T9U8BEQWIYQ2
s62bxeXrVVOk8GkJPsW1rk9MuxifOXp/Z3f6banJC9qwd3Wb72NP7ibc/VGp32N2rRatjYqc3no1
ITs0JmgYjGSnNAS/h/a3AAHx6+/5p7vr4CCHA8UwllcJE8H8BvxwUanKHBlFDjlgUXoL+ajc0HTo
ka4NV/18IPBrdOZxj8NY4h2D7/PcldPtmFXrlvLs11/mJw4rgN0v38Wdr+kP3wVFkpGmDiAOX2Ha
gjWcwJ6AyYGX2NzWf/lxn2vSjw/U/Hl465HpcqegX/70ZDvWbJlD+LyyGspfRNIMz5pq1Wa4Ykf7
1ghSYvjGLAfDqoXLMnOiaxmOew5Zz87IkDgGL7IO+iyl3aAefZJzgxoyXVzfkbOSHJEVp0sIPAMS
v+jGo4JeUcIsNGs60Qyyd7EEeF0YqsR3ZYJ7yo01YKIjJ1h6QEpka9suT2mpBRufHsai8Op6B1J8
XOeCXrjIwFOaxFCsQfpf//pGfF1iOYrOF8Zk0MReZTjYHL7eCOg7aZ033AimGOvJDjZxcTnEJNhm
f5HWYP75NWEQxryLBhEfBGX06yfNUWgmtXC4tmIHj2byXQkD8QAkQegnVrvy6vAhHvpbIOj7ph3P
1mg++W42d9b858rHOyvq98CZFkpPdlXK/KapLoY83f76gth/fjS/fs95zvvjo+l7GNEKmGH+JE+j
0W8Qy+BVjrNHnw0aSEuHx6/oInQmYU24tbqoyKFA8VM+BhMO+LyftEtsjVAhh9La0WnqLqq6Iq3T
7JMds2B/G5TSPkz0te+xnObLomwuu5zDhl20IBYbDNqaWWBT8fhgqXdMUaYRl3RpmwutHyHqlVG2
xiHT0tTMH4YmfvHDAmtM0Y/Po2jv4XWDjaFy+MiYAdAVD6qN35bBEXjBtEnC9P7X1+zPDxHVDuIb
SiumluwgXy9Z0niUG5byVoHwUfgnLILwxi2HuExz8+uP+oxt/Pomf9YcDvR6nE50Ub5+1hDrZVtb
ubfqzMk6tO30gE3BOhYV1lYE2fYiLTGEq/GiDj4CB4VBbqFQIBehWvRNXhEBZEhuiqiuDW/8iy/3
ddg6v0wOPmDeWia6vE0/l31p3AFaxJGwirOUALGNI7TjVH77iyvwc6Uy+7h0ulD4W0hbM52frkBl
JkELKTdgDhMiAZg7/yJKVv6cihOFc1OhPfdBUbykpfgW9+ONqMkyIjNq6djE3ZdTVjAPiNTaqYdr
JjzhKSUbdlEBZv2LguJffVPp2myKPBYMaX9aXBpa3ukgIn/lypxVJWJIG2cc0Oj7BMx/YNI6G50m
kYuq9tcXaRZbfHlK8AyZDGalQ6IrB7efFhvUus2UB7m/Qi9z7/cOSwwtXAKtLGWesaQTe1n+xUca
/+ozpYGLjuYl+4z46b54Gbm6pNNiqCn9Led5LFhRMRwK+o0rM6K0z9q3ECJgGdovcSRfzMmEl6W9
NuCnl6GW55fuoD5ixpxG7tB1uvv1JbH/tAC7JsU0eaAswtLlLfrpzdFKA8VXQzSc266YNEDC8jd+
zOsCVUAiSJnwwfEQ9YOJti08tJN8rnPiNAGYPlXolhcIys50oj6AKxPlqm+CjgO0lkTXONW2Bdqw
hciRphX5m2S/xXIfbAiT8/Y5fzwVdn/A/gvoCJnzOLTlJhH19zHT79rRfjJqwBuj2nRVsrEDXHGd
Beb311fAmXf5L0+Fa0qOLQ5FLu8OxuqvV0BFCApdI3QIx3PuzEzcMHPYOarTsOsMKUplOAG1CC+K
IUjB6PH/5EIhr0zrdRPU56bqz3Ro2Aw0HCdRYkNyqtjgHRgyGK8d1MerzGMIa1jVKahndNnI4l1C
Ka16aczeGEzOdr9iPvKCLF0tyMS97SzYLWZ0YQTWKklRYgOP6WIgEL1O14x+x3s4awtas7ys2mjV
8UUNPQPtMpyGOD4lKZN5ZJgvXUOGh2UFi1j126aRF4BFtiVnkPUAr22BPX/a2Irh/EDebq6R7066
Goq1bIAKmMAkI/zHGsht4o/QmxVvPfzLPH10JsA4zfe/uBV/uhPgdTmkOxztZvXMTytDK5WvHJgZ
K8tckvAgnF2X7yDQG/kfleb/z/ol+icULf++gXLx8h6OL3/7V27i33/09x6Ka/5Gi4RjL4gP0pVQ
wvyjh2L/RsjzXC67nBeIYf+HcsmUv33OU+YYMCyxznwk/2NIYhq/sSOZ7H3sgp+tl/+khQJ46udC
DD+ZlChTWLUoTMmA+vq2RvCqhymZ6s3sX7RXehWEW/yH4RWNP7olojEe3DJw0X0i4jhF1tgbB/x2
sEf7CFG3bUZXVYn4mhPOaL+zRXp3k2o8hJt5YEJ9V4jH7wM2iRF9VO7ec4A0ae2a5mrQLB0ibHou
4Tp8cwRj0CZsu6tC6feEpAysF6q/A9uW3QWTUu8tQK2rCo76zqSxfJBkAu+rIGuvs2Qgh5UpFMa0
Om1IVyhDbVo25gjDELMS3eFGTUdaSL2+rFp3vPFavwNTEsk0Z9JRntUgs+nceYid9jKcstuCkWlH
dmDV3WZGDjcEsrVBfxSpI919m0zRvRmkXbmwOr941zS3BddTKig7Vkan9QST0fNgbZoOKHTcI9XN
OCbFu13ZebQlJirp7jUj8N7zaRpeJwMX0c6svBLPoUPHPYh70qQjz6vSlSbRoF4RHKf6w6SJ7qMB
xsM+z8DgOTVbMiWlmWGr8N0b0x7xvcXxPmQcxhSeSEJ9C1RLvqLSsLu9JQlhWJR+VQaLNJQ6mpah
oHvWVTlc4ICYOVrwSch6qt/ZdR49gS8J3ttSq94GvXYuOa+NDhynssHf3AfE22dFf6R4ImaTzYRA
JYA6W66KbSwbASckhanlLWDps/Z0SLoCowlOVqplyfPEw3EGDqbR99aVftAQ0SIxSlENT4GXLgp/
xGGuWwE5ai3qJBx1gH8smvvCTswZf9s7n9h4KO/JW5vxtNDiSfDiZTmz8iiIb7EvBgts2AlkbX7v
1vXlMibiPkRlMeQvOiHczN5a6yNIM/cBly8PuQG61HoOC0ciuUq7JROCV4sNfeEFnbaLBxGsUApE
Wz2emnDVZF50lE12nifdRH9V4QmpgriZGxhPVZVGF0Ef1XINJDrclo3jvlUZzCu0+Vr6yAypRfBm
Csx8MgoGouNs4igX5OqFyafT3V3COI+LQ60sbeu42DIXI4KOE3ApMLJKnfFr6OsoN2y6L3FjLhio
3KW23T1VtoPgt+h43umJinDZdTXZ8wjuXGun+9n0AhatDR9aPQ8hIw4hymAVyhgjNLOnfq8jJsQd
2U547vNMj9SezEL8QwgCw8e6jwbqCyNo8k0OZGk4lUTh4gpPZhk2ZHUr3KB8NEvKrd64AgRrOPBX
K/lkwarCleMGjuZv/ay1H4BrlNqlsOuw2oDRCtsNQi9DoJKqAVrTvbUEOPNh1FfxwI1eYO4XCe+6
Gajh0i6doL3AdofrzChjHTCcx986h26fIEpy6Bc+QP9X7kJ3SAnY+NCZ82XUwyhYqtGbeMrQMO2g
rzR3epyKvSu8oLxN6nx015HWePH3vhuLU4fjiBebpiIgoMlI7yu+qLm08zj5nvaNVzFh9qtiUSTQ
VzidOTB0DH2CxV27GsNOaFkobLIp/ai8uFwi3O6DNerKpN7zZKJ6LNBbLgyvsm8Ii1eXSgnxLrVB
mTu6tV50aG1RvVpeWgEACpNy5rYwN434IxaJwfymELh+K20UUqhJDHuDDC3YCb0gjjB0kbI7IoIv
N4EkNDnAACVYoOEHEssC6dTLFuJavuRXzFZGVKA+SULkp5y5E7qysar6pw5x20WXCPWQAwtisCn6
8bLtzeSgKouQnYrCbs06RFrsUHv9ThpNf9F5pXeNiI6BuxuH3ibW5HAjBpzSdsjxAMFciGyrEWhe
iG3I96TykY2BCApyfjlGx4bkb4ztVXmHJdR6yBrZb4wKXsqkPLlvoz5oGPEJN1sPmo7XLeAMbmkm
MU9BpM1IXrQtW31svRPsem2JsQM4Nh4sVKC2Kq60Jm9fdGQ3zxHn2fs6NJK9RLS/wcjqn9ktI3db
Gk59lxvx8Fo2kf1uekZ/11dZv+mEuvVYlvCIlY5Xr8Muv41bm8zZegqLQwlNQd+iggh2+CatVVZ3
SHeQ+0dLYTedtRSM6cKNm3Yg7epUPhHhy21ta1UfE9KCPjwcGAsVcZjUfU/fxU2TPTtOBjYvR+/Q
73Q0euu0S8nCxD+wy7Iux1wb95cCckE+y4ONeDMa/MKNHhjfCwiQpxZCabg0FXbB05hZE1G+1ZR/
K9OeRHl/yNi7VFfYe9D93RE8JXygHNmiQIzURM9C0+ybjgARYqQS70pVaHQR1rpvbM3VCRNt/RR3
AuFgj8DtgAArOGYGTsZFieztLKyhOmcRCI5FY3feFd+lecZHp98nRi3RZUAxOJsOA8oI0S1gIuls
aif+TgBy+g3Nfrzu/SxqLrl76kmfCBoeRIMDuGrENjdtjFJ58d4h5bsOMVtfUrkMqMhU9jgaqDxK
T4vCvcpttBxGW60TL+9435zBWhl6JG/0Yh4xZ0Q83hitNhW3WIO1g2nn1bNpKB6wAGox0Li8zEhz
qwgxxhxTN6+y7OxnQjq6mwFvoLVHGpw85n0QBFej3aS8jLGtXvO+bt6IbSG5ox5y5BQ1gLCYqwor
m4Nb5wDyHGvF+pI6hwKXOjEcgv4oNjAkgkv+NRYzXXOcblXlETZHGE/4hf1G3NgxJhrR16zM3FwD
OWetGtzKENsIHkVEUlCYlYsCOuB2nPrmQ5A2Dcas43/rVth+iL7p9rhki1MvK+cgGDrfJHkOo752
Rkh7Iu3ibykmvm1IWMcxCn19q0sfH2SFT3DBwBv4Fz3mcOnJms1m5OKQzZJ0fMMu5A9n25cHJD+r
400xWtNL6anYXpeDNb6QYua/NfXg2IgtOoyrgWuXIYrXMUyuDUAUR248egiTH1d0i2FLEGZVq6uS
LvOZwjRcDRGQF1ypblAwr0snHlacbVvTi/NnL2kJYRWW6jfIFSIDvQgIkgY58JPKGxksEZiol2QU
AId9jooWQv5151dtRYGn+UeiEwxBO1kke4evtEb8No3LGO/+Q+MG5RtyVIjRVo56PwoFp1sPdRHo
yXE4VXWh7nIP5/2iqnJxmbswT5kTRvVeQb6x1qYd/B/2zmRHciTLsl/EBEchuVXqZKZqavPkG8Im
F86kUDh/fR16ZhWiotHZKKA3DTSQq0CGe9igIvLuu/fc+o5Tf962rR8uRx47dbNBpJHP8NTWc2fk
mNQ2yFTSaxbJZvpsaa3Dl14yPs7qV5BmXDVAVZfbtlSeu22IqX10Xe3t/CTTgMJVnt86YIzpMRhL
K4+SmUUgRmGM6F1rsYnXxEef5dKFT5i484Bu8XC5pHNiHqt6qoYtmpf7ZgJ3SR5z0Kd3yk2cgoSB
E3x3vC07oCnmHO81N/NdJWfvOinq2NykZRccndoxAGb7CaYCyffsaKbwYLyuA2/iWa1P204GnDqo
RvuRZSvV2UL2L8nSpbCg7eAO3tDaLOQpfV/YnTfszZAsH08Sw4RU2A1ixusgxeMgwvQ2o4CKR16Q
z7eeo/IvPDPOg2o4qI/CqSEVYZYVO2/wjG9OvGzP/Sz2kOayH3+emi1PIe8ZP0xt7cF5iAezHwU5
xIxGvZD23ghFHZEERTi8TkTtv+c4OO9KszU+a+Lqj+acUENg6648VdRQ/aa1NW3OgCXqmLy8V37j
3+1elnGiqmgphhOU0hwbuJ+YSBzwUKu9AA47U7rJKXRUqhTHWWXGs5BzMewK0DiQsb3uVBJMi6ii
Ms1IkVXdWXPf0sVhF8W1SR1lAg5+mF+XALNbTW3kzP/XVz6WsnTa51bdnJGMfdDvMm13YyXTEyw9
88oq+7fJ7IgRyzqFlzcjWtGm8CuuzXWYEmAZEiwhKRwR7i7p3qe4ZXYe4V+SC/NYb0wOr41jJC92
bgUbt4Xgym8hlh4d/q5996iF015NMpY7FXTF3mUrdwjWYsM4neOfmKbAW9euOf9m0s+bdmI6BHdy
qEvoEyNPBOxC0yAuMqzru6nykiuVNXpvzUZ1tDTZUSX9/mvMu+aeRiX2F4BX6V8mTPnkcvftRTDq
41iE8hfPGR3VYfKQVhzNuuc/dF4APo5YcDb+UMdwO8CSNGHLtlj2+tzbkpsass52TMcvpocOyZCo
34abOIdeOnbfucKys8vGAt5hBqg2UzYMxkqJ7nrkF4RW+Lk9tYrgoFvn2TUlFMPHEqjvpTF4WwFx
WK9TprEmqSCbzG17PRv2gjNWoukBaae9jN3RDfUfFR3YOG4V1MUNgTd7n8Iwve9Kcw4iNU0kSFTe
nUEuY3ozGpVR2tqat97isU83MnF26viJX/t7ATZ2mPoXTM0kAei12gSQ7vC+5wTbLGD+/DiHKKQW
iMFtyZKbBMJoHmVzX7zUzkS9gRQhofASF2FYqWewi9NH2uTTHb1ra4kRlNibeRH+Udije1XHrHIP
5qTJzZnZtLyzJbvNG93e5vjJDrHujj06Hi/AnlCGWTg9Lv42jsjTem94l4fPZtE3ZVKoky4yqqws
s1g4YhxJCXNs4u+m8zWgy3EPgicA7Gwsp4GOtdX81j/SHcU9Fyhvy+ax36tCAhAg7IfBfyntC26B
8anzeZvjECSm3qPQv6sYAmxn2cOuKgE6ER3Qn0GVyn0R+tPJC+PxMZZewZzTmXsQB9xu5Mv2jmGJ
16BSUCKBbchhO7TDYu54jdyhIfpqR0MAsIC6t8qdMpRHIjvvK6AisAO5wi2VRLBLQGx0htP86koe
T9vE6IffrG87H4TEhB/fsquKyaRD0e64Tb5b24DeQq3EdKTXs/o1yRZ5onfsIiZ9kzXyrswa8yVO
h5rnd17e1Zlj/7ITQ9zaWWF968yoLQrVihLXIT+Hq57pZi9g37CBW6b0JVfT6BF2Bun12DS6osJF
qmDXwCinc6hQy9uQNB70AzVcTQBvmBcmp7qzUFjFcRVIPqRnWLshX/CPucMkqIZywX1Q494Zj5ae
CbSMgxtxvzSPSeF3HzbAFQpurPJoe+mvNquTk6N1V+2KNb9ijugszHWFtcXQ6z1Rzdfh5CQMdSOn
2UJapXGm3dnaXvwD7C/H2DtkXACkjGUVvGQqtc1Dw63pbHRcrE9GeR7HZp+OLQFwNmz9gpnNXOhB
H0Lzd0NX2iUg5f1qTiVVGglEZqjgnZ+9pVXaXqPgVFjeqACisQJt+9rwM6d8oo5recQQOEDNmUj/
n2qa+ai4T2byAKMxRjOqxKFz/HeSVmW4Y09pkfJAUudESk1gRJa33DB0tr/CihsLYgcGylySTGc0
M56InQRneg51xBMSe0NPYSEfubS9cOQL96T6Mru1Ysf9KrI+eEWZIZvIfcRLuvEOVV40Fy9sQAW2
EhpRikX0DC8PEGeYFN+Z0RjxUUGCITeQUCNCXMCZ0HbCkkYwq0UwIKZkwyESzQgPqU0BBrFx0OtY
2Ev0iEJpsmZT07lbzvV+RPaXK1tW16TziDfikk3diY+7zpIZsIFZkuLTTGIZbJw5oKzKH8xtm3ud
H7lt0785sVqfymxJuHN0UTzlyIFeFKNY3laML/zTkhR6lJT8Ym64p3NxrbzS/ZCGJjIPkniKckrR
eOFwRc3sC5sNhtvpegyb1R5pNa+itII3WqNxQcOcMu7qADJnpAkia8C1esa2QKPkPi369oqXeLEf
lgareDz3mvEOghwGnqwj+0URlvzlqrk5VKIXlyKmzJGhi4zFvvN7H+hd4H0J9A+DTTWeBuEW9NOl
vHneMk1QBfx1jydYCeeuZMlyLEr8vfwGO8VDZQDmIf6p2ihpmT1IqEswxlYrqjO1XhJnq6JjbFvC
k2l2Q1lD7oopzhkkO9m4bDDHtHG/60srO+SDT2gjLuLpHcs6PXXxHOiXfvbxqYt+CvmqfbHAYcg7
NlJ+OCOgDTmv5L5IrKfAD5Jh53aB4J2QS+ck9NCXG3zw2YeNBRzdIp0Maz9Li/7OcnAhhYc+S+SM
shoHP0gm8D7Iyfcs+BGTfGNlpA9lZYtrBBE/3ZOlqw6otcV3pUr7piLyl+HF+uNJ1n4rbtNedi8q
hJ6iRhPedj/Hgi+TTZOIcgMkJr9ilEdHI78qZMvihQ7ANlCYzQcZPhFFZpqfbI6fWVjZZzyPONN7
G2D6mXMiLVicWg2/oLlXWlfBpNrqIINwcKAwD/3CWm/yv1oMx8+FsGHV5imkl01uI+lt0s4H85oI
tEdmASMHtdtiLKlBQcgPKsb8E+sstFJc5sEF7xShJp/zkwM7k0TISs7/ZZsTozK3XkUyKSoqC8EG
5pKiLj4dmgtr72lEpM2nd0HH+3bxVf/OJ6m1z61J7EY2UvfnxrQHj/eyz/rHcLT8jq00S/aTvTYy
AQ41VMS1xLkyVVNRPmfOgFkirBcCSX2nRDRyTbobg6abgyvI1Rm2Jgs/NOZ8nitQDOsUacgIQ7yS
u6Woi2xnk3C8twHeNIeAl1HLyBTqrcLJ2EOycOObcSIhHbVdtuyUmWHVH/H+cqCaK0abU9UZWPFN
e+J/Zn+eRw8nz8r8WaJibtDR0tZETNK+4BxYkjC46AWGE7GFvGQEEyzz4ow2tU3gFK2AE05hE9s3
iVg01/wH0wep4xtNTC3eF6X1e8iN4KFlhYvymAmQ+kbdTVsTwEvOx7iAh0nneFvtNMcm5RadMu4l
o0bwYqdE8yQMOwaYDDB+MFqDsWesd9PfLlbxXwQxiR5mqZ0+FBP1s3yPPbVNRj99yItgPkKQTYZ9
Qp74pUn75rTMg3yhe4eXdBU02V2hirfGcOJdnfo+9YhcIrt4hWJJ1RHO66e4+mChY3zXaTM/UXPb
G1ty1+z6fY7dmVJCNjibKaBvihlyCo6kMNCy8yH84jHXfppZUD4v5tTSkd6MesewllyTdA0DQKXr
V0Q00qFcVMCqTgr3xzIUBp14dvYTgsIJScclseb1d9qc7X5rlLVDxs0flyNuXPnQqbF5gL3DJyAj
U7mlR8p+bJXmzO4WKDUUfljTKVF9s1/QV+R+Gf0hiUpDo0RZDY1D+9jtnfQY8OtLi1Y9OOiWUFGo
C7QoPdovizUs52Z1Hx/1BEjgGjUzcIm12NZVNyePiXIF0UNr/jDjdOcYLnxSE6dloJZi/GIho5gE
lP3Gm2zyuNuyRDwC4UK0qPOAZF0r5FMLPuCJt6hcIjNMfCMyWUUZPNuUehW+Wf8ObV7ObF7QAaJA
m+WPrSkbjYjsULUnJsR+Yh8KOjS1g27JQc+LshXl4c/S8f/25vUm/WprXf/u/t7/8/+qwZ2s2Or8
+d/vZ2+/Uwzuf/W2/+tf+dde1qcJiN0rEDLzPx3s//S2B9Y/qP01Xc8yXYb1P/znf3nbbfsfHj4X
tq++CQUa2/R/LWYt/x/scC0c8aEFqdPx/kfedowSf9vdUzQBNMEhYUN5BEE6+2972UGowK2hx0J4
Ie1Rl1B/GI8N8ybx24T+AZyRPe2NuxACbrmzqTk8W6Iq9piB1CnPMouKFpMK4MFJQzh8DeRb2+YN
sglw6rQHu/Iw9lkphKCQc28nkQ0tclRje811q96W1CuwQ9TFVeoUybHMs/bYlwOcq7XnjKG1uk1d
3+02SnZDuPUcl6dDyR0IL2B2efXZbttWV3ZQuKcUFzPBmsbVHGOOcUPPRK5YVWDJwUY8GT+x7oHs
co6Gn2nYsvcyKXOjRjO9pqFm1WbzpT4HniNeYRxS3ItSgmKQN3wM6exoBzAHcEwpL6+yl6wr3sfF
TG/SNn2KW+LdniwHil1E+yHEkpxcm2QMNTziUSxucWOmmX2YBmOF0aVoRXOVXA2zYTCvmGR622Iv
62rZhXzrdhSCJVxJbbxhSTc+tBWTfR4GN0E9FSdbdimGVZA+svE2vajTB2bJ7KqymmJHGcP8a1pq
cU5I7EFeMI2KG03k4DQyggDXeQ2PJtKmg9Ks+yaZNnUBU85YWT+MdAb1PkVhWai508gNXiY+rSJy
Me/EDJY7HIoivGJOtTVz9opCQyVEyCxt/VH7yaiuRlYKJyFJQW9MghO3aFfMfqUKBvCbLTSM04hb
mGkSviH3vk/XHbFlGd7pQZL8F53vBvuKbu9rPZGphgRFJ6IZByolXlaSgcaMiQMLvCtajbYvKbmy
X8bQ2/tYj9WhYtRcv6SBdT/ow2cK2r2d1wXTOdflcNtZfsGPkuDUvHGnAAqAPbJ7DyykrE0JiPq1
90bxUjdWC81obK37kBacW2Fjjd96bVwfcQcUxzJ0RwIZPUJYZ5IBJtaW3WuIjtwBiVRcyfPMxMeX
NOz7wqoRsopVbRAifUgIiR3JOZlHwdN0z4uu5IGfr46Zxq9vWLR0WLEeQeURJBkHMt7JSz2Cyq3z
ebj0Hd9ji53FO6+q/s6r2wG9jNRm0Fa33WRdnHm2tnk/LWQGi1X2MfiWgdSIWlZEN2HB7uRQgD/g
Uz1PSF9tS4SFlxY8lIaGy2XXE0tcIqOZ2I4Sc/zxs/idsaA9M35WN6MKJ1q42P5vMh6Ex55kIPHJ
CcrUoqkU58qNbzNN3p8tT1yd+hSY7t4eLYonWzP176u00C8W5RId6k7h3+jQat8m263YCrYNTyKf
t/XJa+J+uhoDXvlI2VKkO3NwgvmXa/JDesQaMG61V9XfBdglJHZLCdHQ3D3MIXMk16H1akhiB1dJ
tr79MzlAWKwdNze/4D/G4bmqUeO2Hj31/CjqPGQH7dNfQhdZ6kSmNczPhCGtrdd3VG7YE9WvSU1p
KTmznLYM8mnMaD3H9IYj2sx3vtcXr2k6jYc+5D0bcdi/9Cocz5bT6QvNO9Vz0Xo0Q+JGQKEIisn8
9iFNHzSMixvgFSTrEiPeD11G4SchQOe2tqb5s9Kx9V60mMT8tvOOE58iTthGogV0zdOY2kgRhbl4
kN8LV9Xfcujq+8UV8U9m6PmYMwt9t+OExmSb/MFWTDQe3PDiTodJOp5+Sg3CkORDdSAxxcBieJi1
8gfMpPRw7PF0Le6VZOWz7XihjLuUBhZxjO0JV2zZY6C/qUq/sa9KJqZy59np2G+sXC5PLClXt0hC
SwBtIsJNsCm6PJZtr5IDr5gwv5lYPnG9AAptrISl1dJj97WbuD7MjAe8hVaSWiFvC10W5zYgTWpQ
tYOZ2kVMcLh4NuWom2vwhcgofSjGwzxN5Y3M2/GZPbREhw4hAiyu3fzqW74ciHJ8JDZ6BJ689Xvl
nCSGmmVP/mYNiBaNnx1zWY1lRBXn/GW6ikzKkM/hJ9hxdiNNRrHQpvFhMODBMavwwECLA88sZxo3
AKi5FHuCvn7Qvq/tHTRCPznFIL5hcva9ROfkgE9vfeiqzHcA1a8ybJRXY2O7403h1uMR1xSfAm2U
pxp+BjN4GBA7AIsaZWydmDGS7sGf+m6vi9b8UN3y4A7gkdk4xf2jOeVMAEgReAM66qZh78Ba0xt7
ycVHK2ez2IJ5F69t7/Vh5Iomk0em7iHZ9Uos1MwC91k4s7MuMudx/iF1bT57bNgfO+b/fFsPc/co
HDM8KT7Dm8mw3QdLK/eVArPyxIHtXmsogxsvayWkvPlmCQt3inoBVD/wcna3y7Xd8YFF/y2W77Ko
KcrpnbW9x160WLdbpWaK50cpN6wn2nkPAc2oDm7hOr95OM39vjGCcr53pJk8ewnVZvzpZnDKrVLI
AxU8znM2ZZx3RAI6tuP16gBla9XdGn6PVGkMdvjaFGF5tFgOAryHKekcEQ6HGOduTBuLSHivbeAH
wfjTueYHnbqYh241eN1uFwy6QLfNzds2I5GKK6BHaGyHueINEbLhwf7RvyvqdW97m1brmg5s4BXS
048a2NsHLAPPjrxe+6S4JaK/adLOzuRjKxXZFDvd8lWr6zihCOkoGhNfAj3t+kcXFJRvSzlKIrB4
+fxjPXe4Tdre8ZOIJCw0w8RMOLDFYhmodV053viT2SwRa1HW3tKzmm8LQ3EOQXKor3WinCZyR/UV
YNw+NgoSYu8OCw6KCRQpjjbD0xE307JrwLSudFhTvnsED86emQ2vRlogdJizzm4Gq34ORuXZmLBS
ae3ovPROZauzXVYOWc9aqPo2XfodvDFu35aqrq9alfMzH3rRX6a8IUcM7KNj6410WfYZGkYhWLHt
6YVSd1mKcQ2KaIf/uqDvCOFXoUKkfd72iCf4UaEi2GuJYckSFApDJncGBJ6T4QbyuQd+9NMXVDix
rhmLelf39WJF6VLxq0cmTW2Xrm0UpzKaMiXbDHO+5YhwG9tZGQ19H78MaDIkkpP20IrV+YS4DjSL
lPYyJwcepMfczIXe4COu9u5MSpNlp+goDCM45gTsrRCE3R2uNo7AtMz165iG+c6V3RRx73Oe5PxW
XsvAiY+dLJpzTSXjE7sBir7Q0rZg6iZqrERRRLo11afEPYbDJkmcr6mkGjimAy+vl3fSpj9DGtPj
C+GLwL090JY3o6yxZwm8PytjNmExpnZEpAQSKKiFGfJba75ZLrfRa6Jqo9wsk+PdOQOAiQWAAX6j
lv6uo+yagi5h9sw0jYVV/tlIjyQhPh8C3W6NIieCxGCFXIfNseW6iDrugKsJSupDHabjS9xh5PLG
wh4POuOVaSTVabBZ2m5UhzZ7NHQZ4O6pKnwd9MqNT2y/2Ft5StQAYvLyk3xh+2bj0fa2JXLKT+sa
ePXwh/NnT0F7zwlk2lFvOg2ug7zWd2YzhmfXtHAKQa8L70COto+EpiDOxAJhmjVrpX6J1E9BgzUZ
WFweaPN7gJz81UufT4ffsWQ58cHjYZhWSf0Ril4/gcdzzmT97LtysvRz4ARIVk7T42NypJi5Z1lQ
R0NqhAe2jdOR354Rd31i9t8u1V7psV7S8ISnn+4Ts/bR/uBuBCjgs8MmPNN0B9grx7UoSpC+hvbl
GwlnAQtnpOat6It1k1E7HSDTyrA+YHv315YYJS2s5Vq6EKxPsAGSb0Rllt3yOHCI4fEmhIkazvqM
fMnaUeE2MzaLHZvhIanc8odDIvvIxtG/KQIzczD0q2rH94zd7BCkAJowQZCwB7odb624ftEiG058
WKnzZNEQDY1jXVsQz5HEcpd1ej/uOFVhnPowDakOCmMXE8/qC5LLLJ8zWYTfMmz4aLfwST6n3svO
beOF9sZPKV4lJNZanyAxgPCZUHpTI7exdTA3jliqyEpNpzaGQaeWPNvBMShunWyp7mpfZDbRUkoR
oCdwsDQ1zCfSWpHHIfkRFiaU2qD3foElWT7pfCYA2ASzXLEK2Wdj11TXTYV8RLnO3+y4NB8xfzH/
+dwhF3D38XjAp6PZSPh2l0d8sOgeow0SxFfatmDEpbebyrHDB2gcKT+do6p6xIxSrKXuC25gUhxR
7TYOHAu82KdZVkUJYrsrsIU5yXFaeFxs4eIvScSeIfkWTsNjETPlTnl+ecAEt8i9B0nxJFkh3Qkr
ToD9jsYT5onikfNCnaXDl8HLiDDekCd0wY5cuDPC35M9QljhBxozfr37GaftFLryUdXL81/kj7t/
JjD+2iOyOrn/mssgxm+iI2CaJUNFhcrf8mON541+UQKrBMgB7jTwyVVPtTBOQNbyBbx5XH3/+7/x
f/GWk9AiqAbmxyRKJVYA519DfuiwqnSabjnQBJrdA9vrLm6yMgsry79OSYoerJV7+e//0r8HhNYv
03HW+Akeetty/hZKslOrXmI/nw4Uxhdn3jXdHeZkMklmljw1S0uv0TzT3DKO6p9xi/8vxf0fqtds
fr7/Voq766vs4/O/SXH//Ff+hZkQ/+DXhIGMrrPAEqhd/xWRcABJod+Cl0JLghdBTPRfUpyDFGdB
fwjJoFneH5LAf0Ykwn94Lr/m/Iv86pG5tf8nEQkUv799bki2CWKQaxucx/9WnsVff4tXA57AE1Md
+n7Qx9bK+48qFbRZ8Ti4w82uT6My522ByowDKEhIElfyqp2g1IN3otSVAfMlqGbvO2xplVKub+x9
tEfEkmw6GXmVEAk2iIZ5Xnztlmhiclo+IO6xrk+3Tm/PGzGVJ1pBXQhHQKf8mi10G6ZoCpyhPA9f
7Nr9RjKnRJHGgVw36mDTscE4ZmJ7Vk3vRywYU8ZE33ouvBSgpiKfes0UWd00+bzc8oEsv/q8NqM1
7vc5p9x1/H3jLZQWY2+7BgGPBu/IC3xJEOOUjEQu/J9tG8b5L6/sYQwt/K0xxgwWYTwwvgfTGYCU
1/LVhZh5ZVS1s0UFHbaqKu8BndZY75LuOrPmkrsgmG57AxxCnXio5VozZa/1tf1dwi7laOSiOtVy
7B/mUnuwiCqaWaiusZ9n5j/ZTtNjmjnyohMX3RGIxMEo/Tu0i+GZLm/5o4q0fUvF6N6XKIvUaAQh
ZcnKiaYWLGgp4vSRyKQNy29+ob5X3SVeaj06ufKuer7Xp66MU6o0g+plRFNFbTDXGgaJ8iXzqIXZ
9AFhJ71QVc1MpVI4G5ualcajG2blxW+Sn9jFmbSk1DTpXqg3gfWJqXluvsQCCDWbg2Xrh9NrYjfH
PPHI29r5Lm0s636AJrtLgyy/o/4qfHPF1JytuXFPTtli1+iX4hvxBOp63vLUYaHuXWbSApdqaXhx
oFV7X43XKzwP8Or1xMWTJ+14Td9JTANwpY4+403UWQGm68qwb9Ts/8TtybLfKEQyd0BXwkfm3vq6
8LTeLsTJANRmfbNb5Aw3vjSaipo7C4g4y7b8EiYLFBZjmZ/tpbBYzqMJS7dWr/CO5ksxhzHVK4N5
nm01bCVTVUR+YNzSG5oiKhB7uilH1qWsfBp9NJOYXXE1dGz4xG8y3BQ595jPlK3CPeu4CdawPV11
XIIXLoVnAixqG2Ib2MNfCPZ6bv2nkGc8CnpZfIjEILGsUwx9Hjx3ZnOmoqxlRlDLzEqpMgCbzn0d
GbOpEAZqc+cuKcMM0P6bUtTz0Va9fyiIGeAe8m+rqT2UTsVyPFiamziI3a2XBZHXic3qKjwsctg0
pWICiaOZUTQa7frTS+YD7/r0xEM9wHJj5veM/inzM5v/nFnHtXJ3L1jpH2yKhojsmsF7nk7zwFBV
DfdWqsYHUTXvrig/q0XuvEWfIZl9ZUMl7hbioMfGWAvcrDLm8Fn/RLqjnGi0Rphry8Oo3YfAShmR
i7bbKhCsjzKE+eaMmBBQV9gJpxgWvfrSpsu0Y7KqIqsXxkNNqQR1OyOSL7y4Q5sLE8EESaKeK+uE
4txd19pxd33X+D8d4ey9qIVzwyTMh8n02UXw2HykcpPv6uSSnZjDKdLDwB6OIjeQvUW1C6x5hfUs
zfQqKc+5cvwMNEmuqfSB8Xs9+Ua67jD1Yaiz+QpqJgtGS2uu8kUuh7iPl7tALt6eMUFTFy5x08Tz
tAUnC6ssJwTjkRwAxJ10hzxUxc6IfToz59492L2HRcYVzmdD2hvSXl7PZ2YwKyqxt2GvrONX3vVL
xHoQH2U40tKlpuoa80lwTGgP+WRX3Z3GxDajIMzNBz7kpK/ZrcQb4FsiJcI6Os/in60Ia0FC/qcr
IYZTdtGkUiDKptRpZQMz/YST4XsKy2dnVGrXzOnBgNaF+0EfEaP8LReG9zZUxn2vx8uc8pVTtpKQ
G1kVDwodoBJkb+TiFpSuIMO5B4+0roFNxG0REnqzPY/5MaFXey2K8DvmIr2WR3SVZ95pv9jlJppW
IoFQU2m1oXPm3GcelTMOL/7ccU/ZQgEPm7PHahlwxP3ppfCoOn/EV5au8uN3zrhxHGtpbamovkmq
9D4Dz7jNM2PaL8HQRqk23X0Hw+EAObs5OB4nuLcWY0zYW3CoLMMP2tZ9MvjPmWi6cAP+VmBSbOa3
JuPYoM+vpJp3EDE25rWFw4Q6TQdJi+lLr8sVejrSIvQeTIHjlj89KoLhGA/yvcs59Yv0iQfkxS7l
rl77PqAuljtmPHPjrW0gydoL0q4NIROYwiuQoopFgOO+emuTiHYyssUqyK+4JY5UVTePEoT3YVZ9
7EXWsPaQlGslybSWk6i1psSnNOpUU2T0w4KCFTLpHa7BmY3OWmyiPZQNf4ESrAU2dRwRO2H2b5S6
X2Acr71yy8Uq5U3dJjbXLGRjGoc6HCAqreGDZxyqMPKuAa/hgHH0mc1PVK4NLHZCiYqbOWQAs0NL
RHjTqcxpyJLjJbeW7gqHNCbuoDnbqDIsZ7IfLHmhtxcVGhvCkd0+OnJU5yb4ISwx/k79Ob6oCdPo
GHv2yftTGjP8KZCBrtl9LFxDP9liBttmrZux/jTPzGJSXG84J57w1rD9/1NXg30FvvhYpOp+Hih9
nhvWkcbaceNRre1tUsw5Lxw9GQguCgu1qqh7sufxYK5dOUtA9KXHtBfNFqt7A/okzOZ5KaE0znGy
dRL91CBjTFoFt4Hh9c0GB9bLnOJ0amqeKNJsfopmmp6a0i8ABPvUw7sFt7fjlOE9i9eXyR/u6gri
Ig2TF+bIvehxBnRO/2Z17XO7gExxqty5t7yw3oOrmfdcezR3/GkVQtT137K1aqjmWSG9/CtL3ANe
9OOiSTal/nHsxh411q3kdnFLOP9rofcO9DLf9mxXZx6RTJNeNkwWs2E+5GbyxYX2wlLsW3vuYfVl
XvCZqr203DAS2Dw3Htk07l1eYXGy82AZbzOxzDcQzMwoZh20dWZXXWDD7Askw4QedV9vw8TtL3Kt
LPAbRXuBgRC0zXCePXH8Buf5D1S3W/m6POGJAVq8Ot3kYtZ5esJPY2zTASavohb3nlfc/FhnBQH4
YfTurAAIRZl9UzLEfTO5/annBx2por8RBBSujaQ2NtrzwDtrG4w74cXr2E67reVQeuMYgxmRlvnI
EO8wxNMuwuS+sseVICTLDkJpMW3rJfHOeoytO57f6ppNk31siOBQu5WdSmNS72Dp/RdCx8GWRqeE
IprZgN/OsvuhZQ6+DWPLIjNbfwQFTXRe2MIx5/bZTL64YkWHB1B1b4rVsRpqb5vaGJXmUh1Eh507
Ni3j1UvL4K0qR2OXkjp+rtx2W4p12e7NLApBwxs/uJ5YwqSWuB9ZP0YT+g3SH2LsNabtAuwc6zpY
I0dn7ATf1FKeSSo2d37AJSXrAppS1b/CB1Nn3IPtO51mbBI9tSrNQhkcPGuua8xxxVMiye9OGhP2
KONolCGNXX5OQ7nneodm6OPnak7UvSntYKsSFT84bUPbXSqbK95g40NtF9VrK1uMtOXIFtjz5gfb
KM0NhYnFd11a/oEmtOp3iOhymMbGjQLFC5oNjXumJINE5WJU5QfGJ5Kww5JhGGVXeKrNOX2Uklce
OqhKXwh9uxy1DWv7PpYXqzDNg3RK82Lh/4QlKikoTLS+itcqTPCy8lflLgR4kNy2+GfLb1f14QVb
svcyW5axYfkqNgKe2ztt1fIhRxp/rAFsXI9BQEYns9KBbz1yHTJxuuMTk0Var5drldzrzN0vrZfw
YNP6haIzF9lzGi8+ye5IjKq6uBoLb2l6/m6J45+RFt0/QG+xr4qZp9vkxPt8EcG7NbWsrqrSeRgX
oXdTZ6mT1Jng/Slgpnae94uRVe2WUoY/TRfb25AB8CqZg/o/2DuzHbmRNEu/SqPvmSCNqwHTA4zv
7uEe+6obIkKK4L4b16efj65UlaTUKKeAnotp9E1VVmaqfCNpZv855ztXThBFl7QgRDvbUmzIrbw6
FBSfsGpYckOymRmbiK4TradiNmBn7kXSQBY1GHKRdroUU32V6aGgzsmG5eQq+OhTohi1CblXDM+P
dl8nH3zQau1LWoeJ5lgkEBQhlT4dP2x/+qyyZFx4AAAQ2L0A1XeAhS6NGT8HFTxLc//CD4PLLknY
ORryJOCzrrCxdNS92tFTNHNk+yl9KbwOpH4Qu6eyRQy0p3iTo8UtC9H0F/MhH1d9/o5HbEt4E8S7
kuPar0OKBcm9PIah0Ex8bOQoQu65Vdoxtoe8nq/atjaOFluwZSVE/hCwgfc5y3WPgW470Jr0u3gM
/I3lb7ze3xpJlRyo2L6Je2flBj0Pl5Etua5vKFQZ6fGcqo0KCIEAUL2KreaNy3PAvp7Fl/ipQQqO
Nd5FRYKmh3G5rSfDRBTQcwokTC7U1KenoY6dKwyxL1OoXwY8P9cpDIh5bxBt8Oxo667UxJpznr/z
MG2uEiuqb7oyjTAZNtWua+S01uy5xsBu4oPRMXWuusy7aqfR2jao+MC4glPnmmBe2Y0GFJa1Rr/A
W0+sJ4lBKBiFT03nJMUTfRfLYZaMq3QG3RZpgLVPYxia2LuwOCaeR8oy6PpjxqOQ4aU2dHeNHecv
mS+4eUwaOWgkzydt4Ycu4Uk9rAZ9qXfxTVYb2u1Ad5ii8czqCIzMbahsM+2OPGaSX8YqNj6xAtaX
pZZyzKUxeEmzVeUtSN0RaydX9tyak/8oDNrKqo5zy0JF+I0XWU7vMFFSY0vKTW2xWTp4aobkMCqn
3dtjYd+ag2Vt207Un506RtfABxu9FCiI6CwZMcWy5GbseHjy1cgLH/jOnoSpt5OiR8tyrIRKwkaB
saot6uX0/rGjRewOh6J1mbiCTlwjL6aFo9dXJr/pjcgEbwaT4mMg+vcyjcWakxCNlnpnXFHaQhZ7
8FFpTbNjbmDPsjXz/itWW2OdWRiR2X1ki3HUjmRQiRsDUNhQcQlTwai02cCDj1kQdGebjnf/Ui+l
e+emg4aLS/RsuIvsBBl6jd8DE1Rg88TqgmjnjF1C5JKcjFTFPbzf17qkpXeMtEXcR1+SxIr3blVT
QlIjXiISUDA2PDUcfjzuYdc0xhPh1k909WgHTMDhzXni+p899/z/qbzKwV4hLJ2B9v/ZYLgMQwKV
URO81uH3s00Qf9/+8J9WQwtDIY5CGyGZsbTu4OX702qo/8Fx6zs7If/km9UQ9q7OFFNKXbK2OAbv
5c8BJ1ZDzFaS+bZl4ER0XfNfGXACA/ppwMkzGrQEpCb6OqDL6T8NOHXqWOh37wau1CIUEBiYKvZN
jOsLAQZDuFlO7Em5TdlxdMEcXnbdEhu8NYhBWyhHkeMHf3jMZ3UDKZfnWDtrHrbrpnfJrIPYsyIS
DEV37cwqSZ25RPPqWTtphkSu0fWQ+2ZlBTMRIoscUw+6xqy9kHJLH6ezIONTcXlBy7wFGVA45FV7
f7xxBnbYi3q6C1oCG5O2S2kd8xaiy+x1O6s/oSfzJY4yJCFc4G1CbASr49JN2QdugXtXl1Exx69J
D+t3cCXTZ5IowV0xq06MluO36qxEnUWpkTDgW1BI+9MQgq9XqqVSBKPaUgIPsGOBtFWbqbMsYoOq
85jwx/XQNOlVOethPCfIhiGRBTrhKSMLBfA++qBJtEGUnzU13IHGm3cW2vKi9VnMvSg5VrMS18Pk
ZiJ61ucKLXiAIsKmLz4LeMBGEfMCga6nbOKIctb6KAFkNYsDccAdoy0Z7VpLNauDRNA5B82CoSsG
gHZTk3M6PkuK06wuhtaUmCug0O6pndXHaNYh9bMkyXwBebLKOw6H+qxaTpIWk9JuWLB5GCNryrPE
6eSgGQLNRPhECQ5OymP1HSRjqxD8KSWKZ7nUGSIi5IyEMADR+/ScnaVVRIJwZza8jnGWXnENIcMm
wMtJiNp1zjHVr9k0hNKPdvgv2i9Y9JFykdeGHaY2uSVlw0hDzKqvOAvAEMrnXqBZF1azQpxE7Fb9
WTUOZ/04OEvJzllWVl8l5lltrjK6chsZste2z3I09rvyk9EqRn7TWbDGWlDfGbOKbVmGRg5j1rbj
WeXOworYvZeHhlhiv69vPPrdHpuzOI58qb23VHHTqjar52QwszdnVtS9AQrsoph1dpJ2SO4B9ZQo
sWcpvj/L8uTq8wuFVO+cRXsKtqhwDvv+EZtVSSS+mPY0t873bcJo5yz+W6WDEYBBrk5r1GwP8HWR
vAXcXPMf9TEQ0MeAmWBuRqjX1uwx6OzI4TxlYzwQZxNCUI36s8MlRyMRuuRWng0LHnl3fACzj8Ez
K/YojV5zgnQrbz7mMmAKMD/4qZhe+gDLrl/Mhwrzc9FJrBI6fuI32x3wWFqzl2LAu7uiXGxY4pTq
74e+LY/h7L5I0HoO+dmSYc/uDGiT6boah+ZpambzBgQ4ay1mR0c8ezvcs83DnB0flAXkm2SkjoAo
hL/DWoE+gUOkmL0iHccDeDlhvW1nJ8kkXP9Rzu4S+ooB2DqJdJaaMdtPxrMVhUMhCY6zQYWx8DwZ
7DF6rOHxMz8XNAa/MxUPHyY3DC9gsCTEnRU5TFxxuGA0bhRjUwkTcwzxgfYlO1tmAm22zyRnK82U
2dU1w74Mg83ZbJMxB10ZWqkIxtg8WNrZlwNYBIvOOLt1VNY0z43uUqSAlSc5m3ry2d+DE9i5CGUS
Gmuv1TAAUQn0oCsRnyaPZnm66YbuyZo9Q6Yfhi9G5zJ0hI6Lw/RsL5Jnq1Hmgv1ZVrMDqcm9dBdk
6rNeRRZGmtmpxFKCaSmI0+oL2pBLs2/dktNhLNWfIkx1ailtHBerxohjKl2buVuc6o7C4zxQEQ5u
6efz0CsCAxyfLiEUApxSS0YSC3o7WGXw9e7qs+sK7e0q45uCLFDaEwPGPk3UVjSgu2k6VGJjRY7S
dxnDXSxWAcQo7IlszRbExWj7m6jspkBWr6uPoR+9g64K9s1N02CEJ6JyUjLN73KN262ZcIqumNdW
L5HLgBLakefdKNy3jyOSGzcdBa1HHdHhQdZd9cz82zt4ccppNXQVAp5XBuZVSY3DFUqG+4CWwlRd
MsCslm7TpeZmLI0kWzWgakdXOdOSUXjwKI1Wz1ZD4RofeqUb3gXvMDRXTmfP/gRv9F7UAHSCBUo0
J+5bO9v5lrB5MPS2c8+zqT52GXvJ3i/ExgQ6sxp8EdrLQcP7jnQSgVoGPGBstKqIjvHou0/jnL1K
iyG7SthTL/G5UWPeF9G1IKy0DCfDuCaBWCxxX1ePZDqTh1Ka5QriwEupu+a9KjvrOklHsWqTmOmP
DV6y0gvtHcALUC3iPvSKY/vbx3pMcCYk+3UPFs29dovovih07Zq6FX+VjNAJ4YSgbmmxMFCKSthd
OICwf7PeTSH9EXmOV4KvLVyODBnmtnNvmK+E1CxfIy/3N0PRBvamc2dtbcKrGVIttFcBW4cu7afP
xBWjlTZVcQ2GqQivKABqjvB63TUdltGnSNUvpEanLYCLASQBxTWuk0WvPrRM+Ox9cuu5uNcJbM8I
szDfVFrvOUuAfto67yuPxuHQ5AjeMCs9uXaWfUrDjjEIUZHBW+tpQp46r3VrnwYUeCwb07P27cyb
oqan2OVaHZ7QC+q1amhtydyAzumkSMgaNZa5tXgAcWrOunubpeXG0lIzWOJbSPxFmHjOutD75nUy
4v7kNaYfr3kiEF0o/JCBXifudKstrw1s43RcAqU66kHn3JlIUBR0W5y5+saEo+YN3uVIk5miscPX
4YrCHGNA56avJXLdSzsmyS0DBPlRY1snnkXFMrAoUt8QKEAO9PydWuNQHLR5eh0NM6TLNvmJodr3
/q5uACctlFWMT7S+SBBZY3mdlNjaF1ZD/HBhNob56hC2djDHBuEjKQJQYMjchXY52DVpjSCeVg0u
RX9rhpQFLOOoHfu99N2m2Kkxdp46jTsyz6LulpaAaquSzLjqRQh/TNmN8rG18XhwcjfglJmqlwB1
5waOMcQyEbQc6Cq9unDChHt1CrL46I7meGSwRlO1ZmrtDRvYHrrhTD4LGf2Czus7NVCXGZpQw4bq
yRRxeS0bCpkGTFyXXuswZ2DZsoaVXdX8olj5Jw6FmfulsKySuQEev0sNF/5BwjpktCAH7Kq90rB3
u87nieOnsfJqa3xVoQLk0WS5tkYt7t6IDMfeRppNu+mTUO7idupvukQZ7ddPibcgX5ZW1b3Izr03
ZyZcP/X2EzenaaFM5+U1SXiC7FX2YCfpbQodZIW1qjlKHK/cs0QYsd922jbPbImze4YxQTPlhwfL
jUnXqFlB/LJH93ZwktO3JjxKqR2/OkqjKG6hdDi3HQPQE4eX9NjAMHmmv82GsJ013mesBgzaEtg+
ywGo8OXgOcRPmlQNAG1GfTwUg9nhj5cGB14oYQb04iAYdwoO8Gc/DaDp5kg6i7lVlJBu6UKYF7Un
L8kiTDuDletdMxrnPQjg+Ky7OJmwMqNH0AyU8VsvbMJQYiswPz50hFRImqbx86Rp060uM9/cdLTl
sbaFHUkISCHuKNLLnMTv9RSZ6t08L761H4MHaEEsofT4tyOpzbeh8JqTm+flfd13F0YVkEMPs855
ndMJwxrpmggKKC9XLoUztvRxCfPKS9weokFAhDVEZOZ3Tm3ZkiyykoSBcIxTs6saHhpVAZ8hbYX9
DMwLCGBbKeKdekQzWKXr5WdLqxRyWx2dirYubqKsr55qOYVfmsqWuzRPjMfOmLk5wzgEe9m1jdoY
NG1FONFVsNekNWn7hBD7jtrf4SKpzdFgfB2qTyGHZBTJWrVHZucZHcCOh40OaFd85EjAZKLuGbgP
egVpDCVqbYCdvrXHjhRY2OZUs5tlNlXL2LcnY6m71EYAR28OWTbnKTri0FQ++kZxDXBr2rVk7tnd
mG28tfUm3nl2DhKm1wxxG3Bl7nrybW9eMcFC45SteAWTqRquT+1Ob2s4oKlRPyVDhThsmBRvIpKM
TOt8NB+jsfkns/7Qa6K4aPQRS68MGMxEZlj4yyIt4lecmnW4EyoKrkSR8RGAorh0NGA1v2ll9lEr
k0q2Ic1I56TxtVZHzHHGFM9APUGRIthigJ5BrrmPbV/eDoKcs+VNwiK/3DoJqf5urh/uTPqxIjok
sIVbZBOCBoWjUZW+BCsXaRxNw3helKPM3tWq4afBw6tncrzoGOIeFCvSa5Q4BCfyaB7/DTBECA6T
oLJWoVJotsJWCK29IvGaNE4IMQZXC2e2xFkPmhVeNMIEtZN0uP3xY20m8hlq3kZmJTTpkPwd5VrR
XpLefh+CpDjRfMaTRAt8eQOaSn/I7PlMoSDHrBgm4m2g8a++slrGzJmj/B0moXzXJS64qxa9YcNQ
fHik2QP4BtF/qmyrzv+EeDinY52JsIq0KrE363oKniBuKjaAbk8S7P/JmOq/XFLWxAn320HWXZRA
KPh+hPXnH/lzfOX9wWhodr99bVh3ARX/Ob7yIBgzztIx4lH48R3A2KM4ir8h2c8Yto2V+x/DK+EC
MJb4Vkxww5QLmN6/MryaOya/M7VSb2IRkbUZXrGe0Hlhz7Ot73okfDOkmDAXYmcR1DpMdc+ppIhO
Fu3hB3fo56UO0qFF5eO6L4PhIeqT4JAbGEEqHYKrIel/zkTnIdA22BWwr9zC/Rn2BSevE6Xd4deL
kBR18F78woT7ozv1r+/3J3cq9dKOirzR2NGj2O9Ga84vCexkoLqRQHU6FCoJ8CnT/e13s8lfvLBp
/d1XhZfy+68K+15WIveNuyhoKDWk0OKS4JW3maqhWMetVqxIBiGmGfXMsrCvhhln4VQyW7FuBcsY
hX43TrkNprfPFuTncSLCicY32e5FybfnmMNVavrByVdQPiO3IMpT5/qOg9VtSV07QNyHJNZBZcBS
KGtYn173nETaOK3Gqq+uizBjIK+y9q5D8iAY6rLUpEO0TkuRHTKpFyciUtGppr3+JWx7pGKtLI6R
kYr1yDKzIae41vPPYxfq+zQPtoQnNfo9QrxmvaE/WH0x7F3AXdvUTInsDEG0iaGHxbVsoMgXon2m
qVDHeq/Fm6nIXQKKVbSuQ7uAMhk/2I5/xd7zBgJZjX941afas9Xk8kKBpjqMsXxqJqFtYetc1KOl
r8aQoWg8BacsY6dUMltaeWNMfqKNtmYPX6Lz3FeVITahl+e0Z8QHREeSBt14hb/e3jRssNcthT1L
LTTVoewGILYMBlc+Lc4FIabNUOskOwqov8PBnzhTBXW56jADCNgcRVwd8KLbi8DUq02csCEtg6zZ
RJPothxemZv0BDMQYYDGjHqx5oOFcx2p2tu1o3/qgzpYO0GvsLQaasTpFN30rTQP3DUw9doLf5Tw
tDyBxS4c7odO626GbFBUllk6dtGWstO+xMengXAdSCnWhO1qyW8SFhzFZAsJsTPN9IgJYW0nJNYb
z/FJMTv6VsGa3LNbpipTUApfYUBj5+/YS9lSx90N5nSPuk/zMbmiouuWXZjtJ7Omgh3sJIgsrubB
Bv9EORtHZw+zvZm040UfhDoeNwX/ssve2C3fq0Qta1AO2wrBSobePVb2VeO09E+mfJd2DwGVlDYk
QQV+qTLdZe4yGU+Fx5ihLVEHOWF00uZ4iDU3sygKtR/zvMEYymhsEdp0iDOHiFcgf6DTpfEKNRf3
guvFW9irt0au6xcaRGpmekPP7oKoZlEqUghFmdwR8dRWo+sitlt3s+VtlXgDYTwojcw34kvHY4w1
huji4GzVUsU6PQOa2Go9hd8CCdJyKMXmLIoVQ+I6TPYwTG8jj70wM7R7NUREeqOlUuFlVxklfhNo
d+RMh+ZxSqsrtyLI6urtbRiW3oOokmgDrX6d6+1rQmHokk7UU52I1Zjl940GeGuQmyrMPlPKvFb4
XVepa3TItU3I0de6lKMTbo0JdHFcARKUUL+Nq8ENDrGfC0yWlSYW/ji6GyaHebEozKJ5M8BB873n
+t0AhqkRqbjVGtQDP+p17u1u+NyJYGDXXDuMKwdTvoYpo2+dj7UfpgZmXgpflUw4RBO/KsGbjQom
XtjS2ENweleX0K1FIqDNU8C1qrPEvvF8gQ8Hatkp1qt2l5JZPpg8F1Fw2fxEkZjpIf3FqPftfS0p
LZ0Uti4z0HRCBwY+vdTFY9nnrn6EMqvvZdXWtxXA6+u+NctdVAjOU33MvwjfDAM3o3xFcvToVP5V
OY6HWjBptZ3kfsxjdQD1yvqQWI/0cQJ+KF3o4GNgLGqRN2B5qDAUldeyB8P4pMBJcSKioJOzz7SQ
TRPtg1nPjbVa38J+jNaujslIFo39zLHy4PoTzzsCQ9nkxbu892KCWc60oxR1WmhG8eEG+Q4AsNra
Di0SGur/rpHRi4nNdG1F/o0bMf8wQl/bDNgmoAJBhuq12NhnxLcuMRzc/n4dY1Px84JPJEDYDNYN
l03ETykWg/2roSWNsQNle1NE0DKzeFq0IFgvfv9Cxo++//NS/cMr/bS1oGwuD4EImLsuaKmz9+W7
MYEgReMv4BM6b45ADxtsGuPl/OQtXUImv38LJvLfXz6sY7DHsQ16OIk6/Lhke0Xex3kzYYLpyHMv
CWxqS2wuaAupixO0pmYuqozkDkiX2iUwnS79+UkSMk/BlOtXF6RfkBSaAst5XN8k1OiuMIDzlEdH
yy9td2LADgN5FXdpsIt8le/EMDRrKjF5CILlryvd26HLf2Ano7NEzWDZOrvhfWgQQ+by8H/op7/Y
o/zqt/3+4/6UF4qtNCVybxs7Yq7+bVMPKBn4BFZ496bl71/qxzDU1x/3K8TF1WcGzPzPv9s3Gj2e
LEW38C5q3Q/lwoUcbesTydB8Vdvl8+9fzPxRYf3rq7Ed//7VtMin0biIxc6Ouuuptc0nE/7+Pu6D
L0aEXaJyEnXdhml48JSYdkqDkiaSEmHFCdRJxu0u5pdkcqy2qVMNm7hp1QG7KSnmoc1WUcRPmNi9
zvkvtldiLPJr0k6E4pMacW9gyC6whS0aUzsO86akmrcnFvuU33/O+WP8M2F2/pjs+BG/mPp4fK/z
5fzdlwqF1tE11pGdU8EdTRxfX2YmlPhMOto1QBD0kLZKk7/5KX91o/7wsj/tqYUqeLgVvbnTLMb+
Xm1/cRODlbn2kwXMMO2Qj8Olj8X+mphmsXZ7UvO//+C/fAs8lCh+McidYX7+8ZOnujE0ZRYZOzMC
ON6wJEZ2c4JPRYJd2Tg/SocOD539pul84qlfbX7/Bn5xOQPv/+fr/3TntD3VJUYeWDuVtp/MJhou
Ve6bh6xyuLC14Pj7V5tPCj//zo6Hn4HuXWHz3z9+2rAHHqIKqM62ySDI6JMeLiPc4d+/yi+eBnyf
/3yVnz5TY5IgSu3C2mUKF0vPB8QjYK0V08W/+fl+9UrzR9GFZ3Na/cvDoJRtPk2Ovpv8HiidZzyl
jtyzzvzNJ/rlZfL9C/30HOD80So/rS1WE3ISUa+uYuFaW0k3CeCh1rxD6HYg1c3bY5iXHAVKVf5N
ReQvjsy4UVzBLarTI8TZ/cdfzw+HvnIj39y1blzuJizF96WwjD3ql7krqeIpSpmsgo4ARdSNbN+C
EAGrAppMA8GrRjQb+gAsynl3kV8kQfbk4Hq4NiLxGNcg935/FZh/vdjIg0Pz8RhK8I7hav3wUCGv
nFBYUvPWgvaCFF2xMEI92hZTSlhNm06DdIY1URqQNyH0zh5cEodQbRMBMVjZdp6uu4zHad3le7ap
/jpG0c9KzjSNRqyCQ8RHyTx7r1cZWzjiDQYBMICiNKJ0I1JPqUVqXU4Fe6vSR61K32mZo4q+rzKq
iTvriJT4dYvzn+2n+i83qHKJkTJM+u76WL2q1397z9lejpev2ft//Pu2YEvx9W/sv/zHv//jT/wZ
JLX+ENKxuaR5Ejo0mXOtfJ1UueYfjm1agjKib1Onb0YrwwbcZjmUarqoskxwWT6+Ga2sOX4qDfJ8
tKnyMPqXZlU/PqOJr/LGGJaxOtgOjtuf23GF23e5nfbwwqnDWgx9COYQhWZpGCGI1yweDt99M3+7
m/r2erygbdMi9pf0Nbp0kzgphqDJamJ4O8EH0FqKJ3oqeH7/SuxFf1gRzq/F8sVcjxiv7do/W8ja
OUBrhmG/xtHGBC6zbUq4gtDY41ItT4kfdCfKhOItMP+c4F8tv1C91V3jPUr2ZGKYJldaYhz0kfM6
B9vGwjtJmeiTBayHxcUDQ+M4gXFoddG8jf1k+8vGcNEQ4sELydtMMLYJvxTv2kyuhFNi3GderbqN
6bJBvlBWrV9HCOjop9HkIzW61rtywoKJQx/P4KO0/WgHKrZBWiFM54xqCj+droFEOibjqjHYVl1L
c1OrcBQ7k3ZRYdvrdpXVohsixfFWWtf3n3iEAXATTB15egapS5jXGxERtEBztyUTigIndQx8tZW4
YhaNBWQKE1RXf2Qc0Q4ucTY34HowIKetNTc/5qNzT2c5zzKkdv8wBRDOI3BN18OQspkTam35ereE
EvesZWEM50TcxNYEcQ3Jl3KhGg83aVnqEKqlKbX6OLLNXOoEDnACYY3BkpqGtIx5UIgTO1kbGv5b
gjjPkZzd24NF7QRBowX7f047ncvGIo43aSOxRyYlqOqBOgBN0pyRj9skEDeUgiwaod2ORDw5xTUL
x4BnxrDYWqWZ3IuKiUACa2Hp13W8AAXyQS+OZCgW8xcEVF0dZRxJUC671M0XRdjg+rV4ceFkEHA9
giYttrO2qLl18uA1EMmJwHWyEk7w1vtc6kZDOsjKtS0jgpsiqVfe/I0mJocfEnd3dOMES30QX+wW
ZGLi7itCK8vUyLZ6yaAEtkSJoG/e+GYC3C0zvsROtjETneamVm3BCHzowoHrCzcH6s5H53uXphl/
JDI6Zio4BGViLJNuXivC6i6onS2nGaAv3UXoJ1vFFjxM62hNsJrrbsCSs6h8olvH2LTYwMeW31xV
CuqSVjznXQzNzuREZ/bphS6Hdwfn2CoZameTZPx49YBBTEIhX3Sql2uYqQnG7Bw8kqQ4pSUxK0Ys
+6Y/vIV+8zQEgh4M0Td8GQnFFr52T07yOMauvpxMCze91vhL4dJum/hQa53gIgBjs3Vq8YxLhw/g
w9Dwebm0j958ckjxrOSnDlMxMjkL/BvQrXRe2umFtsfRQ2cN2j128PAmzEZJcg1btpZSbMA0hDBO
JaZ7pXGq9hv3vtf5pLmbHbuc38HSyzfJTujrHuy/F9f7sWSBfP2SRfkqaqiz/ay+XyoNFp95gfvu
yf6X1fW+jkosq7/+Y1+XWCn+ME3hEBY8Q1MpVfy2xErjD8PWkYkoZcKtbLBYfltihfWHbTsOizJn
I485Ef/oG6xBIC5hwSL5MoeZdVaO//k/flBTmp/+9/eIE8v58aRNZbNDkpRgjAWcmNzkz4tsmSea
hqrSssNm6teedUtCulkHU8aQw7PnyADhOUyXdpOM26lQ7+inT7HnPbPl02/9CiKhXfVfFGHBRYIY
sVaDA+NYI2c04EK9S0q9uXC7AKa3B3J66ngY4S+6cYhbrHr4p7u84WkVBCXR/wQoe0R5EFGGZyhM
FSnC8baw9PesZMc85kxIA5BeuYytBb4IwnLmJUxHQcWvVn0KCyKdttMNGF1G/GVo2bxq0H2Cgr/T
QKIiQyNTq9nSkTnBdaD5koyaraF9j4SjzTgnu+maWEatiT7IEvpo7rvDAlmb6Ces9UdfBvd6lLz2
Yc0trlJ2vWqcTvA/AVgPA0slnoJl2GJaiIXV3mYj8Pg6sY4lj3Xmpna7mfyxYE2XGuAfIyKs60Kw
7BexbbQf2I8umzFw1kZtujcABykkLMN1SEXAdmxs7JZalZ/cuCBtDJ37zawCbedYdFGFjShh7lTM
WnscXRBkSuDwgfOmnPFTPcgQNynOgrKncErIlL/KzfKtdaR28h3IrbIv6XBUfbyaUts6TYDJNnZW
vMeG6rca4hVVorHc9AFSeBsbYmHohUdjEW1USUh1Xy+r+lCRo731mukLeTdY2XgLrvq0TZ7NYny2
vDKEL0+Kt5Gxvsga/WhVScvZCFfqBPmdRSD9iHIv2bmF/CRVSlqq41+fVDqGm94AZdBl+gE6EhcA
ZK2dXuJ3itz0PnKce5e+gYOHRrmgzii6b3ziSCRWEgqYkgB8aJDeIszggge8tZwSaa77KGyWqrQe
XDP2126g2ac2rp64XuX7oFMMBnI2u5wE9eyU62Skk5p78Hr34UjSHzPgQp+ax3hiwe/0Tm5pnbSg
CVovaT7MFXTNrWFT85coFydkbDabrC3UI6aynEvUuwXxeT8N8TX0Ca5Z7nckGcpImg6I40J2EK0Y
LAb+KTZFBTmBifk+96MZsDDW5fUMtsA8osExr5P0Cm9Oui6soN8zUylhCbT1VaCa7sB4M9oFM0Ap
DUMeZ7LZTpyQW4adEPdSAnjQR+NbQn3eVpQET1l7H42gGe4ymQWHnnnDjhJSyFCW82DosdgmUZc9
pjHLIT8Vo2vMK2DiYsW62mo0chfljHIT1ZGKguAwjT0TFZ/2BFqUIe6vWr9+L7Cgr2BIhgtnmOSl
k1nDTTDgIi7ZPa2xMgNea5wDhfPmlV77zQpDFJkj2SOnGVhQxtJrr2gUpZqQVo/P8Mh2kZqgVfRu
sYP7BXy1nIwbn4n0qtVmz0lI4Y3SJRPhxneXnUOaFyueB+qt9KId7k9OvfjpscxrGOtkr7VPYyOd
hzZo3R2BBv8J5hYIEt2NN3anx9uIPqp97FbjReXa0YOMSpBVRcXeF1yxuE3hF17KrJ62mUzjJ/gr
T3SDwBWghytoUAhKSu5L1Yn3rjS626h3+pUWNeQEgNaxER6K6YAbfUFXYvkWgSF7xwSTXblwqA6I
Qv2OPC5GcL+0lxpVnRsDI4hn0VNCLeyFr2UCdAwmRl0uKfVjqDiaxcxXvBho2OXOjcx4lc3s07IL
3Yu5zua6n/zy6BsqvgqhES4LCgVaJ+q2maWqJ/QrYNhFVl+ys28Jy9b6CjatwEGJDbOLpxh7GG8j
7cfp1g+nm8EGgys8kufF2Ef7Mm5vWIe0PXSYasOALHgDv4IBLdXug6HS15NJkUghcnUFTx6jv4dv
2cwphM9FdOTEktxWYFFubPyx0I0taD4GPlnyMoRt8KqvSHKPLteuNPbY8NuVwoAKAd9ji0ojy3Gg
vJITIwK8n6XsiV2Tp3Bkv3OSzFfSSY0lXeAE95zPkfDGpR/30F4lIZeBlPU66WIqZtpmWhMI5vGC
hX1V5P6jbhWsivN7ENCIadHs5ZJwpnjyOu7mlLnZGnCmPNENKeIl7RJ0uSXwAd40ANAITgRj70Xp
fRBmnDEuPH0NCP6zDV14VwR7JMeHxKT3BErOrejpeoVuoy1sLQaeapQn6GXxI55rB8KLTYxlCh+z
3NnaWp+uHNaEnHGPfGFOBxpWll+KgQvKadL7rkrcZTyM/Ypir8upm06ZxE3Hahc/sE8S+1bT5LKe
f2nMSv7GBGgNGZtHj5L5l1xMb61bfOpc4fOlosWtU7IWa+yl8cJO8ugw+MF1FFb1ydMDmJ2muCHK
jTLhd1Dj8k6sPM6rRJBotLFilyqbLqnv8aErsjXBHBVX2c6cC4c1nkIO6AXURdAq9ttIwSvy8hdK
LWmzUdSVRKb95byB++/t7v/FdtdwHDaa/xCg/rLd/V91m79+Dl/Tf/tViTv75a//B39ufN0/sDKx
VfVMxEdpzxrP19kSG1/bktxR9l9sUPIPWgoc/m0hYJe5gt33t32vw0AKYxZjTfRUE1Ldv7LvNY1Z
WvnnSJ59L8E913YsAkwMfOBu/jglrYKM8Iiglnw2Jca7FhTHldvYrVpRWQUTdxjaNN4R4i5bSA9Q
vhmq5G21Ag4v9pBZ4zXowHo/hbntnJjhUMtCSyj/Sc4iepmiEqdHQEKpXkP4ZB0sHLmhQQCeT93T
0n1Z2HYWIcCM5QszJx5DhRGBCp3y/03eme3GjaTd9onYIBkMMggcnIucU5mpIVOyJd8Q8sR5CM7k
059FVVVXu7tPD5c/fqBuCrZlOUVGfMPea1uhi28N8e+WYbT3qSE3fGe1Hst7xc3KwAcgfawcct5Q
mm8D7dDWGvBNyNCwifBdz4ASn/BIJPEB6xrOcpvUSfugxwT0K6AYAT4Y6tojZQV7baeq8nw9SSu8
FAz1nsgQrgLaTC7sFUJ57hdtaNRPQuXmzyg2S5JoQuW3G8cxnGuB+z9b3E3hq3ZIjNsrFUzfOOjb
xwo336YZ84JDJKnQaAi80O9R0oxHqSQwkLxy4zcwbhDiAkfl66E0zadxcOvNQOY34IyWiNfCoSRS
CUFHK4F98bl17enVgh/crjBaBlDvzZL7W3mMmsQMZWnlTAlOxqrxxMXOreEyjMyekL0CYpideL4X
cd5ZN7teElhQjOtwx1pP+J97/GzHSSNq22Y+Iob1XIS2BsVtoXkmTZ3+8aibRpoPavlc0q2eBYkS
SeYhgWkiACZYzpnPBG5VvTINoe6c+uXDio5dG1E/FdWw5ctAIkO8eVCpyqcHaxwLoGBehFk69BQy
eJg3wzoZEg2eFFCq05njtY3Nn8mkgbKmuCSHxg5Q2zGOMiosj7W2SAzommndY9G/9z2PG0oQUzTN
DmCvlJ4JbPIoWZLAc9sIv/NuPeh75oYWcFgaoDsjg3nuJMGNOBZmH1n/2a4EoztismqeDwhN8jvE
smPR18dhDHF3ZGa+l41vr0dGUVsxt8WFzIPizuWxuUKwNI4uVxeRN4ihM3RCVBE5W/9yoZzrcxQa
ztpVjCznQF2IDWHx57CsAh6jzzBlPH6qTvTdgVK9x1+Tf45bWdz3Amc+xvZkTbQldaofgQzpm/CB
ABpvi2KovHq1A4irGJu1k0rIxoAvwSNHZvASZuONyEt2exB9j1M3METyvPquciGcxH6JuXMUJFiU
yVfiqwUwUStFhQvi3Qtt2FxBhnijGEhwJs1k1eNoj622u+jMpewMIpOkhEl2z1lUPfZVve9HcwYf
IEmRrZOofQhIpoSmhTNuLWOxgfIC08je9ySThVN/ZZ8DQMAzbgjif3Qd2IrBalcysNJt1uK9LZLG
e+BWDF9DRXET8SsrqELFq2P5FYeReHZ6nv+JhYzMg++ZhWioK/xHY57NHxgqeNLL6lS5HlD7ATqE
6aPxqtPxpweEqwPqu9aDwU++gi9NbO4M08DCcJ91uFIDiYcAaONKENS1m6eyOSeR4a2KBidijomU
4DMPMNMk51eD73uXJMG8jaD47xny4bSJ0gXyZQy3VJY3xM4JaLzcW/tm1u+wAntbhatrm4qxeKqb
uNkiyybf083n+7lNOwep1AiRgXQ+pDLEY2xA4wpz7SwgoCnTBoSKAAphnFDhkTY43Ps+5lWX5Nat
H2GCaHX9s9JCbMxO6bvRxbQQEdu5bS2HgV7a54+SghrraGPfjZlIv+LGLnamBIzOboyxsUMqKlAN
ZB08CZyEGOuarZy0+jz4dvi9SuE5/Zv1AJuWv7+dpGkylpGmZ9qO53/s+P5GGFASRRclkRkdld30
xHtbQ47fB+P1QwMv5WUo8XBWTYlgbBAar0zBtu650MaE+JKcyo7pQnKeysGy6D+xYhk22gKKZn76
61JZXFODOSCQAbjG+MYG8YA2TFnRUXa5Gh5GJ6uRwaTzACFZpNfJMwsBltzHZHeq4lld5rlLHyMF
+82BN7VkqAiBnM5um6+GsPH2ycj9nBJIuu4LLKUY4GHjrNgZgtUIPHe4wMFsjsPgTfuO8/3EmH7c
ZRDkVzM4/IOkG6TRWYLDbSImRVaGvPZB+4kdb7Vx0UsBjfdhIJY98oGWOgROnSSpmHBsdPbYJktn
rsDRoDQ6KBe/NCxma+izPQsvFsajYhdRm5PMzx5p2FufACty3GAPKc+b7nCnLQ60Eodm7ZjGNU3d
ajuWrXzIp0Y8NpDdbnqYaFvqFHgiuhOrmJn+94lVPtA4SyJWDfUgW1d+LoxKkCmkcFdlutpFLWCu
0JzYkZpRuxOhukVSFetGfikSHAt++1621r6L2DzZmCrvq+Rr39dX37DUubQii4TdmQk9NtFrZIIq
Isdsl1FvYNdbBsnl4BgH+rX43QJmT1PLiLjz+rvWKOghOqCbALcwrQn3EbzTwXMCeeRaSSHCAQ6o
MQgFQKaEPs5eh3Foqpqe+FJEtnSzxWuCj3hj2tVXtnFgTWuHPcTskyzMs/mgUT/e4lB+80pnvGKF
rH8KZIT3DbaycGeoiFQExSZqPioiMlCVEy1YfM8mp3rNHEYWKww+Pst9pwfVNVc0Ct4o5fgZJ7/V
bZB4V+8widI3+NDOfJOBYdOvV/Tga2aU+o28wOheVa0ggKFwvw5JwDwShhOdGcLWr32UNhh43J7p
utVKqJtogLyIeAkbj8VNkL/9TWS2j5Tbz282vEF6mhB2o0R1vc50J4kiiOpLR8ISu5gYyJLMVXg1
nda5sHWjItAD93w3hKxfEGG7rqGedepgGI+F+05VS9tFLm1oHQZTZ3fxgHyTnybbeRxdRnqFjD4M
WCUrQUpMncbmklTbJvi9EzLnOOwYh6Yj8QwhJ1aFy2ju9JqUufCeNYrPx2knXPvePG9Bk+or4ef5
Z64W5we+8+5A6YUnhUGAsxaVTtjvJHbOi9AxjJj8mdNvISls2RUVn1yZpJd0SsV96eT9lWxjiDSN
sJ7j3DF2xDmF19lIKXmEWRc3vo302Zpnfro65moiJMq8cxXGrkg7sgRa3njnKM16iIu+lluSaBuI
LfYbfnNIMZ6F+tKc0uQtA/T2OgXDz77qDJM9b98fLLPY2YyWObFkIvdpOo1fEArXEXL0TiNKKFT+
3phRfyM1ynkNRg/hMxZQ7MdhA8N3FePkOfQqF1/mlERILiXjDUtBco2twH+vGj0+46cvzgmL7pTg
QZswVqpwBIyJ2Wdbx8xsJsOED+9iMbvfOtdJDpXRtXorxploLdmlDEesMg4H/Mnt9AX3nHE/mFUu
VkWQMMyziyAlxyHRF6dbHGyoyb+bzIYw9beN+oyguW7BRoJxOpUpoViw/Mzw1e6GCVFtBWAUTUVd
M8/hsnhTdZ3f5ABNEYenWDuhDtnGdo6xaZyg8Ne4EG2xGnDr3XHoNd3GnPoxYzmr82klx8H+wjxy
Sg+jM0Rfp6RElJwHWX+pkploMmDxQK4wIs0nRY1tWlUanqaR42UHbM37HkatdQ5it7uLEkLe956w
508tnEWGkS1CXhmOIN0aGT22bqG+lqPV3nqLFmpcHkmap5QIoNqHq7TOEdjxykNVc9Z1WLjnmVEY
2WkQXFYp9HmYR23IEkI5TvjYSp+9lxkbD1Mycth7ZoTxcpwz42fbOUWyanJm2nCQTXk/+4yDuTJE
f9Fz0b3NkRBfgSRMzY5HXv9AzpweCVoK0jVmw/C1GOPQ36WRFx47+o2fdtwDTMmJvt7mbcwIS8fe
uA1Q8i6+sFR/shDQLuyhMd9mhqlKApYV45dUTawWYKGlSEbn9tTAX3pIFMY2Pp/ifmgtqk63wT8N
N3CrAlEgnaR4qdDX6+qN3FqCJHMFI4UQl1hurXAYj7UDdUWQQDsAGYT4CcKk5HlMqrF8QO0fP3Sx
HR40gaUwJlmGHOoCId0687KeJWjCOmdxk7OgLOrW/5QVMf4ZWXovJPtOX+ljxIKBiB28ruzNwWAG
hCLX0zgRLtL64+NUD6+2ad56o9XPJHLj7ujGogTiZZrlY5+OuMZnW76z4F+yYKasvY9hhB21HBA9
jXbz2mnR/BxDU+UbPKjqVppjfpudJPw0DRk3UdozSEUiG/XrGQAHPDirSHcUwsYFcIwtyewzimMU
JsaasWX0UveufQeyua3vwGYziWXqjP4orNVwj3OlfvDUkmePnuDqxvm4guTTHD23V28gxMdbTbkF
JgLC4JFWyQ131iiyY0G9We+YbeabuePpXNtIQr0HbeFD3JgMPtZQWKe9qQfxDpq4PuKBLu9NKx1Z
e3hTvnJqhyh4uiUqsKipmxDYqDHieMT4E2dy+OYx3voeVpkxsTxReb2JOyKu0JZwqdHOkrNLC++t
WdHpDaxaBvEj6QOURcn0KRzIHl/xEUO18H1mqQCGogGVLwki/UrzYhOgiyh+Y0BAJIupa58dmSXW
xgnGktIsE1h7QoNFsmU5+qIMUrOyZVTdEQT/WpUiSAFG5C7PcL2cm1VMiseG81ycdDu2+SOqWKqA
nk443o/amagvPCBgmU9VRPqdXW4FodY8zJk/ryrdht/mehanRgEQ2yo9zuwGCFoON7CV61OTZNpk
QY9x4Y6YVSM8Ks8noTHA9P6l8inbTCJ3X0bt6x8yHdTRNPzis5Rp9MnHWwylzDaH/WAa1rG0nHbv
umN3JIQQkppRdD9TC3LhLhCYUBeLZjaudaNIrLeCZteO0thzJS3Yayy7vUkzltsebT4m95TFkSe/
OV4I6sL1K/kMhYQMUpsmMvTdOy/und2UZWJbAKK79eNk3mdMZza2kZYrP2jAyMZjUl4b1w++QeWw
V7Gs9S0zx4k7G4DGjgWQQb/YivgKDs7bARjPPju+0d9nmI2ey8orjrSOiyTDKM2H2BvUBgwQIbyZ
Ke96Xvhn6MTOtjay6YBNIV5P8Vj8LJVXPEi7ls889lTCiXNnxY04jlbQvoZt75xy15pP3gwnNJKi
O3YhWmdSxIu9nepV48kbNXn9NHgjUdph6JyjTpQHKP7uGz7v8GsgUIDQA8GNiOF1BrOVnquuiB8b
spsZUxGV0uQkwQxk0BMUb4c/lRO9BKORHRwJML7OxJ7abmA1aYTbScj63FYtnntkNzpthr0f+fWW
7W26Yd9MeTqrzz4H1qWIquEom/gbwQbBMq1IQTEnC1aWqGZpd3d2BNYIzXd2ClSCqaeIiJS0xuxL
IobiMkP3W/nsh5eNZ3MATtwe2iTBCdBiQuHf0+y82EG65O/9ksvzb4aj/0RP9nfqVWaMrO0EIDOw
Y45lMeP+dcZocPwWAwfJEZIqtDq84/6dAmp7Xw2FM6wlj9C09tC+YaUR1S6dOu845IhP/t03Iv5O
Ssd3AhDNgZyGEMFBOfB3JpC6C/QIjHQ8Tshrkr5pv0a+GOYnuCR+86BY1LiPBEB5YpvN+cBusqT/
cwnns7ZTz/sdOf0nAECSOdlk1+EuT3zmZwK2in535ew5G6cxwCa0dvbok4tymV2RvSqNDUF8DOTy
obe+egUp9mtwAfoz4w8MMG0rbnY/GN/qiLzTtCPqiqySbjGhhvFrG7NQ5YhzLr4ZMxRQvflZAVuF
/R2NTzjcYNQyifW34DjSkxO19UZMpaCQEOED9v5y3SJpu3pePp2McRSXLgu5DtEU7sSYvdqiNJ9a
O7zzBuJs7GVo6S3jy+pjktmPLSekQWBPtGXkKq/Vx9gz/BiBetI2f1Yfg1Hb0d53T7nqcZRpfYWs
bn12sQ9CwEABxfhrKdjHVnagqEN2jXGXjS8+pLZ4TTYS1b31Uen7H1U/Tjc6gLhPp28SCsqWLlU9
JB99gkVaEnA3brS20b69Fx/tBNMk9x3eIkxgYlWPRmC/hHLqjtVIdh2ODblN50kSveeXrMeWnqX/
aF/U0snkS0/jLt2NWvocdM5ttFUz93NSTv4qsQY6oqU3UkuXhFiR+Ioql3v20cwol4nomtPE+Jp9
NFnj0m/hoXC/+ksPZi/d2AQP402DxpxI0upo1yo/suebi5TkTdpZ9Y6hxmTJN7XgFzFq8CFJUlzv
25n+cj/gxXP5I7p6rYPKLb4bkdvF20h24c9WdKV+/Nfvq/0x9P9lKeAhycQ6RGyJ71is2X59YbsC
4JuIuE5iaq1LZYzhuRwISWhqkR5ZpKqjVjDA1wF7zC1ZGA8qK4Mzy2X0foY7jHduG4Il0LMRsuQy
IJ8VeTpc6XqA4znMSV/rvK/IJoiFvjmDJvHAxkoWTvGwdb3xIc8C9BJwZpbgo/5sqbxtWSiMwTdk
Y2LnxpV7dCOdPtm+JJNrdDHAutYNLNdDYQePPs6VcxiEHRPgAE5eeOMdF/dmPl9ozKBeG45JDmts
YrBgXtdxZWvlHqJYS5A3LgUqd4d56Csve4ReZj6K0uoddAUyfLY8t9iHPcgKHDQoFvAaDszeprS5
53DRj6puxl1DJdNiAa0MNKiojvqtHLP0btYmSQmdRSIUDXhVfPe6Ri8Fc0chKdtH2++xT4ZDsCkF
4lJHztnG12Of4xj1greIrcLbKBGjr4e8rHdBm0b7OEcAy63reOwskhZf8hQeCiV55Rx3cBf2nTvC
kEn673ngY8fO8AXv6YQLAC6NPyUwEWsW/h5e1IOLyuAp6P3oa25hSG29MN4GQQHGlckIk4IYJWcs
+ztgMsPaNmPrntHizFNJ0Zkl/ngCfmJ88QuCCvhy7doyVHEFm6ds5ryVfjEJVljDWAIHiQYFyw17
d5RNHVfaLPvd5On2rbet+NlAxfNJJ3lxCMzZjNZlrzmaCDB+mpt2MVs6CDY4pdaOhxoGj+9C347g
REVW8lKYTcopGvl2vFJ8MnexMB10Da0bnKd0Nveux26fTjMR5yovbz6Sn12fMaBAMcVNNEeN80TE
LiFsxIfljHfMLlglomjVY0EypyBKmSWS9bFPstqxm9fBx57JXFZONVPdeR1WyyYqaDK2Un48wfhB
+/CVoAq2Vj77K/tjk9UIKXadPXifCBJg01Vgj8MmHw90nzGnd4F8Ia3eQqZ78UEgagvv56qyzO1y
j313umEk0m+0laYQYNuWlP3QkfqLcmRFZyDcC/mt9bHO5mQ7DNI6ahsw8abXxBWuOn9m1NT6SZoc
EuVCzZgYYMhNTQ7WSXSCekJ/zHTHZbyLue4V7LlUqCmeUay+4o/iBbETNkNeDDV9XqgzvrerrLJb
vutmJ9mTnsaIFVFjlPIAwalBQfjXres/KSx+td9QV3gWhQWHFMlPwkKl/+sxZTKZTxmJekc/lIRH
P2gkDlX/9PGX/FeL8P/MMfFc5vz3f5av/K2sJkLIo/b//vq/aBJ//4uXpfIv/7P9cCs8dT/q6fqj
6TL+6G9yxuV3/qe/+LvF4fnfSjpBuyzF0V8/7X/Ycd+/h+/Z+xLc9qdrgh/Y73/u99W2/Iu9eMc8
Z7EFufJPPq0vPtSejs8Oghw3c1l6/8GnJbTLZu+Nh83+sFTg2/ljty3/Ak4SradLoBdeQNbef3wI
vz8N/0rTiYXgH7YHSghKDoSiSrEp/7vd9qwagDKUXccpxhddeO8wIP1VHNf5fQRc+xxnndwURo5x
KXU3Mu2MvTbH7H10pHdJVGORA6H2iXSLFfU3CjVEdU6hCAzK/U1W+wgiOxCfsLIXQZ/TP/W8/BT/
gt1t1WW3JoLIlvh1fVCR80a5iTzcvUwNEyYlucA9rJVtHzx1BiZ+9hlbE20404rgZYwCtaPFz7BO
yXMOlvLdA1ex74HeNiVb4FT584VISJDvQ5sDiAau22MMZ9w+7MgphwcC8Gt2FAss1ppio7FVM33y
Nl1Yk2TLQaUjB8Wk/33AVD5U+Zl98HZq7Cv4oFNZV+Gadci6K+2f0opHUhcC7NJ1qua9HdW3mM/2
ARd1uetno9pzBryMJjo2Yzh3kg/TbysBM5B/cizSe6do99pgJFpU+iJk1+A2KPN9PLbf0NrN98Gn
xhd0TDrzd5Hu7hwryiiaWgaw5KPpbguhaNK5o9eWKn62JNuiVkp2FjnWo1rytZNn7YfHqELwVXsM
nvuqWpkOKHhjTg7G1D0Ztuy39J7jSxfPkoigHOuXPW7IE6N1Z2VB+np4yMswuhV5fY1Ej0wdKVXY
ONluHCdFYnPuPEi6rlXGvQyvm40wMLhkr1pyZDKW+UebLcuzyMurSLUTIaN1uk2SR9PNzIKZEW3T
VvvWSMKH0YXUIl+wBLT7OXGLx6EmRart+0toOg9RAq0hdT+HGdFXCRy3thtRzA/1mYCFowEF3UTm
NoRDfWK8PpEXwY+qua/r9mda3Ci2IXmwSztIr8rWE8JblnykJ8GC6qkKtC8MWMYzoA1b35OhcsYA
3DMvL1ZKKfjz03FszJcg/0RhiuI3yo3N6C5/d3LU4PnqrDJf7JiiF2uCZK3MemZXRAX5wmqw9pr9
WiGtd4fZ3WkG/0ddcFliIh0zBxqgH0Wr2IUlG0a813qOrLee4R9kxjLeOh3hQL5b7KAMM9K2J08i
1q2NB0aX5IIQA7kjVyDaF0IRT0aWw6mlaWjXzSTdx0yL6k4EzXRKnFq9M3GAB90V4cmAAXQsrLo7
ZkmQfU5EyN4C6VV8jmx4L1ES1ofJq8PnxqNF4VFtjnRE0xslXbmGL1M+Ri6RdJ5XZF+QgXlM7eJ5
nZEcj2qycE8RMbmnimHrznKHYddaFgNUYx6hqjv589zG47Oq8u4uYRT+Qgp2s9M9veOqrvz6HeqW
t9FW1N8zOJMXsEXVOe3V8MTiWtxLa+7uWrO23qwk61jDsOMaSUE/sXBPj0QfyIe5LqMfwhk7h9nv
VH+vctzUrAP51Cls40tSkVovg6w9ZQHcYCqp3nxUsDCvg+j1vRXY1jlPy+gF6aB/0T4jCR4V7ywI
uT/nTtkCaqYkWHd5RepmBtcOJC0RC207PSVwlIvD39wy/+RO/83O9mfzgc7fxwsAK5eDG+U/hrdf
b/U0xREiiOY6qjDM7iunLvtj0vTNPdQNwhwCSCWVhd12IhZgg4cY8AhrDSpsRipO2724fWPsIMJR
6HjJsqhurHIjaVh3bgTplYE5aU7QcEaeuVA+uoWZnFqTvL3AdVax9udHJOpI8gKVXaaQfpsn6UUy
QmSuCa6F6HCipOHCraJJPtd1FK26bsgfIL/AwBimLniuBlwse5/l+LxuvFmTm1vwhVdoF5Heuuwd
9sUcBYBH46Af92YeRuB3mfu9sQTT8Ub3YUlCm1W8kAeu3hp6c3xN886w1bXzYCzGbbGehLupsLWu
deth7DAzl16gOBsCM/eUo5sAXHKtxvYcVfUtqD21rkrYd/0oEboQATyjot6mFsYfYJXz2huSCRxH
fiIWqz8FdXn2Yl7/OJ4YdrG2HAroJUlXT1tixMuVHtzwWwRXjnXb4BCNgee48HDbldS6nDHgSz2i
Jq7V7Iabqgvze4iT3iKR4lGa0aiTteWaZ4RVmM26pDnHeMEunSQIPiJl5hzGrr5PpW9eS8s1H6NU
2Nbaj/v2xM96PDOoji+DyWSMaRPPO3LR5jvEkd5ZCU9EPwijLwhpDMZdvbwp0Bndk1reHnt5j7rl
jcoaxfYmGMV9ygrjqdKxJmC64H6Omp7JFFdl4dbNO8Nwxtid77A2Wd5gf3mXAZuMz4TFFs/98qaj
+wuPVS+GnV7OgXg5EaZ5cE+VQ+pIr4vlOdDqxnwy+xIvp8m8nCvzcsI4y1kjl1OnXc6feTmJ4uVM
8o3KPKbKis9F6HJkjW2df67VDP4hxQ9XtUN4ytoODkzrqvcks6dTFRiYHdivPhIux8Ho87tPFCDu
NzTk0X5M3HbXV0C6+d3GQ6dDstHKydnGMciL9YRZAyRfQKgmTGOfCgWeJv9skumYu9vSSwaa5mBc
orVGN19boainQ+4ArLwvPDIMTalJZZoRa88b2x9hSKIwQehSoGetPuMxAhAG/rlq10kh0vZQhnUf
nu3MxNBYNkxUV12r+g4RUzENvHYxhjEzNCxnpaJoCjc+CRXhNp9JhmEtIGcTVcKii62KBAo63OwH
Qfj6RYWjfBoNz9plEE+3deJY1wagTIo0Dor6XrtRRopfbdHEBjhIEHhUOEh6Vw8b5TN+WdXeHBnb
Ls+ogFB1g/zxODZf5yyLBe1hYXG2TEni84hZ2jrXorWvKZ2Vrgr95AUQM+ckGbZmM1VoQYpDgweW
zrx9afuzOxPlEwbmBRZldXFitt52a5D1yFYH7BkZTKaHrdWCkcXMJxw3eVkBoXKws5p98qVK/WE3
JcM3cO16rcjtUP5kPwbsZO7LlneUzdrX2PuKJMi/mwiD5LyBt9wTPngWpXZWePb2XlQ+IeC6JiVm
gzFTj1YAczfKPRcLLvO2Dh7sqXVH98BcJycTXNwFijDHlBgEoubE2eD+35pz9S1rCOPiZ8QqbqrE
qo6GR67zl9mq4p+S1eqx6cA2DVk5n5gCkxqHZOeTpYi9TSw9/fRLZJ7rLiwrsW7q1kyALsV4X//7
Fu6fN2e/tGr/WZf3PymN5Ld+DTP7/7/Pu/wIETK/T7Te/9Do8Qf/at7Dm700ZZZFR4fp/Q8Ns/Ix
wWPRQ6uMH+y3X/mz0SPsAXkx+CGMnFBe/rbRM22TU5E9Hl4Espj/q0ZP/MqPYRDgmssgALO6QiVG
xsmvJQNuBJiiPL2H2q+dkMBVKKdkC8xjjXcvjr6PaZbd8TyP1VEKt7s51qQg1A0kR+6QU4kXndAl
Fq3rcpgghhsxVxhDsJYDQQn7HIjei9+gpIXyYbIiNJjVCaJ7xNobfdWtHMdJ/ENTlirdm5PS1dk0
IAZO8JfXUoZRyJabsUkjPQrd3sjadddZhLxbnT6pzoMe6EDaKhIFBxf095qEtqs51+DqSIyaprJf
oeUjxyJt+vqbRv/C2BkbjOb4C8OzmTR+S21izWcZNVDjBoeahAmD2hOslh+8rs4ftB3bh0AqYk3l
LA5TPCEXdrSPjw627zrPJvdpiIT/rEpf7cljGS6Vyvx1MuX9SvjCZN+UA8joCEWxIxcXh2NXn3pI
5901KMfKW+mmvFrcWWo9VPGUb0sAz+bZ5gTCPlUM/RMQWzbrYYE966zjNhn2gep7ApGHLGSCWegx
BPsfLLoeA8/LCt0OPvzQmhhNZT26r6cZfMP0UIekYjxZ6NHQZpo6qA/kg9YB3Z+y5mNnklZyF/SD
zzorCax+2wEZmDFvRNlrD7EeSlteQ/+3ZtodFuQ2UU82ucnTSkDp6naB2/R7rzWj72YJenGdV7m/
L+rO+iSDwa/JIQ7DXZk0P33mnZ0BfhKcl30u64ksGmEaB2OETskaEZyWGTwOY0HEnB5adBxjTitU
DzATdUwkb0pFamYQMbMgGVdass1tnKL5LvLeO5S2EcX7mJBua5OVJAsjvVPP3MFI0EgVcKdNHrfq
llnGdB4CGhKkVuQMNm12a1Nq306gA2GZF+GtF+UdYXgIDxo/3JqxuqOMW7ZF1vwcoITY9bqUd0tM
xypKML8XlvkQAoYjkaS5TU7CesNymwfizwLo4QRaMG2k3UAbORHbUwJXX2nG++EevmdGeI+tEKcy
A5lwkp1rTTTxsoqNn3laOyL9BOoNUGjc8JMfJ8cpTIeKcJZuwwDCXWXQWo7oYtIHXwU9sasJKbxh
GcATRFCBOXUaxtEkLnBgal8v69vc+zTGcf6kJ2ibSAS2gFDnTwy84+/SNoZtrbzqlndhw7XXJXzu
ybR3AXS+eT5eQvjR3aVqpx9k/IBYryY736oxgIpmgCtwIaWlr4zx3dtQTsiYrSj1vlQTGp+tmbvO
cVncMx8YO+yzWKRcw+62stfdztS13qO8Htb1KBn3WwJb2Aif2anD7JD5xp3JQJoTJh8vGD6618Bs
cFs1YfYY+kLfNVDw7vQU+Q+h0MG7M/RB+9s69L+abP4vvhb/paP98l4slvZ/cinyx36/FB3StFhr
gyqWZFSiv/rjUsTrvkRzgWshY4Y7yePm++NSlH/BXI6f3nK4SSXD6z8vRfEXtTCJ+YoCB7pgPvvf
TD8Vd3L1Zx+9XIqSv8ZjQCsByEi1TEf/RjstdYN4CGXsIanj/AD4E75K7N857cwCgwTDkOyF8TlF
dbx34GWtw2geX3LSjG+FFX8Guaovhlbzlcjk8eTZQ39teufJKnISUmaL8daApdYeSxN7NH61VVQH
sLpVfmlTEA71knaHsOZE/vTVACXPBmWMvkqDUZAks4cbJHtMVLKcwUmeolyDr4mIuqOZZEo7byr8
688+GD+iWwljmIepulDKjwT9kiq0zkHBLnnNWFCr1DsYoMDlwW/88ca4M3qNq+oHAv7C24StwF4w
xsmXmFAutOrmAZ3XfQJPnh1Rlp4GtosbKKPNpnCmn4vXeeN0hSZFgvVZw/L4mqCBI26DLE7iZ1ZD
vtgZYkkLXQ8W3V0MUjWKX3vaq1WCuYLwnqLlH9QQ/zBIcTStOvlE5BaSM7Mjvgw/Du2g7acrRrfV
1RyS74NsHPbUQbAW0YRHwiKhAzmj+SW3CJZESlL0+8lG/K18J7z1w7huxWDc+s7LnrhWjX02yKDY
VCBdntBLETiMBxpWAQJO4nCtevma9kBrR4eR4iD4GNzEywwnIIoNxZeTY7RAPY9POHPtQ1ZhTjnW
NDynaszaZBfMNk5nZ2zS4DQnARdzpAz/1JdN97m16wCusXabaO9PcX8HhkQTQePP2t30cqKhYkVA
KmpCdcK9AeT3m6vFCO12LHpWdJRWK8fTbMf7PG+5mYzJf2w9ZqCrnF1VvSaahc3sMJDJQ0JKgiSi
cevLjAQIvWWZhIvWJWBwCi/e2rSA/wm/Ajv2/9g7r97GsXZL/5XGuZirwwJzwOB8wJFEBctBTmWX
bwg5MafNzF8/D2W7P7u6OrpnpgcYAX3RriqaorZ2eN+1nhUWCEotxFJnhk5eyPkQI4mfO1Elca7U
rcRyO50Nx8wR1JMuImF5CMEH5LRMvHjT5gkVKDJErFI9lQhQfc6LMN1aovF9tx5AYq84MlZ85shy
j+oqpsLTKQJqCXL786qlgBXLJgfejgUMQE4t1ykYGg3Nl2VRqtJObVm/TSpr10eYcZNQVikIiXVQ
Uzs2hHySFJR66S9ftFM1utAv6cu7g6IPp+FU3U3B13RNeRz53kKLcxriJyZddcowUNiIppnXgqQG
Xe2MRZ0O6YY4Hm0XDpr0xHAmo4aIoVbekVogLcCmnMsyqnzCb2cpU9SSWMliwVt91sbzFBpLZfNv
FKW4TSU1Oq9keYNlKASViOueFCOdzkZkUtOFRBEm8aVTsGqbUrWz2ahUw1BRMEKJ0RpEfB3K54TC
X6XsyRAyW0Q1EFCzLlGZz0wTea4z4GtQ0ryaDzh3cG7k0l7XEfWX8IwzqM4jTfcZ7fmp0y0Tfppr
CwtdMXkRjpbjEsnyEzmMzDtn8C/VhKiS0MaU13lJwVcmWsY6nB9Fs6Z9uGc9jPpIlUAZXMXuK3as
bMY0z94EWeIRaWZdMvWd+JHhz7RyUFFb2ssaQckQJclSR4i/Kh24BFjxV7opP0JuIjbMHJ782DvT
gg7jx6ibS72yrySQH09dbcf3zeg/vzu0/aBsqk4O1XfT/VQ2RdnEOUyVyYq0rO+Rr1kxYbRDxVlL
PhjvII1U5GMJsl2/L4yzICcpeM5eBxmagdTsRM778NaPck4kfduaLRwQUB4UmUy+dWbuObtILZpJ
5RALEkbC0OZ0r8ScRSZZztdcZMoDTju+z4roOCrRa7DKGR0pYS4GsAvqrC9EexQrQROsAp92+kYo
BpMFMr4txZO2XRqH2UQ6zCzlYZappgkHbU+AQ74eLJX6UYcGWYiMcqaM5B4XVXRRRxKdGcST1kaU
JdPUVItUvSnSpfYhipvNcYLIscPcsWxCmM6IKY5x0nVbQ862ahQHW3gokRupaT/H5RAs0OwRsJKh
uMYmcUF4NDp0prNj4PrGqixVzPFtbVArC1Gb9gQKZZkK2NmqnxRQu2hxqdcSpp0wVqsyzVZVrDQ9
+rLcaebmGA6riv5PuDDlSDC6dZtZSC+UKL4Mh0rptsQXp0QpdpSUjV51AROKuVxK8PMdP/saTCVp
cypOV1Spw1xEWyjO+g6998gp1/Ozb0wKaJ1La1waOTBhRKmwtFKzjM5wENiPPrIrN8yic5Hk6pEp
AwIiyz5STmiRxadUCqm41C/VlzodoVHZKm0NKmhnmAqklQWQ44HNuLRSOLvu8JsAfLJ8/8ErQ76t
qLabu4Hywby1W/XMMxr5PKR1iZNXudcTDwhxX6W0LQ2gNGoqdgkleCSh6ipJ82FFAe2I1U6gQJFa
irRkY5m9KF0qugBR4aFSp5uV9XBc1MZt4I8wG5XoBlMS2KgY5lqOC8TFVEN6SaFcEQecA1vr11gg
I9a5YuX02qMvK90SSvhDCdkmmGW6siIW/Yik+gWCkeNEVbZV6t14PqD9Mtggo7jHqs+xwzmV25Zm
X9MYy35sHlOiWk6BuT9xiAVo0BT6glwTsYStbq9zpd7j8aiOAhtUWWXGweOAtuSoNe3qPM3VYYNv
dkSzjowmTWN71bbVA5tFY54Z2mOr0/zEI23O4bTYi1QJw62OR2NEgr+Csq+QVeScRBCW5xDpVTfj
5L7QLCVfagAm52UDpqE1xEhTqkFK1iZzhw87JjzPrW06gom5zIuqPhkLeOTDOAwrSy9o2vXqpfC9
/iRRlHBDjDEtBGUw2Xwo5qnfW8p5bGTVzsh8Fx1TuEExmsx9Su/JzMtQflD2UbuZKiX6U4V/wlUb
pXiOW58EhtjMlzp5R4u0wqqgkZbhqqHhLyItBmHf9ZOWtlEHJE1WC+2tH9Qba2imEBeRyreEHddf
y1onwS4Lo+gZgSuC/9TziS9t/BpnnQo6d0V+IPWVvBQpvA/WaDGt1vFh4S4Oi7h5WNA1KyEP2T4s
9O1h0R8PG4DJ0gXe4rAx0A+bBHPaL9Azqf9/EfKlYPg7YhOAT2g6yK1TJwzCBCRHhvHr9cjF/lHs
f0J48tOkQBE/rfftUxL+9N/8YLFP99nhj3AFvD+Z/fBXvBzS4HciI0HGiNwXFym38XZIs+QvtgV4
zLDoCFG4fI8dk6eTnUJDQpO5bZLl/31Ik7+A/UYWofB2pkv+KeyYon0nYdKnaGddlVEqmDodlO/5
zyWIlcg3R931uutmyE+cK2XpLwONA8aMVoCNdt9YytWFdg0YhtUEwkxVhsswvfHIywg9vGatTihq
eud4LX4bivggDqWlZeO+LsgqqdJNYN8PPRFPBeixJrxpujsVNK2EBBohwSUudSQrA3sVsdSkIzgs
E/p77ZlXrXrqP7ILop9/jF98lnUnuWjmnvkMXmUes8QDUmGeJMEYCQpItdM2zRZgQklJGFapyaEO
S8K812EFSSsgLWIJRIt4kSY57QOS37EBZd297GTgVuTztByDReiT3WJoQ+FWFo6/7KFOzkzElERl
xDVlpIq0BCIo0Q6yknaWuiMn9NJPiK/VxHLiO0h6esS2OyE37ljrKTWR9H5WNYKmpC843UjuJOhM
FNLJiiiaETb8ZLCSzrNS/yZT/eJjctucGQXcW+R1bNzi5QARTsBQioAycJw9wQK+q02N5rn2EFvm
rs+5125AYFwoKsWo4TqXxqWasnuiMjwjMEWZBSZlMrPlqn4Q7vwUL1gJB3mm2+FpWVHQ7X8P13xo
lL8rABy+dxinZQu8iG4dmCbvCwBxK1dEJYPY7Mf0WpBsglu82vUtNvJuwjlSVEws86iOs1VSnBlp
vzIUfVun4IaYOdkRViC6PM/ZmGFCOUxehk23xPlFbomn7bQ2p/BlXGq6IQiMrhalFm7LbCs3+koU
2VYZlsg/XcJ0MdKM50YSrG2LapzinNZ8hFBHnnXk5Eb8TeIxe40xR5e19CN4A0qA5rJelN1Uwq2O
bcdaUGcgokZaF6O8E4ZYtpq+G2Tn2NT9kx7GnNOnqzSoryKWQoYklTdERHcmp0bad0elOZ4Ces8A
hFCosKZ0JodRSQLZsmjDYxuSXJmsJI7HWFnv03ogiUNe+93U+CU0hA3FeEzukYsAdz8UxjKH85Zy
QTalIdQRZThiurhRVZ+ywpUqyDYhdY6d3VXW342R0W9ROeU0PRXrW+lp0LqoRUuR5gaFQimSIdKZ
wE1MZ11q4lHuuccWKoaPloD9XW6gptKabUk5oTDHu3ez648ODt+J5A6jBLXFBMnGweboU2/lXZlo
zGU7Fh18azOPn3yAXx6PzxPKXSmC+diKI8USZJDEp2PTnvmVIHygPw1D9v3sdakcWOiHnGjB2Z56
gXMWqAhmw/qiIj4dlUi8i4L2uTCy3xnd+kRXfnfesZiVKRpM5TKDtwBV8jsrR0WdpWgVgHWlJRDc
q7QokeGN+GwR5CbIlAwyXwN7hcKG07C5llImqVJpMCAv+wK/TZDAjJVGg0ZzR9If+p6t4qv0LUJa
JpyeVBMNWtheMrGutKTfhVFzCSzketQmA5f66BtgmXSApJpdL3KoZjMv5DAszDp3e9tmamzVZ7kJ
INXVtXSMTIFTBXkblLi7i6Btdx3VscL0/FloZidB61FuNp07dvEKmUPtlakkZ6iSR/gZxTPJUoFr
aMUVaZ/P2CaSuR2az6aEyNCMbtm0rwSYEDS3z0USrgJaOk7GHfjlRlQQIolCJwD4K6WrlUao+swS
9x2HrIGdaJ52LkpHX+7QhwVzWL43GZYtoICgMHvUHvWJLOFwqlk9ClmFwsURE2/iLGiam0jU16Ws
Mo/rt9iKr/2wP8PfQDAVoUKjVK+1iJAKH+A/AEwj6NayP84ojj14cnGZsAVvVBKLVb7vxE/gY9n5
mbyh373rdHuhJvZlqqh4AoE+NLLjOgq8EUJ7yWJa8tEfgwtxO9gIZh/eJH25bi2gm9AcjIHj7XEN
fwNl2JKgZnyghDtXt9F46dG14wi/CJqtU8SbKPNuBI9wNaB1J26StO0sXdkx6I4uS2d09p/jIJiO
xTsOoAtiWb+VMAhB2EdEniBdmPi35SwyrfomSq3zHE3ETCpLfKZIlFB670Ijomeng7RRn0M73XiS
c6NX7J6l/NH2pWXRkIyaY5/I+BpSksl3dRmv1dFYRjl9i868iP1oq6tgykZg0eVogChDj+FJ9cLJ
m2WFJdbzq4yV6TZSO4hh/TptAgTwWUjscZ1ea0F261fGcS+0rwkVMLCLt8ZYXvVgiV1G9ab0rOdR
1bZeE5huV0FgSxQfuzMEPo7hw4KOW+Ia+ngcY6kg3/ksxf6xsoS81zmxu9BLLnJt2Mcl7RhA17c4
LSkPU2Cdh86wE3p93Y72UWsRH6PJoSvFm1g1vuL3AhOg9PQToyulMm8btdnKfX+fAkOkhJoslIRo
jq5f9LK8A1O6iA3va4qIwBYUYHXnwmwwx8bfxnKc5fSrHAKMqzY8h+/pDox2PSqexxCvP0+s753L
ftBu1JIEgHqkFlFeeMAQYvvZGeW7HgUK7aWl0jgPkc6hM8Xp4xvGBeE9KXUNsqt06VTYp4Vyamhn
WXNBe2knOKI3GlRLDaeYOqsj+zoFuhOz68hHcDWmRpGqX6jRU0wNgIwkygO3lnPVGcSH9kiVkme6
0wtF/db4l5afrkxb4PM+5xSI8LS7yBuV4SIRJkUmKPEEwXgse0iCB9gerFEh/SdhLQ09dWNkXA7l
Z9JClO7BAaKeWtpt3dgzc+B7Hau3trNL+46M0HN5CrRlrrwpPXAXDV1DP7zvqonL+Yxtk4anc9+T
rrbEjXIPDG9N/No6DpXHFn8J+PGAlL/cQY8bw+t0uoU6YD9wcnsT0RsDquXAqfTTryHxIW6vDvqj
JFRlZks2rhbLXnZIQQyRXQV+aS3GSLlyYulbPgw3YFYOINDRwwDcIjqca5BEN34dYz5N7MzFedOQ
eJc95M24skdrjcl8Rug2xRKb7ZQf9JeSTo1ByLhBZH2WRt2+xn+B4WZjdh7CM1Bao2ndp2175HTB
kz00V9hKIc6TsBNFKIzyiq0JIjWAYhMzSZU8Eo7qq0TDz6ukLhv1Y6QqzyAf5pGy4hR6pOv5QsnF
CU1MZl/9JCgNWvb1ytZKFeOxRr1fxw+vd4a06FCHLWpDSPNKd2o3iaVh9p/B6KkJtQ/HLQxnF6sT
EtZurkI5vSXWlP5mHsSMBu9CC5Qjng2OHIAwFDu8gSoMNUwrg7sgUwGhsm5eHnYHf0OLcLrEzy6H
f5KtQf+d4+WvnCFfvA3TP349ONLD46gqs3V+iS/9WfJyODhqAF+xkE7bkMl28Nbd4+CoYTSw2Wyr
BJk6XO7N2yB/mSIigP3JBlFVBJj+me6ew7H1w+7n5dxItZeir2LT3/u4ayuEVHZ6pugu3ZDnxjJP
LWGsCtO5ijxkCDKRiMlg9YhNvCtABOfIML8hLFw1zl3QNRCtJX8Ln/Rr3JgroivZqUtudDxGpAR3
xry3EhRq7UnQyV9LFcvyVFYdjVU0irVcEOLuuTBWt4qYm429hELkRmV2nERirZfJJja1c1MYp4ap
rbpSP9c95VSnNgtlv/eD5VA4Ls2ES1sqLsfec6cFWQ8o2oFeSur7MbkcfDBiKcCZ3lxaendiFTZO
7fRYKfTTTO+/Fpo+L+psR9vcJfWOMiI9GM4LqN2uxoHSvu3pV5Xpr4mzO0s9HXNb4KTQfMSU08OJ
wE/Oa99aa0U1Ha9bEoWdK2glt5HOI0OBv9I8c4OtzqUz+IDhEF1feqyjLPjtrff3NsuXw/9ktcSI
TKP2+w7twC6yCmRJd2HDLXx0IikMe78rz4xhOLMEsxtRCfN4tFyJ41HLJ/PbN3DY2//yhGjSKZ48
PHSdP44iNMnIfdTQc6mBYSzjJNSIZS+zu2gHA89soJ7pXmyuGm/cReX4tc1C7dgAt7xJTfwa1uxp
AECxHE2qliBaw6WleKnr5eNxn4g1OBzkguxxNjLVg3TkIAWPIV2wEqJtBMxNukHHDk5zKCIn5rQJ
Mtaeo23LHpcFSC6EiJX6MEBImIEvPOewtRortOh8926YXrcQyU/siHAf4ClHeVn4L7Fkf2r2+2Oi
wF/9W//caZLz1K9X4eYBFbiQ+lvwvs72OkfyL1/nSJOYGxnfleU49CoPJbTX2BzzCyB/zpMmsjzn
APt/nSI1pkiOa8yDKPY0sP7Mnq9TJH+EVgIhoakxc5qy8qcEEMrHhtjkScNJQPXc4S6o2X3v/mIv
a6VyOol9OlFep2Vu3ZYWfE9bRS6I+1P032DY3XuxIp5soWV33USPNNsgaFy96sh7a3PhWujSb4XS
5kdtWvgLxQ6TRyPxm5u/a6F9v87+61fH2Ye/9f+QRNXSCTRSWUQRl07FVm3Sdv76uDzeP+7jD2Py
hxd4GZ42Sy5LMc5vk3QhxiFD7XV4ql8MjUwlrIFQIPC5/7yCaxYp4xYLqqYfgpsm6c7b8FTxNFrU
6tDnOBrZSH9KtGofwu7+PflKSIaoysn893HS1ZM6j5W4DtZJZ6VLNG+0HSHD0oHEJoQVXnMyGCVS
Zq8aTVRYDQzrCDEldYTWrKPTruBcPctsmH0LAlrFV4PootPKsYevRUQk0jwD0FssRZxSjICt5lzg
/KvOrVjW+7kVpfakPxjzkGKS70tiThHFc8nMA2JdRaXq39PFk4pNm+f6SaUa2hFm+m7fekN2XwSx
Qaecc9UqTzPE/KMRTo7ytiICrxtM8w5FIBFVWu70w2qQaxlte5K0JYkupBjPkbPp0aKhf1ceYTkO
z9GNkvfItqJE2dikl40NlMiMG7QiEIPNb+oQp+QVKYM071s1bikT0CGGg1YGkK2MQP5WRtDZQJtI
HBccnEMXfRa2nHAjrX2IDKk/cqIUCgySjQtDMjK3tEP1UjWi5gYxjLFD2pteWClLnFTrzppdzbhq
5T4Dc2Va3nHLHoZutgHjzDc5yLHVsZctelpOG2oTPDgdqIi1lFSBA/zbbKkKxt24LSRTe+6w9lzK
pT8S15ciovX8ovxGr1snv3pgfxZUkSfmKQSoa0ufKFVNk9a7oHCQ/EYRORhOz55r1gBGXcVJyAE1
QhZ5bSmm9JVzRJDMwPzL1yAECTVwzHKI3RAgLYqLQL2HWVGuxAhsUVEhvcJv96sdVXt4p3A9U8tN
C8/Z0oirj2mICiAdmsjWVlSG1UZPETTMYiWr71I9lsTC0JvqyU+9/spoc6oalV5j5bRryZ5bXmOf
EGNAEgU5BkmyqB2daIQyqpwzw2lAh9VDlPVzw2kRtQxSkmPbGQH2zNDA5robwXjSlmAMraeMlCqa
FElJRBfax2J0zVKFSC85KZA+Tk3FHUC94BbqIqFSKbyfsxSeL/qhAhglDyNJu7WRWRSeeLD0HUI9
Bf/btFhi5ygAMsyexhBcGFisQKewP7xNK817DqMC0qVIVO8p9sx6bUdlozwUUH5SJG2mQvEv9UaG
VG/U+dISWgDwi47xMSfhzKPGmCAV6boKIl7Q4yqBB7SQw5T/r9RKOlakMI/dtmHnrefjGO3qoDWR
jPfwJqNuSK/BROmPUCjCbz2SEXsmHM8qFtRuElRgOVUgWYr1ua5k3aYIMG6g0cWsQ4y6aYJcysoE
300e1wjRHL9ZDo5MwT0YB/vJaYWpLuLKAbJmJQb+4L62zkEZVBv0HkQnJWnDiTlxqntHGNVNBGj1
VO9HRARNVdO1DXrTxvzntOeSpFc3nTColRpdvh1HpQSYQHmWQmc0xaW0XutCnqtDKuxksqsFvCmA
37lPaknUFjd4qOJtpsRGQPvFhOsR4XZDcO+TQk4XBUkgo5K+DhFeASIIfKVtZJmuWeXtAyqWvqT1
01gUMYexPkniZLgwwfzjVvXywnMTY+hXBMAYK9iH8ob0HEr9Kh/jN+HE4yNlAt+EuCBTFkxr6aSx
Av/EqQBpkeWgWxddWoSXbSvhuklaU9nIHTnWOsEpFyHwxrOK8CsA210mkdXRZLeT4tltxy5YVgj2
rjDnZpQqUn9cRnFHTdlwCmpctYyXCv91dJeFXX4WJcJwq5IcezAZ/Yb0j/GxGTSSY4YgyBVkUBRH
6A8NfPZNXAQI4ogT+1bgTAfY5qvEXUBAgCHZW4L6gFxf8+n0E3jEV84oLVeEnsFtO5JAG1azzq40
Z5XbEWKoUMK0I1caImtC5PN7IhrMq1pvGISl3DgqdN8yulNyvbg1yo7acFkKSN9qo9fGUjdHirN5
HBFWV1ugGldqIRdfqwjxyoVq5yms20Fj0uHUVC40KZPVbRCRb75AA62MrhXWk7e9gL24VpOOco6Q
IceeFWUhTvwx9MJZlzlDvAAv7ZyK0kru+8APngNJ5IuiksMrXxUUS50E+8GMhA/s+PRMgzn6D8v1
BoXijY8MYa2DesXtnZf9kd6W9Hc0tElHTdea49xokxR5TF6DqovUtlqQ64IWzfb6XQcSeVxIhO6s
WvjPGwVjKLbRJtHncKKMfgkxOTrWhCIZczWvNY6/WgDW+kw0PeK8gITsYiaqdiQLDQZJk6bZRPfV
0dqWZhrdW2WcuZRDt10PimOG+XCS9HGH50VuVTdaYncQadlxwL6pqQpWMR4v2LUgWX1ssEd8bYz8
JkXQH830ulpbJg2NKhnhuijJt8QWDjat6fiL+BD4WOYkR4HW4flXIgFEjHBdQ54x7WTMQ/RghXKh
2f25qmB6g6k0PiasBizUISUuSmxbf8x7HOOeTee1qi8yr2mfdRafFdQ+7UhzoBAgtprYgAn5r2j2
1LqqrrXe0AC5GxDXMdbBfyc28wnzntfOc4wbu0ZRtGWcdA2KWaSpR9DYKKUNYcNhT4EbrkFkgJgQ
Rv0x3rgau2MuI7jy4pPEYCJ3I4CwxUzp/XyYAzSQoJaYCtTKoJWUVRUNDiGVYRlvxhALChyhBIB1
px0D7oy2QDD1LT0YEClh0VS3UEEJKDcy+8EcPEBMNC7KMz1N7AuwRtY6quuMEJTC82boYtVHhwED
xUXJzssIvW4JYFh30xiLrWzUxbWccSTtGj7+3CmD25QC6MR/iMeKno4vzxQrsk4zcNEP5FtRrRAO
ekBT1MVUcjDmY13WV6VaVQ/AcIudiUPpJBMRkucujvzTyqgAuhO0sOqMQ58xKbSaPZdq3aVkYg5z
Gun9talPxkl8BP6TF5QBBQ8J8kJTWEjKIFXCiy1qhQUUf8O3Vh8sjjU4USVda2UmAM//Zskx7XQ/
bPs7yQTfA2wc8UFUR1RaqCmvAruwzpB4aEdO38XP3K/YIXIc7p2xgfc0FgM84z6EC4Bwx67RbHdI
xKMKTu1C81FezkzqGec2aMqlNRjd1xEZ49Kiz7J3VJOtRlFhHsGm7dEg80SdQakrNX/FR9UdKz71
3wWuU3EeCg0lcY4/K5rVY8JMpeZ9ncBxCER4ZEVSk6+aWuAEQrwDq9x2ejNZAoFXTtEA0J61uhYB
WiXHwzJs0xa6h7B9sPeqsLfoDmBpwGuuakrMYBghNMujNm/U0iR9cOjEt64ORQQeJ5Dpa4yJdxKa
KmpTgzjQDSPEGee0Dus9GCIWtc6wlYu4tXj++Ix14l9SwtjVPk2+6npQXtC9hK8rOA9dRIPuLFql
9eeSKlvbsDJsAhEa+SlUShuWq1Flqsu6SzvKUpukg/0hjMsBb2rgEhHHt64TVZCRuzMW4UKROMLs
cMO1mHVaQ19biZrn8CR01CCgh2166iwV7YkaViRc8Cn4/rwHi7Yyldq+SBK1KBej09n0VJxEf45S
yQGSgv3q2jGkYR/akvxo20nTrPNuZCWPadVP/feIGJuyKfsCJWNUuElVB3jtE/9Z9fPwoh6LaD44
hRIu2WNCakf34I5WLs4bO6uAdgimqKyyzeXAri1a6D2pSg7EK+apJqaNYVbe3ulK9ULO2GK47Hod
aS5Sx0jcvjD7mP01EFy0/yN7NKBHzsgbn41Ym5aSl/WusDS+JjrrMiGuPaiTMpLzvQZUTd1FrZ+4
XotnkP/rd7mcAN3IirxTZ0SrEXXEqFLnXloGOw9A5UZDX3YWyyltmsGsLIUTkEoPSmhTkpbFJf3r
KNS5J8Lriq9FZ9moIxwvec6TEOiFluCbgh9hLhKvJCEwksaF1SD8FKKX1rUmatDQGgAWT2YHOBt8
Uqb8rK7dZiTIyito0c4M2S/2QSKJbQx9mQ0+3Om1VMPbGHQMyCuyryiOURyWcKi3XAXquLHxLSTp
LO2Kqa6QFHhHOIbFw5A4U7cWXMoFK3eBzlkNnS3CgwyTuRxD2O5zbSVLVYPZgeAvizXE9YVaunRu
Qb9mkTVu9ChATYN12XVyaKzNUDUn3LR+pGuqfMs+YAKdOdkS4gBRTkadgAvuvNGj41nSTKH7uuij
uLnIdRQXcNsSiK0eXsdZVsrhuQXryVWg5tFysh1jK6cq2ykj9lyA/vfsU52VzHfSzZu6cknc8e+A
mtX3gywbwAshXC/8QY3v/Cq3ziETVoAN9DQ66ogjX43SlPzi1/0VsYW7IaihbchJcG6Egu+l2gNG
8UyjP7LLtlvrReJvTbOIee5mSDZZQqAg9BtjlceyelOKkW4hGDxz2qGnZCzIMrlrlq7jLaODzm4W
nvm9wRSzDtmW4rDvo+qky5KGQUQaWSPQUNF3Isdh4Wtjssnzhk20nIb5FXAae8kWztyBetUv9THX
IPpW0i4HVO92Zo5R0o9wzZRSQRuLmVfdmL5tu1bfBld89UDImerI1OY1BdOjDy6xalpoukmGshil
TgBAJQCIr6ummJW2TeigZsrxiSFpgNPDAKS8OvaoyojyPRNJ6Q8LQ4YPE8gQO0m/GaqF10T15aAm
4XWTNO3OkXzjge+uslMC4TyVVVAthRN5aKHUAfmYhAPjRgX5jP40jjZGaUbkecmk6MkttYy0Zr4K
m0ZFAGan0SbJmmDRZGmKd7SkD+lIZEkWZrFAiN5vpYQ3G1tchO54hmG29nOETonW3AiWuoDfViZL
GTUevAyMkjTe7Ks6aADoDU2hQjpBGLUsY8JzA03tT/Jcgpgy7VyMOTl32ZUCgHppEjKyy3X12eIw
iPoHNX21gAVYHw96b9FS0YXbxjHku6TXu68mizKf5Vjm9rJp8/oRwu0w/08O50nhkSax1gaDHU0i
+n6BRg4m20jz+mxkSWkWCQmR1UvV/09Vtf+A7e9/QxHx9RZ/CDT7mew1/ekuD7P6Kne/R6L9ob/0
Zpr78YX+GCGNmqFC5e9DIfJwUwc+229dI9kTOt88kqir4ucz0LxST/yPn+CN+K8/t60vjsXGBu7j
y+vlF717OL/29n/7nf2SGvfL63y48wdOq/VEm/PDPPtQ55+khH/kvX93hXfvnVqpoaL5n3oA04v+
5btHYDlTM5QyBZ79w+ul6Pt//hH8auoxMMWJIvBHHsJ313j3ECbSHU01Mo9fXjRp3z0EytOAE3hM
9utAeHno/6CHwDZA+b4c/2e/BQouWUXWYTS+joSPD8Eyvyg4ZRVjao1Pr3/cQ9BU0/zsVKAoX+hm
MQwmkfm7IWDZX2hTTSiMf9wXgNslYZCP5ZNfAsX6Qjj3RPn47q07X1CbQqUGBXl4vXzb/kGj38If
pmpMXJ+bBFQM39MQouX58vo4ApQvMM7YheLVPrz+eQPhAJHRkdd+7jnYXwjy0qgTmD+aDC3rCyuu
TudNeXkOL3DSf9BwmFwkn/0yqOYXfPiMKpIcXl4fB8O0Y+Bx23jGDq//WzuD75a0F5/P5vG//gOt
kfo9NvZPrwhTuKlKHOrUmZ9ev1wRZNvR8Oy8vP7EQ/gDw+XnLSR5L8njYYcZPlXvsLu/+xfedmG/
vMB7ghJbqA9/cXJJvVz65WlO//+vD8/5QAZ+94dvpODD73n9569v8Je/+sPventXbz9ch09iLx4C
GLdsTofX2zzdp+xSMVYFGK5+FGQLhOJtV/hDj9fP88FvXr+q9unbZaYhNPW93/7/r192FgZ78XaZ
6bKaozJV//vx/dd/fHi472av37rb9V4M+2z/dqHpwni2bIb8p68cpr8eGYz2ivn1s7/iaJ+mzU//
Y58W//On7b4KUL6+XfTwRgxkC28/+OtPfrsXGUe0+ONDetkpfvYdbBmnyXcXJoHg8zd9vI+rYP/Y
PT0Vbxc7PBILOsvbD/76IznZPwbDj79DE/3l87/g7DHk9t+uM925iunlb/gwd81j8xA8CTF8uDg0
deXtB3/9seyaLNrfv13ncNewb/6Gu77YR3vKx/sPh9bX9fmzQ/AyjOPww4Slyfa0Pf/sha/2aZhg
an1s3q41PZHX08VnL35d13hlfzCJv55jP3v9m6eq/mn2lMGE/3D3L2WSz179ZM9kzoRViw9j/HWz
8dmrr5qIq9fv7/vnrf2nr51/uOPpuqb6N0zlrMo/m51Pw4f8nk93U008/urj+yBOadqVfvZ9/Lf4
Y4n2h/3DX58RTsIxFx+3A2hKZQtI1uffw5Wgg/txBL1e/G/49v7Ylv5204e1ZHojWMnffvbXn9Lv
RC989jP4TbLZZy/+OzTRT15+8ZQE4dsDfn3o2Punw+lnvwG/Chd4FT3/Devh74qqP/l0iJ7a13VY
/UK2jUfEVik0ff4pHdYZFLhMRG8XO3wMr7/hb9hLHbEU/Or1/4bzyNUTs6j//R7/38Wuz46jP6pQ
/uRn/eP56K9gMn7zRn503vw5teaXp9C3FsSP/tnHI/b0Nx6Sp7341/8CAAD//w==</cx:binary>
              </cx:geoCache>
            </cx:geography>
          </cx:layoutPr>
        </cx:series>
      </cx:plotAreaRegion>
    </cx:plotArea>
    <cx:legend pos="l"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https://www.walmart.com/"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4.png"/><Relationship Id="rId5" Type="http://schemas.microsoft.com/office/2014/relationships/chartEx" Target="../charts/chartEx1.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16</xdr:col>
      <xdr:colOff>657841</xdr:colOff>
      <xdr:row>1</xdr:row>
      <xdr:rowOff>104159</xdr:rowOff>
    </xdr:from>
    <xdr:to>
      <xdr:col>17</xdr:col>
      <xdr:colOff>219281</xdr:colOff>
      <xdr:row>2</xdr:row>
      <xdr:rowOff>142532</xdr:rowOff>
    </xdr:to>
    <xdr:cxnSp macro="">
      <xdr:nvCxnSpPr>
        <xdr:cNvPr id="3" name="Straight Arrow Connector 2">
          <a:extLst>
            <a:ext uri="{FF2B5EF4-FFF2-40B4-BE49-F238E27FC236}">
              <a16:creationId xmlns:a16="http://schemas.microsoft.com/office/drawing/2014/main" id="{266645C2-A4C8-CE7D-012A-AB2F4D8CBE99}"/>
            </a:ext>
          </a:extLst>
        </xdr:cNvPr>
        <xdr:cNvCxnSpPr/>
      </xdr:nvCxnSpPr>
      <xdr:spPr>
        <a:xfrm flipV="1">
          <a:off x="11199755" y="285065"/>
          <a:ext cx="597540" cy="21928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656745</xdr:colOff>
      <xdr:row>1</xdr:row>
      <xdr:rowOff>109641</xdr:rowOff>
    </xdr:from>
    <xdr:to>
      <xdr:col>18</xdr:col>
      <xdr:colOff>487899</xdr:colOff>
      <xdr:row>3</xdr:row>
      <xdr:rowOff>86616</xdr:rowOff>
    </xdr:to>
    <xdr:cxnSp macro="">
      <xdr:nvCxnSpPr>
        <xdr:cNvPr id="4" name="Straight Arrow Connector 3">
          <a:extLst>
            <a:ext uri="{FF2B5EF4-FFF2-40B4-BE49-F238E27FC236}">
              <a16:creationId xmlns:a16="http://schemas.microsoft.com/office/drawing/2014/main" id="{5EF028EA-30E0-495F-A6F5-EAA290BABE3A}"/>
            </a:ext>
          </a:extLst>
        </xdr:cNvPr>
        <xdr:cNvCxnSpPr/>
      </xdr:nvCxnSpPr>
      <xdr:spPr>
        <a:xfrm flipV="1">
          <a:off x="11198659" y="290547"/>
          <a:ext cx="2111672" cy="33878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573419</xdr:colOff>
      <xdr:row>5</xdr:row>
      <xdr:rowOff>114026</xdr:rowOff>
    </xdr:from>
    <xdr:to>
      <xdr:col>19</xdr:col>
      <xdr:colOff>311378</xdr:colOff>
      <xdr:row>7</xdr:row>
      <xdr:rowOff>91001</xdr:rowOff>
    </xdr:to>
    <xdr:cxnSp macro="">
      <xdr:nvCxnSpPr>
        <xdr:cNvPr id="6" name="Straight Arrow Connector 5">
          <a:extLst>
            <a:ext uri="{FF2B5EF4-FFF2-40B4-BE49-F238E27FC236}">
              <a16:creationId xmlns:a16="http://schemas.microsoft.com/office/drawing/2014/main" id="{B17DD33E-78F4-497E-B8B6-D8C25A4AB29A}"/>
            </a:ext>
          </a:extLst>
        </xdr:cNvPr>
        <xdr:cNvCxnSpPr/>
      </xdr:nvCxnSpPr>
      <xdr:spPr>
        <a:xfrm flipV="1">
          <a:off x="12151433" y="1018558"/>
          <a:ext cx="2111672" cy="33878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xdr:row>
      <xdr:rowOff>67734</xdr:rowOff>
    </xdr:from>
    <xdr:to>
      <xdr:col>26</xdr:col>
      <xdr:colOff>283309</xdr:colOff>
      <xdr:row>10</xdr:row>
      <xdr:rowOff>9409</xdr:rowOff>
    </xdr:to>
    <xdr:sp macro="" textlink="">
      <xdr:nvSpPr>
        <xdr:cNvPr id="3" name="Rectangle: Rounded Corners 2">
          <a:extLst>
            <a:ext uri="{FF2B5EF4-FFF2-40B4-BE49-F238E27FC236}">
              <a16:creationId xmlns:a16="http://schemas.microsoft.com/office/drawing/2014/main" id="{DEC2077B-6324-469F-9078-DFEA21903A98}"/>
            </a:ext>
          </a:extLst>
        </xdr:cNvPr>
        <xdr:cNvSpPr/>
      </xdr:nvSpPr>
      <xdr:spPr>
        <a:xfrm>
          <a:off x="1" y="995811"/>
          <a:ext cx="16031308" cy="869752"/>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0</xdr:row>
      <xdr:rowOff>0</xdr:rowOff>
    </xdr:from>
    <xdr:to>
      <xdr:col>26</xdr:col>
      <xdr:colOff>329819</xdr:colOff>
      <xdr:row>5</xdr:row>
      <xdr:rowOff>18815</xdr:rowOff>
    </xdr:to>
    <xdr:sp macro="" textlink="">
      <xdr:nvSpPr>
        <xdr:cNvPr id="2" name="Rectangle: Rounded Corners 1">
          <a:extLst>
            <a:ext uri="{FF2B5EF4-FFF2-40B4-BE49-F238E27FC236}">
              <a16:creationId xmlns:a16="http://schemas.microsoft.com/office/drawing/2014/main" id="{F844140E-9247-E1AA-818E-FC549FC5A302}"/>
            </a:ext>
          </a:extLst>
        </xdr:cNvPr>
        <xdr:cNvSpPr/>
      </xdr:nvSpPr>
      <xdr:spPr>
        <a:xfrm>
          <a:off x="0" y="0"/>
          <a:ext cx="16297700" cy="928666"/>
        </a:xfrm>
        <a:prstGeom prst="roundRect">
          <a:avLst>
            <a:gd name="adj" fmla="val 842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10</xdr:row>
      <xdr:rowOff>135463</xdr:rowOff>
    </xdr:from>
    <xdr:to>
      <xdr:col>6</xdr:col>
      <xdr:colOff>216370</xdr:colOff>
      <xdr:row>40</xdr:row>
      <xdr:rowOff>47032</xdr:rowOff>
    </xdr:to>
    <xdr:sp macro="" textlink="">
      <xdr:nvSpPr>
        <xdr:cNvPr id="4" name="Rectangle: Rounded Corners 3">
          <a:extLst>
            <a:ext uri="{FF2B5EF4-FFF2-40B4-BE49-F238E27FC236}">
              <a16:creationId xmlns:a16="http://schemas.microsoft.com/office/drawing/2014/main" id="{557B13F4-8889-4F27-BB7E-34DEC5211593}"/>
            </a:ext>
          </a:extLst>
        </xdr:cNvPr>
        <xdr:cNvSpPr/>
      </xdr:nvSpPr>
      <xdr:spPr>
        <a:xfrm>
          <a:off x="0" y="1922870"/>
          <a:ext cx="3885259" cy="5273792"/>
        </a:xfrm>
        <a:prstGeom prst="roundRect">
          <a:avLst>
            <a:gd name="adj" fmla="val 3335"/>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312325</xdr:colOff>
      <xdr:row>10</xdr:row>
      <xdr:rowOff>118531</xdr:rowOff>
    </xdr:from>
    <xdr:to>
      <xdr:col>26</xdr:col>
      <xdr:colOff>268310</xdr:colOff>
      <xdr:row>40</xdr:row>
      <xdr:rowOff>30100</xdr:rowOff>
    </xdr:to>
    <xdr:sp macro="" textlink="">
      <xdr:nvSpPr>
        <xdr:cNvPr id="5" name="Rectangle: Rounded Corners 4">
          <a:extLst>
            <a:ext uri="{FF2B5EF4-FFF2-40B4-BE49-F238E27FC236}">
              <a16:creationId xmlns:a16="http://schemas.microsoft.com/office/drawing/2014/main" id="{C8502F05-DC0E-4385-9264-A09FB962088B}"/>
            </a:ext>
          </a:extLst>
        </xdr:cNvPr>
        <xdr:cNvSpPr/>
      </xdr:nvSpPr>
      <xdr:spPr>
        <a:xfrm>
          <a:off x="3982804" y="1943038"/>
          <a:ext cx="12190914" cy="5385090"/>
        </a:xfrm>
        <a:prstGeom prst="roundRect">
          <a:avLst>
            <a:gd name="adj" fmla="val 3335"/>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2</xdr:col>
      <xdr:colOff>117522</xdr:colOff>
      <xdr:row>0</xdr:row>
      <xdr:rowOff>63887</xdr:rowOff>
    </xdr:from>
    <xdr:ext cx="12928790" cy="743606"/>
    <xdr:sp macro="" textlink="">
      <xdr:nvSpPr>
        <xdr:cNvPr id="6" name="Rectangle 5">
          <a:extLst>
            <a:ext uri="{FF2B5EF4-FFF2-40B4-BE49-F238E27FC236}">
              <a16:creationId xmlns:a16="http://schemas.microsoft.com/office/drawing/2014/main" id="{B16A625B-C66D-B849-2A1C-325F658631EB}"/>
            </a:ext>
          </a:extLst>
        </xdr:cNvPr>
        <xdr:cNvSpPr/>
      </xdr:nvSpPr>
      <xdr:spPr>
        <a:xfrm>
          <a:off x="1345821" y="63887"/>
          <a:ext cx="12928790" cy="743606"/>
        </a:xfrm>
        <a:prstGeom prst="rect">
          <a:avLst/>
        </a:prstGeom>
        <a:noFill/>
      </xdr:spPr>
      <xdr:txBody>
        <a:bodyPr wrap="none" lIns="91440" tIns="45720" rIns="91440" bIns="45720" anchor="ctr">
          <a:no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WALMART</a:t>
          </a:r>
          <a:r>
            <a:rPr lang="en-US" sz="5400" b="0" cap="none" spc="0" baseline="0">
              <a:ln w="0"/>
              <a:solidFill>
                <a:schemeClr val="accent1"/>
              </a:solidFill>
              <a:effectLst>
                <a:outerShdw blurRad="38100" dist="25400" dir="5400000" algn="ctr" rotWithShape="0">
                  <a:srgbClr val="6E747A">
                    <a:alpha val="43000"/>
                  </a:srgbClr>
                </a:outerShdw>
              </a:effectLst>
            </a:rPr>
            <a:t> SALES DASHBOARD</a:t>
          </a: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0</xdr:col>
      <xdr:colOff>124177</xdr:colOff>
      <xdr:row>6</xdr:row>
      <xdr:rowOff>10349</xdr:rowOff>
    </xdr:from>
    <xdr:to>
      <xdr:col>2</xdr:col>
      <xdr:colOff>526813</xdr:colOff>
      <xdr:row>9</xdr:row>
      <xdr:rowOff>63029</xdr:rowOff>
    </xdr:to>
    <xdr:sp macro="" textlink="'All Pivot Table'!E4">
      <xdr:nvSpPr>
        <xdr:cNvPr id="7" name="Rectangle: Rounded Corners 6">
          <a:extLst>
            <a:ext uri="{FF2B5EF4-FFF2-40B4-BE49-F238E27FC236}">
              <a16:creationId xmlns:a16="http://schemas.microsoft.com/office/drawing/2014/main" id="{3502BFB8-07B6-41D8-B73A-6D98F483CCFD}"/>
            </a:ext>
          </a:extLst>
        </xdr:cNvPr>
        <xdr:cNvSpPr/>
      </xdr:nvSpPr>
      <xdr:spPr>
        <a:xfrm>
          <a:off x="124177" y="1082793"/>
          <a:ext cx="1625599" cy="588903"/>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accent2">
                  <a:lumMod val="75000"/>
                </a:schemeClr>
              </a:solidFill>
              <a:latin typeface="Calibri"/>
              <a:ea typeface="Calibri"/>
              <a:cs typeface="Calibri"/>
            </a:rPr>
            <a:t>TOTAL REVENUE</a:t>
          </a:r>
        </a:p>
        <a:p>
          <a:pPr marL="0" indent="0" algn="ctr"/>
          <a:fld id="{44DE5C36-42FF-44F1-9C91-E387827D6F72}" type="TxLink">
            <a:rPr lang="en-US" sz="1400" b="1" i="0" u="none" strike="noStrike">
              <a:solidFill>
                <a:schemeClr val="accent2">
                  <a:lumMod val="75000"/>
                </a:schemeClr>
              </a:solidFill>
              <a:latin typeface="Calibri"/>
              <a:ea typeface="Calibri"/>
              <a:cs typeface="Calibri"/>
            </a:rPr>
            <a:pPr marL="0" indent="0" algn="ctr"/>
            <a:t>16.19M</a:t>
          </a:fld>
          <a:endParaRPr lang="en-IN" sz="1400" b="1" i="0" u="none" strike="noStrike">
            <a:solidFill>
              <a:schemeClr val="accent2">
                <a:lumMod val="75000"/>
              </a:schemeClr>
            </a:solidFill>
            <a:latin typeface="Calibri"/>
            <a:ea typeface="Calibri"/>
            <a:cs typeface="Calibri"/>
          </a:endParaRPr>
        </a:p>
      </xdr:txBody>
    </xdr:sp>
    <xdr:clientData/>
  </xdr:twoCellAnchor>
  <xdr:twoCellAnchor>
    <xdr:from>
      <xdr:col>3</xdr:col>
      <xdr:colOff>95579</xdr:colOff>
      <xdr:row>6</xdr:row>
      <xdr:rowOff>10349</xdr:rowOff>
    </xdr:from>
    <xdr:to>
      <xdr:col>5</xdr:col>
      <xdr:colOff>498215</xdr:colOff>
      <xdr:row>9</xdr:row>
      <xdr:rowOff>63029</xdr:rowOff>
    </xdr:to>
    <xdr:sp macro="" textlink="'All Pivot Table'!F4">
      <xdr:nvSpPr>
        <xdr:cNvPr id="8" name="Rectangle: Rounded Corners 7">
          <a:extLst>
            <a:ext uri="{FF2B5EF4-FFF2-40B4-BE49-F238E27FC236}">
              <a16:creationId xmlns:a16="http://schemas.microsoft.com/office/drawing/2014/main" id="{3812A592-D3DD-469F-B6DF-4AC9A4574300}"/>
            </a:ext>
          </a:extLst>
        </xdr:cNvPr>
        <xdr:cNvSpPr/>
      </xdr:nvSpPr>
      <xdr:spPr>
        <a:xfrm>
          <a:off x="1930023" y="1082793"/>
          <a:ext cx="1625599" cy="588903"/>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accent2">
                  <a:lumMod val="75000"/>
                </a:schemeClr>
              </a:solidFill>
              <a:latin typeface="Calibri"/>
              <a:ea typeface="Calibri"/>
              <a:cs typeface="Calibri"/>
            </a:rPr>
            <a:t>TOTAL PROFIT</a:t>
          </a:r>
        </a:p>
        <a:p>
          <a:pPr marL="0" indent="0" algn="ctr"/>
          <a:fld id="{17AAC755-EFD2-46C4-826B-DCCF8DA7998C}" type="TxLink">
            <a:rPr lang="en-US" sz="1400" b="1" i="0" u="none" strike="noStrike">
              <a:solidFill>
                <a:schemeClr val="accent2">
                  <a:lumMod val="75000"/>
                </a:schemeClr>
              </a:solidFill>
              <a:latin typeface="Calibri"/>
              <a:ea typeface="Calibri"/>
              <a:cs typeface="Calibri"/>
            </a:rPr>
            <a:pPr marL="0" indent="0" algn="ctr"/>
            <a:t>-2694.9k</a:t>
          </a:fld>
          <a:endParaRPr lang="en-IN" sz="1400" b="1" i="0" u="none" strike="noStrike">
            <a:solidFill>
              <a:schemeClr val="accent2">
                <a:lumMod val="75000"/>
              </a:schemeClr>
            </a:solidFill>
            <a:latin typeface="Calibri"/>
            <a:ea typeface="Calibri"/>
            <a:cs typeface="Calibri"/>
          </a:endParaRPr>
        </a:p>
      </xdr:txBody>
    </xdr:sp>
    <xdr:clientData/>
  </xdr:twoCellAnchor>
  <xdr:twoCellAnchor>
    <xdr:from>
      <xdr:col>6</xdr:col>
      <xdr:colOff>66980</xdr:colOff>
      <xdr:row>6</xdr:row>
      <xdr:rowOff>10349</xdr:rowOff>
    </xdr:from>
    <xdr:to>
      <xdr:col>8</xdr:col>
      <xdr:colOff>469616</xdr:colOff>
      <xdr:row>9</xdr:row>
      <xdr:rowOff>63029</xdr:rowOff>
    </xdr:to>
    <xdr:sp macro="" textlink="'All Pivot Table'!D4">
      <xdr:nvSpPr>
        <xdr:cNvPr id="9" name="Rectangle: Rounded Corners 8">
          <a:extLst>
            <a:ext uri="{FF2B5EF4-FFF2-40B4-BE49-F238E27FC236}">
              <a16:creationId xmlns:a16="http://schemas.microsoft.com/office/drawing/2014/main" id="{BB720BD8-50A7-46BA-B8C8-99A07291A399}"/>
            </a:ext>
          </a:extLst>
        </xdr:cNvPr>
        <xdr:cNvSpPr/>
      </xdr:nvSpPr>
      <xdr:spPr>
        <a:xfrm>
          <a:off x="3735869" y="1082793"/>
          <a:ext cx="1625599" cy="588903"/>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accent2">
                  <a:lumMod val="75000"/>
                </a:schemeClr>
              </a:solidFill>
              <a:latin typeface="Calibri"/>
              <a:ea typeface="Calibri"/>
              <a:cs typeface="Calibri"/>
            </a:rPr>
            <a:t>TOTAL STOCK QTY</a:t>
          </a:r>
        </a:p>
        <a:p>
          <a:pPr marL="0" indent="0" algn="ctr"/>
          <a:fld id="{CCC116AE-2A60-4857-A432-9CFFEA33DEDC}" type="TxLink">
            <a:rPr lang="en-US" sz="1400" b="1" i="0" u="none" strike="noStrike">
              <a:solidFill>
                <a:schemeClr val="accent2">
                  <a:lumMod val="75000"/>
                </a:schemeClr>
              </a:solidFill>
              <a:latin typeface="Calibri"/>
              <a:ea typeface="Calibri"/>
              <a:cs typeface="Calibri"/>
            </a:rPr>
            <a:pPr marL="0" indent="0" algn="ctr"/>
            <a:t>45.0k</a:t>
          </a:fld>
          <a:endParaRPr lang="en-IN" sz="1400" b="1" i="0" u="none" strike="noStrike">
            <a:solidFill>
              <a:schemeClr val="accent2">
                <a:lumMod val="75000"/>
              </a:schemeClr>
            </a:solidFill>
            <a:latin typeface="Calibri"/>
            <a:ea typeface="Calibri"/>
            <a:cs typeface="Calibri"/>
          </a:endParaRPr>
        </a:p>
      </xdr:txBody>
    </xdr:sp>
    <xdr:clientData/>
  </xdr:twoCellAnchor>
  <xdr:twoCellAnchor>
    <xdr:from>
      <xdr:col>9</xdr:col>
      <xdr:colOff>38382</xdr:colOff>
      <xdr:row>6</xdr:row>
      <xdr:rowOff>10349</xdr:rowOff>
    </xdr:from>
    <xdr:to>
      <xdr:col>11</xdr:col>
      <xdr:colOff>441018</xdr:colOff>
      <xdr:row>9</xdr:row>
      <xdr:rowOff>63029</xdr:rowOff>
    </xdr:to>
    <xdr:sp macro="" textlink="'All Pivot Table'!A4">
      <xdr:nvSpPr>
        <xdr:cNvPr id="10" name="Rectangle: Rounded Corners 9">
          <a:extLst>
            <a:ext uri="{FF2B5EF4-FFF2-40B4-BE49-F238E27FC236}">
              <a16:creationId xmlns:a16="http://schemas.microsoft.com/office/drawing/2014/main" id="{F01400C4-5066-488B-AB2B-4AF9CBAFA416}"/>
            </a:ext>
          </a:extLst>
        </xdr:cNvPr>
        <xdr:cNvSpPr/>
      </xdr:nvSpPr>
      <xdr:spPr>
        <a:xfrm>
          <a:off x="5541715" y="1082793"/>
          <a:ext cx="1625599" cy="588903"/>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accent2">
                  <a:lumMod val="75000"/>
                </a:schemeClr>
              </a:solidFill>
              <a:latin typeface="Calibri"/>
              <a:ea typeface="Calibri"/>
              <a:cs typeface="Calibri"/>
            </a:rPr>
            <a:t>TOTAL ORDERS</a:t>
          </a:r>
        </a:p>
        <a:p>
          <a:pPr marL="0" indent="0" algn="ctr"/>
          <a:fld id="{323D630A-17FE-41D5-8A1C-B5F0DB232346}" type="TxLink">
            <a:rPr lang="en-US" sz="1400" b="1" i="0" u="none" strike="noStrike">
              <a:solidFill>
                <a:schemeClr val="accent2">
                  <a:lumMod val="75000"/>
                </a:schemeClr>
              </a:solidFill>
              <a:latin typeface="Calibri"/>
              <a:ea typeface="Calibri"/>
              <a:cs typeface="Calibri"/>
            </a:rPr>
            <a:pPr marL="0" indent="0" algn="ctr"/>
            <a:t>100.0</a:t>
          </a:fld>
          <a:endParaRPr lang="en-IN" sz="1400" b="1" i="0" u="none" strike="noStrike">
            <a:solidFill>
              <a:schemeClr val="accent2">
                <a:lumMod val="75000"/>
              </a:schemeClr>
            </a:solidFill>
            <a:latin typeface="Calibri"/>
            <a:ea typeface="Calibri"/>
            <a:cs typeface="Calibri"/>
          </a:endParaRPr>
        </a:p>
      </xdr:txBody>
    </xdr:sp>
    <xdr:clientData/>
  </xdr:twoCellAnchor>
  <xdr:twoCellAnchor>
    <xdr:from>
      <xdr:col>12</xdr:col>
      <xdr:colOff>9783</xdr:colOff>
      <xdr:row>6</xdr:row>
      <xdr:rowOff>10349</xdr:rowOff>
    </xdr:from>
    <xdr:to>
      <xdr:col>15</xdr:col>
      <xdr:colOff>273191</xdr:colOff>
      <xdr:row>9</xdr:row>
      <xdr:rowOff>63029</xdr:rowOff>
    </xdr:to>
    <xdr:sp macro="" textlink="'All Pivot Table'!B4">
      <xdr:nvSpPr>
        <xdr:cNvPr id="11" name="Rectangle: Rounded Corners 10">
          <a:extLst>
            <a:ext uri="{FF2B5EF4-FFF2-40B4-BE49-F238E27FC236}">
              <a16:creationId xmlns:a16="http://schemas.microsoft.com/office/drawing/2014/main" id="{F5EA8029-6C5D-4345-BDBF-96A170268695}"/>
            </a:ext>
          </a:extLst>
        </xdr:cNvPr>
        <xdr:cNvSpPr/>
      </xdr:nvSpPr>
      <xdr:spPr>
        <a:xfrm>
          <a:off x="7347561" y="1082793"/>
          <a:ext cx="2097852" cy="588903"/>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accent2">
                  <a:lumMod val="75000"/>
                </a:schemeClr>
              </a:solidFill>
              <a:latin typeface="Calibri"/>
              <a:ea typeface="Calibri"/>
              <a:cs typeface="Calibri"/>
            </a:rPr>
            <a:t>AVG DISCOUNT APPLIED</a:t>
          </a:r>
        </a:p>
        <a:p>
          <a:pPr marL="0" indent="0" algn="ctr"/>
          <a:fld id="{18D785FF-DA7E-4EC3-9B2F-BA19245C8480}" type="TxLink">
            <a:rPr lang="en-US" sz="1400" b="1" i="0" u="none" strike="noStrike">
              <a:solidFill>
                <a:schemeClr val="accent2">
                  <a:lumMod val="75000"/>
                </a:schemeClr>
              </a:solidFill>
              <a:latin typeface="Calibri"/>
              <a:ea typeface="Calibri"/>
              <a:cs typeface="Calibri"/>
            </a:rPr>
            <a:pPr marL="0" indent="0" algn="ctr"/>
            <a:t>18%</a:t>
          </a:fld>
          <a:endParaRPr lang="en-IN" sz="1400" b="1" i="0" u="none" strike="noStrike">
            <a:solidFill>
              <a:schemeClr val="accent2">
                <a:lumMod val="75000"/>
              </a:schemeClr>
            </a:solidFill>
            <a:latin typeface="Calibri"/>
            <a:ea typeface="Calibri"/>
            <a:cs typeface="Calibri"/>
          </a:endParaRPr>
        </a:p>
      </xdr:txBody>
    </xdr:sp>
    <xdr:clientData/>
  </xdr:twoCellAnchor>
  <xdr:twoCellAnchor>
    <xdr:from>
      <xdr:col>15</xdr:col>
      <xdr:colOff>453437</xdr:colOff>
      <xdr:row>6</xdr:row>
      <xdr:rowOff>10349</xdr:rowOff>
    </xdr:from>
    <xdr:to>
      <xdr:col>19</xdr:col>
      <xdr:colOff>197556</xdr:colOff>
      <xdr:row>9</xdr:row>
      <xdr:rowOff>63029</xdr:rowOff>
    </xdr:to>
    <xdr:sp macro="" textlink="'All Pivot Table'!C4">
      <xdr:nvSpPr>
        <xdr:cNvPr id="12" name="Rectangle: Rounded Corners 11">
          <a:extLst>
            <a:ext uri="{FF2B5EF4-FFF2-40B4-BE49-F238E27FC236}">
              <a16:creationId xmlns:a16="http://schemas.microsoft.com/office/drawing/2014/main" id="{269CE106-6786-43F1-872B-89271707F247}"/>
            </a:ext>
          </a:extLst>
        </xdr:cNvPr>
        <xdr:cNvSpPr/>
      </xdr:nvSpPr>
      <xdr:spPr>
        <a:xfrm>
          <a:off x="9625659" y="1082793"/>
          <a:ext cx="2190045" cy="588903"/>
        </a:xfrm>
        <a:prstGeom prst="roundRect">
          <a:avLst>
            <a:gd name="adj" fmla="val 8420"/>
          </a:avLst>
        </a:prstGeom>
        <a:solidFill>
          <a:sysClr val="window" lastClr="FFFFFF"/>
        </a:solidFill>
        <a:ln>
          <a:solidFill>
            <a:schemeClr val="accent4">
              <a:lumMod val="60000"/>
              <a:lumOff val="4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accent2">
                  <a:lumMod val="75000"/>
                </a:schemeClr>
              </a:solidFill>
              <a:latin typeface="Calibri"/>
              <a:ea typeface="Calibri"/>
              <a:cs typeface="Calibri"/>
            </a:rPr>
            <a:t>AVG SHIPPING CHARGES</a:t>
          </a:r>
        </a:p>
        <a:p>
          <a:pPr marL="0" indent="0" algn="ctr"/>
          <a:fld id="{5340986E-2B7E-44BD-9134-8E38AAD25FA8}" type="TxLink">
            <a:rPr lang="en-US" sz="1400" b="1" i="0" u="none" strike="noStrike">
              <a:solidFill>
                <a:schemeClr val="accent2">
                  <a:lumMod val="75000"/>
                </a:schemeClr>
              </a:solidFill>
              <a:latin typeface="Calibri"/>
              <a:ea typeface="Calibri"/>
              <a:cs typeface="Calibri"/>
            </a:rPr>
            <a:pPr marL="0" indent="0" algn="ctr"/>
            <a:t>249.8</a:t>
          </a:fld>
          <a:endParaRPr lang="en-IN" sz="1400" b="1" i="0" u="none" strike="noStrike">
            <a:solidFill>
              <a:schemeClr val="accent2">
                <a:lumMod val="75000"/>
              </a:schemeClr>
            </a:solidFill>
            <a:latin typeface="Calibri"/>
            <a:ea typeface="Calibri"/>
            <a:cs typeface="Calibri"/>
          </a:endParaRPr>
        </a:p>
      </xdr:txBody>
    </xdr:sp>
    <xdr:clientData/>
  </xdr:twoCellAnchor>
  <xdr:twoCellAnchor editAs="oneCell">
    <xdr:from>
      <xdr:col>19</xdr:col>
      <xdr:colOff>282223</xdr:colOff>
      <xdr:row>5</xdr:row>
      <xdr:rowOff>141112</xdr:rowOff>
    </xdr:from>
    <xdr:to>
      <xdr:col>22</xdr:col>
      <xdr:colOff>466298</xdr:colOff>
      <xdr:row>9</xdr:row>
      <xdr:rowOff>122296</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1726FC1B-A77F-411C-A516-DDCE972457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27970" y="1057441"/>
              <a:ext cx="1817367" cy="714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414921</xdr:colOff>
      <xdr:row>25</xdr:row>
      <xdr:rowOff>26188</xdr:rowOff>
    </xdr:from>
    <xdr:to>
      <xdr:col>16</xdr:col>
      <xdr:colOff>96591</xdr:colOff>
      <xdr:row>40</xdr:row>
      <xdr:rowOff>26188</xdr:rowOff>
    </xdr:to>
    <xdr:graphicFrame macro="">
      <xdr:nvGraphicFramePr>
        <xdr:cNvPr id="15" name="Chart 14">
          <a:extLst>
            <a:ext uri="{FF2B5EF4-FFF2-40B4-BE49-F238E27FC236}">
              <a16:creationId xmlns:a16="http://schemas.microsoft.com/office/drawing/2014/main" id="{1E34637D-1328-4FE9-B932-9890FF3F9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58615</xdr:colOff>
      <xdr:row>26</xdr:row>
      <xdr:rowOff>146539</xdr:rowOff>
    </xdr:from>
    <xdr:to>
      <xdr:col>6</xdr:col>
      <xdr:colOff>87923</xdr:colOff>
      <xdr:row>39</xdr:row>
      <xdr:rowOff>102577</xdr:rowOff>
    </xdr:to>
    <xdr:graphicFrame macro="">
      <xdr:nvGraphicFramePr>
        <xdr:cNvPr id="16" name="Chart 15">
          <a:extLst>
            <a:ext uri="{FF2B5EF4-FFF2-40B4-BE49-F238E27FC236}">
              <a16:creationId xmlns:a16="http://schemas.microsoft.com/office/drawing/2014/main" id="{925BDD68-AA06-4D03-9AB1-8EEAC01B9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80209</xdr:colOff>
      <xdr:row>11</xdr:row>
      <xdr:rowOff>70182</xdr:rowOff>
    </xdr:from>
    <xdr:to>
      <xdr:col>6</xdr:col>
      <xdr:colOff>130342</xdr:colOff>
      <xdr:row>26</xdr:row>
      <xdr:rowOff>100262</xdr:rowOff>
    </xdr:to>
    <xdr:graphicFrame macro="">
      <xdr:nvGraphicFramePr>
        <xdr:cNvPr id="18" name="Chart 17">
          <a:extLst>
            <a:ext uri="{FF2B5EF4-FFF2-40B4-BE49-F238E27FC236}">
              <a16:creationId xmlns:a16="http://schemas.microsoft.com/office/drawing/2014/main" id="{D4D745E7-968D-4244-A90E-15C1D6DD0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452034</xdr:colOff>
      <xdr:row>11</xdr:row>
      <xdr:rowOff>51661</xdr:rowOff>
    </xdr:from>
    <xdr:to>
      <xdr:col>16</xdr:col>
      <xdr:colOff>90407</xdr:colOff>
      <xdr:row>24</xdr:row>
      <xdr:rowOff>116238</xdr:rowOff>
    </xdr:to>
    <xdr:graphicFrame macro="">
      <xdr:nvGraphicFramePr>
        <xdr:cNvPr id="19" name="Chart 18">
          <a:extLst>
            <a:ext uri="{FF2B5EF4-FFF2-40B4-BE49-F238E27FC236}">
              <a16:creationId xmlns:a16="http://schemas.microsoft.com/office/drawing/2014/main" id="{9F200AEC-7EA8-4A5E-8D54-8A1C4DE8A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136477</xdr:colOff>
      <xdr:row>25</xdr:row>
      <xdr:rowOff>9769</xdr:rowOff>
    </xdr:from>
    <xdr:to>
      <xdr:col>22</xdr:col>
      <xdr:colOff>537307</xdr:colOff>
      <xdr:row>39</xdr:row>
      <xdr:rowOff>172872</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E2ACAE6C-5795-44C9-949D-64776C8968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890077" y="4581769"/>
              <a:ext cx="4058430" cy="27234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127000</xdr:colOff>
      <xdr:row>11</xdr:row>
      <xdr:rowOff>39077</xdr:rowOff>
    </xdr:from>
    <xdr:to>
      <xdr:col>22</xdr:col>
      <xdr:colOff>511791</xdr:colOff>
      <xdr:row>24</xdr:row>
      <xdr:rowOff>117231</xdr:rowOff>
    </xdr:to>
    <xdr:graphicFrame macro="">
      <xdr:nvGraphicFramePr>
        <xdr:cNvPr id="21" name="Chart 20">
          <a:extLst>
            <a:ext uri="{FF2B5EF4-FFF2-40B4-BE49-F238E27FC236}">
              <a16:creationId xmlns:a16="http://schemas.microsoft.com/office/drawing/2014/main" id="{C1796BB5-A0B9-4BF6-A542-F471A3022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22746</xdr:colOff>
      <xdr:row>11</xdr:row>
      <xdr:rowOff>45493</xdr:rowOff>
    </xdr:from>
    <xdr:to>
      <xdr:col>26</xdr:col>
      <xdr:colOff>125103</xdr:colOff>
      <xdr:row>20</xdr:row>
      <xdr:rowOff>170597</xdr:rowOff>
    </xdr:to>
    <mc:AlternateContent xmlns:mc="http://schemas.openxmlformats.org/markup-compatibility/2006" xmlns:a14="http://schemas.microsoft.com/office/drawing/2010/main">
      <mc:Choice Requires="a14">
        <xdr:graphicFrame macro="">
          <xdr:nvGraphicFramePr>
            <xdr:cNvPr id="22" name="PaymentMode">
              <a:extLst>
                <a:ext uri="{FF2B5EF4-FFF2-40B4-BE49-F238E27FC236}">
                  <a16:creationId xmlns:a16="http://schemas.microsoft.com/office/drawing/2014/main" id="{800224FE-C955-4B3C-9ABD-B20E62C4FD3C}"/>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4148179" y="2047165"/>
              <a:ext cx="1944805" cy="1762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559671</xdr:colOff>
      <xdr:row>5</xdr:row>
      <xdr:rowOff>159225</xdr:rowOff>
    </xdr:from>
    <xdr:to>
      <xdr:col>26</xdr:col>
      <xdr:colOff>125103</xdr:colOff>
      <xdr:row>9</xdr:row>
      <xdr:rowOff>113733</xdr:rowOff>
    </xdr:to>
    <mc:AlternateContent xmlns:mc="http://schemas.openxmlformats.org/markup-compatibility/2006" xmlns:a14="http://schemas.microsoft.com/office/drawing/2010/main">
      <mc:Choice Requires="a14">
        <xdr:graphicFrame macro="">
          <xdr:nvGraphicFramePr>
            <xdr:cNvPr id="23" name="OrderStatus">
              <a:extLst>
                <a:ext uri="{FF2B5EF4-FFF2-40B4-BE49-F238E27FC236}">
                  <a16:creationId xmlns:a16="http://schemas.microsoft.com/office/drawing/2014/main" id="{827ECA63-F3A1-4131-AB91-CC2F4B71A8E1}"/>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4070955" y="1069076"/>
              <a:ext cx="2022029" cy="682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27523</xdr:colOff>
      <xdr:row>21</xdr:row>
      <xdr:rowOff>61642</xdr:rowOff>
    </xdr:from>
    <xdr:to>
      <xdr:col>26</xdr:col>
      <xdr:colOff>125104</xdr:colOff>
      <xdr:row>30</xdr:row>
      <xdr:rowOff>113732</xdr:rowOff>
    </xdr:to>
    <mc:AlternateContent xmlns:mc="http://schemas.openxmlformats.org/markup-compatibility/2006">
      <mc:Choice xmlns:a14="http://schemas.microsoft.com/office/drawing/2010/main" Requires="a14">
        <xdr:graphicFrame macro="">
          <xdr:nvGraphicFramePr>
            <xdr:cNvPr id="24" name="Occupation">
              <a:extLst>
                <a:ext uri="{FF2B5EF4-FFF2-40B4-BE49-F238E27FC236}">
                  <a16:creationId xmlns:a16="http://schemas.microsoft.com/office/drawing/2014/main" id="{E59B233D-9923-46B4-9964-34B4A5618A8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4097692" y="3893107"/>
              <a:ext cx="1932820" cy="1694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45491</xdr:colOff>
      <xdr:row>31</xdr:row>
      <xdr:rowOff>56864</xdr:rowOff>
    </xdr:from>
    <xdr:to>
      <xdr:col>26</xdr:col>
      <xdr:colOff>79612</xdr:colOff>
      <xdr:row>39</xdr:row>
      <xdr:rowOff>136477</xdr:rowOff>
    </xdr:to>
    <mc:AlternateContent xmlns:mc="http://schemas.openxmlformats.org/markup-compatibility/2006">
      <mc:Choice xmlns:a14="http://schemas.microsoft.com/office/drawing/2010/main" Requires="a14">
        <xdr:graphicFrame macro="">
          <xdr:nvGraphicFramePr>
            <xdr:cNvPr id="13" name="StoreType">
              <a:extLst>
                <a:ext uri="{FF2B5EF4-FFF2-40B4-BE49-F238E27FC236}">
                  <a16:creationId xmlns:a16="http://schemas.microsoft.com/office/drawing/2014/main" id="{102D9354-0B10-4307-AD89-239E49F539B3}"/>
                </a:ext>
              </a:extLst>
            </xdr:cNvPr>
            <xdr:cNvGraphicFramePr/>
          </xdr:nvGraphicFramePr>
          <xdr:xfrm>
            <a:off x="0" y="0"/>
            <a:ext cx="0" cy="0"/>
          </xdr:xfrm>
          <a:graphic>
            <a:graphicData uri="http://schemas.microsoft.com/office/drawing/2010/slicer">
              <sle:slicer xmlns:sle="http://schemas.microsoft.com/office/drawing/2010/slicer" name="StoreType"/>
            </a:graphicData>
          </a:graphic>
        </xdr:graphicFrame>
      </mc:Choice>
      <mc:Fallback>
        <xdr:sp macro="" textlink="">
          <xdr:nvSpPr>
            <xdr:cNvPr id="0" name=""/>
            <xdr:cNvSpPr>
              <a:spLocks noTextEdit="1"/>
            </xdr:cNvSpPr>
          </xdr:nvSpPr>
          <xdr:spPr>
            <a:xfrm>
              <a:off x="14115660" y="5712836"/>
              <a:ext cx="1869360" cy="1539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79613</xdr:colOff>
      <xdr:row>0</xdr:row>
      <xdr:rowOff>159223</xdr:rowOff>
    </xdr:from>
    <xdr:to>
      <xdr:col>3</xdr:col>
      <xdr:colOff>511791</xdr:colOff>
      <xdr:row>4</xdr:row>
      <xdr:rowOff>22745</xdr:rowOff>
    </xdr:to>
    <xdr:pic>
      <xdr:nvPicPr>
        <xdr:cNvPr id="28" name="Picture 27">
          <a:hlinkClick xmlns:r="http://schemas.openxmlformats.org/officeDocument/2006/relationships" r:id="rId7"/>
          <a:extLst>
            <a:ext uri="{FF2B5EF4-FFF2-40B4-BE49-F238E27FC236}">
              <a16:creationId xmlns:a16="http://schemas.microsoft.com/office/drawing/2014/main" id="{5C458C42-0AA8-2383-4432-1C44881581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9613" y="159223"/>
          <a:ext cx="2274626" cy="591403"/>
        </a:xfrm>
        <a:prstGeom prst="rect">
          <a:avLst/>
        </a:prstGeom>
      </xdr:spPr>
    </xdr:pic>
    <xdr:clientData/>
  </xdr:twoCellAnchor>
  <xdr:twoCellAnchor editAs="oneCell">
    <xdr:from>
      <xdr:col>0</xdr:col>
      <xdr:colOff>284328</xdr:colOff>
      <xdr:row>7</xdr:row>
      <xdr:rowOff>102358</xdr:rowOff>
    </xdr:from>
    <xdr:to>
      <xdr:col>0</xdr:col>
      <xdr:colOff>557284</xdr:colOff>
      <xdr:row>9</xdr:row>
      <xdr:rowOff>11374</xdr:rowOff>
    </xdr:to>
    <xdr:pic>
      <xdr:nvPicPr>
        <xdr:cNvPr id="30" name="Picture 29">
          <a:extLst>
            <a:ext uri="{FF2B5EF4-FFF2-40B4-BE49-F238E27FC236}">
              <a16:creationId xmlns:a16="http://schemas.microsoft.com/office/drawing/2014/main" id="{32470340-F1C5-C67C-FD6F-75F5D839DD5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4328" y="1376149"/>
          <a:ext cx="272956" cy="272956"/>
        </a:xfrm>
        <a:prstGeom prst="rect">
          <a:avLst/>
        </a:prstGeom>
      </xdr:spPr>
    </xdr:pic>
    <xdr:clientData/>
  </xdr:twoCellAnchor>
  <xdr:twoCellAnchor editAs="oneCell">
    <xdr:from>
      <xdr:col>27</xdr:col>
      <xdr:colOff>167268</xdr:colOff>
      <xdr:row>8</xdr:row>
      <xdr:rowOff>37171</xdr:rowOff>
    </xdr:from>
    <xdr:to>
      <xdr:col>27</xdr:col>
      <xdr:colOff>553844</xdr:colOff>
      <xdr:row>9</xdr:row>
      <xdr:rowOff>148683</xdr:rowOff>
    </xdr:to>
    <xdr:pic>
      <xdr:nvPicPr>
        <xdr:cNvPr id="32" name="Picture 31">
          <a:extLst>
            <a:ext uri="{FF2B5EF4-FFF2-40B4-BE49-F238E27FC236}">
              <a16:creationId xmlns:a16="http://schemas.microsoft.com/office/drawing/2014/main" id="{0C449A34-21DB-6F1B-893F-DAD5950661E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466634" y="1524000"/>
          <a:ext cx="386576" cy="297366"/>
        </a:xfrm>
        <a:prstGeom prst="rect">
          <a:avLst/>
        </a:prstGeom>
      </xdr:spPr>
    </xdr:pic>
    <xdr:clientData/>
  </xdr:twoCellAnchor>
  <xdr:twoCellAnchor editAs="oneCell">
    <xdr:from>
      <xdr:col>27</xdr:col>
      <xdr:colOff>167268</xdr:colOff>
      <xdr:row>12</xdr:row>
      <xdr:rowOff>27878</xdr:rowOff>
    </xdr:from>
    <xdr:to>
      <xdr:col>27</xdr:col>
      <xdr:colOff>553844</xdr:colOff>
      <xdr:row>13</xdr:row>
      <xdr:rowOff>139390</xdr:rowOff>
    </xdr:to>
    <xdr:pic>
      <xdr:nvPicPr>
        <xdr:cNvPr id="33" name="Picture 32">
          <a:extLst>
            <a:ext uri="{FF2B5EF4-FFF2-40B4-BE49-F238E27FC236}">
              <a16:creationId xmlns:a16="http://schemas.microsoft.com/office/drawing/2014/main" id="{301B6892-FF2D-43D9-91DB-44774A51ADC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466634" y="2258122"/>
          <a:ext cx="386576" cy="297366"/>
        </a:xfrm>
        <a:prstGeom prst="rect">
          <a:avLst/>
        </a:prstGeom>
      </xdr:spPr>
    </xdr:pic>
    <xdr:clientData/>
  </xdr:twoCellAnchor>
  <xdr:twoCellAnchor editAs="oneCell">
    <xdr:from>
      <xdr:col>33</xdr:col>
      <xdr:colOff>43852</xdr:colOff>
      <xdr:row>11</xdr:row>
      <xdr:rowOff>144479</xdr:rowOff>
    </xdr:from>
    <xdr:to>
      <xdr:col>33</xdr:col>
      <xdr:colOff>435427</xdr:colOff>
      <xdr:row>13</xdr:row>
      <xdr:rowOff>74562</xdr:rowOff>
    </xdr:to>
    <xdr:pic>
      <xdr:nvPicPr>
        <xdr:cNvPr id="38" name="Picture 37">
          <a:extLst>
            <a:ext uri="{FF2B5EF4-FFF2-40B4-BE49-F238E27FC236}">
              <a16:creationId xmlns:a16="http://schemas.microsoft.com/office/drawing/2014/main" id="{B2EF0E0A-AA45-49AE-8447-3DC3B143011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19910281" y="2140193"/>
          <a:ext cx="391575" cy="2929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man Qureshi" refreshedDate="45897.595703125" createdVersion="8" refreshedVersion="8" minRefreshableVersion="3" recordCount="100" xr:uid="{7C6E422A-242D-4156-B0CA-915BD2196E5B}">
  <cacheSource type="worksheet">
    <worksheetSource name="Combined_data"/>
  </cacheSource>
  <cacheFields count="68">
    <cacheField name="OrderID" numFmtId="0">
      <sharedItems/>
    </cacheField>
    <cacheField name="CustomerID" numFmtId="0">
      <sharedItems/>
    </cacheField>
    <cacheField name="ProductID" numFmtId="0">
      <sharedItems/>
    </cacheField>
    <cacheField name="OrderDate" numFmtId="14">
      <sharedItems containsSemiMixedTypes="0" containsNonDate="0" containsDate="1" containsString="0" minDate="2024-07-16T00:00:00" maxDate="2025-07-14T00:00:00" count="82">
        <d v="2025-01-30T00:00:00"/>
        <d v="2025-05-25T00:00:00"/>
        <d v="2025-02-09T00:00:00"/>
        <d v="2024-12-14T00:00:00"/>
        <d v="2025-03-19T00:00:00"/>
        <d v="2024-11-13T00:00:00"/>
        <d v="2025-04-25T00:00:00"/>
        <d v="2024-08-07T00:00:00"/>
        <d v="2024-08-18T00:00:00"/>
        <d v="2024-08-30T00:00:00"/>
        <d v="2025-03-10T00:00:00"/>
        <d v="2024-08-06T00:00:00"/>
        <d v="2025-03-31T00:00:00"/>
        <d v="2024-08-31T00:00:00"/>
        <d v="2025-04-16T00:00:00"/>
        <d v="2025-04-14T00:00:00"/>
        <d v="2024-09-17T00:00:00"/>
        <d v="2024-11-27T00:00:00"/>
        <d v="2025-02-01T00:00:00"/>
        <d v="2024-09-18T00:00:00"/>
        <d v="2024-09-03T00:00:00"/>
        <d v="2025-04-26T00:00:00"/>
        <d v="2025-05-11T00:00:00"/>
        <d v="2024-11-23T00:00:00"/>
        <d v="2024-10-29T00:00:00"/>
        <d v="2024-08-09T00:00:00"/>
        <d v="2025-04-18T00:00:00"/>
        <d v="2025-03-16T00:00:00"/>
        <d v="2025-01-24T00:00:00"/>
        <d v="2025-06-14T00:00:00"/>
        <d v="2024-09-15T00:00:00"/>
        <d v="2025-05-12T00:00:00"/>
        <d v="2025-06-28T00:00:00"/>
        <d v="2025-04-03T00:00:00"/>
        <d v="2024-10-12T00:00:00"/>
        <d v="2024-07-16T00:00:00"/>
        <d v="2024-10-18T00:00:00"/>
        <d v="2025-01-15T00:00:00"/>
        <d v="2024-12-11T00:00:00"/>
        <d v="2024-09-23T00:00:00"/>
        <d v="2025-02-15T00:00:00"/>
        <d v="2024-10-11T00:00:00"/>
        <d v="2024-10-20T00:00:00"/>
        <d v="2025-07-06T00:00:00"/>
        <d v="2025-02-22T00:00:00"/>
        <d v="2025-05-24T00:00:00"/>
        <d v="2024-08-02T00:00:00"/>
        <d v="2024-08-11T00:00:00"/>
        <d v="2025-06-17T00:00:00"/>
        <d v="2024-11-20T00:00:00"/>
        <d v="2024-07-19T00:00:00"/>
        <d v="2024-10-01T00:00:00"/>
        <d v="2025-02-19T00:00:00"/>
        <d v="2025-04-29T00:00:00"/>
        <d v="2025-01-12T00:00:00"/>
        <d v="2025-03-02T00:00:00"/>
        <d v="2025-05-07T00:00:00"/>
        <d v="2024-09-12T00:00:00"/>
        <d v="2025-07-13T00:00:00"/>
        <d v="2024-07-25T00:00:00"/>
        <d v="2025-02-11T00:00:00"/>
        <d v="2025-05-06T00:00:00"/>
        <d v="2025-06-10T00:00:00"/>
        <d v="2024-08-25T00:00:00"/>
        <d v="2025-02-06T00:00:00"/>
        <d v="2024-12-26T00:00:00"/>
        <d v="2024-08-08T00:00:00"/>
        <d v="2024-08-21T00:00:00"/>
        <d v="2025-07-08T00:00:00"/>
        <d v="2025-06-29T00:00:00"/>
        <d v="2024-12-23T00:00:00"/>
        <d v="2025-01-10T00:00:00"/>
        <d v="2025-02-26T00:00:00"/>
        <d v="2025-01-28T00:00:00"/>
        <d v="2025-03-20T00:00:00"/>
        <d v="2024-08-14T00:00:00"/>
        <d v="2025-02-21T00:00:00"/>
        <d v="2024-12-31T00:00:00"/>
        <d v="2024-10-15T00:00:00"/>
        <d v="2024-10-25T00:00:00"/>
        <d v="2025-07-10T00:00:00"/>
        <d v="2024-11-16T00:00:00"/>
      </sharedItems>
      <fieldGroup par="67"/>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6443" maxValue="98841"/>
    </cacheField>
    <cacheField name="TotalAmount" numFmtId="0">
      <sharedItems containsSemiMixedTypes="0" containsString="0" containsNumber="1" containsInteger="1" minValue="14726" maxValue="492260"/>
    </cacheField>
    <cacheField name="DiscountApplied" numFmtId="0">
      <sharedItems containsSemiMixedTypes="0" containsString="0" containsNumber="1" minValue="0.05" maxValue="0.3"/>
    </cacheField>
    <cacheField name="PaymentMode" numFmtId="0">
      <sharedItems count="5">
        <s v="Cash on Delivery"/>
        <s v="Net Banking"/>
        <s v="Credit Card"/>
        <s v="UPI"/>
        <s v="Debit Card"/>
      </sharedItems>
    </cacheField>
    <cacheField name="OrderStatus" numFmtId="0">
      <sharedItems count="4">
        <s v="Delivered"/>
        <s v="Shipped"/>
        <s v="Cancelled"/>
        <s v="Pending"/>
      </sharedItems>
    </cacheField>
    <cacheField name="DeliveryDate" numFmtId="14">
      <sharedItems containsSemiMixedTypes="0" containsNonDate="0" containsDate="1" containsString="0" minDate="2025-07-17T00:00:00" maxDate="2025-08-01T00:00:00"/>
    </cacheField>
    <cacheField name="IsGift" numFmtId="0">
      <sharedItems/>
    </cacheField>
    <cacheField name="ShippingCharges" numFmtId="0">
      <sharedItems containsSemiMixedTypes="0" containsString="0" containsNumber="1" containsInteger="1" minValue="2" maxValue="487"/>
    </cacheField>
    <cacheField name="CouponUsed" numFmtId="0">
      <sharedItems/>
    </cacheField>
    <cacheField name="ReviewGiven" numFmtId="0">
      <sharedItems/>
    </cacheField>
    <cacheField name="CustomerID2" numFmtId="0">
      <sharedItems/>
    </cacheField>
    <cacheField name="CustomerName" numFmtId="0">
      <sharedItems/>
    </cacheField>
    <cacheField name="Email" numFmtId="0">
      <sharedItems/>
    </cacheField>
    <cacheField name="Phone" numFmtId="0">
      <sharedItems containsSemiMixedTypes="0" containsString="0" containsNumber="1" containsInteger="1" minValue="310518347" maxValue="918367365766"/>
    </cacheField>
    <cacheField name="City" numFmtId="0">
      <sharedItems count="10">
        <s v="Jaipur"/>
        <s v="Kolkata"/>
        <s v="Ahmedabad"/>
        <s v="Hyderabad"/>
        <s v="Lucknow"/>
        <s v="Mumbai"/>
        <s v="Bangalore"/>
        <s v="Pune"/>
        <s v="Chennai"/>
        <s v="Delhi"/>
      </sharedItems>
    </cacheField>
    <cacheField name="State" numFmtId="0">
      <sharedItems count="9">
        <s v="Rajasthan"/>
        <s v="West Bengal"/>
        <s v="Gujarat"/>
        <s v="Telangana"/>
        <s v="Uttar Pradesh"/>
        <s v="Maharashtra"/>
        <s v="Karnataka"/>
        <s v="Tamil Nadu"/>
        <s v="Delhi"/>
      </sharedItems>
    </cacheField>
    <cacheField name="Pincode" numFmtId="0">
      <sharedItems containsSemiMixedTypes="0" containsString="0" containsNumber="1" containsInteger="1" minValue="22901" maxValue="995527"/>
    </cacheField>
    <cacheField name="Gender" numFmtId="0">
      <sharedItems count="2">
        <s v="Female"/>
        <s v="Male"/>
      </sharedItems>
    </cacheField>
    <cacheField name="DateOfBirth" numFmtId="14">
      <sharedItems containsSemiMixedTypes="0" containsNonDate="0" containsDate="1" containsString="0" minDate="1959-09-25T00:00:00" maxDate="2006-05-27T00:00:00"/>
    </cacheField>
    <cacheField name="CustomerSince" numFmtId="0">
      <sharedItems containsSemiMixedTypes="0" containsString="0" containsNumber="1" containsInteger="1" minValue="44098" maxValue="45854"/>
    </cacheField>
    <cacheField name="PreferredCategory" numFmtId="0">
      <sharedItems/>
    </cacheField>
    <cacheField name="LoyaltyPoints" numFmtId="0">
      <sharedItems containsSemiMixedTypes="0" containsString="0" containsNumber="1" containsInteger="1" minValue="190" maxValue="9677"/>
    </cacheField>
    <cacheField name="MaritalStatus" numFmtId="0">
      <sharedItems/>
    </cacheField>
    <cacheField name="Occupation" numFmtId="0">
      <sharedItems count="5">
        <s v="Student"/>
        <s v="Business"/>
        <s v="Engineer"/>
        <s v="Teacher"/>
        <s v="Doctor"/>
      </sharedItems>
    </cacheField>
    <cacheField name="AnnualIncome" numFmtId="0">
      <sharedItems containsSemiMixedTypes="0" containsString="0" containsNumber="1" containsInteger="1" minValue="204520" maxValue="1939269"/>
    </cacheField>
    <cacheField name="ProductID3" numFmtId="0">
      <sharedItems/>
    </cacheField>
    <cacheField name="ProductName" numFmtId="0">
      <sharedItems/>
    </cacheField>
    <cacheField name="Category" numFmtId="0">
      <sharedItems count="4">
        <s v="Grocery"/>
        <s v="Home Appliance"/>
        <s v="Fashion"/>
        <s v="Electronics"/>
      </sharedItems>
    </cacheField>
    <cacheField name="SubCategory" numFmtId="0">
      <sharedItems count="6">
        <s v="Cotton"/>
        <s v="Notebook"/>
        <s v="Android"/>
        <s v="LED"/>
        <s v="Organic"/>
        <s v="Smart"/>
      </sharedItems>
    </cacheField>
    <cacheField name="Brand" numFmtId="0">
      <sharedItems count="68">
        <s v="Oza, Dara and Sami"/>
        <s v="Bhavsar-Mital"/>
        <s v="Sankaran, Randhawa and Balakrishnan"/>
        <s v="Mann-Loke"/>
        <s v="Chada, Chopra and Kothari"/>
        <s v="Jhaveri Inc"/>
        <s v="Kant, Sehgal and Prasad"/>
        <s v="Luthra, Sachdeva and Prashad"/>
        <s v="Wable-Munshi"/>
        <s v="Jha LLC"/>
        <s v="Tandon-Vaidya"/>
        <s v="Narayan-Sarraf"/>
        <s v="Prakash Ltd"/>
        <s v="Tandon, Hayre and Shankar"/>
        <s v="Biswas PLC"/>
        <s v="Sastry PLC"/>
        <s v="Sahota-Devi"/>
        <s v="Yadav PLC"/>
        <s v="Mittal and Sons"/>
        <s v="Bala, Shenoy and Kadakia"/>
        <s v="Sampath, Purohit and Borah"/>
        <s v="Khurana-Krishnan"/>
        <s v="Deshmukh Group"/>
        <s v="Mand, Yohannan and Ganguly"/>
        <s v="Kara, Venkataraman and Saxena"/>
        <s v="Date, Deo and Krish"/>
        <s v="Gera, Mishra and Chad"/>
        <s v="Bansal-Parsa"/>
        <s v="Bava-Batra"/>
        <s v="Acharya-Sangha"/>
        <s v="Sanghvi-Murty"/>
        <s v="Sha-Sura"/>
        <s v="Sanghvi-Ramachandran"/>
        <s v="Manne-Swaminathan"/>
        <s v="Balasubramanian and Sons"/>
        <s v="Kakar-Talwar"/>
        <s v="Dey Inc"/>
        <s v="Shankar Inc"/>
        <s v="Kaur, Sanghvi and Chand"/>
        <s v="Narayanan PLC"/>
        <s v="Kota LLC"/>
        <s v="Grewal-Sur"/>
        <s v="Kala Group"/>
        <s v="Sagar-Sawhney"/>
        <s v="Kuruvilla and Sons"/>
        <s v="Ramaswamy Group"/>
        <s v="Raja and Sons"/>
        <s v="Bobal-Karnik"/>
        <s v="Parmar, Bhatnagar and Warrior"/>
        <s v="Loyal PLC"/>
        <s v="Deshpande, Mital and Nagi"/>
        <s v="Gandhi, Ben and Randhawa"/>
        <s v="Nazareth-De"/>
        <s v="Iyengar PLC"/>
        <s v="Kar-Yogi"/>
        <s v="Thaker, Sagar and Sampath"/>
        <s v="Ahuja-Randhawa"/>
        <s v="Chaudry, Yadav and Grover"/>
        <s v="Merchant Group"/>
        <s v="Tiwari-Talwar"/>
        <s v="Ramanathan, Comar and Pall"/>
        <s v="Pall-Chahal"/>
        <s v="Mane, Bala and Mitra"/>
        <s v="Gala, Kohli and Varty"/>
        <s v="Ghose, Ganesan and Suri"/>
        <s v="Dhar, Pall and Muni"/>
        <s v="Upadhyay, Gulati and Ramanathan"/>
        <s v="Rattan-Warrior"/>
      </sharedItems>
    </cacheField>
    <cacheField name="Price" numFmtId="0">
      <sharedItems containsSemiMixedTypes="0" containsString="0" containsNumber="1" containsInteger="1" minValue="6443" maxValue="98841"/>
    </cacheField>
    <cacheField name="Discount" numFmtId="0">
      <sharedItems containsSemiMixedTypes="0" containsString="0" containsNumber="1" containsInteger="1" minValue="5" maxValue="30"/>
    </cacheField>
    <cacheField name="StockQty" numFmtId="0">
      <sharedItems containsSemiMixedTypes="0" containsString="0" containsNumber="1" containsInteger="1" minValue="5" maxValue="985"/>
    </cacheField>
    <cacheField name="WarrantyMonths" numFmtId="0">
      <sharedItems containsSemiMixedTypes="0" containsString="0" containsNumber="1" containsInteger="1" minValue="6" maxValue="36"/>
    </cacheField>
    <cacheField name="MadeIn" numFmtId="0">
      <sharedItems count="4">
        <s v="China"/>
        <s v="Japan"/>
        <s v="India"/>
        <s v="Vietnam"/>
      </sharedItems>
    </cacheField>
    <cacheField name="IsAvailable" numFmtId="0">
      <sharedItems/>
    </cacheField>
    <cacheField name="Rating" numFmtId="0">
      <sharedItems containsSemiMixedTypes="0" containsString="0" containsNumber="1" minValue="2.6" maxValue="4.9000000000000004"/>
    </cacheField>
    <cacheField name="LaunchDate" numFmtId="14">
      <sharedItems containsSemiMixedTypes="0" containsNonDate="0" containsDate="1" containsString="0" minDate="2022-07-23T00:00:00" maxDate="2025-07-15T00:00:00"/>
    </cacheField>
    <cacheField name="Returnable" numFmtId="0">
      <sharedItems/>
    </cacheField>
    <cacheField name="HSNCode" numFmtId="0">
      <sharedItems containsSemiMixedTypes="0" containsString="0" containsNumber="1" containsInteger="1" minValue="1047" maxValue="9992"/>
    </cacheField>
    <cacheField name="Store ID" numFmtId="0">
      <sharedItems containsSemiMixedTypes="0" containsString="0" containsNumber="1" containsInteger="1" minValue="4" maxValue="199"/>
    </cacheField>
    <cacheField name="New StoreID" numFmtId="0">
      <sharedItems containsSemiMixedTypes="0" containsString="0" containsNumber="1" containsInteger="1" minValue="4" maxValue="199"/>
    </cacheField>
    <cacheField name="StoreID" numFmtId="0">
      <sharedItems/>
    </cacheField>
    <cacheField name="StoreName" numFmtId="0">
      <sharedItems/>
    </cacheField>
    <cacheField name="City4" numFmtId="0">
      <sharedItems/>
    </cacheField>
    <cacheField name="State5" numFmtId="0">
      <sharedItems/>
    </cacheField>
    <cacheField name="Pincode6" numFmtId="0">
      <sharedItems containsMixedTypes="1" containsNumber="1" containsInteger="1" minValue="16451" maxValue="975523"/>
    </cacheField>
    <cacheField name="Manager" numFmtId="0">
      <sharedItems/>
    </cacheField>
    <cacheField name="EstablishedYear" numFmtId="0">
      <sharedItems containsMixedTypes="1" containsNumber="1" containsInteger="1" minValue="2000" maxValue="2021"/>
    </cacheField>
    <cacheField name="Employees" numFmtId="0">
      <sharedItems containsMixedTypes="1" containsNumber="1" containsInteger="1" minValue="5" maxValue="96"/>
    </cacheField>
    <cacheField name="MonthlyFootfall" numFmtId="0">
      <sharedItems containsMixedTypes="1" containsNumber="1" containsInteger="1" minValue="1058" maxValue="19116"/>
    </cacheField>
    <cacheField name="StoreRating" numFmtId="0">
      <sharedItems containsMixedTypes="1" containsNumber="1" minValue="3" maxValue="5"/>
    </cacheField>
    <cacheField name="OnlineEnabled" numFmtId="0">
      <sharedItems/>
    </cacheField>
    <cacheField name="AreaSqFt" numFmtId="0">
      <sharedItems containsMixedTypes="1" containsNumber="1" containsInteger="1" minValue="719" maxValue="4940"/>
    </cacheField>
    <cacheField name="StoreType" numFmtId="0">
      <sharedItems count="4">
        <s v=""/>
        <s v="Retail"/>
        <s v="Outlet"/>
        <s v="Franchise"/>
      </sharedItems>
    </cacheField>
    <cacheField name="ContactNumber" numFmtId="0">
      <sharedItems containsMixedTypes="1" containsNumber="1" containsInteger="1" minValue="82547807" maxValue="919376904268"/>
    </cacheField>
    <cacheField name="Email7" numFmtId="0">
      <sharedItems/>
    </cacheField>
    <cacheField name="Reveune" numFmtId="0">
      <sharedItems containsSemiMixedTypes="0" containsString="0" containsNumber="1" containsInteger="1" minValue="6443" maxValue="494205"/>
    </cacheField>
    <cacheField name="Final Amount" numFmtId="0">
      <sharedItems containsSemiMixedTypes="0" containsString="0" containsNumber="1" minValue="14681.822" maxValue="492013.87"/>
    </cacheField>
    <cacheField name="Profit" numFmtId="0">
      <sharedItems containsSemiMixedTypes="0" containsString="0" containsNumber="1" minValue="-393561.87" maxValue="371035.27720000001"/>
    </cacheField>
    <cacheField name="Months (OrderDate)" numFmtId="0" databaseField="0">
      <fieldGroup base="3">
        <rangePr groupBy="months" startDate="2024-07-16T00:00:00" endDate="2025-07-14T00:00:00"/>
        <groupItems count="14">
          <s v="&lt;16-07-2024"/>
          <s v="Jan"/>
          <s v="Feb"/>
          <s v="Mar"/>
          <s v="Apr"/>
          <s v="May"/>
          <s v="Jun"/>
          <s v="Jul"/>
          <s v="Aug"/>
          <s v="Sep"/>
          <s v="Oct"/>
          <s v="Nov"/>
          <s v="Dec"/>
          <s v="&gt;14-07-2025"/>
        </groupItems>
      </fieldGroup>
    </cacheField>
    <cacheField name="Quarters (OrderDate)" numFmtId="0" databaseField="0">
      <fieldGroup base="3">
        <rangePr groupBy="quarters" startDate="2024-07-16T00:00:00" endDate="2025-07-14T00:00:00"/>
        <groupItems count="6">
          <s v="&lt;16-07-2024"/>
          <s v="Qtr1"/>
          <s v="Qtr2"/>
          <s v="Qtr3"/>
          <s v="Qtr4"/>
          <s v="&gt;14-07-2025"/>
        </groupItems>
      </fieldGroup>
    </cacheField>
    <cacheField name="Years (OrderDate)" numFmtId="0" databaseField="0">
      <fieldGroup base="3">
        <rangePr groupBy="years" startDate="2024-07-16T00:00:00" endDate="2025-07-14T00:00:00"/>
        <groupItems count="4">
          <s v="&lt;16-07-2024"/>
          <s v="2024"/>
          <s v="2025"/>
          <s v="&gt;14-07-2025"/>
        </groupItems>
      </fieldGroup>
    </cacheField>
  </cacheFields>
  <extLst>
    <ext xmlns:x14="http://schemas.microsoft.com/office/spreadsheetml/2009/9/main" uri="{725AE2AE-9491-48be-B2B4-4EB974FC3084}">
      <x14:pivotCacheDefinition pivotCacheId="933922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1001"/>
    <s v="C085"/>
    <s v="P180"/>
    <x v="0"/>
    <n v="5"/>
    <n v="31647"/>
    <n v="94941"/>
    <n v="0.14000000000000001"/>
    <x v="0"/>
    <x v="0"/>
    <d v="2025-07-21T00:00:00"/>
    <s v="Yes"/>
    <n v="41"/>
    <s v="Yes"/>
    <s v="No"/>
    <s v="C085"/>
    <s v="Urishilla Yogi"/>
    <s v="yugbumb@example.net"/>
    <n v="8519108839"/>
    <x v="0"/>
    <x v="0"/>
    <n v="258713"/>
    <x v="0"/>
    <d v="1999-03-23T00:00:00"/>
    <n v="45546"/>
    <s v="Electronics"/>
    <n v="7805"/>
    <s v="Single"/>
    <x v="0"/>
    <n v="309231"/>
    <s v="P180"/>
    <s v="Accusamus TV"/>
    <x v="0"/>
    <x v="0"/>
    <x v="0"/>
    <n v="31647"/>
    <n v="14"/>
    <n v="124"/>
    <n v="6"/>
    <x v="0"/>
    <s v="No"/>
    <n v="4.0999999999999996"/>
    <d v="2025-06-29T00:00:00"/>
    <s v="No"/>
    <n v="2030"/>
    <n v="161"/>
    <n v="161"/>
    <s v=""/>
    <s v=""/>
    <s v=""/>
    <s v=""/>
    <s v=""/>
    <s v=""/>
    <s v=""/>
    <s v=""/>
    <s v=""/>
    <s v=""/>
    <s v=""/>
    <s v=""/>
    <x v="0"/>
    <s v=""/>
    <s v=""/>
    <n v="158235"/>
    <n v="94808.082599999994"/>
    <n v="63426.917400000006"/>
  </r>
  <r>
    <s v="O1002"/>
    <s v="C084"/>
    <s v="P127"/>
    <x v="1"/>
    <n v="5"/>
    <n v="24100"/>
    <n v="96400"/>
    <n v="0.1"/>
    <x v="0"/>
    <x v="0"/>
    <d v="2025-07-20T00:00:00"/>
    <s v="No"/>
    <n v="455"/>
    <s v="No"/>
    <s v="No"/>
    <s v="C084"/>
    <s v="Amara Narayan"/>
    <s v="advay45@example.net"/>
    <n v="910174268414"/>
    <x v="1"/>
    <x v="1"/>
    <n v="933272"/>
    <x v="1"/>
    <d v="1990-07-02T00:00:00"/>
    <n v="45188"/>
    <s v="Grocery"/>
    <n v="5455"/>
    <s v="Married"/>
    <x v="1"/>
    <n v="783546"/>
    <s v="P127"/>
    <s v="Odio Rice"/>
    <x v="0"/>
    <x v="1"/>
    <x v="1"/>
    <n v="24100"/>
    <n v="10"/>
    <n v="179"/>
    <n v="6"/>
    <x v="1"/>
    <s v="Yes"/>
    <n v="3.7"/>
    <d v="2022-09-24T00:00:00"/>
    <s v="Yes"/>
    <n v="4805"/>
    <n v="44"/>
    <n v="44"/>
    <s v="S044"/>
    <s v="Edwin Ltd Mart"/>
    <s v="Pune"/>
    <s v="Maharashtra"/>
    <n v="30299"/>
    <s v="Krish Vala"/>
    <n v="2021"/>
    <n v="11"/>
    <n v="6876"/>
    <n v="3.4"/>
    <s v="Yes"/>
    <n v="3784"/>
    <x v="1"/>
    <n v="919202428699"/>
    <s v="manderfrederick@sen.info"/>
    <n v="120500"/>
    <n v="96303.6"/>
    <n v="24196.399999999994"/>
  </r>
  <r>
    <s v="O1003"/>
    <s v="C062"/>
    <s v="P132"/>
    <x v="2"/>
    <n v="4"/>
    <n v="89335"/>
    <n v="268005"/>
    <n v="0.28999999999999998"/>
    <x v="1"/>
    <x v="0"/>
    <d v="2025-07-24T00:00:00"/>
    <s v="Yes"/>
    <n v="80"/>
    <s v="No"/>
    <s v="No"/>
    <s v="C062"/>
    <s v="Udarsh Bala"/>
    <s v="hardik52@example.org"/>
    <n v="914727790104"/>
    <x v="1"/>
    <x v="1"/>
    <n v="289861"/>
    <x v="0"/>
    <d v="1979-02-22T00:00:00"/>
    <n v="44766"/>
    <s v="Electronics"/>
    <n v="5020"/>
    <s v="Married"/>
    <x v="1"/>
    <n v="884055"/>
    <s v="P132"/>
    <s v="Ea Rice"/>
    <x v="1"/>
    <x v="0"/>
    <x v="2"/>
    <n v="89335"/>
    <n v="29"/>
    <n v="738"/>
    <n v="12"/>
    <x v="2"/>
    <s v="Yes"/>
    <n v="3.3"/>
    <d v="2025-02-24T00:00:00"/>
    <s v="No"/>
    <n v="1547"/>
    <n v="163"/>
    <n v="163"/>
    <s v=""/>
    <s v=""/>
    <s v=""/>
    <s v=""/>
    <s v=""/>
    <s v=""/>
    <s v=""/>
    <s v=""/>
    <s v=""/>
    <s v=""/>
    <s v=""/>
    <s v=""/>
    <x v="0"/>
    <s v=""/>
    <s v=""/>
    <n v="357340"/>
    <n v="267227.7855"/>
    <n v="90112.214500000002"/>
  </r>
  <r>
    <s v="O1004"/>
    <s v="C062"/>
    <s v="P160"/>
    <x v="3"/>
    <n v="2"/>
    <n v="90888"/>
    <n v="272664"/>
    <n v="0.16"/>
    <x v="0"/>
    <x v="1"/>
    <d v="2025-07-31T00:00:00"/>
    <s v="No"/>
    <n v="441"/>
    <s v="No"/>
    <s v="No"/>
    <s v="C062"/>
    <s v="Udarsh Bala"/>
    <s v="hardik52@example.org"/>
    <n v="914727790104"/>
    <x v="1"/>
    <x v="1"/>
    <n v="289861"/>
    <x v="0"/>
    <d v="1979-02-22T00:00:00"/>
    <n v="44766"/>
    <s v="Electronics"/>
    <n v="5020"/>
    <s v="Married"/>
    <x v="1"/>
    <n v="884055"/>
    <s v="P160"/>
    <s v="Voluptatibus Rice"/>
    <x v="1"/>
    <x v="2"/>
    <x v="3"/>
    <n v="90888"/>
    <n v="16"/>
    <n v="90"/>
    <n v="36"/>
    <x v="2"/>
    <s v="Yes"/>
    <n v="3.6"/>
    <d v="2024-09-23T00:00:00"/>
    <s v="No"/>
    <n v="9585"/>
    <n v="34"/>
    <n v="34"/>
    <s v="S034"/>
    <s v="Naidu PLC Mart"/>
    <s v="Jaipur"/>
    <s v="Rajasthan"/>
    <n v="947985"/>
    <s v="Eesha Vora"/>
    <n v="2018"/>
    <n v="86"/>
    <n v="3166"/>
    <n v="3.6"/>
    <s v="No"/>
    <n v="2454"/>
    <x v="1"/>
    <n v="912818268861"/>
    <s v="timothy35@patel-memon.com"/>
    <n v="181776"/>
    <n v="272227.73759999999"/>
    <n v="-90451.737599999993"/>
  </r>
  <r>
    <s v="O1005"/>
    <s v="C052"/>
    <s v="P117"/>
    <x v="4"/>
    <n v="3"/>
    <n v="72884"/>
    <n v="364420"/>
    <n v="0.18"/>
    <x v="0"/>
    <x v="0"/>
    <d v="2025-07-18T00:00:00"/>
    <s v="No"/>
    <n v="123"/>
    <s v="No"/>
    <s v="Yes"/>
    <s v="C052"/>
    <s v="Vedika Sathe"/>
    <s v="nmahajan@example.net"/>
    <n v="915614978403"/>
    <x v="1"/>
    <x v="1"/>
    <n v="900343"/>
    <x v="1"/>
    <d v="1968-11-16T00:00:00"/>
    <n v="44821"/>
    <s v="Fashion"/>
    <n v="3541"/>
    <s v="Single"/>
    <x v="2"/>
    <n v="941717"/>
    <s v="P117"/>
    <s v="Quidem Rice"/>
    <x v="2"/>
    <x v="3"/>
    <x v="4"/>
    <n v="72884"/>
    <n v="18"/>
    <n v="95"/>
    <n v="12"/>
    <x v="2"/>
    <s v="No"/>
    <n v="4.9000000000000004"/>
    <d v="2025-05-03T00:00:00"/>
    <s v="Yes"/>
    <n v="9166"/>
    <n v="185"/>
    <n v="185"/>
    <s v=""/>
    <s v=""/>
    <s v=""/>
    <s v=""/>
    <s v=""/>
    <s v=""/>
    <s v=""/>
    <s v=""/>
    <s v=""/>
    <s v=""/>
    <s v=""/>
    <s v=""/>
    <x v="0"/>
    <s v=""/>
    <s v=""/>
    <n v="218652"/>
    <n v="363764.04399999999"/>
    <n v="-145112.04399999999"/>
  </r>
  <r>
    <s v="O1006"/>
    <s v="C035"/>
    <s v="P158"/>
    <x v="5"/>
    <n v="2"/>
    <n v="92731"/>
    <n v="185462"/>
    <n v="0.12"/>
    <x v="2"/>
    <x v="0"/>
    <d v="2025-07-27T00:00:00"/>
    <s v="No"/>
    <n v="484"/>
    <s v="No"/>
    <s v="No"/>
    <s v="C035"/>
    <s v="Raksha Sundaram"/>
    <s v="balakrishnanwriddhish@example.net"/>
    <n v="914808613171"/>
    <x v="2"/>
    <x v="2"/>
    <n v="748467"/>
    <x v="1"/>
    <d v="1991-09-04T00:00:00"/>
    <n v="44785"/>
    <s v="Grocery"/>
    <n v="1060"/>
    <s v="Single"/>
    <x v="1"/>
    <n v="204520"/>
    <s v="P158"/>
    <s v="Deserunt Washing Machine"/>
    <x v="1"/>
    <x v="4"/>
    <x v="5"/>
    <n v="92731"/>
    <n v="12"/>
    <n v="512"/>
    <n v="24"/>
    <x v="2"/>
    <s v="No"/>
    <n v="4.7"/>
    <d v="2024-12-18T00:00:00"/>
    <s v="Yes"/>
    <n v="8148"/>
    <n v="8"/>
    <n v="8"/>
    <s v="S008"/>
    <s v="Palan LLC Mart"/>
    <s v="Delhi"/>
    <s v="Delhi"/>
    <n v="157043"/>
    <s v="Ekansh Palla"/>
    <n v="2018"/>
    <n v="49"/>
    <n v="18441"/>
    <n v="3.6"/>
    <s v="Yes"/>
    <n v="3151"/>
    <x v="2"/>
    <n v="1006762676"/>
    <s v="keya17@kar.com"/>
    <n v="185462"/>
    <n v="185239.44559999998"/>
    <n v="222.55440000002272"/>
  </r>
  <r>
    <s v="O1007"/>
    <s v="C032"/>
    <s v="P121"/>
    <x v="6"/>
    <n v="3"/>
    <n v="25227"/>
    <n v="126135"/>
    <n v="0.27"/>
    <x v="3"/>
    <x v="1"/>
    <d v="2025-07-22T00:00:00"/>
    <s v="Yes"/>
    <n v="255"/>
    <s v="No"/>
    <s v="No"/>
    <s v="C032"/>
    <s v="Amaira Dhar"/>
    <s v="bhasinnoah@example.com"/>
    <n v="9471746488"/>
    <x v="3"/>
    <x v="3"/>
    <n v="719065"/>
    <x v="0"/>
    <d v="2000-08-15T00:00:00"/>
    <n v="44805"/>
    <s v="Home Appliance"/>
    <n v="7012"/>
    <s v="Single"/>
    <x v="3"/>
    <n v="1170201"/>
    <s v="P121"/>
    <s v="Quas Washing Machine"/>
    <x v="0"/>
    <x v="0"/>
    <x v="6"/>
    <n v="25227"/>
    <n v="27"/>
    <n v="244"/>
    <n v="36"/>
    <x v="0"/>
    <s v="No"/>
    <n v="2.6"/>
    <d v="2024-03-15T00:00:00"/>
    <s v="No"/>
    <n v="7247"/>
    <n v="147"/>
    <n v="147"/>
    <s v=""/>
    <s v=""/>
    <s v=""/>
    <s v=""/>
    <s v=""/>
    <s v=""/>
    <s v=""/>
    <s v=""/>
    <s v=""/>
    <s v=""/>
    <s v=""/>
    <s v=""/>
    <x v="0"/>
    <s v=""/>
    <s v=""/>
    <n v="75681"/>
    <n v="125794.43550000001"/>
    <n v="-50113.435500000007"/>
  </r>
  <r>
    <s v="O1008"/>
    <s v="C040"/>
    <s v="P164"/>
    <x v="7"/>
    <n v="1"/>
    <n v="61962"/>
    <n v="61962"/>
    <n v="0.19"/>
    <x v="1"/>
    <x v="2"/>
    <d v="2025-07-22T00:00:00"/>
    <s v="Yes"/>
    <n v="110"/>
    <s v="No"/>
    <s v="Yes"/>
    <s v="C040"/>
    <s v="Aadhya Andra"/>
    <s v="rmani@example.net"/>
    <n v="911759464743"/>
    <x v="4"/>
    <x v="4"/>
    <n v="713695"/>
    <x v="1"/>
    <d v="1998-08-28T00:00:00"/>
    <n v="44947"/>
    <s v="Home Appliance"/>
    <n v="6715"/>
    <s v="Single"/>
    <x v="0"/>
    <n v="716351"/>
    <s v="P164"/>
    <s v="Repellat Washing Machine"/>
    <x v="1"/>
    <x v="3"/>
    <x v="7"/>
    <n v="61962"/>
    <n v="19"/>
    <n v="646"/>
    <n v="24"/>
    <x v="3"/>
    <s v="Yes"/>
    <n v="3.4"/>
    <d v="2024-06-18T00:00:00"/>
    <s v="Yes"/>
    <n v="6086"/>
    <n v="26"/>
    <n v="26"/>
    <s v="S026"/>
    <s v="Sarma, Golla and Raghavan Mart"/>
    <s v="Hyderabad"/>
    <s v="Telangana"/>
    <n v="902771"/>
    <s v="Ridhi Batra"/>
    <n v="2008"/>
    <n v="87"/>
    <n v="3760"/>
    <n v="3.5"/>
    <s v="No"/>
    <n v="719"/>
    <x v="2"/>
    <n v="914508993588"/>
    <s v="santyuvraj@pal-rajan.com"/>
    <n v="61962"/>
    <n v="61844.272199999999"/>
    <n v="117.72780000000057"/>
  </r>
  <r>
    <s v="O1009"/>
    <s v="C007"/>
    <s v="P137"/>
    <x v="8"/>
    <n v="4"/>
    <n v="6443"/>
    <n v="32215"/>
    <n v="0.06"/>
    <x v="1"/>
    <x v="3"/>
    <d v="2025-07-27T00:00:00"/>
    <s v="Yes"/>
    <n v="433"/>
    <s v="Yes"/>
    <s v="No"/>
    <s v="C007"/>
    <s v="Frederick Sunder"/>
    <s v="waliajeremiah@example.org"/>
    <n v="7824896383"/>
    <x v="0"/>
    <x v="0"/>
    <n v="657871"/>
    <x v="1"/>
    <d v="1976-05-29T00:00:00"/>
    <n v="44726"/>
    <s v="Fashion"/>
    <n v="6025"/>
    <s v="Single"/>
    <x v="2"/>
    <n v="296100"/>
    <s v="P137"/>
    <s v="Velit TV"/>
    <x v="0"/>
    <x v="5"/>
    <x v="8"/>
    <n v="6443"/>
    <n v="6"/>
    <n v="311"/>
    <n v="36"/>
    <x v="2"/>
    <s v="Yes"/>
    <n v="3.1"/>
    <d v="2025-01-29T00:00:00"/>
    <s v="Yes"/>
    <n v="7368"/>
    <n v="156"/>
    <n v="156"/>
    <s v=""/>
    <s v=""/>
    <s v=""/>
    <s v=""/>
    <s v=""/>
    <s v=""/>
    <s v=""/>
    <s v=""/>
    <s v=""/>
    <s v=""/>
    <s v=""/>
    <s v=""/>
    <x v="0"/>
    <s v=""/>
    <s v=""/>
    <n v="25772"/>
    <n v="32195.671000000002"/>
    <n v="-6423.6710000000021"/>
  </r>
  <r>
    <s v="O1010"/>
    <s v="C018"/>
    <s v="P134"/>
    <x v="9"/>
    <n v="3"/>
    <n v="63656"/>
    <n v="254624"/>
    <n v="0.3"/>
    <x v="3"/>
    <x v="0"/>
    <d v="2025-07-28T00:00:00"/>
    <s v="No"/>
    <n v="26"/>
    <s v="Yes"/>
    <s v="No"/>
    <s v="C018"/>
    <s v="Owen Mitra"/>
    <s v="tacharya@example.com"/>
    <n v="916995777387"/>
    <x v="5"/>
    <x v="5"/>
    <n v="148951"/>
    <x v="0"/>
    <d v="1975-07-10T00:00:00"/>
    <n v="44992"/>
    <s v="Fashion"/>
    <n v="1927"/>
    <s v="Married"/>
    <x v="1"/>
    <n v="531680"/>
    <s v="P134"/>
    <s v="Voluptatibus Shirt"/>
    <x v="2"/>
    <x v="0"/>
    <x v="9"/>
    <n v="63656"/>
    <n v="30"/>
    <n v="302"/>
    <n v="24"/>
    <x v="2"/>
    <s v="No"/>
    <n v="4.9000000000000004"/>
    <d v="2025-07-14T00:00:00"/>
    <s v="Yes"/>
    <n v="4697"/>
    <n v="195"/>
    <n v="195"/>
    <s v=""/>
    <s v=""/>
    <s v=""/>
    <s v=""/>
    <s v=""/>
    <s v=""/>
    <s v=""/>
    <s v=""/>
    <s v=""/>
    <s v=""/>
    <s v=""/>
    <s v=""/>
    <x v="0"/>
    <s v=""/>
    <s v=""/>
    <n v="190968"/>
    <n v="253860.128"/>
    <n v="-62892.127999999997"/>
  </r>
  <r>
    <s v="O1011"/>
    <s v="C071"/>
    <s v="P137"/>
    <x v="10"/>
    <n v="1"/>
    <n v="6443"/>
    <n v="25772"/>
    <n v="0.06"/>
    <x v="0"/>
    <x v="2"/>
    <d v="2025-07-31T00:00:00"/>
    <s v="No"/>
    <n v="422"/>
    <s v="Yes"/>
    <s v="Yes"/>
    <s v="C071"/>
    <s v="Kai Sant"/>
    <s v="dashzarna@example.org"/>
    <n v="2253584143"/>
    <x v="6"/>
    <x v="6"/>
    <n v="249818"/>
    <x v="0"/>
    <d v="2003-02-27T00:00:00"/>
    <n v="44551"/>
    <s v="Electronics"/>
    <n v="9232"/>
    <s v="Single"/>
    <x v="2"/>
    <n v="1157269"/>
    <s v="P137"/>
    <s v="Velit TV"/>
    <x v="0"/>
    <x v="5"/>
    <x v="8"/>
    <n v="6443"/>
    <n v="6"/>
    <n v="311"/>
    <n v="36"/>
    <x v="2"/>
    <s v="Yes"/>
    <n v="3.1"/>
    <d v="2025-01-29T00:00:00"/>
    <s v="Yes"/>
    <n v="7368"/>
    <n v="156"/>
    <n v="156"/>
    <s v=""/>
    <s v=""/>
    <s v=""/>
    <s v=""/>
    <s v=""/>
    <s v=""/>
    <s v=""/>
    <s v=""/>
    <s v=""/>
    <s v=""/>
    <s v=""/>
    <s v=""/>
    <x v="0"/>
    <s v=""/>
    <s v=""/>
    <n v="6443"/>
    <n v="25756.536800000002"/>
    <n v="-19313.536800000002"/>
  </r>
  <r>
    <s v="O1012"/>
    <s v="C013"/>
    <s v="P151"/>
    <x v="11"/>
    <n v="3"/>
    <n v="46390"/>
    <n v="139170"/>
    <n v="0.22"/>
    <x v="0"/>
    <x v="3"/>
    <d v="2025-07-24T00:00:00"/>
    <s v="Yes"/>
    <n v="101"/>
    <s v="No"/>
    <s v="Yes"/>
    <s v="C013"/>
    <s v="Raksha Mittal"/>
    <s v="mistryhemang@example.org"/>
    <n v="1182449353"/>
    <x v="1"/>
    <x v="1"/>
    <n v="874016"/>
    <x v="1"/>
    <d v="1978-05-14T00:00:00"/>
    <n v="44164"/>
    <s v="Grocery"/>
    <n v="6582"/>
    <s v="Married"/>
    <x v="4"/>
    <n v="755493"/>
    <s v="P151"/>
    <s v="Dolores Shirt"/>
    <x v="0"/>
    <x v="3"/>
    <x v="10"/>
    <n v="46390"/>
    <n v="22"/>
    <n v="376"/>
    <n v="6"/>
    <x v="3"/>
    <s v="Yes"/>
    <n v="4.5"/>
    <d v="2023-01-08T00:00:00"/>
    <s v="Yes"/>
    <n v="5382"/>
    <n v="117"/>
    <n v="117"/>
    <s v=""/>
    <s v=""/>
    <s v=""/>
    <s v=""/>
    <s v=""/>
    <s v=""/>
    <s v=""/>
    <s v=""/>
    <s v=""/>
    <s v=""/>
    <s v=""/>
    <s v=""/>
    <x v="0"/>
    <s v=""/>
    <s v=""/>
    <n v="139170"/>
    <n v="138863.826"/>
    <n v="306.17399999999907"/>
  </r>
  <r>
    <s v="O1013"/>
    <s v="C006"/>
    <s v="P105"/>
    <x v="12"/>
    <n v="2"/>
    <n v="24664"/>
    <n v="73992"/>
    <n v="0.06"/>
    <x v="1"/>
    <x v="2"/>
    <d v="2025-07-21T00:00:00"/>
    <s v="Yes"/>
    <n v="310"/>
    <s v="Yes"/>
    <s v="No"/>
    <s v="C006"/>
    <s v="Adya Tella"/>
    <s v="yashicacherian@example.net"/>
    <n v="8932528809"/>
    <x v="1"/>
    <x v="1"/>
    <n v="701543"/>
    <x v="0"/>
    <d v="1963-06-25T00:00:00"/>
    <n v="44776"/>
    <s v="Fashion"/>
    <n v="811"/>
    <s v="Married"/>
    <x v="0"/>
    <n v="461779"/>
    <s v="P105"/>
    <s v="Sit Washing Machine"/>
    <x v="0"/>
    <x v="0"/>
    <x v="11"/>
    <n v="24664"/>
    <n v="6"/>
    <n v="258"/>
    <n v="36"/>
    <x v="2"/>
    <s v="Yes"/>
    <n v="3.5"/>
    <d v="2023-12-18T00:00:00"/>
    <s v="Yes"/>
    <n v="1879"/>
    <n v="145"/>
    <n v="145"/>
    <s v=""/>
    <s v=""/>
    <s v=""/>
    <s v=""/>
    <s v=""/>
    <s v=""/>
    <s v=""/>
    <s v=""/>
    <s v=""/>
    <s v=""/>
    <s v=""/>
    <s v=""/>
    <x v="0"/>
    <s v=""/>
    <s v=""/>
    <n v="49328"/>
    <n v="73947.604800000001"/>
    <n v="-24619.604800000001"/>
  </r>
  <r>
    <s v="O1014"/>
    <s v="C079"/>
    <s v="P141"/>
    <x v="13"/>
    <n v="2"/>
    <n v="74500"/>
    <n v="298000"/>
    <n v="0.11"/>
    <x v="0"/>
    <x v="3"/>
    <d v="2025-07-17T00:00:00"/>
    <s v="No"/>
    <n v="259"/>
    <s v="No"/>
    <s v="No"/>
    <s v="C079"/>
    <s v="Vanya Vora"/>
    <s v="lmurthy@example.com"/>
    <n v="5854973348"/>
    <x v="2"/>
    <x v="2"/>
    <n v="344375"/>
    <x v="1"/>
    <d v="1992-03-10T00:00:00"/>
    <n v="45111"/>
    <s v="Fashion"/>
    <n v="4992"/>
    <s v="Married"/>
    <x v="1"/>
    <n v="1328730"/>
    <s v="P141"/>
    <s v="Cum Shirt"/>
    <x v="2"/>
    <x v="5"/>
    <x v="12"/>
    <n v="74500"/>
    <n v="11"/>
    <n v="70"/>
    <n v="12"/>
    <x v="0"/>
    <s v="Yes"/>
    <n v="3.3"/>
    <d v="2023-02-21T00:00:00"/>
    <s v="Yes"/>
    <n v="1047"/>
    <n v="87"/>
    <n v="87"/>
    <s v="S087"/>
    <s v="Bakshi, Subramanian and Tella Mart"/>
    <s v="Lucknow"/>
    <s v="Uttar Pradesh"/>
    <n v="357845"/>
    <s v="Guneet Varty"/>
    <n v="2015"/>
    <n v="95"/>
    <n v="2015"/>
    <n v="3.9"/>
    <s v="Yes"/>
    <n v="4056"/>
    <x v="1"/>
    <n v="2307681040"/>
    <s v="nathunni@chauhan.com"/>
    <n v="149000"/>
    <n v="297672.2"/>
    <n v="-148672.20000000001"/>
  </r>
  <r>
    <s v="O1015"/>
    <s v="C061"/>
    <s v="P103"/>
    <x v="14"/>
    <n v="3"/>
    <n v="39329"/>
    <n v="117987"/>
    <n v="0.12"/>
    <x v="2"/>
    <x v="2"/>
    <d v="2025-07-20T00:00:00"/>
    <s v="No"/>
    <n v="407"/>
    <s v="Yes"/>
    <s v="No"/>
    <s v="C061"/>
    <s v="Charles Srivastava"/>
    <s v="harshil81@example.com"/>
    <n v="912478261375"/>
    <x v="0"/>
    <x v="0"/>
    <n v="606853"/>
    <x v="1"/>
    <d v="1985-10-26T00:00:00"/>
    <n v="44281"/>
    <s v="Home Appliance"/>
    <n v="6067"/>
    <s v="Married"/>
    <x v="2"/>
    <n v="1593007"/>
    <s v="P103"/>
    <s v="Expedita TV"/>
    <x v="2"/>
    <x v="5"/>
    <x v="13"/>
    <n v="39329"/>
    <n v="12"/>
    <n v="369"/>
    <n v="12"/>
    <x v="3"/>
    <s v="Yes"/>
    <n v="4.3"/>
    <d v="2022-12-30T00:00:00"/>
    <s v="Yes"/>
    <n v="5495"/>
    <n v="42"/>
    <n v="42"/>
    <s v="S042"/>
    <s v="Lalla LLC Mart"/>
    <s v="Bangalore"/>
    <s v="Karnataka"/>
    <n v="38567"/>
    <s v="Chakradhar Baral"/>
    <n v="2005"/>
    <n v="9"/>
    <n v="19116"/>
    <n v="4.5999999999999996"/>
    <s v="No"/>
    <n v="2339"/>
    <x v="3"/>
    <n v="5184498926"/>
    <s v="lpau@brahmbhatt.biz"/>
    <n v="117987"/>
    <n v="117845.41559999999"/>
    <n v="141.58440000000701"/>
  </r>
  <r>
    <s v="O1016"/>
    <s v="C034"/>
    <s v="P184"/>
    <x v="15"/>
    <n v="5"/>
    <n v="72067"/>
    <n v="360335"/>
    <n v="0.15"/>
    <x v="4"/>
    <x v="0"/>
    <d v="2025-07-17T00:00:00"/>
    <s v="No"/>
    <n v="87"/>
    <s v="No"/>
    <s v="Yes"/>
    <s v="C034"/>
    <s v="Nandini Bansal"/>
    <s v="uchakrabarti@example.com"/>
    <n v="1680876038"/>
    <x v="7"/>
    <x v="5"/>
    <n v="977034"/>
    <x v="1"/>
    <d v="1996-11-29T00:00:00"/>
    <n v="44435"/>
    <s v="Electronics"/>
    <n v="3972"/>
    <s v="Single"/>
    <x v="1"/>
    <n v="1218463"/>
    <s v="P184"/>
    <s v="Veritatis TV"/>
    <x v="1"/>
    <x v="0"/>
    <x v="14"/>
    <n v="72067"/>
    <n v="15"/>
    <n v="833"/>
    <n v="12"/>
    <x v="1"/>
    <s v="No"/>
    <n v="4.0999999999999996"/>
    <d v="2024-12-08T00:00:00"/>
    <s v="Yes"/>
    <n v="2034"/>
    <n v="171"/>
    <n v="171"/>
    <s v=""/>
    <s v=""/>
    <s v=""/>
    <s v=""/>
    <s v=""/>
    <s v=""/>
    <s v=""/>
    <s v=""/>
    <s v=""/>
    <s v=""/>
    <s v=""/>
    <s v=""/>
    <x v="0"/>
    <s v=""/>
    <s v=""/>
    <n v="360335"/>
    <n v="359794.4975"/>
    <n v="540.50250000000233"/>
  </r>
  <r>
    <s v="O1017"/>
    <s v="C088"/>
    <s v="P132"/>
    <x v="16"/>
    <n v="1"/>
    <n v="89335"/>
    <n v="446675"/>
    <n v="0.28999999999999998"/>
    <x v="2"/>
    <x v="1"/>
    <d v="2025-07-29T00:00:00"/>
    <s v="Yes"/>
    <n v="225"/>
    <s v="No"/>
    <s v="No"/>
    <s v="C088"/>
    <s v="Ubika Samra"/>
    <s v="pkarpe@example.com"/>
    <n v="2431069033"/>
    <x v="3"/>
    <x v="3"/>
    <n v="190790"/>
    <x v="0"/>
    <d v="1976-03-11T00:00:00"/>
    <n v="44165"/>
    <s v="Fashion"/>
    <n v="6143"/>
    <s v="Single"/>
    <x v="0"/>
    <n v="1473490"/>
    <s v="P132"/>
    <s v="Ea Rice"/>
    <x v="1"/>
    <x v="0"/>
    <x v="2"/>
    <n v="89335"/>
    <n v="29"/>
    <n v="738"/>
    <n v="12"/>
    <x v="2"/>
    <s v="Yes"/>
    <n v="3.3"/>
    <d v="2025-02-24T00:00:00"/>
    <s v="No"/>
    <n v="1547"/>
    <n v="163"/>
    <n v="163"/>
    <s v=""/>
    <s v=""/>
    <s v=""/>
    <s v=""/>
    <s v=""/>
    <s v=""/>
    <s v=""/>
    <s v=""/>
    <s v=""/>
    <s v=""/>
    <s v=""/>
    <s v=""/>
    <x v="0"/>
    <s v=""/>
    <s v=""/>
    <n v="89335"/>
    <n v="445379.64250000002"/>
    <n v="-356044.64250000002"/>
  </r>
  <r>
    <s v="O1018"/>
    <s v="C020"/>
    <s v="P153"/>
    <x v="17"/>
    <n v="2"/>
    <n v="83491"/>
    <n v="333964"/>
    <n v="0.05"/>
    <x v="0"/>
    <x v="2"/>
    <d v="2025-07-29T00:00:00"/>
    <s v="Yes"/>
    <n v="361"/>
    <s v="Yes"/>
    <s v="Yes"/>
    <s v="C020"/>
    <s v="Jairaj Shan"/>
    <s v="ucchalwali@example.net"/>
    <n v="5798687277"/>
    <x v="8"/>
    <x v="7"/>
    <n v="348734"/>
    <x v="1"/>
    <d v="1989-06-22T00:00:00"/>
    <n v="44268"/>
    <s v="Home Appliance"/>
    <n v="6226"/>
    <s v="Single"/>
    <x v="0"/>
    <n v="1832898"/>
    <s v="P153"/>
    <s v="Quis Shirt"/>
    <x v="3"/>
    <x v="1"/>
    <x v="15"/>
    <n v="83491"/>
    <n v="5"/>
    <n v="93"/>
    <n v="12"/>
    <x v="1"/>
    <s v="No"/>
    <n v="3.6"/>
    <d v="2023-06-21T00:00:00"/>
    <s v="Yes"/>
    <n v="7063"/>
    <n v="79"/>
    <n v="79"/>
    <s v="S079"/>
    <s v="Yogi, Randhawa and Baral Mart"/>
    <s v="Chennai"/>
    <s v="Tamil Nadu"/>
    <n v="803476"/>
    <s v="Bhavika Shenoy"/>
    <n v="2004"/>
    <n v="27"/>
    <n v="1058"/>
    <n v="4.9000000000000004"/>
    <s v="No"/>
    <n v="765"/>
    <x v="1"/>
    <n v="916490827718"/>
    <s v="golekrishna@sachdev-naik.info"/>
    <n v="166982"/>
    <n v="333797.01799999998"/>
    <n v="-166815.01799999998"/>
  </r>
  <r>
    <s v="O1019"/>
    <s v="C072"/>
    <s v="P142"/>
    <x v="18"/>
    <n v="4"/>
    <n v="71307"/>
    <n v="356535"/>
    <n v="0.13"/>
    <x v="1"/>
    <x v="3"/>
    <d v="2025-07-23T00:00:00"/>
    <s v="Yes"/>
    <n v="235"/>
    <s v="No"/>
    <s v="No"/>
    <s v="C072"/>
    <s v="Onveer Nazareth"/>
    <s v="balakrishnanfinn@example.org"/>
    <n v="9439690784"/>
    <x v="6"/>
    <x v="6"/>
    <n v="736471"/>
    <x v="0"/>
    <d v="2006-05-26T00:00:00"/>
    <n v="44214"/>
    <s v="Fashion"/>
    <n v="7351"/>
    <s v="Married"/>
    <x v="0"/>
    <n v="1135148"/>
    <s v="P142"/>
    <s v="Quaerat Shirt"/>
    <x v="2"/>
    <x v="5"/>
    <x v="16"/>
    <n v="71307"/>
    <n v="13"/>
    <n v="817"/>
    <n v="12"/>
    <x v="2"/>
    <s v="Yes"/>
    <n v="2.8"/>
    <d v="2024-12-25T00:00:00"/>
    <s v="No"/>
    <n v="4899"/>
    <n v="59"/>
    <n v="59"/>
    <s v="S059"/>
    <s v="Walla, Mukherjee and Palan Mart"/>
    <s v="Ahmedabad"/>
    <s v="Gujarat"/>
    <n v="831745"/>
    <s v="Abha Dugal"/>
    <n v="2003"/>
    <n v="22"/>
    <n v="4979"/>
    <n v="3"/>
    <s v="Yes"/>
    <n v="1570"/>
    <x v="1"/>
    <n v="82547807"/>
    <s v="amistry@master-kashyap.com"/>
    <n v="285228"/>
    <n v="356071.50450000004"/>
    <n v="-70843.504500000039"/>
  </r>
  <r>
    <s v="O1020"/>
    <s v="C087"/>
    <s v="P199"/>
    <x v="19"/>
    <n v="3"/>
    <n v="20556"/>
    <n v="102780"/>
    <n v="0.14000000000000001"/>
    <x v="1"/>
    <x v="1"/>
    <d v="2025-07-26T00:00:00"/>
    <s v="Yes"/>
    <n v="142"/>
    <s v="No"/>
    <s v="Yes"/>
    <s v="C087"/>
    <s v="Urmi Balay"/>
    <s v="nilima22@example.net"/>
    <n v="6567661825"/>
    <x v="9"/>
    <x v="8"/>
    <n v="286823"/>
    <x v="1"/>
    <d v="1959-10-11T00:00:00"/>
    <n v="44098"/>
    <s v="Home Appliance"/>
    <n v="2168"/>
    <s v="Married"/>
    <x v="2"/>
    <n v="1382729"/>
    <s v="P199"/>
    <s v="Natus TV"/>
    <x v="3"/>
    <x v="4"/>
    <x v="17"/>
    <n v="20556"/>
    <n v="14"/>
    <n v="168"/>
    <n v="12"/>
    <x v="3"/>
    <s v="Yes"/>
    <n v="3.4"/>
    <d v="2025-02-27T00:00:00"/>
    <s v="No"/>
    <n v="2293"/>
    <n v="129"/>
    <n v="129"/>
    <s v=""/>
    <s v=""/>
    <s v=""/>
    <s v=""/>
    <s v=""/>
    <s v=""/>
    <s v=""/>
    <s v=""/>
    <s v=""/>
    <s v=""/>
    <s v=""/>
    <s v=""/>
    <x v="0"/>
    <s v=""/>
    <s v=""/>
    <n v="61668"/>
    <n v="102636.10800000001"/>
    <n v="-40968.108000000007"/>
  </r>
  <r>
    <s v="O1021"/>
    <s v="C039"/>
    <s v="P199"/>
    <x v="20"/>
    <n v="3"/>
    <n v="20556"/>
    <n v="41112"/>
    <n v="0.14000000000000001"/>
    <x v="1"/>
    <x v="3"/>
    <d v="2025-07-23T00:00:00"/>
    <s v="No"/>
    <n v="178"/>
    <s v="No"/>
    <s v="No"/>
    <s v="C039"/>
    <s v="Chakradhar Nair"/>
    <s v="memonjagrati@example.com"/>
    <n v="2386922219"/>
    <x v="7"/>
    <x v="5"/>
    <n v="937923"/>
    <x v="1"/>
    <d v="1990-12-02T00:00:00"/>
    <n v="44817"/>
    <s v="Electronics"/>
    <n v="8420"/>
    <s v="Single"/>
    <x v="4"/>
    <n v="343699"/>
    <s v="P199"/>
    <s v="Natus TV"/>
    <x v="3"/>
    <x v="4"/>
    <x v="17"/>
    <n v="20556"/>
    <n v="14"/>
    <n v="168"/>
    <n v="12"/>
    <x v="3"/>
    <s v="Yes"/>
    <n v="3.4"/>
    <d v="2025-02-27T00:00:00"/>
    <s v="No"/>
    <n v="2293"/>
    <n v="129"/>
    <n v="129"/>
    <s v=""/>
    <s v=""/>
    <s v=""/>
    <s v=""/>
    <s v=""/>
    <s v=""/>
    <s v=""/>
    <s v=""/>
    <s v=""/>
    <s v=""/>
    <s v=""/>
    <s v=""/>
    <x v="0"/>
    <s v=""/>
    <s v=""/>
    <n v="61668"/>
    <n v="41054.443200000002"/>
    <n v="20613.556799999998"/>
  </r>
  <r>
    <s v="O1022"/>
    <s v="C016"/>
    <s v="P174"/>
    <x v="21"/>
    <n v="5"/>
    <n v="31171"/>
    <n v="124684"/>
    <n v="0.22"/>
    <x v="1"/>
    <x v="3"/>
    <d v="2025-07-19T00:00:00"/>
    <s v="Yes"/>
    <n v="148"/>
    <s v="Yes"/>
    <s v="No"/>
    <s v="C016"/>
    <s v="Reyansh Rastogi"/>
    <s v="arya14@example.com"/>
    <n v="8685014294"/>
    <x v="9"/>
    <x v="8"/>
    <n v="196556"/>
    <x v="1"/>
    <d v="2000-10-16T00:00:00"/>
    <n v="45616"/>
    <s v="Home Appliance"/>
    <n v="2721"/>
    <s v="Married"/>
    <x v="0"/>
    <n v="333227"/>
    <s v="P174"/>
    <s v="Voluptas Laptop"/>
    <x v="2"/>
    <x v="2"/>
    <x v="18"/>
    <n v="31171"/>
    <n v="22"/>
    <n v="244"/>
    <n v="24"/>
    <x v="1"/>
    <s v="Yes"/>
    <n v="3.4"/>
    <d v="2023-09-15T00:00:00"/>
    <s v="No"/>
    <n v="8565"/>
    <n v="112"/>
    <n v="112"/>
    <s v=""/>
    <s v=""/>
    <s v=""/>
    <s v=""/>
    <s v=""/>
    <s v=""/>
    <s v=""/>
    <s v=""/>
    <s v=""/>
    <s v=""/>
    <s v=""/>
    <s v=""/>
    <x v="0"/>
    <s v=""/>
    <s v=""/>
    <n v="155855"/>
    <n v="124409.6952"/>
    <n v="31445.304799999998"/>
  </r>
  <r>
    <s v="O1023"/>
    <s v="C092"/>
    <s v="P111"/>
    <x v="22"/>
    <n v="3"/>
    <n v="90766"/>
    <n v="363064"/>
    <n v="0.14000000000000001"/>
    <x v="3"/>
    <x v="2"/>
    <d v="2025-07-17T00:00:00"/>
    <s v="Yes"/>
    <n v="103"/>
    <s v="No"/>
    <s v="No"/>
    <s v="C092"/>
    <s v="Ranveer Dalal"/>
    <s v="skibe@example.net"/>
    <n v="3638546785"/>
    <x v="7"/>
    <x v="5"/>
    <n v="458771"/>
    <x v="0"/>
    <d v="1991-06-28T00:00:00"/>
    <n v="45022"/>
    <s v="Electronics"/>
    <n v="6982"/>
    <s v="Married"/>
    <x v="2"/>
    <n v="1109164"/>
    <s v="P111"/>
    <s v="Ducimus TV"/>
    <x v="0"/>
    <x v="2"/>
    <x v="19"/>
    <n v="90766"/>
    <n v="14"/>
    <n v="716"/>
    <n v="36"/>
    <x v="3"/>
    <s v="No"/>
    <n v="3.6"/>
    <d v="2024-05-28T00:00:00"/>
    <s v="Yes"/>
    <n v="8079"/>
    <n v="71"/>
    <n v="71"/>
    <s v="S071"/>
    <s v="Thaman-Chana Mart"/>
    <s v="Bangalore"/>
    <s v="Karnataka"/>
    <n v="646225"/>
    <s v="Vamakshi Bawa"/>
    <n v="2005"/>
    <n v="35"/>
    <n v="11420"/>
    <n v="4.5999999999999996"/>
    <s v="No"/>
    <n v="731"/>
    <x v="2"/>
    <n v="6416862278"/>
    <s v="vinayarana@hayre.com"/>
    <n v="272298"/>
    <n v="362555.71039999998"/>
    <n v="-90257.710399999982"/>
  </r>
  <r>
    <s v="O1024"/>
    <s v="C018"/>
    <s v="P114"/>
    <x v="23"/>
    <n v="5"/>
    <n v="54455"/>
    <n v="272275"/>
    <n v="0.27"/>
    <x v="4"/>
    <x v="1"/>
    <d v="2025-07-27T00:00:00"/>
    <s v="Yes"/>
    <n v="342"/>
    <s v="Yes"/>
    <s v="Yes"/>
    <s v="C018"/>
    <s v="Owen Mitra"/>
    <s v="tacharya@example.com"/>
    <n v="916995777387"/>
    <x v="5"/>
    <x v="5"/>
    <n v="148951"/>
    <x v="0"/>
    <d v="1975-07-10T00:00:00"/>
    <n v="44992"/>
    <s v="Fashion"/>
    <n v="1927"/>
    <s v="Married"/>
    <x v="1"/>
    <n v="531680"/>
    <s v="P114"/>
    <s v="Dolor Shirt"/>
    <x v="3"/>
    <x v="0"/>
    <x v="20"/>
    <n v="54455"/>
    <n v="27"/>
    <n v="507"/>
    <n v="24"/>
    <x v="1"/>
    <s v="Yes"/>
    <n v="3.6"/>
    <d v="2024-06-13T00:00:00"/>
    <s v="No"/>
    <n v="5136"/>
    <n v="50"/>
    <n v="50"/>
    <s v="S050"/>
    <s v="Iyer-Vasa Mart"/>
    <s v="Delhi"/>
    <s v="Delhi"/>
    <n v="118489"/>
    <s v="Idika Malhotra"/>
    <n v="2004"/>
    <n v="96"/>
    <n v="10169"/>
    <n v="3.2"/>
    <s v="Yes"/>
    <n v="4757"/>
    <x v="3"/>
    <n v="919376904268"/>
    <s v="borayahvi@oak-dada.net"/>
    <n v="272275"/>
    <n v="271539.85749999998"/>
    <n v="735.1425000000163"/>
  </r>
  <r>
    <s v="O1025"/>
    <s v="C007"/>
    <s v="P113"/>
    <x v="24"/>
    <n v="4"/>
    <n v="77220"/>
    <n v="231660"/>
    <n v="0.18"/>
    <x v="1"/>
    <x v="0"/>
    <d v="2025-07-29T00:00:00"/>
    <s v="Yes"/>
    <n v="2"/>
    <s v="Yes"/>
    <s v="No"/>
    <s v="C007"/>
    <s v="Frederick Sunder"/>
    <s v="waliajeremiah@example.org"/>
    <n v="7824896383"/>
    <x v="0"/>
    <x v="0"/>
    <n v="657871"/>
    <x v="1"/>
    <d v="1976-05-29T00:00:00"/>
    <n v="44726"/>
    <s v="Fashion"/>
    <n v="6025"/>
    <s v="Single"/>
    <x v="2"/>
    <n v="296100"/>
    <s v="P113"/>
    <s v="Tempora Phone"/>
    <x v="0"/>
    <x v="5"/>
    <x v="21"/>
    <n v="77220"/>
    <n v="18"/>
    <n v="650"/>
    <n v="36"/>
    <x v="2"/>
    <s v="No"/>
    <n v="3.4"/>
    <d v="2025-05-05T00:00:00"/>
    <s v="No"/>
    <n v="6261"/>
    <n v="138"/>
    <n v="138"/>
    <s v=""/>
    <s v=""/>
    <s v=""/>
    <s v=""/>
    <s v=""/>
    <s v=""/>
    <s v=""/>
    <s v=""/>
    <s v=""/>
    <s v=""/>
    <s v=""/>
    <s v=""/>
    <x v="0"/>
    <s v=""/>
    <s v=""/>
    <n v="308880"/>
    <n v="231243.01199999999"/>
    <n v="77636.988000000012"/>
  </r>
  <r>
    <s v="O1026"/>
    <s v="C084"/>
    <s v="P161"/>
    <x v="25"/>
    <n v="4"/>
    <n v="98254"/>
    <n v="196508"/>
    <n v="0.15"/>
    <x v="3"/>
    <x v="3"/>
    <d v="2025-07-23T00:00:00"/>
    <s v="No"/>
    <n v="330"/>
    <s v="Yes"/>
    <s v="Yes"/>
    <s v="C084"/>
    <s v="Amara Narayan"/>
    <s v="advay45@example.net"/>
    <n v="910174268414"/>
    <x v="1"/>
    <x v="1"/>
    <n v="933272"/>
    <x v="1"/>
    <d v="1990-07-02T00:00:00"/>
    <n v="45188"/>
    <s v="Grocery"/>
    <n v="5455"/>
    <s v="Married"/>
    <x v="1"/>
    <n v="783546"/>
    <s v="P161"/>
    <s v="Veritatis Washing Machine"/>
    <x v="3"/>
    <x v="0"/>
    <x v="22"/>
    <n v="98254"/>
    <n v="15"/>
    <n v="226"/>
    <n v="24"/>
    <x v="0"/>
    <s v="Yes"/>
    <n v="3.8"/>
    <d v="2022-10-17T00:00:00"/>
    <s v="Yes"/>
    <n v="9694"/>
    <n v="54"/>
    <n v="54"/>
    <s v="S054"/>
    <s v="Chaudhuri-Nanda Mart"/>
    <s v="Hyderabad"/>
    <s v="Telangana"/>
    <n v="942843"/>
    <s v="Urishilla Oza"/>
    <n v="2004"/>
    <n v="79"/>
    <n v="4570"/>
    <n v="3.3"/>
    <s v="Yes"/>
    <n v="4182"/>
    <x v="3"/>
    <n v="2763655647"/>
    <s v="karankarnik@madan.net"/>
    <n v="393016"/>
    <n v="196213.23799999998"/>
    <n v="196802.76200000002"/>
  </r>
  <r>
    <s v="O1027"/>
    <s v="C084"/>
    <s v="P174"/>
    <x v="26"/>
    <n v="2"/>
    <n v="31171"/>
    <n v="155855"/>
    <n v="0.22"/>
    <x v="2"/>
    <x v="1"/>
    <d v="2025-07-30T00:00:00"/>
    <s v="No"/>
    <n v="451"/>
    <s v="Yes"/>
    <s v="Yes"/>
    <s v="C084"/>
    <s v="Amara Narayan"/>
    <s v="advay45@example.net"/>
    <n v="910174268414"/>
    <x v="1"/>
    <x v="1"/>
    <n v="933272"/>
    <x v="1"/>
    <d v="1990-07-02T00:00:00"/>
    <n v="45188"/>
    <s v="Grocery"/>
    <n v="5455"/>
    <s v="Married"/>
    <x v="1"/>
    <n v="783546"/>
    <s v="P174"/>
    <s v="Voluptas Laptop"/>
    <x v="2"/>
    <x v="2"/>
    <x v="18"/>
    <n v="31171"/>
    <n v="22"/>
    <n v="244"/>
    <n v="24"/>
    <x v="1"/>
    <s v="Yes"/>
    <n v="3.4"/>
    <d v="2023-09-15T00:00:00"/>
    <s v="No"/>
    <n v="8565"/>
    <n v="112"/>
    <n v="112"/>
    <s v=""/>
    <s v=""/>
    <s v=""/>
    <s v=""/>
    <s v=""/>
    <s v=""/>
    <s v=""/>
    <s v=""/>
    <s v=""/>
    <s v=""/>
    <s v=""/>
    <s v=""/>
    <x v="0"/>
    <s v=""/>
    <s v=""/>
    <n v="62342"/>
    <n v="155512.11900000001"/>
    <n v="-93170.119000000006"/>
  </r>
  <r>
    <s v="O1028"/>
    <s v="C051"/>
    <s v="P164"/>
    <x v="27"/>
    <n v="2"/>
    <n v="61962"/>
    <n v="185886"/>
    <n v="0.19"/>
    <x v="2"/>
    <x v="0"/>
    <d v="2025-07-18T00:00:00"/>
    <s v="No"/>
    <n v="290"/>
    <s v="Yes"/>
    <s v="No"/>
    <s v="C051"/>
    <s v="Nandini Boase"/>
    <s v="azaanchand@example.net"/>
    <n v="3667525459"/>
    <x v="9"/>
    <x v="8"/>
    <n v="22901"/>
    <x v="0"/>
    <d v="1978-01-21T00:00:00"/>
    <n v="45404"/>
    <s v="Home Appliance"/>
    <n v="7141"/>
    <s v="Single"/>
    <x v="2"/>
    <n v="846464"/>
    <s v="P164"/>
    <s v="Repellat Washing Machine"/>
    <x v="1"/>
    <x v="3"/>
    <x v="7"/>
    <n v="61962"/>
    <n v="19"/>
    <n v="646"/>
    <n v="24"/>
    <x v="3"/>
    <s v="Yes"/>
    <n v="3.4"/>
    <d v="2024-06-18T00:00:00"/>
    <s v="Yes"/>
    <n v="6086"/>
    <n v="26"/>
    <n v="26"/>
    <s v="S026"/>
    <s v="Sarma, Golla and Raghavan Mart"/>
    <s v="Hyderabad"/>
    <s v="Telangana"/>
    <n v="902771"/>
    <s v="Ridhi Batra"/>
    <n v="2008"/>
    <n v="87"/>
    <n v="3760"/>
    <n v="3.5"/>
    <s v="No"/>
    <n v="719"/>
    <x v="2"/>
    <n v="914508993588"/>
    <s v="santyuvraj@pal-rajan.com"/>
    <n v="123924"/>
    <n v="185532.81659999999"/>
    <n v="-61608.816599999991"/>
  </r>
  <r>
    <s v="O1029"/>
    <s v="C037"/>
    <s v="P159"/>
    <x v="28"/>
    <n v="5"/>
    <n v="41533"/>
    <n v="207665"/>
    <n v="0.23"/>
    <x v="1"/>
    <x v="1"/>
    <d v="2025-07-28T00:00:00"/>
    <s v="No"/>
    <n v="139"/>
    <s v="Yes"/>
    <s v="Yes"/>
    <s v="C037"/>
    <s v="Ekanta Gulati"/>
    <s v="leelakaur@example.com"/>
    <n v="915766270289"/>
    <x v="2"/>
    <x v="2"/>
    <n v="171870"/>
    <x v="1"/>
    <d v="1969-05-08T00:00:00"/>
    <n v="45301"/>
    <s v="Home Appliance"/>
    <n v="4961"/>
    <s v="Single"/>
    <x v="2"/>
    <n v="1414629"/>
    <s v="P159"/>
    <s v="Laudantium Washing Machine"/>
    <x v="3"/>
    <x v="3"/>
    <x v="23"/>
    <n v="41533"/>
    <n v="23"/>
    <n v="439"/>
    <n v="36"/>
    <x v="1"/>
    <s v="No"/>
    <n v="2.8"/>
    <d v="2023-12-01T00:00:00"/>
    <s v="Yes"/>
    <n v="6322"/>
    <n v="195"/>
    <n v="195"/>
    <s v=""/>
    <s v=""/>
    <s v=""/>
    <s v=""/>
    <s v=""/>
    <s v=""/>
    <s v=""/>
    <s v=""/>
    <s v=""/>
    <s v=""/>
    <s v=""/>
    <s v=""/>
    <x v="0"/>
    <s v=""/>
    <s v=""/>
    <n v="207665"/>
    <n v="207187.37050000002"/>
    <n v="477.62949999998091"/>
  </r>
  <r>
    <s v="O1030"/>
    <s v="C043"/>
    <s v="P121"/>
    <x v="0"/>
    <n v="4"/>
    <n v="25227"/>
    <n v="75681"/>
    <n v="0.27"/>
    <x v="4"/>
    <x v="0"/>
    <d v="2025-07-25T00:00:00"/>
    <s v="No"/>
    <n v="404"/>
    <s v="No"/>
    <s v="Yes"/>
    <s v="C043"/>
    <s v="Jatin Sha"/>
    <s v="adweta96@example.net"/>
    <n v="1370985931"/>
    <x v="1"/>
    <x v="1"/>
    <n v="461200"/>
    <x v="1"/>
    <d v="1980-04-02T00:00:00"/>
    <n v="45558"/>
    <s v="Electronics"/>
    <n v="7608"/>
    <s v="Single"/>
    <x v="2"/>
    <n v="1327501"/>
    <s v="P121"/>
    <s v="Quas Washing Machine"/>
    <x v="0"/>
    <x v="0"/>
    <x v="6"/>
    <n v="25227"/>
    <n v="27"/>
    <n v="244"/>
    <n v="36"/>
    <x v="0"/>
    <s v="No"/>
    <n v="2.6"/>
    <d v="2024-03-15T00:00:00"/>
    <s v="No"/>
    <n v="7247"/>
    <n v="147"/>
    <n v="147"/>
    <s v=""/>
    <s v=""/>
    <s v=""/>
    <s v=""/>
    <s v=""/>
    <s v=""/>
    <s v=""/>
    <s v=""/>
    <s v=""/>
    <s v=""/>
    <s v=""/>
    <s v=""/>
    <x v="0"/>
    <s v=""/>
    <s v=""/>
    <n v="100908"/>
    <n v="75476.661299999992"/>
    <n v="25431.338700000008"/>
  </r>
  <r>
    <s v="O1031"/>
    <s v="C023"/>
    <s v="P179"/>
    <x v="11"/>
    <n v="4"/>
    <n v="59299"/>
    <n v="237196"/>
    <n v="0.24"/>
    <x v="0"/>
    <x v="3"/>
    <d v="2025-07-29T00:00:00"/>
    <s v="Yes"/>
    <n v="205"/>
    <s v="Yes"/>
    <s v="Yes"/>
    <s v="C023"/>
    <s v="Fiyaz Sangha"/>
    <s v="triyagopal@example.org"/>
    <n v="6537556464"/>
    <x v="2"/>
    <x v="2"/>
    <n v="708053"/>
    <x v="1"/>
    <d v="2003-10-13T00:00:00"/>
    <n v="44241"/>
    <s v="Home Appliance"/>
    <n v="2203"/>
    <s v="Married"/>
    <x v="0"/>
    <n v="546296"/>
    <s v="P179"/>
    <s v="Delectus Laptop"/>
    <x v="1"/>
    <x v="2"/>
    <x v="24"/>
    <n v="59299"/>
    <n v="24"/>
    <n v="5"/>
    <n v="6"/>
    <x v="2"/>
    <s v="No"/>
    <n v="3"/>
    <d v="2022-07-31T00:00:00"/>
    <s v="Yes"/>
    <n v="9992"/>
    <n v="88"/>
    <n v="88"/>
    <s v="S088"/>
    <s v="Muni Ltd Mart"/>
    <s v="Delhi"/>
    <s v="Delhi"/>
    <n v="533448"/>
    <s v="Ridhi Dalal"/>
    <n v="2003"/>
    <n v="47"/>
    <n v="7735"/>
    <n v="4.9000000000000004"/>
    <s v="No"/>
    <n v="4924"/>
    <x v="3"/>
    <n v="2241098813"/>
    <s v="eiravati42@mander.com"/>
    <n v="237196"/>
    <n v="236626.72960000002"/>
    <n v="569.27039999997942"/>
  </r>
  <r>
    <s v="O1032"/>
    <s v="C018"/>
    <s v="P162"/>
    <x v="29"/>
    <n v="3"/>
    <n v="95839"/>
    <n v="191678"/>
    <n v="0.25"/>
    <x v="2"/>
    <x v="3"/>
    <d v="2025-07-30T00:00:00"/>
    <s v="No"/>
    <n v="120"/>
    <s v="No"/>
    <s v="No"/>
    <s v="C018"/>
    <s v="Owen Mitra"/>
    <s v="tacharya@example.com"/>
    <n v="916995777387"/>
    <x v="5"/>
    <x v="5"/>
    <n v="148951"/>
    <x v="0"/>
    <d v="1975-07-10T00:00:00"/>
    <n v="44992"/>
    <s v="Fashion"/>
    <n v="1927"/>
    <s v="Married"/>
    <x v="1"/>
    <n v="531680"/>
    <s v="P162"/>
    <s v="Harum Phone"/>
    <x v="1"/>
    <x v="0"/>
    <x v="25"/>
    <n v="95839"/>
    <n v="25"/>
    <n v="834"/>
    <n v="12"/>
    <x v="0"/>
    <s v="Yes"/>
    <n v="2.9"/>
    <d v="2023-03-01T00:00:00"/>
    <s v="Yes"/>
    <n v="3843"/>
    <n v="26"/>
    <n v="26"/>
    <s v="S026"/>
    <s v="Sarma, Golla and Raghavan Mart"/>
    <s v="Hyderabad"/>
    <s v="Telangana"/>
    <n v="902771"/>
    <s v="Ridhi Batra"/>
    <n v="2008"/>
    <n v="87"/>
    <n v="3760"/>
    <n v="3.5"/>
    <s v="No"/>
    <n v="719"/>
    <x v="2"/>
    <n v="914508993588"/>
    <s v="santyuvraj@pal-rajan.com"/>
    <n v="287517"/>
    <n v="191198.80499999999"/>
    <n v="96318.195000000007"/>
  </r>
  <r>
    <s v="O1033"/>
    <s v="C043"/>
    <s v="P139"/>
    <x v="19"/>
    <n v="5"/>
    <n v="49066"/>
    <n v="245330"/>
    <n v="0.11"/>
    <x v="2"/>
    <x v="3"/>
    <d v="2025-07-25T00:00:00"/>
    <s v="No"/>
    <n v="354"/>
    <s v="Yes"/>
    <s v="Yes"/>
    <s v="C043"/>
    <s v="Jatin Sha"/>
    <s v="adweta96@example.net"/>
    <n v="1370985931"/>
    <x v="1"/>
    <x v="1"/>
    <n v="461200"/>
    <x v="1"/>
    <d v="1980-04-02T00:00:00"/>
    <n v="45558"/>
    <s v="Electronics"/>
    <n v="7608"/>
    <s v="Single"/>
    <x v="2"/>
    <n v="1327501"/>
    <s v="P139"/>
    <s v="Officia TV"/>
    <x v="2"/>
    <x v="1"/>
    <x v="26"/>
    <n v="49066"/>
    <n v="11"/>
    <n v="454"/>
    <n v="36"/>
    <x v="0"/>
    <s v="No"/>
    <n v="2.7"/>
    <d v="2025-05-26T00:00:00"/>
    <s v="No"/>
    <n v="9921"/>
    <n v="131"/>
    <n v="131"/>
    <s v=""/>
    <s v=""/>
    <s v=""/>
    <s v=""/>
    <s v=""/>
    <s v=""/>
    <s v=""/>
    <s v=""/>
    <s v=""/>
    <s v=""/>
    <s v=""/>
    <s v=""/>
    <x v="0"/>
    <s v=""/>
    <s v=""/>
    <n v="245330"/>
    <n v="245060.13699999999"/>
    <n v="269.86300000001211"/>
  </r>
  <r>
    <s v="O1034"/>
    <s v="C086"/>
    <s v="P116"/>
    <x v="30"/>
    <n v="4"/>
    <n v="35503"/>
    <n v="106509"/>
    <n v="0.22"/>
    <x v="4"/>
    <x v="2"/>
    <d v="2025-07-23T00:00:00"/>
    <s v="No"/>
    <n v="353"/>
    <s v="Yes"/>
    <s v="No"/>
    <s v="C086"/>
    <s v="Yashvi Sehgal"/>
    <s v="settykevin@example.net"/>
    <n v="7908740640"/>
    <x v="1"/>
    <x v="1"/>
    <n v="910651"/>
    <x v="1"/>
    <d v="1996-05-13T00:00:00"/>
    <n v="44215"/>
    <s v="Electronics"/>
    <n v="759"/>
    <s v="Single"/>
    <x v="4"/>
    <n v="618089"/>
    <s v="P116"/>
    <s v="Voluptate TV"/>
    <x v="0"/>
    <x v="5"/>
    <x v="27"/>
    <n v="35503"/>
    <n v="22"/>
    <n v="134"/>
    <n v="24"/>
    <x v="1"/>
    <s v="No"/>
    <n v="2.8"/>
    <d v="2025-07-10T00:00:00"/>
    <s v="Yes"/>
    <n v="3595"/>
    <n v="179"/>
    <n v="179"/>
    <s v=""/>
    <s v=""/>
    <s v=""/>
    <s v=""/>
    <s v=""/>
    <s v=""/>
    <s v=""/>
    <s v=""/>
    <s v=""/>
    <s v=""/>
    <s v=""/>
    <s v=""/>
    <x v="0"/>
    <s v=""/>
    <s v=""/>
    <n v="142012"/>
    <n v="106274.6802"/>
    <n v="35737.319799999997"/>
  </r>
  <r>
    <s v="O1035"/>
    <s v="C048"/>
    <s v="P179"/>
    <x v="31"/>
    <n v="2"/>
    <n v="59299"/>
    <n v="118598"/>
    <n v="0.24"/>
    <x v="4"/>
    <x v="2"/>
    <d v="2025-07-19T00:00:00"/>
    <s v="Yes"/>
    <n v="232"/>
    <s v="No"/>
    <s v="No"/>
    <s v="C048"/>
    <s v="Sudiksha Tiwari"/>
    <s v="ychaudhary@example.net"/>
    <n v="918367365766"/>
    <x v="8"/>
    <x v="7"/>
    <n v="565452"/>
    <x v="0"/>
    <d v="2006-04-12T00:00:00"/>
    <n v="45501"/>
    <s v="Fashion"/>
    <n v="932"/>
    <s v="Single"/>
    <x v="1"/>
    <n v="1939269"/>
    <s v="P179"/>
    <s v="Delectus Laptop"/>
    <x v="1"/>
    <x v="2"/>
    <x v="24"/>
    <n v="59299"/>
    <n v="24"/>
    <n v="5"/>
    <n v="6"/>
    <x v="2"/>
    <s v="No"/>
    <n v="3"/>
    <d v="2022-07-31T00:00:00"/>
    <s v="Yes"/>
    <n v="9992"/>
    <n v="88"/>
    <n v="88"/>
    <s v="S088"/>
    <s v="Muni Ltd Mart"/>
    <s v="Delhi"/>
    <s v="Delhi"/>
    <n v="533448"/>
    <s v="Ridhi Dalal"/>
    <n v="2003"/>
    <n v="47"/>
    <n v="7735"/>
    <n v="4.9000000000000004"/>
    <s v="No"/>
    <n v="4924"/>
    <x v="3"/>
    <n v="2241098813"/>
    <s v="eiravati42@mander.com"/>
    <n v="118598"/>
    <n v="118313.36480000001"/>
    <n v="284.63519999998971"/>
  </r>
  <r>
    <s v="O1036"/>
    <s v="C090"/>
    <s v="P171"/>
    <x v="32"/>
    <n v="4"/>
    <n v="40983"/>
    <n v="204915"/>
    <n v="0.1"/>
    <x v="4"/>
    <x v="1"/>
    <d v="2025-07-30T00:00:00"/>
    <s v="Yes"/>
    <n v="269"/>
    <s v="No"/>
    <s v="No"/>
    <s v="C090"/>
    <s v="Champak Padmanabhan"/>
    <s v="uvohra@example.net"/>
    <n v="6246287334"/>
    <x v="0"/>
    <x v="0"/>
    <n v="708668"/>
    <x v="0"/>
    <d v="1995-08-10T00:00:00"/>
    <n v="44444"/>
    <s v="Home Appliance"/>
    <n v="1345"/>
    <s v="Single"/>
    <x v="2"/>
    <n v="1662119"/>
    <s v="P171"/>
    <s v="Placeat TV"/>
    <x v="2"/>
    <x v="0"/>
    <x v="28"/>
    <n v="40983"/>
    <n v="10"/>
    <n v="973"/>
    <n v="12"/>
    <x v="3"/>
    <s v="No"/>
    <n v="3"/>
    <d v="2022-12-18T00:00:00"/>
    <s v="Yes"/>
    <n v="3539"/>
    <n v="84"/>
    <n v="84"/>
    <s v="S084"/>
    <s v="Tank, Tailor and Gole Mart"/>
    <s v="Ahmedabad"/>
    <s v="Gujarat"/>
    <n v="430107"/>
    <s v="Sarthak Sachdeva"/>
    <n v="2012"/>
    <n v="49"/>
    <n v="18892"/>
    <n v="3.8"/>
    <s v="No"/>
    <n v="2347"/>
    <x v="1"/>
    <n v="558303441"/>
    <s v="charita88@ahuja-comar.com"/>
    <n v="163932"/>
    <n v="204710.08499999999"/>
    <n v="-40778.084999999992"/>
  </r>
  <r>
    <s v="O1037"/>
    <s v="C010"/>
    <s v="P173"/>
    <x v="33"/>
    <n v="1"/>
    <n v="22197"/>
    <n v="22197"/>
    <n v="0.28000000000000003"/>
    <x v="0"/>
    <x v="1"/>
    <d v="2025-07-19T00:00:00"/>
    <s v="Yes"/>
    <n v="84"/>
    <s v="No"/>
    <s v="No"/>
    <s v="C010"/>
    <s v="Chandresh Zachariah"/>
    <s v="chanderwarjas@example.org"/>
    <n v="7736026064"/>
    <x v="8"/>
    <x v="7"/>
    <n v="468723"/>
    <x v="1"/>
    <d v="1979-09-24T00:00:00"/>
    <n v="44704"/>
    <s v="Home Appliance"/>
    <n v="8851"/>
    <s v="Single"/>
    <x v="4"/>
    <n v="1169429"/>
    <s v="P173"/>
    <s v="Nulla Laptop"/>
    <x v="1"/>
    <x v="4"/>
    <x v="29"/>
    <n v="22197"/>
    <n v="28"/>
    <n v="448"/>
    <n v="6"/>
    <x v="1"/>
    <s v="No"/>
    <n v="4.2"/>
    <d v="2023-05-27T00:00:00"/>
    <s v="Yes"/>
    <n v="8278"/>
    <n v="199"/>
    <n v="199"/>
    <s v=""/>
    <s v=""/>
    <s v=""/>
    <s v=""/>
    <s v=""/>
    <s v=""/>
    <s v=""/>
    <s v=""/>
    <s v=""/>
    <s v=""/>
    <s v=""/>
    <s v=""/>
    <x v="0"/>
    <s v=""/>
    <s v=""/>
    <n v="22197"/>
    <n v="22134.848399999999"/>
    <n v="62.151600000001054"/>
  </r>
  <r>
    <s v="O1038"/>
    <s v="C015"/>
    <s v="P188"/>
    <x v="34"/>
    <n v="2"/>
    <n v="56140"/>
    <n v="280700"/>
    <n v="7.0000000000000007E-2"/>
    <x v="1"/>
    <x v="0"/>
    <d v="2025-07-29T00:00:00"/>
    <s v="No"/>
    <n v="414"/>
    <s v="Yes"/>
    <s v="No"/>
    <s v="C015"/>
    <s v="Harshil Pandya"/>
    <s v="pdubey@example.org"/>
    <n v="916025634216"/>
    <x v="1"/>
    <x v="1"/>
    <n v="733754"/>
    <x v="1"/>
    <d v="1975-01-10T00:00:00"/>
    <n v="44720"/>
    <s v="Home Appliance"/>
    <n v="8448"/>
    <s v="Married"/>
    <x v="2"/>
    <n v="1784990"/>
    <s v="P188"/>
    <s v="Molestiae TV"/>
    <x v="2"/>
    <x v="1"/>
    <x v="30"/>
    <n v="56140"/>
    <n v="7"/>
    <n v="440"/>
    <n v="12"/>
    <x v="3"/>
    <s v="No"/>
    <n v="2.8"/>
    <d v="2023-02-19T00:00:00"/>
    <s v="No"/>
    <n v="5844"/>
    <n v="155"/>
    <n v="155"/>
    <s v=""/>
    <s v=""/>
    <s v=""/>
    <s v=""/>
    <s v=""/>
    <s v=""/>
    <s v=""/>
    <s v=""/>
    <s v=""/>
    <s v=""/>
    <s v=""/>
    <s v=""/>
    <x v="0"/>
    <s v=""/>
    <s v=""/>
    <n v="112280"/>
    <n v="280503.51"/>
    <n v="-168223.51"/>
  </r>
  <r>
    <s v="O1039"/>
    <s v="C017"/>
    <s v="P166"/>
    <x v="35"/>
    <n v="4"/>
    <n v="85937"/>
    <n v="343748"/>
    <n v="0.11"/>
    <x v="0"/>
    <x v="0"/>
    <d v="2025-07-18T00:00:00"/>
    <s v="No"/>
    <n v="344"/>
    <s v="No"/>
    <s v="Yes"/>
    <s v="C017"/>
    <s v="Lekha Gupta"/>
    <s v="chaitanya60@example.net"/>
    <n v="3561595148"/>
    <x v="0"/>
    <x v="0"/>
    <n v="656482"/>
    <x v="0"/>
    <d v="1972-08-05T00:00:00"/>
    <n v="45334"/>
    <s v="Grocery"/>
    <n v="8769"/>
    <s v="Married"/>
    <x v="0"/>
    <n v="224077"/>
    <s v="P166"/>
    <s v="Voluptate Washing Machine"/>
    <x v="3"/>
    <x v="4"/>
    <x v="31"/>
    <n v="85937"/>
    <n v="11"/>
    <n v="329"/>
    <n v="36"/>
    <x v="0"/>
    <s v="Yes"/>
    <n v="3.6"/>
    <d v="2023-12-07T00:00:00"/>
    <s v="No"/>
    <n v="2382"/>
    <n v="41"/>
    <n v="41"/>
    <s v="S041"/>
    <s v="Dixit-Pau Mart"/>
    <s v="Pune"/>
    <s v="Maharashtra"/>
    <n v="394278"/>
    <s v="Mekhala Patla"/>
    <n v="2000"/>
    <n v="10"/>
    <n v="1402"/>
    <n v="3.5"/>
    <s v="No"/>
    <n v="3481"/>
    <x v="3"/>
    <n v="392827229"/>
    <s v="vedaparmer@kanda.com"/>
    <n v="343748"/>
    <n v="343369.87719999999"/>
    <n v="378.12280000001192"/>
  </r>
  <r>
    <s v="O1040"/>
    <s v="C051"/>
    <s v="P133"/>
    <x v="29"/>
    <n v="1"/>
    <n v="12313"/>
    <n v="24626"/>
    <n v="0.14000000000000001"/>
    <x v="0"/>
    <x v="0"/>
    <d v="2025-07-17T00:00:00"/>
    <s v="Yes"/>
    <n v="216"/>
    <s v="No"/>
    <s v="Yes"/>
    <s v="C051"/>
    <s v="Nandini Boase"/>
    <s v="azaanchand@example.net"/>
    <n v="3667525459"/>
    <x v="9"/>
    <x v="8"/>
    <n v="22901"/>
    <x v="0"/>
    <d v="1978-01-21T00:00:00"/>
    <n v="45404"/>
    <s v="Home Appliance"/>
    <n v="7141"/>
    <s v="Single"/>
    <x v="2"/>
    <n v="846464"/>
    <s v="P133"/>
    <s v="Eius Laptop"/>
    <x v="2"/>
    <x v="5"/>
    <x v="32"/>
    <n v="12313"/>
    <n v="14"/>
    <n v="334"/>
    <n v="36"/>
    <x v="0"/>
    <s v="Yes"/>
    <n v="2.8"/>
    <d v="2022-07-23T00:00:00"/>
    <s v="No"/>
    <n v="9698"/>
    <n v="176"/>
    <n v="176"/>
    <s v=""/>
    <s v=""/>
    <s v=""/>
    <s v=""/>
    <s v=""/>
    <s v=""/>
    <s v=""/>
    <s v=""/>
    <s v=""/>
    <s v=""/>
    <s v=""/>
    <s v=""/>
    <x v="0"/>
    <s v=""/>
    <s v=""/>
    <n v="12313"/>
    <n v="24591.5236"/>
    <n v="-12278.5236"/>
  </r>
  <r>
    <s v="O1041"/>
    <s v="C070"/>
    <s v="P108"/>
    <x v="36"/>
    <n v="1"/>
    <n v="72850"/>
    <n v="291400"/>
    <n v="7.0000000000000007E-2"/>
    <x v="2"/>
    <x v="3"/>
    <d v="2025-07-18T00:00:00"/>
    <s v="No"/>
    <n v="92"/>
    <s v="Yes"/>
    <s v="No"/>
    <s v="C070"/>
    <s v="Jalsa Pillay"/>
    <s v="ndayal@example.org"/>
    <n v="914678669125"/>
    <x v="0"/>
    <x v="0"/>
    <n v="778528"/>
    <x v="1"/>
    <d v="2003-01-29T00:00:00"/>
    <n v="45854"/>
    <s v="Home Appliance"/>
    <n v="190"/>
    <s v="Single"/>
    <x v="1"/>
    <n v="658943"/>
    <s v="P108"/>
    <s v="Nam Shirt"/>
    <x v="1"/>
    <x v="5"/>
    <x v="33"/>
    <n v="72850"/>
    <n v="7"/>
    <n v="160"/>
    <n v="6"/>
    <x v="1"/>
    <s v="No"/>
    <n v="4.2"/>
    <d v="2024-12-27T00:00:00"/>
    <s v="No"/>
    <n v="5772"/>
    <n v="87"/>
    <n v="87"/>
    <s v="S087"/>
    <s v="Bakshi, Subramanian and Tella Mart"/>
    <s v="Lucknow"/>
    <s v="Uttar Pradesh"/>
    <n v="357845"/>
    <s v="Guneet Varty"/>
    <n v="2015"/>
    <n v="95"/>
    <n v="2015"/>
    <n v="3.9"/>
    <s v="Yes"/>
    <n v="4056"/>
    <x v="1"/>
    <n v="2307681040"/>
    <s v="nathunni@chauhan.com"/>
    <n v="72850"/>
    <n v="291196.02"/>
    <n v="-218346.02000000002"/>
  </r>
  <r>
    <s v="O1042"/>
    <s v="C048"/>
    <s v="P149"/>
    <x v="37"/>
    <n v="4"/>
    <n v="12719"/>
    <n v="50876"/>
    <n v="0.18"/>
    <x v="1"/>
    <x v="0"/>
    <d v="2025-07-25T00:00:00"/>
    <s v="Yes"/>
    <n v="334"/>
    <s v="No"/>
    <s v="Yes"/>
    <s v="C048"/>
    <s v="Sudiksha Tiwari"/>
    <s v="ychaudhary@example.net"/>
    <n v="918367365766"/>
    <x v="8"/>
    <x v="7"/>
    <n v="565452"/>
    <x v="0"/>
    <d v="2006-04-12T00:00:00"/>
    <n v="45501"/>
    <s v="Fashion"/>
    <n v="932"/>
    <s v="Single"/>
    <x v="1"/>
    <n v="1939269"/>
    <s v="P149"/>
    <s v="Doloremque TV"/>
    <x v="3"/>
    <x v="3"/>
    <x v="34"/>
    <n v="12719"/>
    <n v="18"/>
    <n v="98"/>
    <n v="24"/>
    <x v="0"/>
    <s v="Yes"/>
    <n v="4"/>
    <d v="2023-10-13T00:00:00"/>
    <s v="No"/>
    <n v="3003"/>
    <n v="4"/>
    <n v="4"/>
    <s v="S004"/>
    <s v="Rajagopal-Devan Mart"/>
    <s v="Pune"/>
    <s v="Maharashtra"/>
    <n v="383806"/>
    <s v="Varsha Sundaram"/>
    <n v="2003"/>
    <n v="78"/>
    <n v="4742"/>
    <n v="3.5"/>
    <s v="No"/>
    <n v="4940"/>
    <x v="1"/>
    <n v="9856420593"/>
    <s v="manddalbir@wagle-parmar.org"/>
    <n v="50876"/>
    <n v="50784.42319999999"/>
    <n v="91.576800000009825"/>
  </r>
  <r>
    <s v="O1043"/>
    <s v="C023"/>
    <s v="P169"/>
    <x v="38"/>
    <n v="4"/>
    <n v="79497"/>
    <n v="397485"/>
    <n v="0.09"/>
    <x v="4"/>
    <x v="1"/>
    <d v="2025-07-20T00:00:00"/>
    <s v="Yes"/>
    <n v="387"/>
    <s v="Yes"/>
    <s v="No"/>
    <s v="C023"/>
    <s v="Fiyaz Sangha"/>
    <s v="triyagopal@example.org"/>
    <n v="6537556464"/>
    <x v="2"/>
    <x v="2"/>
    <n v="708053"/>
    <x v="1"/>
    <d v="2003-10-13T00:00:00"/>
    <n v="44241"/>
    <s v="Home Appliance"/>
    <n v="2203"/>
    <s v="Married"/>
    <x v="0"/>
    <n v="546296"/>
    <s v="P169"/>
    <s v="Esse Laptop"/>
    <x v="2"/>
    <x v="1"/>
    <x v="35"/>
    <n v="79497"/>
    <n v="9"/>
    <n v="341"/>
    <n v="6"/>
    <x v="0"/>
    <s v="No"/>
    <n v="3.3"/>
    <d v="2023-09-07T00:00:00"/>
    <s v="No"/>
    <n v="3113"/>
    <n v="152"/>
    <n v="152"/>
    <s v=""/>
    <s v=""/>
    <s v=""/>
    <s v=""/>
    <s v=""/>
    <s v=""/>
    <s v=""/>
    <s v=""/>
    <s v=""/>
    <s v=""/>
    <s v=""/>
    <s v=""/>
    <x v="0"/>
    <s v=""/>
    <s v=""/>
    <n v="317988"/>
    <n v="397127.2635"/>
    <n v="-79139.263500000001"/>
  </r>
  <r>
    <s v="O1044"/>
    <s v="C060"/>
    <s v="P187"/>
    <x v="39"/>
    <n v="5"/>
    <n v="52931"/>
    <n v="211724"/>
    <n v="0.28000000000000003"/>
    <x v="0"/>
    <x v="2"/>
    <d v="2025-07-17T00:00:00"/>
    <s v="Yes"/>
    <n v="126"/>
    <s v="No"/>
    <s v="No"/>
    <s v="C060"/>
    <s v="Caleb Roy"/>
    <s v="wazir79@example.com"/>
    <n v="7383473597"/>
    <x v="1"/>
    <x v="1"/>
    <n v="468862"/>
    <x v="0"/>
    <d v="1973-02-16T00:00:00"/>
    <n v="44457"/>
    <s v="Electronics"/>
    <n v="6411"/>
    <s v="Single"/>
    <x v="3"/>
    <n v="293085"/>
    <s v="P187"/>
    <s v="Commodi Phone"/>
    <x v="3"/>
    <x v="2"/>
    <x v="36"/>
    <n v="52931"/>
    <n v="28"/>
    <n v="450"/>
    <n v="36"/>
    <x v="3"/>
    <s v="Yes"/>
    <n v="3.7"/>
    <d v="2025-01-17T00:00:00"/>
    <s v="No"/>
    <n v="7019"/>
    <n v="148"/>
    <n v="148"/>
    <s v=""/>
    <s v=""/>
    <s v=""/>
    <s v=""/>
    <s v=""/>
    <s v=""/>
    <s v=""/>
    <s v=""/>
    <s v=""/>
    <s v=""/>
    <s v=""/>
    <s v=""/>
    <x v="0"/>
    <s v=""/>
    <s v=""/>
    <n v="264655"/>
    <n v="211131.1728"/>
    <n v="53523.8272"/>
  </r>
  <r>
    <s v="O1045"/>
    <s v="C020"/>
    <s v="P136"/>
    <x v="40"/>
    <n v="2"/>
    <n v="31147"/>
    <n v="31147"/>
    <n v="0.2"/>
    <x v="2"/>
    <x v="2"/>
    <d v="2025-07-27T00:00:00"/>
    <s v="Yes"/>
    <n v="123"/>
    <s v="Yes"/>
    <s v="Yes"/>
    <s v="C020"/>
    <s v="Jairaj Shan"/>
    <s v="ucchalwali@example.net"/>
    <n v="5798687277"/>
    <x v="8"/>
    <x v="7"/>
    <n v="348734"/>
    <x v="1"/>
    <d v="1989-06-22T00:00:00"/>
    <n v="44268"/>
    <s v="Home Appliance"/>
    <n v="6226"/>
    <s v="Single"/>
    <x v="0"/>
    <n v="1832898"/>
    <s v="P136"/>
    <s v="Itaque TV"/>
    <x v="2"/>
    <x v="1"/>
    <x v="37"/>
    <n v="31147"/>
    <n v="20"/>
    <n v="25"/>
    <n v="24"/>
    <x v="0"/>
    <s v="Yes"/>
    <n v="4.0999999999999996"/>
    <d v="2023-08-28T00:00:00"/>
    <s v="No"/>
    <n v="5952"/>
    <n v="178"/>
    <n v="178"/>
    <s v=""/>
    <s v=""/>
    <s v=""/>
    <s v=""/>
    <s v=""/>
    <s v=""/>
    <s v=""/>
    <s v=""/>
    <s v=""/>
    <s v=""/>
    <s v=""/>
    <s v=""/>
    <x v="0"/>
    <s v=""/>
    <s v=""/>
    <n v="62294"/>
    <n v="31084.706000000002"/>
    <n v="31209.293999999998"/>
  </r>
  <r>
    <s v="O1046"/>
    <s v="C013"/>
    <s v="P177"/>
    <x v="41"/>
    <n v="1"/>
    <n v="29602"/>
    <n v="118408"/>
    <n v="0.19"/>
    <x v="0"/>
    <x v="0"/>
    <d v="2025-07-24T00:00:00"/>
    <s v="Yes"/>
    <n v="379"/>
    <s v="Yes"/>
    <s v="No"/>
    <s v="C013"/>
    <s v="Raksha Mittal"/>
    <s v="mistryhemang@example.org"/>
    <n v="1182449353"/>
    <x v="1"/>
    <x v="1"/>
    <n v="874016"/>
    <x v="1"/>
    <d v="1978-05-14T00:00:00"/>
    <n v="44164"/>
    <s v="Grocery"/>
    <n v="6582"/>
    <s v="Married"/>
    <x v="4"/>
    <n v="755493"/>
    <s v="P177"/>
    <s v="Inventore Washing Machine"/>
    <x v="1"/>
    <x v="3"/>
    <x v="38"/>
    <n v="29602"/>
    <n v="19"/>
    <n v="905"/>
    <n v="24"/>
    <x v="2"/>
    <s v="No"/>
    <n v="2.6"/>
    <d v="2025-07-14T00:00:00"/>
    <s v="No"/>
    <n v="4863"/>
    <n v="195"/>
    <n v="195"/>
    <s v=""/>
    <s v=""/>
    <s v=""/>
    <s v=""/>
    <s v=""/>
    <s v=""/>
    <s v=""/>
    <s v=""/>
    <s v=""/>
    <s v=""/>
    <s v=""/>
    <s v=""/>
    <x v="0"/>
    <s v=""/>
    <s v=""/>
    <n v="29602"/>
    <n v="118183.0248"/>
    <n v="-88581.024799999999"/>
  </r>
  <r>
    <s v="O1047"/>
    <s v="C057"/>
    <s v="P130"/>
    <x v="42"/>
    <n v="5"/>
    <n v="50486"/>
    <n v="100972"/>
    <n v="0.23"/>
    <x v="2"/>
    <x v="1"/>
    <d v="2025-07-27T00:00:00"/>
    <s v="No"/>
    <n v="119"/>
    <s v="No"/>
    <s v="No"/>
    <s v="C057"/>
    <s v="Vamakshi Thaker"/>
    <s v="davidseshadri@example.org"/>
    <n v="1820377889"/>
    <x v="3"/>
    <x v="3"/>
    <n v="554665"/>
    <x v="0"/>
    <d v="2005-09-27T00:00:00"/>
    <n v="44190"/>
    <s v="Fashion"/>
    <n v="4664"/>
    <s v="Single"/>
    <x v="3"/>
    <n v="936406"/>
    <s v="P130"/>
    <s v="Quod TV"/>
    <x v="0"/>
    <x v="5"/>
    <x v="39"/>
    <n v="50486"/>
    <n v="23"/>
    <n v="367"/>
    <n v="24"/>
    <x v="3"/>
    <s v="Yes"/>
    <n v="4.9000000000000004"/>
    <d v="2024-05-09T00:00:00"/>
    <s v="No"/>
    <n v="5498"/>
    <n v="62"/>
    <n v="62"/>
    <s v="S062"/>
    <s v="Lata Group Mart"/>
    <s v="Delhi"/>
    <s v="Delhi"/>
    <n v="872346"/>
    <s v="Jairaj Kothari"/>
    <n v="2014"/>
    <n v="11"/>
    <n v="6504"/>
    <n v="4.8"/>
    <s v="No"/>
    <n v="3735"/>
    <x v="3"/>
    <n v="7303718376"/>
    <s v="ekantika20@verma.info"/>
    <n v="252430"/>
    <n v="100739.7644"/>
    <n v="151690.23560000001"/>
  </r>
  <r>
    <s v="O1048"/>
    <s v="C031"/>
    <s v="P139"/>
    <x v="43"/>
    <n v="2"/>
    <n v="49066"/>
    <n v="245330"/>
    <n v="0.11"/>
    <x v="4"/>
    <x v="2"/>
    <d v="2025-07-24T00:00:00"/>
    <s v="No"/>
    <n v="140"/>
    <s v="Yes"/>
    <s v="Yes"/>
    <s v="C031"/>
    <s v="Finn Dugar"/>
    <s v="oscarborde@example.org"/>
    <n v="916797403447"/>
    <x v="5"/>
    <x v="5"/>
    <n v="349361"/>
    <x v="1"/>
    <d v="1996-08-06T00:00:00"/>
    <n v="44726"/>
    <s v="Grocery"/>
    <n v="5659"/>
    <s v="Single"/>
    <x v="4"/>
    <n v="601793"/>
    <s v="P139"/>
    <s v="Officia TV"/>
    <x v="2"/>
    <x v="1"/>
    <x v="26"/>
    <n v="49066"/>
    <n v="11"/>
    <n v="454"/>
    <n v="36"/>
    <x v="0"/>
    <s v="No"/>
    <n v="2.7"/>
    <d v="2025-05-26T00:00:00"/>
    <s v="No"/>
    <n v="9921"/>
    <n v="131"/>
    <n v="131"/>
    <s v=""/>
    <s v=""/>
    <s v=""/>
    <s v=""/>
    <s v=""/>
    <s v=""/>
    <s v=""/>
    <s v=""/>
    <s v=""/>
    <s v=""/>
    <s v=""/>
    <s v=""/>
    <x v="0"/>
    <s v=""/>
    <s v=""/>
    <n v="98132"/>
    <n v="245060.13699999999"/>
    <n v="-146928.13699999999"/>
  </r>
  <r>
    <s v="O1049"/>
    <s v="C081"/>
    <s v="P187"/>
    <x v="24"/>
    <n v="4"/>
    <n v="52931"/>
    <n v="264655"/>
    <n v="0.28000000000000003"/>
    <x v="1"/>
    <x v="0"/>
    <d v="2025-07-18T00:00:00"/>
    <s v="No"/>
    <n v="482"/>
    <s v="No"/>
    <s v="No"/>
    <s v="C081"/>
    <s v="Upkaar Kaul"/>
    <s v="chaudhryodika@example.com"/>
    <n v="7120826773"/>
    <x v="9"/>
    <x v="8"/>
    <n v="540193"/>
    <x v="0"/>
    <d v="1995-12-16T00:00:00"/>
    <n v="44143"/>
    <s v="Fashion"/>
    <n v="6724"/>
    <s v="Single"/>
    <x v="1"/>
    <n v="467654"/>
    <s v="P187"/>
    <s v="Commodi Phone"/>
    <x v="3"/>
    <x v="2"/>
    <x v="36"/>
    <n v="52931"/>
    <n v="28"/>
    <n v="450"/>
    <n v="36"/>
    <x v="3"/>
    <s v="Yes"/>
    <n v="3.7"/>
    <d v="2025-01-17T00:00:00"/>
    <s v="No"/>
    <n v="7019"/>
    <n v="148"/>
    <n v="148"/>
    <s v=""/>
    <s v=""/>
    <s v=""/>
    <s v=""/>
    <s v=""/>
    <s v=""/>
    <s v=""/>
    <s v=""/>
    <s v=""/>
    <s v=""/>
    <s v=""/>
    <s v=""/>
    <x v="0"/>
    <s v=""/>
    <s v=""/>
    <n v="211724"/>
    <n v="263913.96600000001"/>
    <n v="-52189.966000000015"/>
  </r>
  <r>
    <s v="O1050"/>
    <s v="C090"/>
    <s v="P154"/>
    <x v="44"/>
    <n v="4"/>
    <n v="74895"/>
    <n v="149790"/>
    <n v="0.24"/>
    <x v="3"/>
    <x v="2"/>
    <d v="2025-07-26T00:00:00"/>
    <s v="Yes"/>
    <n v="386"/>
    <s v="No"/>
    <s v="Yes"/>
    <s v="C090"/>
    <s v="Champak Padmanabhan"/>
    <s v="uvohra@example.net"/>
    <n v="6246287334"/>
    <x v="0"/>
    <x v="0"/>
    <n v="708668"/>
    <x v="0"/>
    <d v="1995-08-10T00:00:00"/>
    <n v="44444"/>
    <s v="Home Appliance"/>
    <n v="1345"/>
    <s v="Single"/>
    <x v="2"/>
    <n v="1662119"/>
    <s v="P154"/>
    <s v="Nisi Laptop"/>
    <x v="2"/>
    <x v="0"/>
    <x v="40"/>
    <n v="74895"/>
    <n v="24"/>
    <n v="86"/>
    <n v="6"/>
    <x v="0"/>
    <s v="Yes"/>
    <n v="4.4000000000000004"/>
    <d v="2022-09-05T00:00:00"/>
    <s v="Yes"/>
    <n v="2337"/>
    <n v="175"/>
    <n v="175"/>
    <s v=""/>
    <s v=""/>
    <s v=""/>
    <s v=""/>
    <s v=""/>
    <s v=""/>
    <s v=""/>
    <s v=""/>
    <s v=""/>
    <s v=""/>
    <s v=""/>
    <s v=""/>
    <x v="0"/>
    <s v=""/>
    <s v=""/>
    <n v="299580"/>
    <n v="149430.50400000002"/>
    <n v="150149.49599999998"/>
  </r>
  <r>
    <s v="O1051"/>
    <s v="C029"/>
    <s v="P139"/>
    <x v="13"/>
    <n v="2"/>
    <n v="49066"/>
    <n v="196264"/>
    <n v="0.11"/>
    <x v="2"/>
    <x v="2"/>
    <d v="2025-07-29T00:00:00"/>
    <s v="No"/>
    <n v="285"/>
    <s v="Yes"/>
    <s v="No"/>
    <s v="C029"/>
    <s v="Anusha Bath"/>
    <s v="masterjonathan@example.net"/>
    <n v="1094777520"/>
    <x v="2"/>
    <x v="2"/>
    <n v="711671"/>
    <x v="1"/>
    <d v="1998-10-21T00:00:00"/>
    <n v="44194"/>
    <s v="Grocery"/>
    <n v="6769"/>
    <s v="Single"/>
    <x v="2"/>
    <n v="403278"/>
    <s v="P139"/>
    <s v="Officia TV"/>
    <x v="2"/>
    <x v="1"/>
    <x v="26"/>
    <n v="49066"/>
    <n v="11"/>
    <n v="454"/>
    <n v="36"/>
    <x v="0"/>
    <s v="No"/>
    <n v="2.7"/>
    <d v="2025-05-26T00:00:00"/>
    <s v="No"/>
    <n v="9921"/>
    <n v="131"/>
    <n v="131"/>
    <s v=""/>
    <s v=""/>
    <s v=""/>
    <s v=""/>
    <s v=""/>
    <s v=""/>
    <s v=""/>
    <s v=""/>
    <s v=""/>
    <s v=""/>
    <s v=""/>
    <s v=""/>
    <x v="0"/>
    <s v=""/>
    <s v=""/>
    <n v="98132"/>
    <n v="196048.1096"/>
    <n v="-97916.109599999996"/>
  </r>
  <r>
    <s v="O1052"/>
    <s v="C032"/>
    <s v="P133"/>
    <x v="33"/>
    <n v="2"/>
    <n v="12313"/>
    <n v="36939"/>
    <n v="0.14000000000000001"/>
    <x v="2"/>
    <x v="2"/>
    <d v="2025-07-18T00:00:00"/>
    <s v="No"/>
    <n v="47"/>
    <s v="Yes"/>
    <s v="Yes"/>
    <s v="C032"/>
    <s v="Amaira Dhar"/>
    <s v="bhasinnoah@example.com"/>
    <n v="9471746488"/>
    <x v="3"/>
    <x v="3"/>
    <n v="719065"/>
    <x v="0"/>
    <d v="2000-08-15T00:00:00"/>
    <n v="44805"/>
    <s v="Home Appliance"/>
    <n v="7012"/>
    <s v="Single"/>
    <x v="3"/>
    <n v="1170201"/>
    <s v="P133"/>
    <s v="Eius Laptop"/>
    <x v="2"/>
    <x v="5"/>
    <x v="32"/>
    <n v="12313"/>
    <n v="14"/>
    <n v="334"/>
    <n v="36"/>
    <x v="0"/>
    <s v="Yes"/>
    <n v="2.8"/>
    <d v="2022-07-23T00:00:00"/>
    <s v="No"/>
    <n v="9698"/>
    <n v="176"/>
    <n v="176"/>
    <s v=""/>
    <s v=""/>
    <s v=""/>
    <s v=""/>
    <s v=""/>
    <s v=""/>
    <s v=""/>
    <s v=""/>
    <s v=""/>
    <s v=""/>
    <s v=""/>
    <s v=""/>
    <x v="0"/>
    <s v=""/>
    <s v=""/>
    <n v="24626"/>
    <n v="36887.285400000001"/>
    <n v="-12261.285400000001"/>
  </r>
  <r>
    <s v="O1053"/>
    <s v="C035"/>
    <s v="P149"/>
    <x v="39"/>
    <n v="5"/>
    <n v="12719"/>
    <n v="63595"/>
    <n v="0.18"/>
    <x v="2"/>
    <x v="0"/>
    <d v="2025-07-22T00:00:00"/>
    <s v="Yes"/>
    <n v="411"/>
    <s v="Yes"/>
    <s v="No"/>
    <s v="C035"/>
    <s v="Raksha Sundaram"/>
    <s v="balakrishnanwriddhish@example.net"/>
    <n v="914808613171"/>
    <x v="2"/>
    <x v="2"/>
    <n v="748467"/>
    <x v="1"/>
    <d v="1991-09-04T00:00:00"/>
    <n v="44785"/>
    <s v="Grocery"/>
    <n v="1060"/>
    <s v="Single"/>
    <x v="1"/>
    <n v="204520"/>
    <s v="P149"/>
    <s v="Doloremque TV"/>
    <x v="3"/>
    <x v="3"/>
    <x v="34"/>
    <n v="12719"/>
    <n v="18"/>
    <n v="98"/>
    <n v="24"/>
    <x v="0"/>
    <s v="Yes"/>
    <n v="4"/>
    <d v="2023-10-13T00:00:00"/>
    <s v="No"/>
    <n v="3003"/>
    <n v="4"/>
    <n v="4"/>
    <s v="S004"/>
    <s v="Rajagopal-Devan Mart"/>
    <s v="Pune"/>
    <s v="Maharashtra"/>
    <n v="383806"/>
    <s v="Varsha Sundaram"/>
    <n v="2003"/>
    <n v="78"/>
    <n v="4742"/>
    <n v="3.5"/>
    <s v="No"/>
    <n v="4940"/>
    <x v="1"/>
    <n v="9856420593"/>
    <s v="manddalbir@wagle-parmar.org"/>
    <n v="63595"/>
    <n v="63480.528999999995"/>
    <n v="114.47100000000501"/>
  </r>
  <r>
    <s v="O1054"/>
    <s v="C027"/>
    <s v="P143"/>
    <x v="45"/>
    <n v="3"/>
    <n v="35282"/>
    <n v="35282"/>
    <n v="0.06"/>
    <x v="4"/>
    <x v="1"/>
    <d v="2025-07-29T00:00:00"/>
    <s v="Yes"/>
    <n v="382"/>
    <s v="No"/>
    <s v="Yes"/>
    <s v="C027"/>
    <s v="Harini Mammen"/>
    <s v="advaith83@example.org"/>
    <n v="916783777014"/>
    <x v="9"/>
    <x v="8"/>
    <n v="634957"/>
    <x v="1"/>
    <d v="1997-03-15T00:00:00"/>
    <n v="45677"/>
    <s v="Electronics"/>
    <n v="614"/>
    <s v="Married"/>
    <x v="2"/>
    <n v="1278263"/>
    <s v="P143"/>
    <s v="Molestiae TV"/>
    <x v="2"/>
    <x v="5"/>
    <x v="41"/>
    <n v="35282"/>
    <n v="6"/>
    <n v="129"/>
    <n v="36"/>
    <x v="2"/>
    <s v="Yes"/>
    <n v="3.7"/>
    <d v="2025-03-30T00:00:00"/>
    <s v="No"/>
    <n v="9409"/>
    <n v="81"/>
    <n v="81"/>
    <s v="S081"/>
    <s v="Behl, Saini and Morar Mart"/>
    <s v="Kolkata"/>
    <s v="West Bengal"/>
    <n v="742123"/>
    <s v="Zehaan Arora"/>
    <n v="2002"/>
    <n v="35"/>
    <n v="12364"/>
    <n v="5"/>
    <s v="Yes"/>
    <n v="1226"/>
    <x v="2"/>
    <n v="7780973397"/>
    <s v="crout@ahuja.net"/>
    <n v="105846"/>
    <n v="35260.830800000003"/>
    <n v="70585.169200000004"/>
  </r>
  <r>
    <s v="O1055"/>
    <s v="C090"/>
    <s v="P178"/>
    <x v="46"/>
    <n v="2"/>
    <n v="29930"/>
    <n v="119720"/>
    <n v="0.05"/>
    <x v="4"/>
    <x v="3"/>
    <d v="2025-07-26T00:00:00"/>
    <s v="No"/>
    <n v="194"/>
    <s v="No"/>
    <s v="No"/>
    <s v="C090"/>
    <s v="Champak Padmanabhan"/>
    <s v="uvohra@example.net"/>
    <n v="6246287334"/>
    <x v="0"/>
    <x v="0"/>
    <n v="708668"/>
    <x v="0"/>
    <d v="1995-08-10T00:00:00"/>
    <n v="44444"/>
    <s v="Home Appliance"/>
    <n v="1345"/>
    <s v="Single"/>
    <x v="2"/>
    <n v="1662119"/>
    <s v="P178"/>
    <s v="Consequatur TV"/>
    <x v="0"/>
    <x v="0"/>
    <x v="42"/>
    <n v="29930"/>
    <n v="5"/>
    <n v="326"/>
    <n v="6"/>
    <x v="3"/>
    <s v="Yes"/>
    <n v="2.8"/>
    <d v="2022-11-15T00:00:00"/>
    <s v="No"/>
    <n v="8741"/>
    <n v="128"/>
    <n v="128"/>
    <s v=""/>
    <s v=""/>
    <s v=""/>
    <s v=""/>
    <s v=""/>
    <s v=""/>
    <s v=""/>
    <s v=""/>
    <s v=""/>
    <s v=""/>
    <s v=""/>
    <s v=""/>
    <x v="0"/>
    <s v=""/>
    <s v=""/>
    <n v="59860"/>
    <n v="119660.14"/>
    <n v="-59800.14"/>
  </r>
  <r>
    <s v="O1056"/>
    <s v="C040"/>
    <s v="P134"/>
    <x v="47"/>
    <n v="3"/>
    <n v="63656"/>
    <n v="318280"/>
    <n v="0.3"/>
    <x v="1"/>
    <x v="2"/>
    <d v="2025-07-28T00:00:00"/>
    <s v="Yes"/>
    <n v="411"/>
    <s v="No"/>
    <s v="No"/>
    <s v="C040"/>
    <s v="Aadhya Andra"/>
    <s v="rmani@example.net"/>
    <n v="911759464743"/>
    <x v="4"/>
    <x v="4"/>
    <n v="713695"/>
    <x v="1"/>
    <d v="1998-08-28T00:00:00"/>
    <n v="44947"/>
    <s v="Home Appliance"/>
    <n v="6715"/>
    <s v="Single"/>
    <x v="0"/>
    <n v="716351"/>
    <s v="P134"/>
    <s v="Voluptatibus Shirt"/>
    <x v="2"/>
    <x v="0"/>
    <x v="9"/>
    <n v="63656"/>
    <n v="30"/>
    <n v="302"/>
    <n v="24"/>
    <x v="2"/>
    <s v="No"/>
    <n v="4.9000000000000004"/>
    <d v="2025-07-14T00:00:00"/>
    <s v="Yes"/>
    <n v="4697"/>
    <n v="195"/>
    <n v="195"/>
    <s v=""/>
    <s v=""/>
    <s v=""/>
    <s v=""/>
    <s v=""/>
    <s v=""/>
    <s v=""/>
    <s v=""/>
    <s v=""/>
    <s v=""/>
    <s v=""/>
    <s v=""/>
    <x v="0"/>
    <s v=""/>
    <s v=""/>
    <n v="190968"/>
    <n v="317325.15999999997"/>
    <n v="-126357.15999999997"/>
  </r>
  <r>
    <s v="O1057"/>
    <s v="C027"/>
    <s v="P148"/>
    <x v="48"/>
    <n v="3"/>
    <n v="96131"/>
    <n v="384524"/>
    <n v="0.08"/>
    <x v="2"/>
    <x v="1"/>
    <d v="2025-07-23T00:00:00"/>
    <s v="Yes"/>
    <n v="8"/>
    <s v="No"/>
    <s v="No"/>
    <s v="C027"/>
    <s v="Harini Mammen"/>
    <s v="advaith83@example.org"/>
    <n v="916783777014"/>
    <x v="9"/>
    <x v="8"/>
    <n v="634957"/>
    <x v="1"/>
    <d v="1997-03-15T00:00:00"/>
    <n v="45677"/>
    <s v="Electronics"/>
    <n v="614"/>
    <s v="Married"/>
    <x v="2"/>
    <n v="1278263"/>
    <s v="P148"/>
    <s v="Vitae Washing Machine"/>
    <x v="0"/>
    <x v="2"/>
    <x v="43"/>
    <n v="96131"/>
    <n v="8"/>
    <n v="320"/>
    <n v="36"/>
    <x v="3"/>
    <s v="No"/>
    <n v="3.4"/>
    <d v="2024-08-14T00:00:00"/>
    <s v="Yes"/>
    <n v="8771"/>
    <n v="62"/>
    <n v="62"/>
    <s v="S062"/>
    <s v="Lata Group Mart"/>
    <s v="Delhi"/>
    <s v="Delhi"/>
    <n v="872346"/>
    <s v="Jairaj Kothari"/>
    <n v="2014"/>
    <n v="11"/>
    <n v="6504"/>
    <n v="4.8"/>
    <s v="No"/>
    <n v="3735"/>
    <x v="3"/>
    <n v="7303718376"/>
    <s v="ekantika20@verma.info"/>
    <n v="288393"/>
    <n v="384216.38079999998"/>
    <n v="-95823.380799999984"/>
  </r>
  <r>
    <s v="O1058"/>
    <s v="C038"/>
    <s v="P120"/>
    <x v="31"/>
    <n v="2"/>
    <n v="77431"/>
    <n v="232293"/>
    <n v="0.23"/>
    <x v="4"/>
    <x v="2"/>
    <d v="2025-07-24T00:00:00"/>
    <s v="Yes"/>
    <n v="255"/>
    <s v="No"/>
    <s v="No"/>
    <s v="C038"/>
    <s v="Falan Singh"/>
    <s v="hamsini96@example.net"/>
    <n v="915865780913"/>
    <x v="7"/>
    <x v="5"/>
    <n v="316117"/>
    <x v="1"/>
    <d v="1970-11-11T00:00:00"/>
    <n v="44958"/>
    <s v="Fashion"/>
    <n v="1036"/>
    <s v="Single"/>
    <x v="0"/>
    <n v="1199897"/>
    <s v="P120"/>
    <s v="Accusamus Laptop"/>
    <x v="2"/>
    <x v="0"/>
    <x v="44"/>
    <n v="77431"/>
    <n v="23"/>
    <n v="675"/>
    <n v="36"/>
    <x v="0"/>
    <s v="No"/>
    <n v="3.8"/>
    <d v="2024-09-17T00:00:00"/>
    <s v="No"/>
    <n v="6447"/>
    <n v="34"/>
    <n v="34"/>
    <s v="S034"/>
    <s v="Naidu PLC Mart"/>
    <s v="Jaipur"/>
    <s v="Rajasthan"/>
    <n v="947985"/>
    <s v="Eesha Vora"/>
    <n v="2018"/>
    <n v="86"/>
    <n v="3166"/>
    <n v="3.6"/>
    <s v="No"/>
    <n v="2454"/>
    <x v="1"/>
    <n v="912818268861"/>
    <s v="timothy35@patel-memon.com"/>
    <n v="154862"/>
    <n v="231758.7261"/>
    <n v="-76896.7261"/>
  </r>
  <r>
    <s v="O1059"/>
    <s v="C098"/>
    <s v="P163"/>
    <x v="49"/>
    <n v="4"/>
    <n v="23718"/>
    <n v="94872"/>
    <n v="0.28999999999999998"/>
    <x v="4"/>
    <x v="3"/>
    <d v="2025-07-19T00:00:00"/>
    <s v="Yes"/>
    <n v="71"/>
    <s v="No"/>
    <s v="Yes"/>
    <s v="C098"/>
    <s v="Leena Dey"/>
    <s v="tellahiral@example.org"/>
    <n v="916315999650"/>
    <x v="8"/>
    <x v="7"/>
    <n v="773586"/>
    <x v="1"/>
    <d v="1988-12-04T00:00:00"/>
    <n v="44605"/>
    <s v="Home Appliance"/>
    <n v="1502"/>
    <s v="Single"/>
    <x v="1"/>
    <n v="1224622"/>
    <s v="P163"/>
    <s v="Iste Laptop"/>
    <x v="1"/>
    <x v="3"/>
    <x v="45"/>
    <n v="23718"/>
    <n v="29"/>
    <n v="643"/>
    <n v="36"/>
    <x v="1"/>
    <s v="No"/>
    <n v="4.2"/>
    <d v="2023-02-22T00:00:00"/>
    <s v="No"/>
    <n v="6180"/>
    <n v="90"/>
    <n v="90"/>
    <s v="S090"/>
    <s v="Shroff-Singhal Mart"/>
    <s v="Kolkata"/>
    <s v="West Bengal"/>
    <n v="329456"/>
    <s v="Ganga Nair"/>
    <n v="2000"/>
    <n v="59"/>
    <n v="3871"/>
    <n v="3.6"/>
    <s v="No"/>
    <n v="2135"/>
    <x v="1"/>
    <n v="7017157724"/>
    <s v="joshua81@chhabra-nanda.net"/>
    <n v="94872"/>
    <n v="94596.871199999994"/>
    <n v="275.12880000000587"/>
  </r>
  <r>
    <s v="O1060"/>
    <s v="C070"/>
    <s v="P183"/>
    <x v="40"/>
    <n v="1"/>
    <n v="98452"/>
    <n v="492260"/>
    <n v="0.05"/>
    <x v="2"/>
    <x v="0"/>
    <d v="2025-07-28T00:00:00"/>
    <s v="Yes"/>
    <n v="391"/>
    <s v="Yes"/>
    <s v="No"/>
    <s v="C070"/>
    <s v="Jalsa Pillay"/>
    <s v="ndayal@example.org"/>
    <n v="914678669125"/>
    <x v="0"/>
    <x v="0"/>
    <n v="778528"/>
    <x v="1"/>
    <d v="2003-01-29T00:00:00"/>
    <n v="45854"/>
    <s v="Home Appliance"/>
    <n v="190"/>
    <s v="Single"/>
    <x v="1"/>
    <n v="658943"/>
    <s v="P183"/>
    <s v="In Phone"/>
    <x v="0"/>
    <x v="0"/>
    <x v="46"/>
    <n v="98452"/>
    <n v="5"/>
    <n v="365"/>
    <n v="6"/>
    <x v="3"/>
    <s v="Yes"/>
    <n v="4.3"/>
    <d v="2025-04-08T00:00:00"/>
    <s v="Yes"/>
    <n v="6448"/>
    <n v="62"/>
    <n v="62"/>
    <s v="S062"/>
    <s v="Lata Group Mart"/>
    <s v="Delhi"/>
    <s v="Delhi"/>
    <n v="872346"/>
    <s v="Jairaj Kothari"/>
    <n v="2014"/>
    <n v="11"/>
    <n v="6504"/>
    <n v="4.8"/>
    <s v="No"/>
    <n v="3735"/>
    <x v="3"/>
    <n v="7303718376"/>
    <s v="ekantika20@verma.info"/>
    <n v="98452"/>
    <n v="492013.87"/>
    <n v="-393561.87"/>
  </r>
  <r>
    <s v="O1061"/>
    <s v="C018"/>
    <s v="P181"/>
    <x v="50"/>
    <n v="2"/>
    <n v="70761"/>
    <n v="70761"/>
    <n v="0.05"/>
    <x v="4"/>
    <x v="0"/>
    <d v="2025-07-25T00:00:00"/>
    <s v="Yes"/>
    <n v="258"/>
    <s v="No"/>
    <s v="No"/>
    <s v="C018"/>
    <s v="Owen Mitra"/>
    <s v="tacharya@example.com"/>
    <n v="916995777387"/>
    <x v="5"/>
    <x v="5"/>
    <n v="148951"/>
    <x v="0"/>
    <d v="1975-07-10T00:00:00"/>
    <n v="44992"/>
    <s v="Fashion"/>
    <n v="1927"/>
    <s v="Married"/>
    <x v="1"/>
    <n v="531680"/>
    <s v="P181"/>
    <s v="Delectus Washing Machine"/>
    <x v="3"/>
    <x v="4"/>
    <x v="47"/>
    <n v="70761"/>
    <n v="5"/>
    <n v="647"/>
    <n v="12"/>
    <x v="0"/>
    <s v="No"/>
    <n v="3.6"/>
    <d v="2024-03-03T00:00:00"/>
    <s v="No"/>
    <n v="4942"/>
    <n v="88"/>
    <n v="88"/>
    <s v="S088"/>
    <s v="Muni Ltd Mart"/>
    <s v="Delhi"/>
    <s v="Delhi"/>
    <n v="533448"/>
    <s v="Ridhi Dalal"/>
    <n v="2003"/>
    <n v="47"/>
    <n v="7735"/>
    <n v="4.9000000000000004"/>
    <s v="No"/>
    <n v="4924"/>
    <x v="3"/>
    <n v="2241098813"/>
    <s v="eiravati42@mander.com"/>
    <n v="141522"/>
    <n v="70725.619500000001"/>
    <n v="70796.380499999999"/>
  </r>
  <r>
    <s v="O1062"/>
    <s v="C008"/>
    <s v="P180"/>
    <x v="51"/>
    <n v="5"/>
    <n v="31647"/>
    <n v="126588"/>
    <n v="0.14000000000000001"/>
    <x v="1"/>
    <x v="0"/>
    <d v="2025-07-24T00:00:00"/>
    <s v="Yes"/>
    <n v="272"/>
    <s v="No"/>
    <s v="Yes"/>
    <s v="C008"/>
    <s v="Hamsini Bail"/>
    <s v="thomasamble@example.org"/>
    <n v="310518347"/>
    <x v="3"/>
    <x v="3"/>
    <n v="829973"/>
    <x v="0"/>
    <d v="1991-09-22T00:00:00"/>
    <n v="45292"/>
    <s v="Electronics"/>
    <n v="3914"/>
    <s v="Single"/>
    <x v="1"/>
    <n v="782952"/>
    <s v="P180"/>
    <s v="Accusamus TV"/>
    <x v="0"/>
    <x v="0"/>
    <x v="0"/>
    <n v="31647"/>
    <n v="14"/>
    <n v="124"/>
    <n v="6"/>
    <x v="0"/>
    <s v="No"/>
    <n v="4.0999999999999996"/>
    <d v="2025-06-29T00:00:00"/>
    <s v="No"/>
    <n v="2030"/>
    <n v="161"/>
    <n v="161"/>
    <s v=""/>
    <s v=""/>
    <s v=""/>
    <s v=""/>
    <s v=""/>
    <s v=""/>
    <s v=""/>
    <s v=""/>
    <s v=""/>
    <s v=""/>
    <s v=""/>
    <s v=""/>
    <x v="0"/>
    <s v=""/>
    <s v=""/>
    <n v="158235"/>
    <n v="126410.77679999999"/>
    <n v="31824.223200000008"/>
  </r>
  <r>
    <s v="O1063"/>
    <s v="C003"/>
    <s v="P168"/>
    <x v="52"/>
    <n v="3"/>
    <n v="7363"/>
    <n v="36815"/>
    <n v="0.3"/>
    <x v="3"/>
    <x v="0"/>
    <d v="2025-07-24T00:00:00"/>
    <s v="No"/>
    <n v="412"/>
    <s v="Yes"/>
    <s v="Yes"/>
    <s v="C003"/>
    <s v="Chakradev Kari"/>
    <s v="fariq31@example.com"/>
    <n v="7525534192"/>
    <x v="3"/>
    <x v="3"/>
    <n v="276483"/>
    <x v="1"/>
    <d v="2006-02-16T00:00:00"/>
    <n v="45035"/>
    <s v="Home Appliance"/>
    <n v="9028"/>
    <s v="Married"/>
    <x v="4"/>
    <n v="1142059"/>
    <s v="P168"/>
    <s v="Tempora Laptop"/>
    <x v="2"/>
    <x v="4"/>
    <x v="48"/>
    <n v="7363"/>
    <n v="30"/>
    <n v="646"/>
    <n v="24"/>
    <x v="2"/>
    <s v="No"/>
    <n v="2.7"/>
    <d v="2024-03-25T00:00:00"/>
    <s v="No"/>
    <n v="5656"/>
    <n v="55"/>
    <n v="55"/>
    <s v="S055"/>
    <s v="Raj-Hayre Mart"/>
    <s v="Kolkata"/>
    <s v="West Bengal"/>
    <n v="270267"/>
    <s v="Zansi Walla"/>
    <n v="2013"/>
    <n v="20"/>
    <n v="18561"/>
    <n v="3.7"/>
    <s v="Yes"/>
    <n v="4202"/>
    <x v="3"/>
    <n v="5744890612"/>
    <s v="kaleaachal@char-sengupta.com"/>
    <n v="22089"/>
    <n v="36704.555"/>
    <n v="-14615.555"/>
  </r>
  <r>
    <s v="O1064"/>
    <s v="C013"/>
    <s v="P168"/>
    <x v="53"/>
    <n v="2"/>
    <n v="7363"/>
    <n v="14726"/>
    <n v="0.3"/>
    <x v="4"/>
    <x v="3"/>
    <d v="2025-07-22T00:00:00"/>
    <s v="No"/>
    <n v="136"/>
    <s v="No"/>
    <s v="Yes"/>
    <s v="C013"/>
    <s v="Raksha Mittal"/>
    <s v="mistryhemang@example.org"/>
    <n v="1182449353"/>
    <x v="1"/>
    <x v="1"/>
    <n v="874016"/>
    <x v="1"/>
    <d v="1978-05-14T00:00:00"/>
    <n v="44164"/>
    <s v="Grocery"/>
    <n v="6582"/>
    <s v="Married"/>
    <x v="4"/>
    <n v="755493"/>
    <s v="P168"/>
    <s v="Tempora Laptop"/>
    <x v="2"/>
    <x v="4"/>
    <x v="48"/>
    <n v="7363"/>
    <n v="30"/>
    <n v="646"/>
    <n v="24"/>
    <x v="2"/>
    <s v="No"/>
    <n v="2.7"/>
    <d v="2024-03-25T00:00:00"/>
    <s v="No"/>
    <n v="5656"/>
    <n v="55"/>
    <n v="55"/>
    <s v="S055"/>
    <s v="Raj-Hayre Mart"/>
    <s v="Kolkata"/>
    <s v="West Bengal"/>
    <n v="270267"/>
    <s v="Zansi Walla"/>
    <n v="2013"/>
    <n v="20"/>
    <n v="18561"/>
    <n v="3.7"/>
    <s v="Yes"/>
    <n v="4202"/>
    <x v="3"/>
    <n v="5744890612"/>
    <s v="kaleaachal@char-sengupta.com"/>
    <n v="14726"/>
    <n v="14681.822"/>
    <n v="44.177999999999884"/>
  </r>
  <r>
    <s v="O1065"/>
    <s v="C048"/>
    <s v="P152"/>
    <x v="54"/>
    <n v="4"/>
    <n v="92604"/>
    <n v="463020"/>
    <n v="0.28999999999999998"/>
    <x v="4"/>
    <x v="1"/>
    <d v="2025-07-25T00:00:00"/>
    <s v="No"/>
    <n v="350"/>
    <s v="Yes"/>
    <s v="Yes"/>
    <s v="C048"/>
    <s v="Sudiksha Tiwari"/>
    <s v="ychaudhary@example.net"/>
    <n v="918367365766"/>
    <x v="8"/>
    <x v="7"/>
    <n v="565452"/>
    <x v="0"/>
    <d v="2006-04-12T00:00:00"/>
    <n v="45501"/>
    <s v="Fashion"/>
    <n v="932"/>
    <s v="Single"/>
    <x v="1"/>
    <n v="1939269"/>
    <s v="P152"/>
    <s v="Rem Shirt"/>
    <x v="3"/>
    <x v="0"/>
    <x v="49"/>
    <n v="92604"/>
    <n v="29"/>
    <n v="316"/>
    <n v="24"/>
    <x v="3"/>
    <s v="Yes"/>
    <n v="3"/>
    <d v="2024-02-06T00:00:00"/>
    <s v="Yes"/>
    <n v="7567"/>
    <n v="123"/>
    <n v="123"/>
    <s v=""/>
    <s v=""/>
    <s v=""/>
    <s v=""/>
    <s v=""/>
    <s v=""/>
    <s v=""/>
    <s v=""/>
    <s v=""/>
    <s v=""/>
    <s v=""/>
    <s v=""/>
    <x v="0"/>
    <s v=""/>
    <s v=""/>
    <n v="370416"/>
    <n v="461677.24199999997"/>
    <n v="-91261.241999999969"/>
  </r>
  <r>
    <s v="O1066"/>
    <s v="C012"/>
    <s v="P152"/>
    <x v="55"/>
    <n v="4"/>
    <n v="92604"/>
    <n v="370416"/>
    <n v="0.28999999999999998"/>
    <x v="0"/>
    <x v="2"/>
    <d v="2025-07-28T00:00:00"/>
    <s v="Yes"/>
    <n v="326"/>
    <s v="Yes"/>
    <s v="Yes"/>
    <s v="C012"/>
    <s v="Advika Jayaraman"/>
    <s v="william46@example.org"/>
    <n v="4751079911"/>
    <x v="9"/>
    <x v="8"/>
    <n v="842513"/>
    <x v="0"/>
    <d v="1984-09-07T00:00:00"/>
    <n v="44913"/>
    <s v="Grocery"/>
    <n v="4486"/>
    <s v="Single"/>
    <x v="4"/>
    <n v="1389462"/>
    <s v="P152"/>
    <s v="Rem Shirt"/>
    <x v="3"/>
    <x v="0"/>
    <x v="49"/>
    <n v="92604"/>
    <n v="29"/>
    <n v="316"/>
    <n v="24"/>
    <x v="3"/>
    <s v="Yes"/>
    <n v="3"/>
    <d v="2024-02-06T00:00:00"/>
    <s v="Yes"/>
    <n v="7567"/>
    <n v="123"/>
    <n v="123"/>
    <s v=""/>
    <s v=""/>
    <s v=""/>
    <s v=""/>
    <s v=""/>
    <s v=""/>
    <s v=""/>
    <s v=""/>
    <s v=""/>
    <s v=""/>
    <s v=""/>
    <s v=""/>
    <x v="0"/>
    <s v=""/>
    <s v=""/>
    <n v="370416"/>
    <n v="369341.79359999998"/>
    <n v="1074.2064000000246"/>
  </r>
  <r>
    <s v="O1067"/>
    <s v="C011"/>
    <s v="P164"/>
    <x v="31"/>
    <n v="4"/>
    <n v="61962"/>
    <n v="185886"/>
    <n v="0.19"/>
    <x v="0"/>
    <x v="0"/>
    <d v="2025-07-21T00:00:00"/>
    <s v="Yes"/>
    <n v="117"/>
    <s v="Yes"/>
    <s v="No"/>
    <s v="C011"/>
    <s v="Darsh Murthy"/>
    <s v="bedivansha@example.net"/>
    <n v="2081219136"/>
    <x v="0"/>
    <x v="0"/>
    <n v="939909"/>
    <x v="0"/>
    <d v="1965-02-12T00:00:00"/>
    <n v="45330"/>
    <s v="Home Appliance"/>
    <n v="5413"/>
    <s v="Single"/>
    <x v="4"/>
    <n v="1923444"/>
    <s v="P164"/>
    <s v="Repellat Washing Machine"/>
    <x v="1"/>
    <x v="3"/>
    <x v="7"/>
    <n v="61962"/>
    <n v="19"/>
    <n v="646"/>
    <n v="24"/>
    <x v="3"/>
    <s v="Yes"/>
    <n v="3.4"/>
    <d v="2024-06-18T00:00:00"/>
    <s v="Yes"/>
    <n v="6086"/>
    <n v="26"/>
    <n v="26"/>
    <s v="S026"/>
    <s v="Sarma, Golla and Raghavan Mart"/>
    <s v="Hyderabad"/>
    <s v="Telangana"/>
    <n v="902771"/>
    <s v="Ridhi Batra"/>
    <n v="2008"/>
    <n v="87"/>
    <n v="3760"/>
    <n v="3.5"/>
    <s v="No"/>
    <n v="719"/>
    <x v="2"/>
    <n v="914508993588"/>
    <s v="santyuvraj@pal-rajan.com"/>
    <n v="247848"/>
    <n v="185532.81659999999"/>
    <n v="62315.183400000009"/>
  </r>
  <r>
    <s v="O1068"/>
    <s v="C035"/>
    <s v="P106"/>
    <x v="21"/>
    <n v="1"/>
    <n v="40324"/>
    <n v="120972"/>
    <n v="7.0000000000000007E-2"/>
    <x v="0"/>
    <x v="0"/>
    <d v="2025-07-30T00:00:00"/>
    <s v="Yes"/>
    <n v="475"/>
    <s v="No"/>
    <s v="Yes"/>
    <s v="C035"/>
    <s v="Raksha Sundaram"/>
    <s v="balakrishnanwriddhish@example.net"/>
    <n v="914808613171"/>
    <x v="2"/>
    <x v="2"/>
    <n v="748467"/>
    <x v="1"/>
    <d v="1991-09-04T00:00:00"/>
    <n v="44785"/>
    <s v="Grocery"/>
    <n v="1060"/>
    <s v="Single"/>
    <x v="1"/>
    <n v="204520"/>
    <s v="P106"/>
    <s v="Non Shirt"/>
    <x v="1"/>
    <x v="4"/>
    <x v="50"/>
    <n v="40324"/>
    <n v="7"/>
    <n v="254"/>
    <n v="6"/>
    <x v="1"/>
    <s v="Yes"/>
    <n v="4.4000000000000004"/>
    <d v="2025-02-08T00:00:00"/>
    <s v="No"/>
    <n v="8382"/>
    <n v="104"/>
    <n v="104"/>
    <s v=""/>
    <s v=""/>
    <s v=""/>
    <s v=""/>
    <s v=""/>
    <s v=""/>
    <s v=""/>
    <s v=""/>
    <s v=""/>
    <s v=""/>
    <s v=""/>
    <s v=""/>
    <x v="0"/>
    <s v=""/>
    <s v=""/>
    <n v="40324"/>
    <n v="120887.3196"/>
    <n v="-80563.319600000003"/>
  </r>
  <r>
    <s v="O1069"/>
    <s v="C027"/>
    <s v="P176"/>
    <x v="56"/>
    <n v="2"/>
    <n v="93744"/>
    <n v="374976"/>
    <n v="0.21"/>
    <x v="2"/>
    <x v="3"/>
    <d v="2025-07-22T00:00:00"/>
    <s v="Yes"/>
    <n v="288"/>
    <s v="Yes"/>
    <s v="No"/>
    <s v="C027"/>
    <s v="Harini Mammen"/>
    <s v="advaith83@example.org"/>
    <n v="916783777014"/>
    <x v="9"/>
    <x v="8"/>
    <n v="634957"/>
    <x v="1"/>
    <d v="1997-03-15T00:00:00"/>
    <n v="45677"/>
    <s v="Electronics"/>
    <n v="614"/>
    <s v="Married"/>
    <x v="2"/>
    <n v="1278263"/>
    <s v="P176"/>
    <s v="Vel Rice"/>
    <x v="2"/>
    <x v="3"/>
    <x v="51"/>
    <n v="93744"/>
    <n v="21"/>
    <n v="871"/>
    <n v="6"/>
    <x v="3"/>
    <s v="Yes"/>
    <n v="4.4000000000000004"/>
    <d v="2025-03-14T00:00:00"/>
    <s v="No"/>
    <n v="8362"/>
    <n v="47"/>
    <n v="47"/>
    <s v="S047"/>
    <s v="Rege, Kurian and Gulati Mart"/>
    <s v="Lucknow"/>
    <s v="Uttar Pradesh"/>
    <n v="98180"/>
    <s v="Samesh Mutti"/>
    <n v="2015"/>
    <n v="30"/>
    <n v="18909"/>
    <n v="4.5"/>
    <s v="Yes"/>
    <n v="1733"/>
    <x v="1"/>
    <n v="5126944869"/>
    <s v="anya63@subramanian-gola.com"/>
    <n v="187488"/>
    <n v="374188.55040000001"/>
    <n v="-186700.55040000001"/>
  </r>
  <r>
    <s v="O1070"/>
    <s v="C087"/>
    <s v="P170"/>
    <x v="57"/>
    <n v="3"/>
    <n v="49872"/>
    <n v="199488"/>
    <n v="0.25"/>
    <x v="4"/>
    <x v="0"/>
    <d v="2025-07-17T00:00:00"/>
    <s v="No"/>
    <n v="27"/>
    <s v="Yes"/>
    <s v="No"/>
    <s v="C087"/>
    <s v="Urmi Balay"/>
    <s v="nilima22@example.net"/>
    <n v="6567661825"/>
    <x v="9"/>
    <x v="8"/>
    <n v="286823"/>
    <x v="1"/>
    <d v="1959-10-11T00:00:00"/>
    <n v="44098"/>
    <s v="Home Appliance"/>
    <n v="2168"/>
    <s v="Married"/>
    <x v="2"/>
    <n v="1382729"/>
    <s v="P170"/>
    <s v="Iste Phone"/>
    <x v="3"/>
    <x v="4"/>
    <x v="52"/>
    <n v="49872"/>
    <n v="25"/>
    <n v="810"/>
    <n v="24"/>
    <x v="0"/>
    <s v="Yes"/>
    <n v="4.0999999999999996"/>
    <d v="2024-12-12T00:00:00"/>
    <s v="No"/>
    <n v="9332"/>
    <n v="17"/>
    <n v="17"/>
    <s v="S017"/>
    <s v="Sharaf-Krishnan Mart"/>
    <s v="Delhi"/>
    <s v="Delhi"/>
    <n v="748969"/>
    <s v="Abhimanyu Vaidya"/>
    <n v="2013"/>
    <n v="30"/>
    <n v="5322"/>
    <n v="4.8"/>
    <s v="No"/>
    <n v="1802"/>
    <x v="3"/>
    <n v="5899441715"/>
    <s v="ekta44@misra.net"/>
    <n v="149616"/>
    <n v="198989.28"/>
    <n v="-49373.279999999999"/>
  </r>
  <r>
    <s v="O1071"/>
    <s v="C030"/>
    <s v="P110"/>
    <x v="58"/>
    <n v="3"/>
    <n v="85386"/>
    <n v="426930"/>
    <n v="0.09"/>
    <x v="0"/>
    <x v="2"/>
    <d v="2025-07-26T00:00:00"/>
    <s v="No"/>
    <n v="15"/>
    <s v="No"/>
    <s v="No"/>
    <s v="C030"/>
    <s v="Manthan Modi"/>
    <s v="kotharijagat@example.net"/>
    <n v="9993867749"/>
    <x v="0"/>
    <x v="0"/>
    <n v="499091"/>
    <x v="0"/>
    <d v="1973-09-05T00:00:00"/>
    <n v="44683"/>
    <s v="Grocery"/>
    <n v="6835"/>
    <s v="Married"/>
    <x v="2"/>
    <n v="1612147"/>
    <s v="P110"/>
    <s v="Maiores Rice"/>
    <x v="3"/>
    <x v="5"/>
    <x v="53"/>
    <n v="85386"/>
    <n v="9"/>
    <n v="930"/>
    <n v="24"/>
    <x v="0"/>
    <s v="Yes"/>
    <n v="2.6"/>
    <d v="2024-11-10T00:00:00"/>
    <s v="No"/>
    <n v="5729"/>
    <n v="92"/>
    <n v="92"/>
    <s v="S092"/>
    <s v="Morar Group Mart"/>
    <s v="Jaipur"/>
    <s v="Rajasthan"/>
    <n v="919657"/>
    <s v="Gautam Kalla"/>
    <n v="2015"/>
    <n v="67"/>
    <n v="9683"/>
    <n v="3.2"/>
    <s v="No"/>
    <n v="2014"/>
    <x v="3"/>
    <n v="919022784699"/>
    <s v="nhayre@nadig.biz"/>
    <n v="256158"/>
    <n v="426545.76299999998"/>
    <n v="-170387.76299999998"/>
  </r>
  <r>
    <s v="O1072"/>
    <s v="C063"/>
    <s v="P130"/>
    <x v="59"/>
    <n v="3"/>
    <n v="50486"/>
    <n v="252430"/>
    <n v="0.23"/>
    <x v="1"/>
    <x v="2"/>
    <d v="2025-07-22T00:00:00"/>
    <s v="Yes"/>
    <n v="348"/>
    <s v="No"/>
    <s v="Yes"/>
    <s v="C063"/>
    <s v="Jairaj Batta"/>
    <s v="onishankar@example.org"/>
    <n v="917980893246"/>
    <x v="0"/>
    <x v="0"/>
    <n v="953962"/>
    <x v="0"/>
    <d v="2004-10-01T00:00:00"/>
    <n v="44293"/>
    <s v="Home Appliance"/>
    <n v="3243"/>
    <s v="Married"/>
    <x v="1"/>
    <n v="1620438"/>
    <s v="P130"/>
    <s v="Quod TV"/>
    <x v="0"/>
    <x v="5"/>
    <x v="39"/>
    <n v="50486"/>
    <n v="23"/>
    <n v="367"/>
    <n v="24"/>
    <x v="3"/>
    <s v="Yes"/>
    <n v="4.9000000000000004"/>
    <d v="2024-05-09T00:00:00"/>
    <s v="No"/>
    <n v="5498"/>
    <n v="62"/>
    <n v="62"/>
    <s v="S062"/>
    <s v="Lata Group Mart"/>
    <s v="Delhi"/>
    <s v="Delhi"/>
    <n v="872346"/>
    <s v="Jairaj Kothari"/>
    <n v="2014"/>
    <n v="11"/>
    <n v="6504"/>
    <n v="4.8"/>
    <s v="No"/>
    <n v="3735"/>
    <x v="3"/>
    <n v="7303718376"/>
    <s v="ekantika20@verma.info"/>
    <n v="151458"/>
    <n v="251849.41099999996"/>
    <n v="-100391.41099999996"/>
  </r>
  <r>
    <s v="O1073"/>
    <s v="C099"/>
    <s v="P180"/>
    <x v="60"/>
    <n v="3"/>
    <n v="31647"/>
    <n v="63294"/>
    <n v="0.14000000000000001"/>
    <x v="2"/>
    <x v="0"/>
    <d v="2025-07-25T00:00:00"/>
    <s v="No"/>
    <n v="78"/>
    <s v="No"/>
    <s v="Yes"/>
    <s v="C099"/>
    <s v="Frederick Merchant"/>
    <s v="ethanbutala@example.com"/>
    <n v="916265511047"/>
    <x v="7"/>
    <x v="5"/>
    <n v="412126"/>
    <x v="1"/>
    <d v="1990-01-31T00:00:00"/>
    <n v="45758"/>
    <s v="Grocery"/>
    <n v="8141"/>
    <s v="Married"/>
    <x v="2"/>
    <n v="395147"/>
    <s v="P180"/>
    <s v="Accusamus TV"/>
    <x v="0"/>
    <x v="0"/>
    <x v="0"/>
    <n v="31647"/>
    <n v="14"/>
    <n v="124"/>
    <n v="6"/>
    <x v="0"/>
    <s v="No"/>
    <n v="4.0999999999999996"/>
    <d v="2025-06-29T00:00:00"/>
    <s v="No"/>
    <n v="2030"/>
    <n v="161"/>
    <n v="161"/>
    <s v=""/>
    <s v=""/>
    <s v=""/>
    <s v=""/>
    <s v=""/>
    <s v=""/>
    <s v=""/>
    <s v=""/>
    <s v=""/>
    <s v=""/>
    <s v=""/>
    <s v=""/>
    <x v="0"/>
    <s v=""/>
    <s v=""/>
    <n v="94941"/>
    <n v="63205.388399999996"/>
    <n v="31735.611600000004"/>
  </r>
  <r>
    <s v="O1074"/>
    <s v="C095"/>
    <s v="P150"/>
    <x v="4"/>
    <n v="3"/>
    <n v="98841"/>
    <n v="296523"/>
    <n v="0.18"/>
    <x v="2"/>
    <x v="0"/>
    <d v="2025-07-17T00:00:00"/>
    <s v="Yes"/>
    <n v="482"/>
    <s v="No"/>
    <s v="No"/>
    <s v="C095"/>
    <s v="Kashvi Bhasin"/>
    <s v="bsura@example.org"/>
    <n v="8600848408"/>
    <x v="3"/>
    <x v="3"/>
    <n v="211823"/>
    <x v="1"/>
    <d v="1972-08-07T00:00:00"/>
    <n v="45663"/>
    <s v="Fashion"/>
    <n v="7485"/>
    <s v="Single"/>
    <x v="1"/>
    <n v="1395061"/>
    <s v="P150"/>
    <s v="Aliquid Phone"/>
    <x v="0"/>
    <x v="1"/>
    <x v="54"/>
    <n v="98841"/>
    <n v="18"/>
    <n v="888"/>
    <n v="6"/>
    <x v="3"/>
    <s v="No"/>
    <n v="3.4"/>
    <d v="2023-10-08T00:00:00"/>
    <s v="Yes"/>
    <n v="3536"/>
    <n v="10"/>
    <n v="10"/>
    <s v="S010"/>
    <s v="Zachariah, Lanka and Manda Mart"/>
    <s v="Delhi"/>
    <s v="Delhi"/>
    <n v="310698"/>
    <s v="Mitesh Bhagat"/>
    <n v="2008"/>
    <n v="88"/>
    <n v="5157"/>
    <n v="4.4000000000000004"/>
    <s v="Yes"/>
    <n v="2545"/>
    <x v="1"/>
    <n v="614973103"/>
    <s v="bishakhabumb@dalia-morar.biz"/>
    <n v="296523"/>
    <n v="295989.2586"/>
    <n v="533.74139999999898"/>
  </r>
  <r>
    <s v="O1075"/>
    <s v="C047"/>
    <s v="P198"/>
    <x v="23"/>
    <n v="3"/>
    <n v="59479"/>
    <n v="59479"/>
    <n v="0.19"/>
    <x v="4"/>
    <x v="0"/>
    <d v="2025-07-17T00:00:00"/>
    <s v="Yes"/>
    <n v="220"/>
    <s v="No"/>
    <s v="No"/>
    <s v="C047"/>
    <s v="Caleb Verma"/>
    <s v="tara00@example.com"/>
    <n v="6177115921"/>
    <x v="5"/>
    <x v="5"/>
    <n v="499856"/>
    <x v="1"/>
    <d v="2000-03-11T00:00:00"/>
    <n v="45676"/>
    <s v="Fashion"/>
    <n v="4716"/>
    <s v="Single"/>
    <x v="3"/>
    <n v="626974"/>
    <s v="P198"/>
    <s v="Illo Laptop"/>
    <x v="2"/>
    <x v="3"/>
    <x v="55"/>
    <n v="59479"/>
    <n v="19"/>
    <n v="696"/>
    <n v="24"/>
    <x v="0"/>
    <s v="Yes"/>
    <n v="4.4000000000000004"/>
    <d v="2025-07-11T00:00:00"/>
    <s v="Yes"/>
    <n v="8089"/>
    <n v="104"/>
    <n v="104"/>
    <s v=""/>
    <s v=""/>
    <s v=""/>
    <s v=""/>
    <s v=""/>
    <s v=""/>
    <s v=""/>
    <s v=""/>
    <s v=""/>
    <s v=""/>
    <s v=""/>
    <s v=""/>
    <x v="0"/>
    <s v=""/>
    <s v=""/>
    <n v="178437"/>
    <n v="59365.9899"/>
    <n v="119071.0101"/>
  </r>
  <r>
    <s v="O1076"/>
    <s v="C014"/>
    <s v="P104"/>
    <x v="61"/>
    <n v="1"/>
    <n v="38790"/>
    <n v="116370"/>
    <n v="0.27"/>
    <x v="0"/>
    <x v="0"/>
    <d v="2025-07-26T00:00:00"/>
    <s v="No"/>
    <n v="442"/>
    <s v="No"/>
    <s v="Yes"/>
    <s v="C014"/>
    <s v="Gauri De"/>
    <s v="neel78@example.net"/>
    <n v="8011280598"/>
    <x v="6"/>
    <x v="6"/>
    <n v="620450"/>
    <x v="1"/>
    <d v="1983-11-21T00:00:00"/>
    <n v="44680"/>
    <s v="Fashion"/>
    <n v="9677"/>
    <s v="Married"/>
    <x v="0"/>
    <n v="1037603"/>
    <s v="P104"/>
    <s v="Deleniti TV"/>
    <x v="3"/>
    <x v="4"/>
    <x v="56"/>
    <n v="38790"/>
    <n v="27"/>
    <n v="966"/>
    <n v="12"/>
    <x v="1"/>
    <s v="Yes"/>
    <n v="4.7"/>
    <d v="2023-12-15T00:00:00"/>
    <s v="No"/>
    <n v="8691"/>
    <n v="47"/>
    <n v="47"/>
    <s v="S047"/>
    <s v="Rege, Kurian and Gulati Mart"/>
    <s v="Lucknow"/>
    <s v="Uttar Pradesh"/>
    <n v="98180"/>
    <s v="Samesh Mutti"/>
    <n v="2015"/>
    <n v="30"/>
    <n v="18909"/>
    <n v="4.5"/>
    <s v="Yes"/>
    <n v="1733"/>
    <x v="1"/>
    <n v="5126944869"/>
    <s v="anya63@subramanian-gola.com"/>
    <n v="38790"/>
    <n v="116055.80099999999"/>
    <n v="-77265.800999999992"/>
  </r>
  <r>
    <s v="O1077"/>
    <s v="C038"/>
    <s v="P153"/>
    <x v="62"/>
    <n v="4"/>
    <n v="83491"/>
    <n v="83491"/>
    <n v="0.05"/>
    <x v="0"/>
    <x v="1"/>
    <d v="2025-07-24T00:00:00"/>
    <s v="Yes"/>
    <n v="350"/>
    <s v="No"/>
    <s v="Yes"/>
    <s v="C038"/>
    <s v="Falan Singh"/>
    <s v="hamsini96@example.net"/>
    <n v="915865780913"/>
    <x v="7"/>
    <x v="5"/>
    <n v="316117"/>
    <x v="1"/>
    <d v="1970-11-11T00:00:00"/>
    <n v="44958"/>
    <s v="Fashion"/>
    <n v="1036"/>
    <s v="Single"/>
    <x v="0"/>
    <n v="1199897"/>
    <s v="P153"/>
    <s v="Quis Shirt"/>
    <x v="3"/>
    <x v="1"/>
    <x v="15"/>
    <n v="83491"/>
    <n v="5"/>
    <n v="93"/>
    <n v="12"/>
    <x v="1"/>
    <s v="No"/>
    <n v="3.6"/>
    <d v="2023-06-21T00:00:00"/>
    <s v="Yes"/>
    <n v="7063"/>
    <n v="79"/>
    <n v="79"/>
    <s v="S079"/>
    <s v="Yogi, Randhawa and Baral Mart"/>
    <s v="Chennai"/>
    <s v="Tamil Nadu"/>
    <n v="803476"/>
    <s v="Bhavika Shenoy"/>
    <n v="2004"/>
    <n v="27"/>
    <n v="1058"/>
    <n v="4.9000000000000004"/>
    <s v="No"/>
    <n v="765"/>
    <x v="1"/>
    <n v="916490827718"/>
    <s v="golekrishna@sachdev-naik.info"/>
    <n v="333964"/>
    <n v="83449.254499999995"/>
    <n v="250514.74550000002"/>
  </r>
  <r>
    <s v="O1078"/>
    <s v="C018"/>
    <s v="P135"/>
    <x v="63"/>
    <n v="3"/>
    <n v="12336"/>
    <n v="37008"/>
    <n v="0.3"/>
    <x v="1"/>
    <x v="1"/>
    <d v="2025-07-21T00:00:00"/>
    <s v="Yes"/>
    <n v="85"/>
    <s v="No"/>
    <s v="No"/>
    <s v="C018"/>
    <s v="Owen Mitra"/>
    <s v="tacharya@example.com"/>
    <n v="916995777387"/>
    <x v="5"/>
    <x v="5"/>
    <n v="148951"/>
    <x v="0"/>
    <d v="1975-07-10T00:00:00"/>
    <n v="44992"/>
    <s v="Fashion"/>
    <n v="1927"/>
    <s v="Married"/>
    <x v="1"/>
    <n v="531680"/>
    <s v="P135"/>
    <s v="At Rice"/>
    <x v="0"/>
    <x v="0"/>
    <x v="57"/>
    <n v="12336"/>
    <n v="30"/>
    <n v="404"/>
    <n v="6"/>
    <x v="3"/>
    <s v="Yes"/>
    <n v="3.6"/>
    <d v="2024-02-05T00:00:00"/>
    <s v="No"/>
    <n v="7243"/>
    <n v="12"/>
    <n v="12"/>
    <s v="S012"/>
    <s v="Soman, Keer and Soni Mart"/>
    <s v="Ahmedabad"/>
    <s v="Gujarat"/>
    <n v="160898"/>
    <s v="Jai Sen"/>
    <n v="2002"/>
    <n v="86"/>
    <n v="4050"/>
    <n v="3.8"/>
    <s v="No"/>
    <n v="3523"/>
    <x v="3"/>
    <n v="912332061632"/>
    <s v="ekaja11@ranganathan-nanda.com"/>
    <n v="37008"/>
    <n v="36896.976000000002"/>
    <n v="111.02399999999761"/>
  </r>
  <r>
    <s v="O1079"/>
    <s v="C054"/>
    <s v="P139"/>
    <x v="64"/>
    <n v="4"/>
    <n v="49066"/>
    <n v="49066"/>
    <n v="0.11"/>
    <x v="3"/>
    <x v="3"/>
    <d v="2025-07-22T00:00:00"/>
    <s v="Yes"/>
    <n v="369"/>
    <s v="No"/>
    <s v="Yes"/>
    <s v="C054"/>
    <s v="Ishwar Ravel"/>
    <s v="naironveer@example.net"/>
    <n v="5161369681"/>
    <x v="9"/>
    <x v="8"/>
    <n v="453521"/>
    <x v="1"/>
    <d v="1994-04-12T00:00:00"/>
    <n v="44382"/>
    <s v="Fashion"/>
    <n v="6845"/>
    <s v="Single"/>
    <x v="3"/>
    <n v="533862"/>
    <s v="P139"/>
    <s v="Officia TV"/>
    <x v="2"/>
    <x v="1"/>
    <x v="26"/>
    <n v="49066"/>
    <n v="11"/>
    <n v="454"/>
    <n v="36"/>
    <x v="0"/>
    <s v="No"/>
    <n v="2.7"/>
    <d v="2025-05-26T00:00:00"/>
    <s v="No"/>
    <n v="9921"/>
    <n v="131"/>
    <n v="131"/>
    <s v=""/>
    <s v=""/>
    <s v=""/>
    <s v=""/>
    <s v=""/>
    <s v=""/>
    <s v=""/>
    <s v=""/>
    <s v=""/>
    <s v=""/>
    <s v=""/>
    <s v=""/>
    <x v="0"/>
    <s v=""/>
    <s v=""/>
    <n v="196264"/>
    <n v="49012.027399999999"/>
    <n v="147251.97260000001"/>
  </r>
  <r>
    <s v="O1080"/>
    <s v="C059"/>
    <s v="P114"/>
    <x v="65"/>
    <n v="2"/>
    <n v="54455"/>
    <n v="163365"/>
    <n v="0.27"/>
    <x v="2"/>
    <x v="2"/>
    <d v="2025-07-28T00:00:00"/>
    <s v="No"/>
    <n v="430"/>
    <s v="No"/>
    <s v="No"/>
    <s v="C059"/>
    <s v="Andrew Patil"/>
    <s v="pranit35@example.com"/>
    <n v="913221418880"/>
    <x v="4"/>
    <x v="4"/>
    <n v="929622"/>
    <x v="0"/>
    <d v="1971-11-05T00:00:00"/>
    <n v="44542"/>
    <s v="Electronics"/>
    <n v="1876"/>
    <s v="Married"/>
    <x v="3"/>
    <n v="1727869"/>
    <s v="P114"/>
    <s v="Dolor Shirt"/>
    <x v="3"/>
    <x v="0"/>
    <x v="20"/>
    <n v="54455"/>
    <n v="27"/>
    <n v="507"/>
    <n v="24"/>
    <x v="1"/>
    <s v="Yes"/>
    <n v="3.6"/>
    <d v="2024-06-13T00:00:00"/>
    <s v="No"/>
    <n v="5136"/>
    <n v="50"/>
    <n v="50"/>
    <s v="S050"/>
    <s v="Iyer-Vasa Mart"/>
    <s v="Delhi"/>
    <s v="Delhi"/>
    <n v="118489"/>
    <s v="Idika Malhotra"/>
    <n v="2004"/>
    <n v="96"/>
    <n v="10169"/>
    <n v="3.2"/>
    <s v="Yes"/>
    <n v="4757"/>
    <x v="3"/>
    <n v="919376904268"/>
    <s v="borayahvi@oak-dada.net"/>
    <n v="108910"/>
    <n v="162923.91450000001"/>
    <n v="-54013.914500000014"/>
  </r>
  <r>
    <s v="O1081"/>
    <s v="C057"/>
    <s v="P143"/>
    <x v="66"/>
    <n v="4"/>
    <n v="35282"/>
    <n v="176410"/>
    <n v="0.06"/>
    <x v="4"/>
    <x v="3"/>
    <d v="2025-07-20T00:00:00"/>
    <s v="No"/>
    <n v="308"/>
    <s v="Yes"/>
    <s v="No"/>
    <s v="C057"/>
    <s v="Vamakshi Thaker"/>
    <s v="davidseshadri@example.org"/>
    <n v="1820377889"/>
    <x v="3"/>
    <x v="3"/>
    <n v="554665"/>
    <x v="0"/>
    <d v="2005-09-27T00:00:00"/>
    <n v="44190"/>
    <s v="Fashion"/>
    <n v="4664"/>
    <s v="Single"/>
    <x v="3"/>
    <n v="936406"/>
    <s v="P143"/>
    <s v="Molestiae TV"/>
    <x v="2"/>
    <x v="5"/>
    <x v="41"/>
    <n v="35282"/>
    <n v="6"/>
    <n v="129"/>
    <n v="36"/>
    <x v="2"/>
    <s v="Yes"/>
    <n v="3.7"/>
    <d v="2025-03-30T00:00:00"/>
    <s v="No"/>
    <n v="9409"/>
    <n v="81"/>
    <n v="81"/>
    <s v="S081"/>
    <s v="Behl, Saini and Morar Mart"/>
    <s v="Kolkata"/>
    <s v="West Bengal"/>
    <n v="742123"/>
    <s v="Zehaan Arora"/>
    <n v="2002"/>
    <n v="35"/>
    <n v="12364"/>
    <n v="5"/>
    <s v="Yes"/>
    <n v="1226"/>
    <x v="2"/>
    <n v="7780973397"/>
    <s v="crout@ahuja.net"/>
    <n v="141128"/>
    <n v="176304.15399999998"/>
    <n v="-35176.15399999998"/>
  </r>
  <r>
    <s v="O1082"/>
    <s v="C041"/>
    <s v="P123"/>
    <x v="26"/>
    <n v="4"/>
    <n v="19394"/>
    <n v="58182"/>
    <n v="0.18"/>
    <x v="3"/>
    <x v="2"/>
    <d v="2025-07-23T00:00:00"/>
    <s v="Yes"/>
    <n v="166"/>
    <s v="No"/>
    <s v="No"/>
    <s v="C041"/>
    <s v="Anthony Randhawa"/>
    <s v="abhiram90@example.net"/>
    <n v="7439533942"/>
    <x v="4"/>
    <x v="4"/>
    <n v="47095"/>
    <x v="1"/>
    <d v="1968-06-25T00:00:00"/>
    <n v="44308"/>
    <s v="Electronics"/>
    <n v="6968"/>
    <s v="Married"/>
    <x v="3"/>
    <n v="628362"/>
    <s v="P123"/>
    <s v="Perspiciatis TV"/>
    <x v="0"/>
    <x v="1"/>
    <x v="58"/>
    <n v="19394"/>
    <n v="18"/>
    <n v="891"/>
    <n v="12"/>
    <x v="2"/>
    <s v="No"/>
    <n v="4.5"/>
    <d v="2022-11-27T00:00:00"/>
    <s v="No"/>
    <n v="6547"/>
    <n v="61"/>
    <n v="61"/>
    <s v="S061"/>
    <s v="Swamy-Guha Mart"/>
    <s v="Mumbai"/>
    <s v="Maharashtra"/>
    <n v="20802"/>
    <s v="Baghyawati Luthra"/>
    <n v="2006"/>
    <n v="87"/>
    <n v="15530"/>
    <n v="4.5999999999999996"/>
    <s v="Yes"/>
    <n v="3216"/>
    <x v="1"/>
    <n v="917031207356"/>
    <s v="wishi57@balay.com"/>
    <n v="77576"/>
    <n v="58077.272399999994"/>
    <n v="19498.727600000006"/>
  </r>
  <r>
    <s v="O1083"/>
    <s v="C051"/>
    <s v="P147"/>
    <x v="67"/>
    <n v="1"/>
    <n v="72764"/>
    <n v="363820"/>
    <n v="0.28000000000000003"/>
    <x v="4"/>
    <x v="1"/>
    <d v="2025-07-18T00:00:00"/>
    <s v="Yes"/>
    <n v="487"/>
    <s v="No"/>
    <s v="Yes"/>
    <s v="C051"/>
    <s v="Nandini Boase"/>
    <s v="azaanchand@example.net"/>
    <n v="3667525459"/>
    <x v="9"/>
    <x v="8"/>
    <n v="22901"/>
    <x v="0"/>
    <d v="1978-01-21T00:00:00"/>
    <n v="45404"/>
    <s v="Home Appliance"/>
    <n v="7141"/>
    <s v="Single"/>
    <x v="2"/>
    <n v="846464"/>
    <s v="P147"/>
    <s v="Earum Laptop"/>
    <x v="3"/>
    <x v="1"/>
    <x v="59"/>
    <n v="72764"/>
    <n v="28"/>
    <n v="886"/>
    <n v="12"/>
    <x v="1"/>
    <s v="No"/>
    <n v="4.7"/>
    <d v="2024-04-12T00:00:00"/>
    <s v="No"/>
    <n v="6554"/>
    <n v="30"/>
    <n v="30"/>
    <s v="S030"/>
    <s v="Desai, Tara and Agrawal Mart"/>
    <s v="Bangalore"/>
    <s v="Karnataka"/>
    <n v="869782"/>
    <s v="Kabir Chawla"/>
    <n v="2015"/>
    <n v="14"/>
    <n v="1546"/>
    <n v="4.2"/>
    <s v="Yes"/>
    <n v="2647"/>
    <x v="1"/>
    <n v="9958669346"/>
    <s v="chaitaly72@sachar.net"/>
    <n v="72764"/>
    <n v="362801.304"/>
    <n v="-290037.304"/>
  </r>
  <r>
    <s v="O1084"/>
    <s v="C057"/>
    <s v="P138"/>
    <x v="68"/>
    <n v="1"/>
    <n v="97904"/>
    <n v="391616"/>
    <n v="0.27"/>
    <x v="1"/>
    <x v="1"/>
    <d v="2025-07-22T00:00:00"/>
    <s v="No"/>
    <n v="123"/>
    <s v="No"/>
    <s v="Yes"/>
    <s v="C057"/>
    <s v="Vamakshi Thaker"/>
    <s v="davidseshadri@example.org"/>
    <n v="1820377889"/>
    <x v="3"/>
    <x v="3"/>
    <n v="554665"/>
    <x v="0"/>
    <d v="2005-09-27T00:00:00"/>
    <n v="44190"/>
    <s v="Fashion"/>
    <n v="4664"/>
    <s v="Single"/>
    <x v="3"/>
    <n v="936406"/>
    <s v="P138"/>
    <s v="Molestias Phone"/>
    <x v="0"/>
    <x v="1"/>
    <x v="60"/>
    <n v="97904"/>
    <n v="27"/>
    <n v="968"/>
    <n v="36"/>
    <x v="0"/>
    <s v="No"/>
    <n v="4.0999999999999996"/>
    <d v="2024-01-14T00:00:00"/>
    <s v="No"/>
    <n v="7687"/>
    <n v="74"/>
    <n v="74"/>
    <s v="S074"/>
    <s v="Madan Inc Mart"/>
    <s v="Pune"/>
    <s v="Maharashtra"/>
    <n v="16451"/>
    <s v="Brinda Raju"/>
    <n v="2015"/>
    <n v="5"/>
    <n v="11870"/>
    <n v="4.8"/>
    <s v="Yes"/>
    <n v="1568"/>
    <x v="3"/>
    <n v="916815798123"/>
    <s v="cbains@wagle.com"/>
    <n v="97904"/>
    <n v="390558.63679999998"/>
    <n v="-292654.63679999998"/>
  </r>
  <r>
    <s v="O1085"/>
    <s v="C092"/>
    <s v="P155"/>
    <x v="69"/>
    <n v="4"/>
    <n v="56076"/>
    <n v="56076"/>
    <n v="0.2"/>
    <x v="1"/>
    <x v="2"/>
    <d v="2025-07-29T00:00:00"/>
    <s v="No"/>
    <n v="273"/>
    <s v="No"/>
    <s v="Yes"/>
    <s v="C092"/>
    <s v="Ranveer Dalal"/>
    <s v="skibe@example.net"/>
    <n v="3638546785"/>
    <x v="7"/>
    <x v="5"/>
    <n v="458771"/>
    <x v="0"/>
    <d v="1991-06-28T00:00:00"/>
    <n v="45022"/>
    <s v="Electronics"/>
    <n v="6982"/>
    <s v="Married"/>
    <x v="2"/>
    <n v="1109164"/>
    <s v="P155"/>
    <s v="Odio Washing Machine"/>
    <x v="2"/>
    <x v="1"/>
    <x v="61"/>
    <n v="56076"/>
    <n v="20"/>
    <n v="621"/>
    <n v="36"/>
    <x v="1"/>
    <s v="No"/>
    <n v="3"/>
    <d v="2024-05-29T00:00:00"/>
    <s v="Yes"/>
    <n v="6656"/>
    <n v="94"/>
    <n v="94"/>
    <s v="S094"/>
    <s v="Sahni-Dube Mart"/>
    <s v="Hyderabad"/>
    <s v="Telangana"/>
    <n v="220102"/>
    <s v="Rajeshri Deshpande"/>
    <n v="2008"/>
    <n v="77"/>
    <n v="3019"/>
    <n v="3.3"/>
    <s v="Yes"/>
    <n v="1202"/>
    <x v="2"/>
    <n v="912679692786"/>
    <s v="wrajagopalan@grewal.org"/>
    <n v="224304"/>
    <n v="55963.847999999998"/>
    <n v="168340.152"/>
  </r>
  <r>
    <s v="O1086"/>
    <s v="C047"/>
    <s v="P190"/>
    <x v="70"/>
    <n v="5"/>
    <n v="10335"/>
    <n v="51675"/>
    <n v="0.26"/>
    <x v="2"/>
    <x v="0"/>
    <d v="2025-07-26T00:00:00"/>
    <s v="Yes"/>
    <n v="336"/>
    <s v="No"/>
    <s v="Yes"/>
    <s v="C047"/>
    <s v="Caleb Verma"/>
    <s v="tara00@example.com"/>
    <n v="6177115921"/>
    <x v="5"/>
    <x v="5"/>
    <n v="499856"/>
    <x v="1"/>
    <d v="2000-03-11T00:00:00"/>
    <n v="45676"/>
    <s v="Fashion"/>
    <n v="4716"/>
    <s v="Single"/>
    <x v="3"/>
    <n v="626974"/>
    <s v="P190"/>
    <s v="Sapiente Laptop"/>
    <x v="2"/>
    <x v="3"/>
    <x v="62"/>
    <n v="10335"/>
    <n v="26"/>
    <n v="652"/>
    <n v="36"/>
    <x v="3"/>
    <s v="Yes"/>
    <n v="4.9000000000000004"/>
    <d v="2023-06-01T00:00:00"/>
    <s v="Yes"/>
    <n v="8180"/>
    <n v="8"/>
    <n v="8"/>
    <s v="S008"/>
    <s v="Palan LLC Mart"/>
    <s v="Delhi"/>
    <s v="Delhi"/>
    <n v="157043"/>
    <s v="Ekansh Palla"/>
    <n v="2018"/>
    <n v="49"/>
    <n v="18441"/>
    <n v="3.6"/>
    <s v="Yes"/>
    <n v="3151"/>
    <x v="2"/>
    <n v="1006762676"/>
    <s v="keya17@kar.com"/>
    <n v="51675"/>
    <n v="51540.644999999997"/>
    <n v="134.3550000000032"/>
  </r>
  <r>
    <s v="O1087"/>
    <s v="C083"/>
    <s v="P179"/>
    <x v="71"/>
    <n v="1"/>
    <n v="59299"/>
    <n v="296495"/>
    <n v="0.24"/>
    <x v="1"/>
    <x v="3"/>
    <d v="2025-07-19T00:00:00"/>
    <s v="No"/>
    <n v="54"/>
    <s v="Yes"/>
    <s v="Yes"/>
    <s v="C083"/>
    <s v="Aarini Grewal"/>
    <s v="nazarethchakrika@example.net"/>
    <n v="3296685161"/>
    <x v="0"/>
    <x v="0"/>
    <n v="275304"/>
    <x v="1"/>
    <d v="1985-08-22T00:00:00"/>
    <n v="44759"/>
    <s v="Grocery"/>
    <n v="3077"/>
    <s v="Single"/>
    <x v="3"/>
    <n v="995038"/>
    <s v="P179"/>
    <s v="Delectus Laptop"/>
    <x v="1"/>
    <x v="2"/>
    <x v="24"/>
    <n v="59299"/>
    <n v="24"/>
    <n v="5"/>
    <n v="6"/>
    <x v="2"/>
    <s v="No"/>
    <n v="3"/>
    <d v="2022-07-31T00:00:00"/>
    <s v="Yes"/>
    <n v="9992"/>
    <n v="88"/>
    <n v="88"/>
    <s v="S088"/>
    <s v="Muni Ltd Mart"/>
    <s v="Delhi"/>
    <s v="Delhi"/>
    <n v="533448"/>
    <s v="Ridhi Dalal"/>
    <n v="2003"/>
    <n v="47"/>
    <n v="7735"/>
    <n v="4.9000000000000004"/>
    <s v="No"/>
    <n v="4924"/>
    <x v="3"/>
    <n v="2241098813"/>
    <s v="eiravati42@mander.com"/>
    <n v="59299"/>
    <n v="295783.41200000001"/>
    <n v="-236484.41200000001"/>
  </r>
  <r>
    <s v="O1088"/>
    <s v="C034"/>
    <s v="P129"/>
    <x v="72"/>
    <n v="5"/>
    <n v="39710"/>
    <n v="198550"/>
    <n v="0.25"/>
    <x v="0"/>
    <x v="1"/>
    <d v="2025-07-19T00:00:00"/>
    <s v="No"/>
    <n v="191"/>
    <s v="No"/>
    <s v="No"/>
    <s v="C034"/>
    <s v="Nandini Bansal"/>
    <s v="uchakrabarti@example.com"/>
    <n v="1680876038"/>
    <x v="7"/>
    <x v="5"/>
    <n v="977034"/>
    <x v="1"/>
    <d v="1996-11-29T00:00:00"/>
    <n v="44435"/>
    <s v="Electronics"/>
    <n v="3972"/>
    <s v="Single"/>
    <x v="1"/>
    <n v="1218463"/>
    <s v="P129"/>
    <s v="Corrupti Phone"/>
    <x v="0"/>
    <x v="4"/>
    <x v="63"/>
    <n v="39710"/>
    <n v="25"/>
    <n v="985"/>
    <n v="36"/>
    <x v="3"/>
    <s v="No"/>
    <n v="4.5999999999999996"/>
    <d v="2023-04-14T00:00:00"/>
    <s v="Yes"/>
    <n v="7303"/>
    <n v="157"/>
    <n v="157"/>
    <s v=""/>
    <s v=""/>
    <s v=""/>
    <s v=""/>
    <s v=""/>
    <s v=""/>
    <s v=""/>
    <s v=""/>
    <s v=""/>
    <s v=""/>
    <s v=""/>
    <s v=""/>
    <x v="0"/>
    <s v=""/>
    <s v=""/>
    <n v="198550"/>
    <n v="198053.625"/>
    <n v="496.375"/>
  </r>
  <r>
    <s v="O1089"/>
    <s v="C099"/>
    <s v="P187"/>
    <x v="73"/>
    <n v="5"/>
    <n v="52931"/>
    <n v="264655"/>
    <n v="0.28000000000000003"/>
    <x v="4"/>
    <x v="3"/>
    <d v="2025-07-20T00:00:00"/>
    <s v="Yes"/>
    <n v="247"/>
    <s v="Yes"/>
    <s v="No"/>
    <s v="C099"/>
    <s v="Frederick Merchant"/>
    <s v="ethanbutala@example.com"/>
    <n v="916265511047"/>
    <x v="7"/>
    <x v="5"/>
    <n v="412126"/>
    <x v="1"/>
    <d v="1990-01-31T00:00:00"/>
    <n v="45758"/>
    <s v="Grocery"/>
    <n v="8141"/>
    <s v="Married"/>
    <x v="2"/>
    <n v="395147"/>
    <s v="P187"/>
    <s v="Commodi Phone"/>
    <x v="3"/>
    <x v="2"/>
    <x v="36"/>
    <n v="52931"/>
    <n v="28"/>
    <n v="450"/>
    <n v="36"/>
    <x v="3"/>
    <s v="Yes"/>
    <n v="3.7"/>
    <d v="2025-01-17T00:00:00"/>
    <s v="No"/>
    <n v="7019"/>
    <n v="148"/>
    <n v="148"/>
    <s v=""/>
    <s v=""/>
    <s v=""/>
    <s v=""/>
    <s v=""/>
    <s v=""/>
    <s v=""/>
    <s v=""/>
    <s v=""/>
    <s v=""/>
    <s v=""/>
    <s v=""/>
    <x v="0"/>
    <s v=""/>
    <s v=""/>
    <n v="264655"/>
    <n v="263913.96600000001"/>
    <n v="741.0339999999851"/>
  </r>
  <r>
    <s v="O1090"/>
    <s v="C054"/>
    <s v="P111"/>
    <x v="74"/>
    <n v="1"/>
    <n v="90766"/>
    <n v="181532"/>
    <n v="0.14000000000000001"/>
    <x v="3"/>
    <x v="3"/>
    <d v="2025-07-26T00:00:00"/>
    <s v="No"/>
    <n v="233"/>
    <s v="Yes"/>
    <s v="No"/>
    <s v="C054"/>
    <s v="Ishwar Ravel"/>
    <s v="naironveer@example.net"/>
    <n v="5161369681"/>
    <x v="9"/>
    <x v="8"/>
    <n v="453521"/>
    <x v="1"/>
    <d v="1994-04-12T00:00:00"/>
    <n v="44382"/>
    <s v="Fashion"/>
    <n v="6845"/>
    <s v="Single"/>
    <x v="3"/>
    <n v="533862"/>
    <s v="P111"/>
    <s v="Ducimus TV"/>
    <x v="0"/>
    <x v="2"/>
    <x v="19"/>
    <n v="90766"/>
    <n v="14"/>
    <n v="716"/>
    <n v="36"/>
    <x v="3"/>
    <s v="No"/>
    <n v="3.6"/>
    <d v="2024-05-28T00:00:00"/>
    <s v="Yes"/>
    <n v="8079"/>
    <n v="71"/>
    <n v="71"/>
    <s v="S071"/>
    <s v="Thaman-Chana Mart"/>
    <s v="Bangalore"/>
    <s v="Karnataka"/>
    <n v="646225"/>
    <s v="Vamakshi Bawa"/>
    <n v="2005"/>
    <n v="35"/>
    <n v="11420"/>
    <n v="4.5999999999999996"/>
    <s v="No"/>
    <n v="731"/>
    <x v="2"/>
    <n v="6416862278"/>
    <s v="vinayarana@hayre.com"/>
    <n v="90766"/>
    <n v="181277.85519999999"/>
    <n v="-90511.855199999991"/>
  </r>
  <r>
    <s v="O1091"/>
    <s v="C045"/>
    <s v="P161"/>
    <x v="75"/>
    <n v="1"/>
    <n v="98254"/>
    <n v="393016"/>
    <n v="0.15"/>
    <x v="1"/>
    <x v="3"/>
    <d v="2025-07-31T00:00:00"/>
    <s v="Yes"/>
    <n v="153"/>
    <s v="Yes"/>
    <s v="Yes"/>
    <s v="C045"/>
    <s v="Darsh Rao"/>
    <s v="ranveer17@example.org"/>
    <n v="3900532931"/>
    <x v="8"/>
    <x v="7"/>
    <n v="933529"/>
    <x v="1"/>
    <d v="1959-09-25T00:00:00"/>
    <n v="44889"/>
    <s v="Grocery"/>
    <n v="9000"/>
    <s v="Married"/>
    <x v="0"/>
    <n v="1892611"/>
    <s v="P161"/>
    <s v="Veritatis Washing Machine"/>
    <x v="3"/>
    <x v="0"/>
    <x v="22"/>
    <n v="98254"/>
    <n v="15"/>
    <n v="226"/>
    <n v="24"/>
    <x v="0"/>
    <s v="Yes"/>
    <n v="3.8"/>
    <d v="2022-10-17T00:00:00"/>
    <s v="Yes"/>
    <n v="9694"/>
    <n v="54"/>
    <n v="54"/>
    <s v="S054"/>
    <s v="Chaudhuri-Nanda Mart"/>
    <s v="Hyderabad"/>
    <s v="Telangana"/>
    <n v="942843"/>
    <s v="Urishilla Oza"/>
    <n v="2004"/>
    <n v="79"/>
    <n v="4570"/>
    <n v="3.3"/>
    <s v="Yes"/>
    <n v="4182"/>
    <x v="3"/>
    <n v="2763655647"/>
    <s v="karankarnik@madan.net"/>
    <n v="98254"/>
    <n v="392426.47599999997"/>
    <n v="-294172.47599999997"/>
  </r>
  <r>
    <s v="O1092"/>
    <s v="C003"/>
    <s v="P144"/>
    <x v="76"/>
    <n v="1"/>
    <n v="29538"/>
    <n v="59076"/>
    <n v="0.24"/>
    <x v="4"/>
    <x v="1"/>
    <d v="2025-07-18T00:00:00"/>
    <s v="Yes"/>
    <n v="169"/>
    <s v="No"/>
    <s v="No"/>
    <s v="C003"/>
    <s v="Chakradev Kari"/>
    <s v="fariq31@example.com"/>
    <n v="7525534192"/>
    <x v="3"/>
    <x v="3"/>
    <n v="276483"/>
    <x v="1"/>
    <d v="2006-02-16T00:00:00"/>
    <n v="45035"/>
    <s v="Home Appliance"/>
    <n v="9028"/>
    <s v="Married"/>
    <x v="4"/>
    <n v="1142059"/>
    <s v="P144"/>
    <s v="Quidem Washing Machine"/>
    <x v="3"/>
    <x v="4"/>
    <x v="64"/>
    <n v="29538"/>
    <n v="24"/>
    <n v="44"/>
    <n v="24"/>
    <x v="1"/>
    <s v="Yes"/>
    <n v="2.7"/>
    <d v="2023-10-08T00:00:00"/>
    <s v="No"/>
    <n v="7581"/>
    <n v="11"/>
    <n v="11"/>
    <s v="S011"/>
    <s v="Suresh-Lanka Mart"/>
    <s v="Kolkata"/>
    <s v="West Bengal"/>
    <n v="862565"/>
    <s v="Sanaya Basu"/>
    <n v="2007"/>
    <n v="91"/>
    <n v="13868"/>
    <n v="4"/>
    <s v="No"/>
    <n v="3893"/>
    <x v="3"/>
    <n v="7743490211"/>
    <s v="odika93@bhat.biz"/>
    <n v="29538"/>
    <n v="58934.217600000004"/>
    <n v="-29396.217600000004"/>
  </r>
  <r>
    <s v="O1093"/>
    <s v="C030"/>
    <s v="P152"/>
    <x v="77"/>
    <n v="2"/>
    <n v="92604"/>
    <n v="185208"/>
    <n v="0.28999999999999998"/>
    <x v="1"/>
    <x v="2"/>
    <d v="2025-07-20T00:00:00"/>
    <s v="Yes"/>
    <n v="377"/>
    <s v="Yes"/>
    <s v="No"/>
    <s v="C030"/>
    <s v="Manthan Modi"/>
    <s v="kotharijagat@example.net"/>
    <n v="9993867749"/>
    <x v="0"/>
    <x v="0"/>
    <n v="499091"/>
    <x v="0"/>
    <d v="1973-09-05T00:00:00"/>
    <n v="44683"/>
    <s v="Grocery"/>
    <n v="6835"/>
    <s v="Married"/>
    <x v="2"/>
    <n v="1612147"/>
    <s v="P152"/>
    <s v="Rem Shirt"/>
    <x v="3"/>
    <x v="0"/>
    <x v="49"/>
    <n v="92604"/>
    <n v="29"/>
    <n v="316"/>
    <n v="24"/>
    <x v="3"/>
    <s v="Yes"/>
    <n v="3"/>
    <d v="2024-02-06T00:00:00"/>
    <s v="Yes"/>
    <n v="7567"/>
    <n v="123"/>
    <n v="123"/>
    <s v=""/>
    <s v=""/>
    <s v=""/>
    <s v=""/>
    <s v=""/>
    <s v=""/>
    <s v=""/>
    <s v=""/>
    <s v=""/>
    <s v=""/>
    <s v=""/>
    <s v=""/>
    <x v="0"/>
    <s v=""/>
    <s v=""/>
    <n v="185208"/>
    <n v="184670.89679999999"/>
    <n v="537.10320000001229"/>
  </r>
  <r>
    <s v="O1094"/>
    <s v="C076"/>
    <s v="P155"/>
    <x v="78"/>
    <n v="4"/>
    <n v="56076"/>
    <n v="56076"/>
    <n v="0.2"/>
    <x v="4"/>
    <x v="1"/>
    <d v="2025-07-24T00:00:00"/>
    <s v="No"/>
    <n v="385"/>
    <s v="Yes"/>
    <s v="Yes"/>
    <s v="C076"/>
    <s v="Jagat Dave"/>
    <s v="rameshkashvi@example.com"/>
    <n v="5239868000"/>
    <x v="6"/>
    <x v="6"/>
    <n v="578729"/>
    <x v="1"/>
    <d v="1994-08-14T00:00:00"/>
    <n v="44462"/>
    <s v="Home Appliance"/>
    <n v="6375"/>
    <s v="Single"/>
    <x v="4"/>
    <n v="334697"/>
    <s v="P155"/>
    <s v="Odio Washing Machine"/>
    <x v="2"/>
    <x v="1"/>
    <x v="61"/>
    <n v="56076"/>
    <n v="20"/>
    <n v="621"/>
    <n v="36"/>
    <x v="1"/>
    <s v="No"/>
    <n v="3"/>
    <d v="2024-05-29T00:00:00"/>
    <s v="Yes"/>
    <n v="6656"/>
    <n v="94"/>
    <n v="94"/>
    <s v="S094"/>
    <s v="Sahni-Dube Mart"/>
    <s v="Hyderabad"/>
    <s v="Telangana"/>
    <n v="220102"/>
    <s v="Rajeshri Deshpande"/>
    <n v="2008"/>
    <n v="77"/>
    <n v="3019"/>
    <n v="3.3"/>
    <s v="Yes"/>
    <n v="1202"/>
    <x v="2"/>
    <n v="912679692786"/>
    <s v="wrajagopalan@grewal.org"/>
    <n v="224304"/>
    <n v="55963.847999999998"/>
    <n v="168340.152"/>
  </r>
  <r>
    <s v="O1095"/>
    <s v="C069"/>
    <s v="P124"/>
    <x v="79"/>
    <n v="3"/>
    <n v="43565"/>
    <n v="130695"/>
    <n v="0.26"/>
    <x v="4"/>
    <x v="2"/>
    <d v="2025-07-24T00:00:00"/>
    <s v="Yes"/>
    <n v="134"/>
    <s v="No"/>
    <s v="No"/>
    <s v="C069"/>
    <s v="Ryan Das"/>
    <s v="ethanseth@example.org"/>
    <n v="7155188442"/>
    <x v="5"/>
    <x v="5"/>
    <n v="583132"/>
    <x v="0"/>
    <d v="1975-08-26T00:00:00"/>
    <n v="45562"/>
    <s v="Grocery"/>
    <n v="9531"/>
    <s v="Single"/>
    <x v="1"/>
    <n v="1236784"/>
    <s v="P124"/>
    <s v="Cum Laptop"/>
    <x v="0"/>
    <x v="3"/>
    <x v="65"/>
    <n v="43565"/>
    <n v="26"/>
    <n v="879"/>
    <n v="36"/>
    <x v="3"/>
    <s v="No"/>
    <n v="4.7"/>
    <d v="2023-12-31T00:00:00"/>
    <s v="Yes"/>
    <n v="2122"/>
    <n v="58"/>
    <n v="58"/>
    <s v="S058"/>
    <s v="Chawla LLC Mart"/>
    <s v="Chennai"/>
    <s v="Tamil Nadu"/>
    <n v="164334"/>
    <s v="Jonathan Deep"/>
    <n v="2008"/>
    <n v="27"/>
    <n v="2018"/>
    <n v="4.9000000000000004"/>
    <s v="No"/>
    <n v="2546"/>
    <x v="1"/>
    <n v="2005577848"/>
    <s v="sdeshmukh@goel.net"/>
    <n v="130695"/>
    <n v="130355.19299999998"/>
    <n v="339.80700000001525"/>
  </r>
  <r>
    <s v="O1096"/>
    <s v="C077"/>
    <s v="P150"/>
    <x v="80"/>
    <n v="5"/>
    <n v="98841"/>
    <n v="395364"/>
    <n v="0.18"/>
    <x v="0"/>
    <x v="0"/>
    <d v="2025-07-26T00:00:00"/>
    <s v="No"/>
    <n v="180"/>
    <s v="No"/>
    <s v="Yes"/>
    <s v="C077"/>
    <s v="Eiravati Gaba"/>
    <s v="lmistry@example.com"/>
    <n v="8879470551"/>
    <x v="0"/>
    <x v="0"/>
    <n v="940974"/>
    <x v="0"/>
    <d v="2004-02-25T00:00:00"/>
    <n v="45825"/>
    <s v="Fashion"/>
    <n v="8990"/>
    <s v="Married"/>
    <x v="1"/>
    <n v="330580"/>
    <s v="P150"/>
    <s v="Aliquid Phone"/>
    <x v="0"/>
    <x v="1"/>
    <x v="54"/>
    <n v="98841"/>
    <n v="18"/>
    <n v="888"/>
    <n v="6"/>
    <x v="3"/>
    <s v="No"/>
    <n v="3.4"/>
    <d v="2023-10-08T00:00:00"/>
    <s v="Yes"/>
    <n v="3536"/>
    <n v="10"/>
    <n v="10"/>
    <s v="S010"/>
    <s v="Zachariah, Lanka and Manda Mart"/>
    <s v="Delhi"/>
    <s v="Delhi"/>
    <n v="310698"/>
    <s v="Mitesh Bhagat"/>
    <n v="2008"/>
    <n v="88"/>
    <n v="5157"/>
    <n v="4.4000000000000004"/>
    <s v="Yes"/>
    <n v="2545"/>
    <x v="1"/>
    <n v="614973103"/>
    <s v="bishakhabumb@dalia-morar.biz"/>
    <n v="494205"/>
    <n v="394652.34479999996"/>
    <n v="99552.655200000037"/>
  </r>
  <r>
    <s v="O1097"/>
    <s v="C087"/>
    <s v="P191"/>
    <x v="15"/>
    <n v="3"/>
    <n v="31432"/>
    <n v="157160"/>
    <n v="0.28999999999999998"/>
    <x v="0"/>
    <x v="0"/>
    <d v="2025-07-24T00:00:00"/>
    <s v="Yes"/>
    <n v="160"/>
    <s v="Yes"/>
    <s v="Yes"/>
    <s v="C087"/>
    <s v="Urmi Balay"/>
    <s v="nilima22@example.net"/>
    <n v="6567661825"/>
    <x v="9"/>
    <x v="8"/>
    <n v="286823"/>
    <x v="1"/>
    <d v="1959-10-11T00:00:00"/>
    <n v="44098"/>
    <s v="Home Appliance"/>
    <n v="2168"/>
    <s v="Married"/>
    <x v="2"/>
    <n v="1382729"/>
    <s v="P191"/>
    <s v="Quas Shirt"/>
    <x v="3"/>
    <x v="3"/>
    <x v="66"/>
    <n v="31432"/>
    <n v="29"/>
    <n v="660"/>
    <n v="24"/>
    <x v="3"/>
    <s v="No"/>
    <n v="4.9000000000000004"/>
    <d v="2023-10-19T00:00:00"/>
    <s v="Yes"/>
    <n v="3514"/>
    <n v="39"/>
    <n v="39"/>
    <s v="S039"/>
    <s v="Bhavsar, Krishna and Chaudhari Mart"/>
    <s v="Lucknow"/>
    <s v="Uttar Pradesh"/>
    <n v="975523"/>
    <s v="Bhavani Boase"/>
    <n v="2020"/>
    <n v="14"/>
    <n v="17257"/>
    <n v="3.9"/>
    <s v="No"/>
    <n v="954"/>
    <x v="3"/>
    <n v="915775949299"/>
    <s v="diya62@munshi.com"/>
    <n v="94296"/>
    <n v="156704.236"/>
    <n v="-62408.236000000004"/>
  </r>
  <r>
    <s v="O1098"/>
    <s v="C040"/>
    <s v="P115"/>
    <x v="81"/>
    <n v="2"/>
    <n v="67949"/>
    <n v="203847"/>
    <n v="0.05"/>
    <x v="4"/>
    <x v="2"/>
    <d v="2025-07-27T00:00:00"/>
    <s v="No"/>
    <n v="305"/>
    <s v="Yes"/>
    <s v="No"/>
    <s v="C040"/>
    <s v="Aadhya Andra"/>
    <s v="rmani@example.net"/>
    <n v="911759464743"/>
    <x v="4"/>
    <x v="4"/>
    <n v="713695"/>
    <x v="1"/>
    <d v="1998-08-28T00:00:00"/>
    <n v="44947"/>
    <s v="Home Appliance"/>
    <n v="6715"/>
    <s v="Single"/>
    <x v="0"/>
    <n v="716351"/>
    <s v="P115"/>
    <s v="Sapiente TV"/>
    <x v="2"/>
    <x v="2"/>
    <x v="67"/>
    <n v="67949"/>
    <n v="5"/>
    <n v="673"/>
    <n v="36"/>
    <x v="1"/>
    <s v="Yes"/>
    <n v="3"/>
    <d v="2024-09-10T00:00:00"/>
    <s v="No"/>
    <n v="9168"/>
    <n v="153"/>
    <n v="153"/>
    <s v=""/>
    <s v=""/>
    <s v=""/>
    <s v=""/>
    <s v=""/>
    <s v=""/>
    <s v=""/>
    <s v=""/>
    <s v=""/>
    <s v=""/>
    <s v=""/>
    <s v=""/>
    <x v="0"/>
    <s v=""/>
    <s v=""/>
    <n v="135898"/>
    <n v="203745.07650000002"/>
    <n v="-67847.076500000025"/>
  </r>
  <r>
    <s v="O1099"/>
    <s v="C055"/>
    <s v="P124"/>
    <x v="24"/>
    <n v="4"/>
    <n v="43565"/>
    <n v="217825"/>
    <n v="0.26"/>
    <x v="4"/>
    <x v="1"/>
    <d v="2025-07-22T00:00:00"/>
    <s v="No"/>
    <n v="147"/>
    <s v="Yes"/>
    <s v="Yes"/>
    <s v="C055"/>
    <s v="Ikshita Panchal"/>
    <s v="warinderchauhan@example.org"/>
    <n v="3292127799"/>
    <x v="5"/>
    <x v="5"/>
    <n v="995527"/>
    <x v="0"/>
    <d v="1964-03-09T00:00:00"/>
    <n v="45484"/>
    <s v="Electronics"/>
    <n v="7811"/>
    <s v="Single"/>
    <x v="4"/>
    <n v="1912506"/>
    <s v="P124"/>
    <s v="Cum Laptop"/>
    <x v="0"/>
    <x v="3"/>
    <x v="65"/>
    <n v="43565"/>
    <n v="26"/>
    <n v="879"/>
    <n v="36"/>
    <x v="3"/>
    <s v="No"/>
    <n v="4.7"/>
    <d v="2023-12-31T00:00:00"/>
    <s v="Yes"/>
    <n v="2122"/>
    <n v="58"/>
    <n v="58"/>
    <s v="S058"/>
    <s v="Chawla LLC Mart"/>
    <s v="Chennai"/>
    <s v="Tamil Nadu"/>
    <n v="164334"/>
    <s v="Jonathan Deep"/>
    <n v="2008"/>
    <n v="27"/>
    <n v="2018"/>
    <n v="4.9000000000000004"/>
    <s v="No"/>
    <n v="2546"/>
    <x v="1"/>
    <n v="2005577848"/>
    <s v="sdeshmukh@goel.net"/>
    <n v="174260"/>
    <n v="217258.655"/>
    <n v="-42998.654999999999"/>
  </r>
  <r>
    <s v="O1100"/>
    <s v="C041"/>
    <s v="P158"/>
    <x v="75"/>
    <n v="5"/>
    <n v="92731"/>
    <n v="92731"/>
    <n v="0.12"/>
    <x v="3"/>
    <x v="0"/>
    <d v="2025-07-21T00:00:00"/>
    <s v="No"/>
    <n v="69"/>
    <s v="Yes"/>
    <s v="No"/>
    <s v="C041"/>
    <s v="Anthony Randhawa"/>
    <s v="abhiram90@example.net"/>
    <n v="7439533942"/>
    <x v="4"/>
    <x v="4"/>
    <n v="47095"/>
    <x v="1"/>
    <d v="1968-06-25T00:00:00"/>
    <n v="44308"/>
    <s v="Electronics"/>
    <n v="6968"/>
    <s v="Married"/>
    <x v="3"/>
    <n v="628362"/>
    <s v="P158"/>
    <s v="Deserunt Washing Machine"/>
    <x v="1"/>
    <x v="4"/>
    <x v="5"/>
    <n v="92731"/>
    <n v="12"/>
    <n v="512"/>
    <n v="24"/>
    <x v="2"/>
    <s v="No"/>
    <n v="4.7"/>
    <d v="2024-12-18T00:00:00"/>
    <s v="Yes"/>
    <n v="8148"/>
    <n v="8"/>
    <n v="8"/>
    <s v="S008"/>
    <s v="Palan LLC Mart"/>
    <s v="Delhi"/>
    <s v="Delhi"/>
    <n v="157043"/>
    <s v="Ekansh Palla"/>
    <n v="2018"/>
    <n v="49"/>
    <n v="18441"/>
    <n v="3.6"/>
    <s v="Yes"/>
    <n v="3151"/>
    <x v="2"/>
    <n v="1006762676"/>
    <s v="keya17@kar.com"/>
    <n v="463655"/>
    <n v="92619.722799999989"/>
    <n v="371035.2772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159DD-FCA3-4C95-A006-CE5E3F3816BB}" name="PivotTable6"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Brand Name">
  <location ref="L22:M32" firstHeaderRow="1" firstDataRow="1" firstDataCol="1"/>
  <pivotFields count="68">
    <pivotField showAll="0"/>
    <pivotField showAll="0"/>
    <pivotField showAll="0"/>
    <pivotField numFmtId="14"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numFmtId="14" showAll="0"/>
    <pivotField showAll="0"/>
    <pivotField showAll="0"/>
    <pivotField showAll="0"/>
    <pivotField showAll="0"/>
    <pivotField showAll="0">
      <items count="6">
        <item x="1"/>
        <item x="4"/>
        <item x="2"/>
        <item x="0"/>
        <item x="3"/>
        <item t="default"/>
      </items>
    </pivotField>
    <pivotField showAll="0"/>
    <pivotField showAll="0"/>
    <pivotField showAll="0"/>
    <pivotField showAll="0"/>
    <pivotField showAll="0"/>
    <pivotField axis="axisRow" showAll="0" measureFilter="1" sortType="descending">
      <items count="69">
        <item x="29"/>
        <item x="56"/>
        <item x="19"/>
        <item x="34"/>
        <item x="27"/>
        <item x="28"/>
        <item x="1"/>
        <item x="14"/>
        <item x="47"/>
        <item x="4"/>
        <item x="57"/>
        <item x="25"/>
        <item x="22"/>
        <item x="50"/>
        <item x="36"/>
        <item x="65"/>
        <item x="63"/>
        <item x="51"/>
        <item x="26"/>
        <item x="64"/>
        <item x="41"/>
        <item x="53"/>
        <item x="9"/>
        <item x="5"/>
        <item x="35"/>
        <item x="42"/>
        <item x="6"/>
        <item x="24"/>
        <item x="54"/>
        <item x="38"/>
        <item x="21"/>
        <item x="40"/>
        <item x="44"/>
        <item x="49"/>
        <item x="7"/>
        <item x="23"/>
        <item x="62"/>
        <item x="33"/>
        <item x="3"/>
        <item x="58"/>
        <item x="18"/>
        <item x="39"/>
        <item x="11"/>
        <item x="52"/>
        <item x="0"/>
        <item x="61"/>
        <item x="48"/>
        <item x="12"/>
        <item x="46"/>
        <item x="60"/>
        <item x="45"/>
        <item x="67"/>
        <item x="43"/>
        <item x="16"/>
        <item x="20"/>
        <item x="30"/>
        <item x="32"/>
        <item x="2"/>
        <item x="15"/>
        <item x="37"/>
        <item x="31"/>
        <item x="13"/>
        <item x="10"/>
        <item x="55"/>
        <item x="59"/>
        <item x="66"/>
        <item x="8"/>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4"/>
  </rowFields>
  <rowItems count="10">
    <i>
      <x v="33"/>
    </i>
    <i>
      <x v="28"/>
    </i>
    <i>
      <x v="14"/>
    </i>
    <i>
      <x v="23"/>
    </i>
    <i>
      <x v="18"/>
    </i>
    <i>
      <x v="58"/>
    </i>
    <i>
      <x v="12"/>
    </i>
    <i>
      <x v="45"/>
    </i>
    <i>
      <x v="57"/>
    </i>
    <i>
      <x v="34"/>
    </i>
  </rowItems>
  <colItems count="1">
    <i/>
  </colItems>
  <dataFields count="1">
    <dataField name="Total Revenue" fld="62" baseField="0" baseItem="0"/>
  </dataFields>
  <chartFormats count="4">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60120B-4541-40D3-B1B3-70B8EBF094B3}" name="PivotTable4"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4:G36" firstHeaderRow="1" firstDataRow="2" firstDataCol="1"/>
  <pivotFields count="68">
    <pivotField showAll="0"/>
    <pivotField showAll="0"/>
    <pivotField showAll="0"/>
    <pivotField numFmtId="14"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numFmtId="14" showAll="0"/>
    <pivotField showAll="0"/>
    <pivotField showAll="0"/>
    <pivotField showAll="0"/>
    <pivotField showAll="0"/>
    <pivotField showAll="0">
      <items count="6">
        <item x="1"/>
        <item x="4"/>
        <item x="2"/>
        <item x="0"/>
        <item x="3"/>
        <item t="default"/>
      </items>
    </pivotField>
    <pivotField showAll="0"/>
    <pivotField showAll="0"/>
    <pivotField showAll="0"/>
    <pivotField showAll="0"/>
    <pivotField axis="axisCol"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33"/>
  </colFields>
  <colItems count="6">
    <i>
      <x v="4"/>
    </i>
    <i>
      <x v="5"/>
    </i>
    <i>
      <x v="2"/>
    </i>
    <i>
      <x/>
    </i>
    <i>
      <x v="3"/>
    </i>
    <i>
      <x v="1"/>
    </i>
  </colItems>
  <dataFields count="1">
    <dataField name="Sum of Reveune" fld="62" baseField="0" baseItem="0" numFmtId="165"/>
  </dataFields>
  <formats count="1">
    <format dxfId="204">
      <pivotArea outline="0" collapsedLevelsAreSubtotals="1" fieldPosition="0"/>
    </format>
  </formats>
  <chartFormats count="6">
    <chartFormat chart="5" format="24" series="1">
      <pivotArea type="data" outline="0" fieldPosition="0">
        <references count="2">
          <reference field="4294967294" count="1" selected="0">
            <x v="0"/>
          </reference>
          <reference field="33" count="1" selected="0">
            <x v="4"/>
          </reference>
        </references>
      </pivotArea>
    </chartFormat>
    <chartFormat chart="5" format="25" series="1">
      <pivotArea type="data" outline="0" fieldPosition="0">
        <references count="2">
          <reference field="4294967294" count="1" selected="0">
            <x v="0"/>
          </reference>
          <reference field="33" count="1" selected="0">
            <x v="5"/>
          </reference>
        </references>
      </pivotArea>
    </chartFormat>
    <chartFormat chart="5" format="26" series="1">
      <pivotArea type="data" outline="0" fieldPosition="0">
        <references count="2">
          <reference field="4294967294" count="1" selected="0">
            <x v="0"/>
          </reference>
          <reference field="33" count="1" selected="0">
            <x v="2"/>
          </reference>
        </references>
      </pivotArea>
    </chartFormat>
    <chartFormat chart="5" format="27" series="1">
      <pivotArea type="data" outline="0" fieldPosition="0">
        <references count="2">
          <reference field="4294967294" count="1" selected="0">
            <x v="0"/>
          </reference>
          <reference field="33" count="1" selected="0">
            <x v="0"/>
          </reference>
        </references>
      </pivotArea>
    </chartFormat>
    <chartFormat chart="5" format="28" series="1">
      <pivotArea type="data" outline="0" fieldPosition="0">
        <references count="2">
          <reference field="4294967294" count="1" selected="0">
            <x v="0"/>
          </reference>
          <reference field="33" count="1" selected="0">
            <x v="3"/>
          </reference>
        </references>
      </pivotArea>
    </chartFormat>
    <chartFormat chart="5" format="29" series="1">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7F60E-D09E-45BF-98D9-509922DF1EDF}"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28" firstHeaderRow="1" firstDataRow="1" firstDataCol="1"/>
  <pivotFields count="68">
    <pivotField showAll="0"/>
    <pivotField showAll="0"/>
    <pivotField showAll="0"/>
    <pivotField numFmtId="14"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numFmtId="14" showAll="0"/>
    <pivotField showAll="0"/>
    <pivotField showAll="0"/>
    <pivotField showAll="0"/>
    <pivotField showAll="0"/>
    <pivotField showAll="0">
      <items count="6">
        <item x="1"/>
        <item x="4"/>
        <item x="2"/>
        <item x="0"/>
        <item x="3"/>
        <item t="default"/>
      </items>
    </pivotField>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2"/>
  </rowFields>
  <rowItems count="5">
    <i>
      <x/>
    </i>
    <i>
      <x v="1"/>
    </i>
    <i>
      <x v="2"/>
    </i>
    <i>
      <x v="3"/>
    </i>
    <i t="grand">
      <x/>
    </i>
  </rowItems>
  <colItems count="1">
    <i/>
  </colItems>
  <dataFields count="1">
    <dataField name="Sum of Reveune" fld="62"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2" count="1" selected="0">
            <x v="0"/>
          </reference>
        </references>
      </pivotArea>
    </chartFormat>
    <chartFormat chart="4" format="8">
      <pivotArea type="data" outline="0" fieldPosition="0">
        <references count="2">
          <reference field="4294967294" count="1" selected="0">
            <x v="0"/>
          </reference>
          <reference field="32" count="1" selected="0">
            <x v="1"/>
          </reference>
        </references>
      </pivotArea>
    </chartFormat>
    <chartFormat chart="4" format="9">
      <pivotArea type="data" outline="0" fieldPosition="0">
        <references count="2">
          <reference field="4294967294" count="1" selected="0">
            <x v="0"/>
          </reference>
          <reference field="32" count="1" selected="0">
            <x v="2"/>
          </reference>
        </references>
      </pivotArea>
    </chartFormat>
    <chartFormat chart="4" format="10">
      <pivotArea type="data" outline="0" fieldPosition="0">
        <references count="2">
          <reference field="4294967294" count="1" selected="0">
            <x v="0"/>
          </reference>
          <reference field="3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B7FD8-D558-4E4C-948A-B2A692A5855F}" name="PivotTable8"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F23:G27" firstHeaderRow="1" firstDataRow="1" firstDataCol="1"/>
  <pivotFields count="68">
    <pivotField showAll="0"/>
    <pivotField showAll="0"/>
    <pivotField showAll="0"/>
    <pivotField numFmtId="14"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numFmtId="14" showAll="0"/>
    <pivotField showAll="0"/>
    <pivotField showAll="0"/>
    <pivotField showAll="0"/>
    <pivotField showAll="0"/>
    <pivotField showAll="0">
      <items count="6">
        <item x="1"/>
        <item x="4"/>
        <item x="2"/>
        <item x="0"/>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9"/>
  </rowFields>
  <rowItems count="4">
    <i>
      <x/>
    </i>
    <i>
      <x v="1"/>
    </i>
    <i>
      <x v="2"/>
    </i>
    <i>
      <x v="3"/>
    </i>
  </rowItems>
  <colItems count="1">
    <i/>
  </colItems>
  <dataFields count="1">
    <dataField name="Sum of Reveune" fld="62" baseField="0" baseItem="0"/>
  </dataFields>
  <chartFormats count="12">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39" count="1" selected="0">
            <x v="0"/>
          </reference>
        </references>
      </pivotArea>
    </chartFormat>
    <chartFormat chart="7" format="3">
      <pivotArea type="data" outline="0" fieldPosition="0">
        <references count="2">
          <reference field="4294967294" count="1" selected="0">
            <x v="0"/>
          </reference>
          <reference field="39" count="1" selected="0">
            <x v="1"/>
          </reference>
        </references>
      </pivotArea>
    </chartFormat>
    <chartFormat chart="7" format="4">
      <pivotArea type="data" outline="0" fieldPosition="0">
        <references count="2">
          <reference field="4294967294" count="1" selected="0">
            <x v="0"/>
          </reference>
          <reference field="39" count="1" selected="0">
            <x v="2"/>
          </reference>
        </references>
      </pivotArea>
    </chartFormat>
    <chartFormat chart="7" format="5">
      <pivotArea type="data" outline="0" fieldPosition="0">
        <references count="2">
          <reference field="4294967294" count="1" selected="0">
            <x v="0"/>
          </reference>
          <reference field="39"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9" count="1" selected="0">
            <x v="0"/>
          </reference>
        </references>
      </pivotArea>
    </chartFormat>
    <chartFormat chart="8" format="8">
      <pivotArea type="data" outline="0" fieldPosition="0">
        <references count="2">
          <reference field="4294967294" count="1" selected="0">
            <x v="0"/>
          </reference>
          <reference field="39" count="1" selected="0">
            <x v="1"/>
          </reference>
        </references>
      </pivotArea>
    </chartFormat>
    <chartFormat chart="8" format="9">
      <pivotArea type="data" outline="0" fieldPosition="0">
        <references count="2">
          <reference field="4294967294" count="1" selected="0">
            <x v="0"/>
          </reference>
          <reference field="39" count="1" selected="0">
            <x v="2"/>
          </reference>
        </references>
      </pivotArea>
    </chartFormat>
    <chartFormat chart="8" format="10">
      <pivotArea type="data" outline="0" fieldPosition="0">
        <references count="2">
          <reference field="4294967294" count="1" selected="0">
            <x v="0"/>
          </reference>
          <reference field="3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BEAC8-EDF6-4F6B-937A-EE111206BE28}" name="PivotTable7"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H46:I55" firstHeaderRow="1" firstDataRow="1" firstDataCol="1"/>
  <pivotFields count="68">
    <pivotField showAll="0"/>
    <pivotField showAll="0"/>
    <pivotField showAll="0"/>
    <pivotField numFmtId="14"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numFmtId="14" showAll="0"/>
    <pivotField showAll="0"/>
    <pivotField showAll="0"/>
    <pivotField showAll="0"/>
    <pivotField showAll="0"/>
    <pivotField showAll="0"/>
    <pivotField showAll="0"/>
    <pivotField showAll="0"/>
    <pivotField showAll="0"/>
    <pivotField showAll="0"/>
    <pivotField axis="axisRow" showAll="0" sortType="ascending">
      <items count="10">
        <item x="8"/>
        <item x="2"/>
        <item x="6"/>
        <item x="5"/>
        <item x="0"/>
        <item x="7"/>
        <item x="3"/>
        <item x="4"/>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9">
    <i>
      <x v="2"/>
    </i>
    <i>
      <x v="5"/>
    </i>
    <i>
      <x v="7"/>
    </i>
    <i>
      <x v="6"/>
    </i>
    <i>
      <x v="1"/>
    </i>
    <i>
      <x/>
    </i>
    <i>
      <x v="8"/>
    </i>
    <i>
      <x v="4"/>
    </i>
    <i>
      <x v="3"/>
    </i>
  </rowItems>
  <colItems count="1">
    <i/>
  </colItems>
  <dataFields count="1">
    <dataField name="Sum of Reveune" fld="62" baseField="0" baseItem="0"/>
  </dataField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702485-F4F4-46D8-8ADF-B72D390E0976}"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L13" firstHeaderRow="1" firstDataRow="2" firstDataCol="1"/>
  <pivotFields count="68">
    <pivotField showAll="0"/>
    <pivotField showAll="0"/>
    <pivotField showAll="0"/>
    <pivotField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showAll="0"/>
    <pivotField showAll="0"/>
    <pivotField showAll="0"/>
    <pivotField showAll="0"/>
    <pivotField showAll="0"/>
    <pivotField showAll="0"/>
    <pivotField showAll="0"/>
    <pivotField showAll="0"/>
    <pivotField showAll="0"/>
    <pivotField axis="axisCol" showAll="0" sortType="ascending">
      <items count="11">
        <item x="2"/>
        <item x="6"/>
        <item x="8"/>
        <item x="9"/>
        <item x="3"/>
        <item x="0"/>
        <item x="1"/>
        <item x="4"/>
        <item x="5"/>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items count="6">
        <item x="1"/>
        <item x="4"/>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9"/>
  </colFields>
  <colItems count="11">
    <i>
      <x v="1"/>
    </i>
    <i>
      <x v="2"/>
    </i>
    <i>
      <x v="7"/>
    </i>
    <i>
      <x v="4"/>
    </i>
    <i>
      <x/>
    </i>
    <i>
      <x v="8"/>
    </i>
    <i>
      <x v="9"/>
    </i>
    <i>
      <x v="3"/>
    </i>
    <i>
      <x v="6"/>
    </i>
    <i>
      <x v="5"/>
    </i>
    <i t="grand">
      <x/>
    </i>
  </colItems>
  <dataFields count="1">
    <dataField name="Sum of Reveune" fld="62" baseField="0" baseItem="0" numFmtId="165"/>
  </dataFields>
  <formats count="1">
    <format dxfId="213">
      <pivotArea outline="0" collapsedLevelsAreSubtotals="1" fieldPosition="0"/>
    </format>
  </formats>
  <chartFormats count="10">
    <chartFormat chart="6" format="20" series="1">
      <pivotArea type="data" outline="0" fieldPosition="0">
        <references count="2">
          <reference field="4294967294" count="1" selected="0">
            <x v="0"/>
          </reference>
          <reference field="19" count="1" selected="0">
            <x v="1"/>
          </reference>
        </references>
      </pivotArea>
    </chartFormat>
    <chartFormat chart="6" format="21" series="1">
      <pivotArea type="data" outline="0" fieldPosition="0">
        <references count="2">
          <reference field="4294967294" count="1" selected="0">
            <x v="0"/>
          </reference>
          <reference field="19" count="1" selected="0">
            <x v="2"/>
          </reference>
        </references>
      </pivotArea>
    </chartFormat>
    <chartFormat chart="6" format="22" series="1">
      <pivotArea type="data" outline="0" fieldPosition="0">
        <references count="2">
          <reference field="4294967294" count="1" selected="0">
            <x v="0"/>
          </reference>
          <reference field="19" count="1" selected="0">
            <x v="7"/>
          </reference>
        </references>
      </pivotArea>
    </chartFormat>
    <chartFormat chart="6" format="23" series="1">
      <pivotArea type="data" outline="0" fieldPosition="0">
        <references count="2">
          <reference field="4294967294" count="1" selected="0">
            <x v="0"/>
          </reference>
          <reference field="19" count="1" selected="0">
            <x v="4"/>
          </reference>
        </references>
      </pivotArea>
    </chartFormat>
    <chartFormat chart="6" format="24" series="1">
      <pivotArea type="data" outline="0" fieldPosition="0">
        <references count="2">
          <reference field="4294967294" count="1" selected="0">
            <x v="0"/>
          </reference>
          <reference field="19" count="1" selected="0">
            <x v="0"/>
          </reference>
        </references>
      </pivotArea>
    </chartFormat>
    <chartFormat chart="6" format="25" series="1">
      <pivotArea type="data" outline="0" fieldPosition="0">
        <references count="2">
          <reference field="4294967294" count="1" selected="0">
            <x v="0"/>
          </reference>
          <reference field="19" count="1" selected="0">
            <x v="8"/>
          </reference>
        </references>
      </pivotArea>
    </chartFormat>
    <chartFormat chart="6" format="26" series="1">
      <pivotArea type="data" outline="0" fieldPosition="0">
        <references count="2">
          <reference field="4294967294" count="1" selected="0">
            <x v="0"/>
          </reference>
          <reference field="19" count="1" selected="0">
            <x v="9"/>
          </reference>
        </references>
      </pivotArea>
    </chartFormat>
    <chartFormat chart="6" format="27" series="1">
      <pivotArea type="data" outline="0" fieldPosition="0">
        <references count="2">
          <reference field="4294967294" count="1" selected="0">
            <x v="0"/>
          </reference>
          <reference field="19" count="1" selected="0">
            <x v="3"/>
          </reference>
        </references>
      </pivotArea>
    </chartFormat>
    <chartFormat chart="6" format="28" series="1">
      <pivotArea type="data" outline="0" fieldPosition="0">
        <references count="2">
          <reference field="4294967294" count="1" selected="0">
            <x v="0"/>
          </reference>
          <reference field="19" count="1" selected="0">
            <x v="6"/>
          </reference>
        </references>
      </pivotArea>
    </chartFormat>
    <chartFormat chart="6" format="29" series="1">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023E8-DBC2-4B10-9B1E-9DF345DFC7FF}"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68">
    <pivotField dataField="1" showAll="0"/>
    <pivotField showAll="0"/>
    <pivotField showAll="0"/>
    <pivotField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dataField="1" showAll="0"/>
    <pivotField showAll="0">
      <items count="6">
        <item x="0"/>
        <item x="2"/>
        <item x="4"/>
        <item x="1"/>
        <item x="3"/>
        <item t="default"/>
      </items>
    </pivotField>
    <pivotField showAll="0">
      <items count="5">
        <item x="2"/>
        <item x="0"/>
        <item x="3"/>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6">
        <item x="1"/>
        <item x="4"/>
        <item x="2"/>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6">
    <i>
      <x/>
    </i>
    <i i="1">
      <x v="1"/>
    </i>
    <i i="2">
      <x v="2"/>
    </i>
    <i i="3">
      <x v="3"/>
    </i>
    <i i="4">
      <x v="4"/>
    </i>
    <i i="5">
      <x v="5"/>
    </i>
  </colItems>
  <dataFields count="6">
    <dataField name="Total Orders" fld="0" subtotal="count" baseField="0" baseItem="0"/>
    <dataField name="Avg  DiscountApplied" fld="7" subtotal="average" baseField="0" baseItem="0" numFmtId="9"/>
    <dataField name="Average of ShippingCharges" fld="12" subtotal="average" baseField="0" baseItem="0"/>
    <dataField name="Total StockQty" fld="37" baseField="0" baseItem="0" numFmtId="166"/>
    <dataField name="Total Reveune" fld="62" baseField="0" baseItem="0" numFmtId="165"/>
    <dataField name="Total Profit" fld="64" baseField="0" baseItem="0" numFmtId="166"/>
  </dataFields>
  <formats count="8">
    <format dxfId="205">
      <pivotArea type="all" dataOnly="0" outline="0" fieldPosition="0"/>
    </format>
    <format dxfId="206">
      <pivotArea outline="0" collapsedLevelsAreSubtotals="1" fieldPosition="0"/>
    </format>
    <format dxfId="207">
      <pivotArea dataOnly="0" labelOnly="1" outline="0" fieldPosition="0">
        <references count="1">
          <reference field="4294967294" count="6">
            <x v="0"/>
            <x v="1"/>
            <x v="2"/>
            <x v="3"/>
            <x v="4"/>
            <x v="5"/>
          </reference>
        </references>
      </pivotArea>
    </format>
    <format dxfId="208">
      <pivotArea outline="0" collapsedLevelsAreSubtotals="1" fieldPosition="0"/>
    </format>
    <format dxfId="209">
      <pivotArea outline="0" collapsedLevelsAreSubtotals="1" fieldPosition="0">
        <references count="1">
          <reference field="4294967294" count="1" selected="0">
            <x v="4"/>
          </reference>
        </references>
      </pivotArea>
    </format>
    <format dxfId="210">
      <pivotArea outline="0" collapsedLevelsAreSubtotals="1" fieldPosition="0">
        <references count="1">
          <reference field="4294967294" count="1" selected="0">
            <x v="5"/>
          </reference>
        </references>
      </pivotArea>
    </format>
    <format dxfId="211">
      <pivotArea outline="0" collapsedLevelsAreSubtotals="1" fieldPosition="0">
        <references count="1">
          <reference field="4294967294" count="1" selected="0">
            <x v="3"/>
          </reference>
        </references>
      </pivotArea>
    </format>
    <format dxfId="2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EFA347-98C7-4400-AA13-D99AF3A61299}"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6:B67" firstHeaderRow="1" firstDataRow="1" firstDataCol="1"/>
  <pivotFields count="68">
    <pivotField showAll="0"/>
    <pivotField showAll="0"/>
    <pivotField showAll="0"/>
    <pivotField axis="axisRow" numFmtId="14" showAll="0">
      <items count="83">
        <item x="35"/>
        <item x="50"/>
        <item x="59"/>
        <item x="46"/>
        <item x="11"/>
        <item x="7"/>
        <item x="66"/>
        <item x="25"/>
        <item x="47"/>
        <item x="75"/>
        <item x="8"/>
        <item x="67"/>
        <item x="63"/>
        <item x="9"/>
        <item x="13"/>
        <item x="20"/>
        <item x="57"/>
        <item x="30"/>
        <item x="16"/>
        <item x="19"/>
        <item x="39"/>
        <item x="51"/>
        <item x="41"/>
        <item x="34"/>
        <item x="78"/>
        <item x="36"/>
        <item x="42"/>
        <item x="79"/>
        <item x="24"/>
        <item x="5"/>
        <item x="81"/>
        <item x="49"/>
        <item x="23"/>
        <item x="17"/>
        <item x="38"/>
        <item x="3"/>
        <item x="70"/>
        <item x="65"/>
        <item x="77"/>
        <item x="71"/>
        <item x="54"/>
        <item x="37"/>
        <item x="28"/>
        <item x="73"/>
        <item x="0"/>
        <item x="18"/>
        <item x="64"/>
        <item x="2"/>
        <item x="60"/>
        <item x="40"/>
        <item x="52"/>
        <item x="76"/>
        <item x="44"/>
        <item x="72"/>
        <item x="55"/>
        <item x="10"/>
        <item x="27"/>
        <item x="4"/>
        <item x="74"/>
        <item x="12"/>
        <item x="33"/>
        <item x="15"/>
        <item x="14"/>
        <item x="26"/>
        <item x="6"/>
        <item x="21"/>
        <item x="53"/>
        <item x="61"/>
        <item x="56"/>
        <item x="22"/>
        <item x="31"/>
        <item x="45"/>
        <item x="1"/>
        <item x="62"/>
        <item x="29"/>
        <item x="48"/>
        <item x="32"/>
        <item x="69"/>
        <item x="43"/>
        <item x="68"/>
        <item x="80"/>
        <item x="58"/>
        <item t="default"/>
      </items>
    </pivotField>
    <pivotField showAll="0"/>
    <pivotField showAll="0"/>
    <pivotField showAll="0"/>
    <pivotField showAll="0"/>
    <pivotField showAll="0">
      <items count="6">
        <item x="0"/>
        <item x="2"/>
        <item x="4"/>
        <item x="1"/>
        <item x="3"/>
        <item t="default"/>
      </items>
    </pivotField>
    <pivotField showAll="0">
      <items count="5">
        <item x="2"/>
        <item x="0"/>
        <item x="3"/>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numFmtId="14" showAll="0"/>
    <pivotField showAll="0"/>
    <pivotField showAll="0"/>
    <pivotField showAll="0"/>
    <pivotField showAll="0"/>
    <pivotField showAll="0">
      <items count="6">
        <item x="1"/>
        <item x="4"/>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67"/>
    <field x="66"/>
    <field x="65"/>
    <field x="3"/>
  </rowFields>
  <rowItems count="21">
    <i>
      <x v="1"/>
    </i>
    <i r="1">
      <x v="3"/>
    </i>
    <i r="2">
      <x v="7"/>
    </i>
    <i r="2">
      <x v="8"/>
    </i>
    <i r="2">
      <x v="9"/>
    </i>
    <i r="1">
      <x v="4"/>
    </i>
    <i r="2">
      <x v="10"/>
    </i>
    <i r="2">
      <x v="11"/>
    </i>
    <i r="2">
      <x v="12"/>
    </i>
    <i>
      <x v="2"/>
    </i>
    <i r="1">
      <x v="1"/>
    </i>
    <i r="2">
      <x v="1"/>
    </i>
    <i r="2">
      <x v="2"/>
    </i>
    <i r="2">
      <x v="3"/>
    </i>
    <i r="1">
      <x v="2"/>
    </i>
    <i r="2">
      <x v="4"/>
    </i>
    <i r="2">
      <x v="5"/>
    </i>
    <i r="2">
      <x v="6"/>
    </i>
    <i r="1">
      <x v="3"/>
    </i>
    <i r="2">
      <x v="7"/>
    </i>
    <i t="grand">
      <x/>
    </i>
  </rowItems>
  <colItems count="1">
    <i/>
  </colItems>
  <dataFields count="1">
    <dataField name="Sum of Reveune" fld="62" baseField="0" baseItem="0" numFmtId="165"/>
  </dataFields>
  <formats count="1">
    <format dxfId="20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285EE58-6C09-4D47-90B0-6D8503583FE4}" autoFormatId="16" applyNumberFormats="0" applyBorderFormats="0" applyFontFormats="0" applyPatternFormats="0" applyAlignmentFormats="0" applyWidthHeightFormats="0">
  <queryTableRefresh nextId="17">
    <queryTableFields count="16">
      <queryTableField id="1" name="ProductID" tableColumnId="1"/>
      <queryTableField id="2" name="ProductName" tableColumnId="2"/>
      <queryTableField id="3" name="Category" tableColumnId="3"/>
      <queryTableField id="4" name="SubCategory" tableColumnId="4"/>
      <queryTableField id="5" name="Brand" tableColumnId="5"/>
      <queryTableField id="6" name="Price" tableColumnId="6"/>
      <queryTableField id="7" name="Discount" tableColumnId="7"/>
      <queryTableField id="8" name="StockQty" tableColumnId="8"/>
      <queryTableField id="9" name="WarrantyMonths" tableColumnId="9"/>
      <queryTableField id="10" name="MadeIn" tableColumnId="10"/>
      <queryTableField id="11" name="IsAvailable" tableColumnId="11"/>
      <queryTableField id="12" name="Rating" tableColumnId="12"/>
      <queryTableField id="13" name="LaunchDate" tableColumnId="13"/>
      <queryTableField id="14" name="Returnable" tableColumnId="14"/>
      <queryTableField id="15" name="HSNCode" tableColumnId="15"/>
      <queryTableField id="16" name="Store ID"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DD42617-68EC-4AF3-BD3C-4982B5152F89}" autoFormatId="16" applyNumberFormats="0" applyBorderFormats="0" applyFontFormats="0" applyPatternFormats="0" applyAlignmentFormats="0" applyWidthHeightFormats="0">
  <queryTableRefresh nextId="16">
    <queryTableFields count="15">
      <queryTableField id="1" name="CustomerID" tableColumnId="1"/>
      <queryTableField id="2" name="CustomerName" tableColumnId="2"/>
      <queryTableField id="3" name="Email" tableColumnId="3"/>
      <queryTableField id="4" name="Phone" tableColumnId="4"/>
      <queryTableField id="5" name="City" tableColumnId="5"/>
      <queryTableField id="6" name="State" tableColumnId="6"/>
      <queryTableField id="7" name="Pincode" tableColumnId="7"/>
      <queryTableField id="8" name="Gender" tableColumnId="8"/>
      <queryTableField id="9" name="DateOfBirth" tableColumnId="9"/>
      <queryTableField id="10" name="CustomerSince" tableColumnId="10"/>
      <queryTableField id="11" name="PreferredCategory" tableColumnId="11"/>
      <queryTableField id="12" name="LoyaltyPoints" tableColumnId="12"/>
      <queryTableField id="13" name="MaritalStatus" tableColumnId="13"/>
      <queryTableField id="14" name="Occupation" tableColumnId="14"/>
      <queryTableField id="15" name="AnnualIncom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8BBAECC-2833-43C4-83A2-232E28B0664C}" autoFormatId="16" applyNumberFormats="0" applyBorderFormats="0" applyFontFormats="0" applyPatternFormats="0" applyAlignmentFormats="0" applyWidthHeightFormats="0">
  <queryTableRefresh nextId="19">
    <queryTableFields count="16">
      <queryTableField id="16" name="New StoreID" tableColumnId="16"/>
      <queryTableField id="1" name="StoreID" tableColumnId="1"/>
      <queryTableField id="2" name="StoreName" tableColumnId="2"/>
      <queryTableField id="3" name="City" tableColumnId="3"/>
      <queryTableField id="4" name="State" tableColumnId="4"/>
      <queryTableField id="5" name="Pincode" tableColumnId="5"/>
      <queryTableField id="6" name="Manager" tableColumnId="6"/>
      <queryTableField id="7" name="EstablishedYear" tableColumnId="7"/>
      <queryTableField id="8" name="Employees" tableColumnId="8"/>
      <queryTableField id="9" name="MonthlyFootfall" tableColumnId="9"/>
      <queryTableField id="10" name="StoreRating" tableColumnId="10"/>
      <queryTableField id="11" name="OnlineEnabled" tableColumnId="11"/>
      <queryTableField id="12" name="AreaSqFt" tableColumnId="12"/>
      <queryTableField id="13" name="StoreType" tableColumnId="13"/>
      <queryTableField id="14" name="ContactNumber" tableColumnId="14"/>
      <queryTableField id="15" name="Email"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E43613-8D05-4BF7-AB92-B2A7C1B9C511}" sourceName="Gender">
  <pivotTables>
    <pivotTable tabId="11" name="PivotTable3"/>
    <pivotTable tabId="11" name="PivotTable1"/>
    <pivotTable tabId="11" name="PivotTable2"/>
    <pivotTable tabId="11" name="PivotTable4"/>
    <pivotTable tabId="11" name="PivotTable5"/>
    <pivotTable tabId="11" name="PivotTable7"/>
    <pivotTable tabId="11" name="PivotTable8"/>
    <pivotTable tabId="11" name="PivotTable6"/>
  </pivotTables>
  <data>
    <tabular pivotCacheId="933922741" customListSort="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9189AF99-504E-4DA1-823D-BDA250F5D550}" sourceName="PaymentMode">
  <pivotTables>
    <pivotTable tabId="11" name="PivotTable8"/>
    <pivotTable tabId="11" name="PivotTable1"/>
    <pivotTable tabId="11" name="PivotTable2"/>
    <pivotTable tabId="11" name="PivotTable3"/>
    <pivotTable tabId="11" name="PivotTable4"/>
    <pivotTable tabId="11" name="PivotTable5"/>
    <pivotTable tabId="11" name="PivotTable7"/>
    <pivotTable tabId="11" name="PivotTable6"/>
  </pivotTables>
  <data>
    <tabular pivotCacheId="933922741">
      <items count="5">
        <i x="0" s="1"/>
        <i x="2"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48A865A0-CD20-48FB-9422-89B9CF8101A1}" sourceName="OrderStatus">
  <pivotTables>
    <pivotTable tabId="11" name="PivotTable8"/>
    <pivotTable tabId="11" name="PivotTable1"/>
    <pivotTable tabId="11" name="PivotTable2"/>
    <pivotTable tabId="11" name="PivotTable3"/>
    <pivotTable tabId="11" name="PivotTable4"/>
    <pivotTable tabId="11" name="PivotTable5"/>
    <pivotTable tabId="11" name="PivotTable7"/>
    <pivotTable tabId="11" name="PivotTable6"/>
  </pivotTables>
  <data>
    <tabular pivotCacheId="933922741">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F526769-0084-444D-A37D-2417F4DA4B33}" sourceName="Occupation">
  <pivotTables>
    <pivotTable tabId="11" name="PivotTable8"/>
    <pivotTable tabId="11" name="PivotTable1"/>
    <pivotTable tabId="11" name="PivotTable2"/>
    <pivotTable tabId="11" name="PivotTable3"/>
    <pivotTable tabId="11" name="PivotTable4"/>
    <pivotTable tabId="11" name="PivotTable5"/>
    <pivotTable tabId="11" name="PivotTable6"/>
  </pivotTables>
  <data>
    <tabular pivotCacheId="933922741">
      <items count="5">
        <i x="1" s="1"/>
        <i x="4"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Type" xr10:uid="{FC8E6B62-EBB7-45FE-9CF9-F5D9278C3A44}" sourceName="StoreType">
  <pivotTables>
    <pivotTable tabId="11" name="PivotTable8"/>
    <pivotTable tabId="11" name="PivotTable1"/>
    <pivotTable tabId="11" name="PivotTable2"/>
    <pivotTable tabId="11" name="PivotTable3"/>
    <pivotTable tabId="11" name="PivotTable4"/>
    <pivotTable tabId="11" name="PivotTable5"/>
    <pivotTable tabId="11" name="PivotTable7"/>
    <pivotTable tabId="11" name="PivotTable6"/>
  </pivotTables>
  <data>
    <tabular pivotCacheId="93392274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06D06F-BAF5-40B7-9F80-4CE021E450A2}" cache="Slicer_Gender" caption="Gender" showCaption="0" style="SlicerStyleLight4" rowHeight="234950"/>
  <slicer name="PaymentMode" xr10:uid="{642CA9F9-EF8A-4AB8-BEA2-8394E1EF6490}" cache="Slicer_PaymentMode" caption="PaymentMode" style="SlicerStyleLight4" rowHeight="234950"/>
  <slicer name="OrderStatus" xr10:uid="{F92A78B5-31CA-4EAB-86E0-E74CEC45A4A6}" cache="Slicer_OrderStatus" caption="OrderStatus" columnCount="2" showCaption="0" style="SlicerStyleLight4" rowHeight="234950"/>
  <slicer name="Occupation" xr10:uid="{6B45DCE6-CE3F-4100-B89E-B8FA3FD3E784}" cache="Slicer_Occupation" caption="Occupation" style="SlicerStyleLight4" rowHeight="234950"/>
  <slicer name="StoreType" xr10:uid="{96389D69-2BA4-485E-8CE8-8E279C0E3E84}" cache="Slicer_StoreType" caption="StoreType" style="SlicerStyleLight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45C701-28F9-45EE-A6A8-36E3F434BE1A}" name="orders" displayName="orders" ref="A1:O101" totalsRowShown="0">
  <autoFilter ref="A1:O101" xr:uid="{9545C701-28F9-45EE-A6A8-36E3F434BE1A}"/>
  <tableColumns count="15">
    <tableColumn id="1" xr3:uid="{9D50B869-018F-4CA5-B8D5-FD413668E2B2}" name="OrderID"/>
    <tableColumn id="2" xr3:uid="{DE819636-F126-4F6F-AA11-ED5ED1FBEC25}" name="CustomerID"/>
    <tableColumn id="3" xr3:uid="{BEAF8257-815C-448F-8A93-D89673C68119}" name="ProductID"/>
    <tableColumn id="4" xr3:uid="{7C9542AF-38CE-465D-A6F7-63AA8F0F49B0}" name="OrderDate" dataDxfId="371"/>
    <tableColumn id="5" xr3:uid="{E6A270D0-B9D6-453C-980A-1FA617DA3C1F}" name="Quantity"/>
    <tableColumn id="6" xr3:uid="{93043AC6-7412-4A63-821E-F364947A0FBB}" name="UnitPrice"/>
    <tableColumn id="7" xr3:uid="{4CA197CF-14CC-410D-AC4B-CDE772DB4936}" name="TotalAmount"/>
    <tableColumn id="8" xr3:uid="{24F8541D-77E4-4047-B492-F8A25C8877E2}" name="DiscountApplied" dataCellStyle="Percent"/>
    <tableColumn id="9" xr3:uid="{62CDF4E8-02A4-41F7-A8F9-21EB0B28A8FA}" name="PaymentMode"/>
    <tableColumn id="10" xr3:uid="{2C339745-2D4D-4EEA-BEB2-1567065AD092}" name="OrderStatus"/>
    <tableColumn id="11" xr3:uid="{4D1DDA6C-0C79-4ED9-A25F-35AFC24C57F4}" name="DeliveryDate" dataDxfId="370"/>
    <tableColumn id="12" xr3:uid="{AF4A4933-5DD2-4970-A6E1-621CC74FC032}" name="IsGift"/>
    <tableColumn id="13" xr3:uid="{2DD47AEE-6112-44CD-8712-E393A2D272DF}" name="ShippingCharges"/>
    <tableColumn id="14" xr3:uid="{F26AB349-27D6-4D5C-AB15-1D725F4CD24C}" name="CouponUsed"/>
    <tableColumn id="15" xr3:uid="{0F302B69-5BA9-481A-883D-2F37A749951D}" name="ReviewGiv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DBDCB0-6167-446F-BF1B-BA344B81252E}" name="Products" displayName="Products" ref="A1:P101" tableType="queryTable" totalsRowShown="0">
  <autoFilter ref="A1:P101" xr:uid="{A7DBDCB0-6167-446F-BF1B-BA344B81252E}"/>
  <tableColumns count="16">
    <tableColumn id="1" xr3:uid="{B1D16BE7-8D66-49B7-A9E1-7ADB18099D22}" uniqueName="1" name="ProductID" queryTableFieldId="1" dataDxfId="369"/>
    <tableColumn id="2" xr3:uid="{1C531A6E-22F5-4834-890A-0D617A471D30}" uniqueName="2" name="ProductName" queryTableFieldId="2" dataDxfId="368"/>
    <tableColumn id="3" xr3:uid="{E74D3E01-F57F-48EC-9C33-D3678F3BD256}" uniqueName="3" name="Category" queryTableFieldId="3" dataDxfId="367"/>
    <tableColumn id="4" xr3:uid="{5CF614F9-4F80-451D-99A2-158B3358D469}" uniqueName="4" name="SubCategory" queryTableFieldId="4" dataDxfId="366"/>
    <tableColumn id="5" xr3:uid="{0DA0C81D-E8BA-4DB8-BEBC-60086856509B}" uniqueName="5" name="Brand" queryTableFieldId="5" dataDxfId="365"/>
    <tableColumn id="6" xr3:uid="{7FD74F2B-000A-429D-B2B1-D437C8520821}" uniqueName="6" name="Price" queryTableFieldId="6"/>
    <tableColumn id="7" xr3:uid="{79122EFA-B2DF-4F5A-A24C-5F213078BD42}" uniqueName="7" name="Discount" queryTableFieldId="7"/>
    <tableColumn id="8" xr3:uid="{E2756C78-DC4F-42C4-AE0F-1123BE1B62C8}" uniqueName="8" name="StockQty" queryTableFieldId="8"/>
    <tableColumn id="9" xr3:uid="{AA33336B-7166-4FC0-8B81-EF14E980B0E4}" uniqueName="9" name="WarrantyMonths" queryTableFieldId="9"/>
    <tableColumn id="10" xr3:uid="{63BD2641-F669-4F76-BBEE-CF7F360A640B}" uniqueName="10" name="MadeIn" queryTableFieldId="10" dataDxfId="364"/>
    <tableColumn id="11" xr3:uid="{1598B754-A9E0-48C2-B9FC-5200FA98A1D6}" uniqueName="11" name="IsAvailable" queryTableFieldId="11" dataDxfId="363"/>
    <tableColumn id="12" xr3:uid="{5E957128-161F-4B05-8D66-606549F384CF}" uniqueName="12" name="Rating" queryTableFieldId="12"/>
    <tableColumn id="13" xr3:uid="{A8D4CD77-DACC-44DB-8EEF-B67689A64207}" uniqueName="13" name="LaunchDate" queryTableFieldId="13" dataDxfId="36"/>
    <tableColumn id="14" xr3:uid="{F378BC21-44B9-4F92-83DA-C47A129975A8}" uniqueName="14" name="Returnable" queryTableFieldId="14" dataDxfId="362"/>
    <tableColumn id="15" xr3:uid="{4CAD6C31-FA2B-4DFF-80CF-BB1135E72F46}" uniqueName="15" name="HSNCode" queryTableFieldId="15"/>
    <tableColumn id="16" xr3:uid="{01A12E73-F2E1-469F-9D8E-A1E97E43FC9A}" uniqueName="16" name="Store ID"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2080F6-9F1C-4952-8596-694BD203A42B}" name="customers" displayName="customers" ref="A1:O101" tableType="queryTable" totalsRowShown="0">
  <autoFilter ref="A1:O101" xr:uid="{852080F6-9F1C-4952-8596-694BD203A42B}"/>
  <tableColumns count="15">
    <tableColumn id="1" xr3:uid="{3ECF4C8B-D4F0-4E4B-B663-1023BD5BFFA5}" uniqueName="1" name="CustomerID" queryTableFieldId="1" dataDxfId="361"/>
    <tableColumn id="2" xr3:uid="{31C4FFB4-4605-4E28-B72D-F2F3B9447EBC}" uniqueName="2" name="CustomerName" queryTableFieldId="2" dataDxfId="360"/>
    <tableColumn id="3" xr3:uid="{8BB296AA-A3E9-4497-91D5-F3566A7CE486}" uniqueName="3" name="Email" queryTableFieldId="3" dataDxfId="359"/>
    <tableColumn id="4" xr3:uid="{38F0DA94-04C3-4046-BE84-0A65454C5129}" uniqueName="4" name="Phone" queryTableFieldId="4"/>
    <tableColumn id="5" xr3:uid="{DD037C6E-EC77-4718-A322-3CB65A02BC3C}" uniqueName="5" name="City" queryTableFieldId="5" dataDxfId="358"/>
    <tableColumn id="6" xr3:uid="{4EED56B7-4A63-4D06-AA23-835395F98827}" uniqueName="6" name="State" queryTableFieldId="6" dataDxfId="357"/>
    <tableColumn id="7" xr3:uid="{1607F15B-B1BD-4BBF-95FE-BEBD1CA2D7A3}" uniqueName="7" name="Pincode" queryTableFieldId="7"/>
    <tableColumn id="8" xr3:uid="{A4C64D94-AC7A-4122-80DF-A64210E85A76}" uniqueName="8" name="Gender" queryTableFieldId="8" dataDxfId="356"/>
    <tableColumn id="9" xr3:uid="{E05784B3-F774-4835-9B5E-4F7A6C4EA799}" uniqueName="9" name="DateOfBirth" queryTableFieldId="9" dataDxfId="35"/>
    <tableColumn id="10" xr3:uid="{4DDF1522-1D44-40B9-AC43-CCB1E6ADE34D}" uniqueName="10" name="CustomerSince" queryTableFieldId="10" dataDxfId="34"/>
    <tableColumn id="11" xr3:uid="{1A04DD47-2D17-4C77-801D-EAF105D19869}" uniqueName="11" name="PreferredCategory" queryTableFieldId="11" dataDxfId="355"/>
    <tableColumn id="12" xr3:uid="{C6D65AA8-6672-4DC5-8691-95BB5F2D3416}" uniqueName="12" name="LoyaltyPoints" queryTableFieldId="12"/>
    <tableColumn id="13" xr3:uid="{F103F0F4-085B-44D8-9301-3B9BB617BB05}" uniqueName="13" name="MaritalStatus" queryTableFieldId="13" dataDxfId="354"/>
    <tableColumn id="14" xr3:uid="{FF1A039A-4854-4E64-A680-7DB54BC3A476}" uniqueName="14" name="Occupation" queryTableFieldId="14" dataDxfId="353"/>
    <tableColumn id="15" xr3:uid="{37BB29FA-7A98-4287-B3EA-5194FD756B92}" uniqueName="15" name="AnnualIncom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9C2374-6CE3-44BD-B27D-68B5D3D9AB1C}" name="stores" displayName="stores" ref="A1:P101" tableType="queryTable" totalsRowShown="0">
  <autoFilter ref="A1:P101" xr:uid="{969C2374-6CE3-44BD-B27D-68B5D3D9AB1C}"/>
  <tableColumns count="16">
    <tableColumn id="16" xr3:uid="{01D675C7-CBD9-4159-BEF1-4F7BC7981C3B}" uniqueName="16" name="New StoreID" queryTableFieldId="16" dataDxfId="33"/>
    <tableColumn id="1" xr3:uid="{08A2695A-F9F4-4142-8259-8FA9F0E25983}" uniqueName="1" name="StoreID" queryTableFieldId="1" dataDxfId="352"/>
    <tableColumn id="2" xr3:uid="{CC4F453C-EE63-4E2A-84CA-2757BA6D897A}" uniqueName="2" name="StoreName" queryTableFieldId="2" dataDxfId="351"/>
    <tableColumn id="3" xr3:uid="{87EE7A50-35CA-4289-8773-9EFE0976EB0E}" uniqueName="3" name="City" queryTableFieldId="3" dataDxfId="350"/>
    <tableColumn id="4" xr3:uid="{FEFD3152-4AA0-4056-9149-341DACF1108B}" uniqueName="4" name="State" queryTableFieldId="4" dataDxfId="349"/>
    <tableColumn id="5" xr3:uid="{2DE3929A-FF54-4824-8217-DB7B72B9E55C}" uniqueName="5" name="Pincode" queryTableFieldId="5"/>
    <tableColumn id="6" xr3:uid="{7CEE70F2-7F62-4C8A-B53C-F1A323FE8772}" uniqueName="6" name="Manager" queryTableFieldId="6" dataDxfId="348"/>
    <tableColumn id="7" xr3:uid="{FC734396-A6E3-47E6-924A-4611CEDBE852}" uniqueName="7" name="EstablishedYear" queryTableFieldId="7"/>
    <tableColumn id="8" xr3:uid="{F83F9575-C476-4E76-9EEE-936440692ABE}" uniqueName="8" name="Employees" queryTableFieldId="8"/>
    <tableColumn id="9" xr3:uid="{C6CC51F0-B273-4F35-A99A-88A57E0518A6}" uniqueName="9" name="MonthlyFootfall" queryTableFieldId="9"/>
    <tableColumn id="10" xr3:uid="{1F601AED-8BF4-4DBD-865C-2B70BE79CE66}" uniqueName="10" name="StoreRating" queryTableFieldId="10"/>
    <tableColumn id="11" xr3:uid="{AF4F4E8C-77DB-4156-97FE-A084F3FF169C}" uniqueName="11" name="OnlineEnabled" queryTableFieldId="11" dataDxfId="347"/>
    <tableColumn id="12" xr3:uid="{129EA9C8-9D42-481D-A553-A4BE7BB31E13}" uniqueName="12" name="AreaSqFt" queryTableFieldId="12"/>
    <tableColumn id="13" xr3:uid="{27AA7F89-6B62-42B1-9963-8EC724E0AC42}" uniqueName="13" name="StoreType" queryTableFieldId="13" dataDxfId="346"/>
    <tableColumn id="14" xr3:uid="{DEE5B267-EA4C-442E-8001-53142665F4B0}" uniqueName="14" name="ContactNumber" queryTableFieldId="14"/>
    <tableColumn id="15" xr3:uid="{1FBD0B75-BC2F-4D51-B9F4-7DF4BCCF1A43}" uniqueName="15" name="Email" queryTableFieldId="15" dataDxfId="34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FF439C-CE0F-408D-8252-195911553B02}" name="Combined_data" displayName="Combined_data" ref="B3:BN103" totalsRowShown="0" headerRowDxfId="344" dataDxfId="343">
  <autoFilter ref="B3:BN103" xr:uid="{F8FF439C-CE0F-408D-8252-195911553B02}"/>
  <tableColumns count="65">
    <tableColumn id="1" xr3:uid="{D15B4AEA-F88D-46F4-9D14-AD188CBCD91A}" name="OrderID" dataDxfId="342" totalsRowDxfId="341">
      <calculatedColumnFormula>'All Combined Data'!A2</calculatedColumnFormula>
    </tableColumn>
    <tableColumn id="2" xr3:uid="{004CCADA-4BEA-4318-B712-AA0F49379BD1}" name="CustomerID" dataDxfId="340" totalsRowDxfId="339">
      <calculatedColumnFormula>'All Combined Data'!B2</calculatedColumnFormula>
    </tableColumn>
    <tableColumn id="3" xr3:uid="{54FB3B3C-3FF3-461D-9C69-32EB0BB46E6F}" name="ProductID" dataDxfId="338" totalsRowDxfId="337">
      <calculatedColumnFormula>'All Combined Data'!C2</calculatedColumnFormula>
    </tableColumn>
    <tableColumn id="4" xr3:uid="{24DBD8D3-D667-4F31-8F8C-2E38046627C7}" name="OrderDate" dataDxfId="336" totalsRowDxfId="335">
      <calculatedColumnFormula>'All Combined Data'!D2</calculatedColumnFormula>
    </tableColumn>
    <tableColumn id="5" xr3:uid="{F35C53CB-2217-4602-9461-85D3089EC0D0}" name="Quantity" dataDxfId="334" totalsRowDxfId="333">
      <calculatedColumnFormula>'All Combined Data'!E2</calculatedColumnFormula>
    </tableColumn>
    <tableColumn id="6" xr3:uid="{B684868C-EAFF-4D7D-BB9E-3D482B15BEDF}" name="UnitPrice" dataDxfId="332" totalsRowDxfId="331">
      <calculatedColumnFormula>'All Combined Data'!F2</calculatedColumnFormula>
    </tableColumn>
    <tableColumn id="7" xr3:uid="{B60CB259-FD9D-4582-8840-2A8F9C6E92F7}" name="TotalAmount" dataDxfId="330" totalsRowDxfId="329">
      <calculatedColumnFormula>'All Combined Data'!G2</calculatedColumnFormula>
    </tableColumn>
    <tableColumn id="8" xr3:uid="{CAB2DF8C-5E87-48A0-AA22-F7DC897080E6}" name="DiscountApplied" dataDxfId="328" totalsRowDxfId="327">
      <calculatedColumnFormula>'All Combined Data'!H2</calculatedColumnFormula>
    </tableColumn>
    <tableColumn id="9" xr3:uid="{0B309EBE-6CBE-4003-8F4B-4A6E2328717C}" name="PaymentMode" dataDxfId="326" totalsRowDxfId="325">
      <calculatedColumnFormula>'All Combined Data'!I2</calculatedColumnFormula>
    </tableColumn>
    <tableColumn id="10" xr3:uid="{4D768BFA-F904-4274-B6CC-38AF2090BFE0}" name="OrderStatus" dataDxfId="324" totalsRowDxfId="323">
      <calculatedColumnFormula>'All Combined Data'!J2</calculatedColumnFormula>
    </tableColumn>
    <tableColumn id="11" xr3:uid="{7414F9F9-5523-4DD9-81B5-61E40D35971E}" name="DeliveryDate" dataDxfId="322" totalsRowDxfId="321">
      <calculatedColumnFormula>'All Combined Data'!K2</calculatedColumnFormula>
    </tableColumn>
    <tableColumn id="12" xr3:uid="{9E16DE26-C356-416F-B5BE-C4AF13A12013}" name="IsGift" dataDxfId="320" totalsRowDxfId="319">
      <calculatedColumnFormula>'All Combined Data'!L2</calculatedColumnFormula>
    </tableColumn>
    <tableColumn id="13" xr3:uid="{E6E293FA-77C8-449E-93BC-5BCC235177FA}" name="ShippingCharges" dataDxfId="318" totalsRowDxfId="317">
      <calculatedColumnFormula>'All Combined Data'!M2</calculatedColumnFormula>
    </tableColumn>
    <tableColumn id="14" xr3:uid="{7E20567C-D29B-4D41-9DCE-AC7262BD24C8}" name="CouponUsed" dataDxfId="316" totalsRowDxfId="315">
      <calculatedColumnFormula>'All Combined Data'!N2</calculatedColumnFormula>
    </tableColumn>
    <tableColumn id="15" xr3:uid="{A20C2A8A-52BE-4A18-A220-06478ADEF93A}" name="ReviewGiven" dataDxfId="314" totalsRowDxfId="313">
      <calculatedColumnFormula>'All Combined Data'!O2</calculatedColumnFormula>
    </tableColumn>
    <tableColumn id="16" xr3:uid="{0A8291C8-4387-4485-8224-1E9C18D61E5C}" name="CustomerID2" dataDxfId="312" totalsRowDxfId="311">
      <calculatedColumnFormula>'All Combined Data'!P2</calculatedColumnFormula>
    </tableColumn>
    <tableColumn id="17" xr3:uid="{920DD4A2-F35F-4911-A97C-8757C7F7649A}" name="CustomerName" dataDxfId="310" totalsRowDxfId="309">
      <calculatedColumnFormula>'All Combined Data'!Q2</calculatedColumnFormula>
    </tableColumn>
    <tableColumn id="18" xr3:uid="{6CEEADF3-A4C0-41F2-A14B-BA2DAEDD77C6}" name="Email" dataDxfId="308" totalsRowDxfId="307">
      <calculatedColumnFormula>'All Combined Data'!R2</calculatedColumnFormula>
    </tableColumn>
    <tableColumn id="19" xr3:uid="{1AE20F1D-31F1-4656-9750-9C0017797820}" name="Phone" dataDxfId="306" totalsRowDxfId="305">
      <calculatedColumnFormula>'All Combined Data'!S2</calculatedColumnFormula>
    </tableColumn>
    <tableColumn id="20" xr3:uid="{DB1695E2-A182-48B2-93ED-E7733B8D672A}" name="City" dataDxfId="304" totalsRowDxfId="303">
      <calculatedColumnFormula>'All Combined Data'!T2</calculatedColumnFormula>
    </tableColumn>
    <tableColumn id="21" xr3:uid="{771C3F5C-C7EC-4EF4-82F8-2D27B080331F}" name="State" dataDxfId="302" totalsRowDxfId="301">
      <calculatedColumnFormula>'All Combined Data'!U2</calculatedColumnFormula>
    </tableColumn>
    <tableColumn id="22" xr3:uid="{9DE6BDDA-7D9C-4609-A860-4BA73A7FC9A3}" name="Pincode" dataDxfId="300" totalsRowDxfId="299">
      <calculatedColumnFormula>'All Combined Data'!V2</calculatedColumnFormula>
    </tableColumn>
    <tableColumn id="23" xr3:uid="{C16C1A92-9A5D-4D21-BFEA-C89E4EE610EE}" name="Gender" dataDxfId="298" totalsRowDxfId="297">
      <calculatedColumnFormula>'All Combined Data'!W2</calculatedColumnFormula>
    </tableColumn>
    <tableColumn id="24" xr3:uid="{9EC8CD5D-6997-4832-8946-4D5F8604A219}" name="DateOfBirth" dataDxfId="296" totalsRowDxfId="295">
      <calculatedColumnFormula>'All Combined Data'!X2</calculatedColumnFormula>
    </tableColumn>
    <tableColumn id="25" xr3:uid="{7D6C9153-C6CB-4CFE-B205-225853D86CDC}" name="CustomerSince" dataDxfId="294" totalsRowDxfId="293">
      <calculatedColumnFormula>'All Combined Data'!Y2</calculatedColumnFormula>
    </tableColumn>
    <tableColumn id="26" xr3:uid="{C769DE25-9E2A-42B8-9F60-8AE3799F4605}" name="PreferredCategory" dataDxfId="292" totalsRowDxfId="291">
      <calculatedColumnFormula>'All Combined Data'!Z2</calculatedColumnFormula>
    </tableColumn>
    <tableColumn id="27" xr3:uid="{FFC28626-3BAE-42BD-B22E-BCEBF495E825}" name="LoyaltyPoints" dataDxfId="290" totalsRowDxfId="289">
      <calculatedColumnFormula>'All Combined Data'!AA2</calculatedColumnFormula>
    </tableColumn>
    <tableColumn id="28" xr3:uid="{C153D0B3-CFCD-41DA-9408-F85BB83E3281}" name="MaritalStatus" dataDxfId="288" totalsRowDxfId="287">
      <calculatedColumnFormula>'All Combined Data'!AB2</calculatedColumnFormula>
    </tableColumn>
    <tableColumn id="29" xr3:uid="{B08B77CC-18B7-4A52-A0F3-CC0DE16C87B5}" name="Occupation" dataDxfId="286" totalsRowDxfId="285">
      <calculatedColumnFormula>'All Combined Data'!AC2</calculatedColumnFormula>
    </tableColumn>
    <tableColumn id="30" xr3:uid="{CE1F3B9E-B55E-4D23-8F75-CD1E5FDCC521}" name="AnnualIncome" dataDxfId="284" totalsRowDxfId="283">
      <calculatedColumnFormula>'All Combined Data'!AD2</calculatedColumnFormula>
    </tableColumn>
    <tableColumn id="31" xr3:uid="{C64D6312-76BE-4721-AF03-DD891B7AE112}" name="ProductID3" dataDxfId="282" totalsRowDxfId="281">
      <calculatedColumnFormula>'All Combined Data'!AE2</calculatedColumnFormula>
    </tableColumn>
    <tableColumn id="32" xr3:uid="{E9FE1393-C1BF-43B1-B9C9-BEA4B12D928E}" name="ProductName" dataDxfId="280" totalsRowDxfId="279">
      <calculatedColumnFormula>'All Combined Data'!AF2</calculatedColumnFormula>
    </tableColumn>
    <tableColumn id="33" xr3:uid="{42D35150-C14E-48D0-91D4-1654E6474771}" name="Category" dataDxfId="278" totalsRowDxfId="277">
      <calculatedColumnFormula>'All Combined Data'!AG2</calculatedColumnFormula>
    </tableColumn>
    <tableColumn id="34" xr3:uid="{D9581C62-8F06-4A35-BF08-482B728757A7}" name="SubCategory" dataDxfId="276" totalsRowDxfId="275">
      <calculatedColumnFormula>'All Combined Data'!AH2</calculatedColumnFormula>
    </tableColumn>
    <tableColumn id="35" xr3:uid="{A18C254C-E666-48E7-BA8D-0E4E6FD21BA3}" name="Brand" dataDxfId="274" totalsRowDxfId="273">
      <calculatedColumnFormula>'All Combined Data'!AI2</calculatedColumnFormula>
    </tableColumn>
    <tableColumn id="36" xr3:uid="{74139667-5EA8-44DC-B2E1-BD9B4C31CDC6}" name="Price" dataDxfId="272" totalsRowDxfId="271">
      <calculatedColumnFormula>'All Combined Data'!AJ2</calculatedColumnFormula>
    </tableColumn>
    <tableColumn id="37" xr3:uid="{A89BB3E8-4EB8-4DC7-A0CC-5FFC85C0409C}" name="Discount" dataDxfId="270" totalsRowDxfId="269">
      <calculatedColumnFormula>'All Combined Data'!AK2</calculatedColumnFormula>
    </tableColumn>
    <tableColumn id="38" xr3:uid="{2B4FCBFC-1718-4670-8A7D-FFC9BD935AE5}" name="StockQty" dataDxfId="268" totalsRowDxfId="267">
      <calculatedColumnFormula>'All Combined Data'!AL2</calculatedColumnFormula>
    </tableColumn>
    <tableColumn id="39" xr3:uid="{BD7C646C-027E-4476-AA59-C1784878E111}" name="WarrantyMonths" dataDxfId="266" totalsRowDxfId="265">
      <calculatedColumnFormula>'All Combined Data'!AM2</calculatedColumnFormula>
    </tableColumn>
    <tableColumn id="40" xr3:uid="{C00ECB20-C164-4F3C-8130-269603F7518A}" name="MadeIn" dataDxfId="264" totalsRowDxfId="263">
      <calculatedColumnFormula>'All Combined Data'!AN2</calculatedColumnFormula>
    </tableColumn>
    <tableColumn id="41" xr3:uid="{2766955E-2755-47AE-A2A4-E9FCBC08BE26}" name="IsAvailable" dataDxfId="262" totalsRowDxfId="261">
      <calculatedColumnFormula>'All Combined Data'!AO2</calculatedColumnFormula>
    </tableColumn>
    <tableColumn id="42" xr3:uid="{1357AAFD-16B4-4C11-99F6-11168C2A1B62}" name="Rating" dataDxfId="260" totalsRowDxfId="259">
      <calculatedColumnFormula>'All Combined Data'!AP2</calculatedColumnFormula>
    </tableColumn>
    <tableColumn id="43" xr3:uid="{B55F9201-1ADD-4EFE-A743-DD68318EAA77}" name="LaunchDate" dataDxfId="258" totalsRowDxfId="257">
      <calculatedColumnFormula>'All Combined Data'!AQ2</calculatedColumnFormula>
    </tableColumn>
    <tableColumn id="44" xr3:uid="{1F130F8C-1794-4F47-8950-08F8FAB09447}" name="Returnable" dataDxfId="256" totalsRowDxfId="255">
      <calculatedColumnFormula>'All Combined Data'!AR2</calculatedColumnFormula>
    </tableColumn>
    <tableColumn id="45" xr3:uid="{4DCF8928-9CA3-45BB-AFA9-3C586FBD4561}" name="HSNCode" dataDxfId="254" totalsRowDxfId="253">
      <calculatedColumnFormula>'All Combined Data'!AS2</calculatedColumnFormula>
    </tableColumn>
    <tableColumn id="46" xr3:uid="{E6F5B597-9B38-4CA8-BB45-1A212D16347E}" name="Store ID" dataDxfId="252" totalsRowDxfId="251">
      <calculatedColumnFormula>'All Combined Data'!AT2</calculatedColumnFormula>
    </tableColumn>
    <tableColumn id="47" xr3:uid="{815B35D6-1217-4A5D-976C-B8EE9334DF36}" name="New StoreID" dataDxfId="250" totalsRowDxfId="249">
      <calculatedColumnFormula>'All Combined Data'!AU2</calculatedColumnFormula>
    </tableColumn>
    <tableColumn id="48" xr3:uid="{CB3CFFCC-8BDC-45D7-AAC7-E7008AF208DD}" name="StoreID" dataDxfId="248" totalsRowDxfId="247">
      <calculatedColumnFormula>'All Combined Data'!AV2</calculatedColumnFormula>
    </tableColumn>
    <tableColumn id="49" xr3:uid="{5B60A3B3-DB04-4A3C-8DB1-5E910DC37AAA}" name="StoreName" dataDxfId="246" totalsRowDxfId="245">
      <calculatedColumnFormula>'All Combined Data'!AW2</calculatedColumnFormula>
    </tableColumn>
    <tableColumn id="50" xr3:uid="{51435CF9-4D3B-4FE1-AE23-037171D8FE48}" name="City4" dataDxfId="244" totalsRowDxfId="243">
      <calculatedColumnFormula>'All Combined Data'!AX2</calculatedColumnFormula>
    </tableColumn>
    <tableColumn id="51" xr3:uid="{C1CFCF17-5FF8-4255-BF82-FF2804E5C0C6}" name="State5" dataDxfId="242" totalsRowDxfId="241">
      <calculatedColumnFormula>'All Combined Data'!AY2</calculatedColumnFormula>
    </tableColumn>
    <tableColumn id="52" xr3:uid="{20504A2F-56C8-4DA7-A8D5-66474223E68F}" name="Pincode6" dataDxfId="240" totalsRowDxfId="239">
      <calculatedColumnFormula>'All Combined Data'!AZ2</calculatedColumnFormula>
    </tableColumn>
    <tableColumn id="53" xr3:uid="{AA293272-4434-48CC-B2EF-908F600750CA}" name="Manager" dataDxfId="238" totalsRowDxfId="237">
      <calculatedColumnFormula>'All Combined Data'!BA2</calculatedColumnFormula>
    </tableColumn>
    <tableColumn id="54" xr3:uid="{3665F352-DE78-4D16-845B-767A3043E4B5}" name="EstablishedYear" dataDxfId="236" totalsRowDxfId="235">
      <calculatedColumnFormula>'All Combined Data'!BB2</calculatedColumnFormula>
    </tableColumn>
    <tableColumn id="55" xr3:uid="{7BB3AE65-0DF7-44EA-8174-034CD6A174E5}" name="Employees" dataDxfId="234" totalsRowDxfId="233">
      <calculatedColumnFormula>'All Combined Data'!BC2</calculatedColumnFormula>
    </tableColumn>
    <tableColumn id="56" xr3:uid="{B563F901-7F02-4D67-9A37-149F9559747E}" name="MonthlyFootfall" dataDxfId="232" totalsRowDxfId="231">
      <calculatedColumnFormula>'All Combined Data'!BD2</calculatedColumnFormula>
    </tableColumn>
    <tableColumn id="57" xr3:uid="{94EEE86A-9EA3-4127-A449-17799F134A27}" name="StoreRating" dataDxfId="230" totalsRowDxfId="229">
      <calculatedColumnFormula>'All Combined Data'!BE2</calculatedColumnFormula>
    </tableColumn>
    <tableColumn id="58" xr3:uid="{DCC6D73E-BD26-42CD-9858-5FD4B8745FEC}" name="OnlineEnabled" dataDxfId="228" totalsRowDxfId="227">
      <calculatedColumnFormula>'All Combined Data'!BF2</calculatedColumnFormula>
    </tableColumn>
    <tableColumn id="59" xr3:uid="{A5B27F63-2AA7-4E7C-B6C5-4837745E1A73}" name="AreaSqFt" dataDxfId="226" totalsRowDxfId="225">
      <calculatedColumnFormula>'All Combined Data'!BG2</calculatedColumnFormula>
    </tableColumn>
    <tableColumn id="60" xr3:uid="{76B70357-CADA-4E65-B7A2-C6327848501C}" name="StoreType" dataDxfId="224">
      <calculatedColumnFormula>'All Combined Data'!BH2</calculatedColumnFormula>
    </tableColumn>
    <tableColumn id="61" xr3:uid="{1E6B6849-778F-4E36-B872-F0D74B08F599}" name="ContactNumber" dataDxfId="223" totalsRowDxfId="222">
      <calculatedColumnFormula>'All Combined Data'!BI2</calculatedColumnFormula>
    </tableColumn>
    <tableColumn id="62" xr3:uid="{39DA9C5D-CB29-4B45-9678-BA876CF050C7}" name="Email7" dataDxfId="221" totalsRowDxfId="220">
      <calculatedColumnFormula>'All Combined Data'!BJ2</calculatedColumnFormula>
    </tableColumn>
    <tableColumn id="63" xr3:uid="{FD036327-BE1D-42A6-B871-4D4F5C2C760B}" name="Reveune" dataDxfId="219" totalsRowDxfId="218">
      <calculatedColumnFormula>Combined_data[[#This Row],[Quantity]]*Combined_data[[#This Row],[UnitPrice]]</calculatedColumnFormula>
    </tableColumn>
    <tableColumn id="65" xr3:uid="{FC940A49-5D4A-48FC-AA6C-2E33FA9D210B}" name="Final Amount" dataDxfId="217" totalsRowDxfId="216">
      <calculatedColumnFormula>Combined_data[[#This Row],[TotalAmount]]*(100-Combined_data[[#This Row],[DiscountApplied]])/100</calculatedColumnFormula>
    </tableColumn>
    <tableColumn id="64" xr3:uid="{88523D95-24CE-45BA-B6F7-BEAD72181C0C}" name="Profit" dataDxfId="215" totalsRowDxfId="214">
      <calculatedColumnFormula>Combined_data[[#This Row],[Reveune]]-Combined_data[[#This Row],[Final Amount]]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73B62-2BD1-4750-8516-C024A120B8BF}">
  <sheetPr>
    <tabColor rgb="FFFFC000"/>
  </sheetPr>
  <dimension ref="A1:V101"/>
  <sheetViews>
    <sheetView zoomScale="129" workbookViewId="0">
      <selection activeCell="H5" sqref="H5"/>
    </sheetView>
  </sheetViews>
  <sheetFormatPr defaultRowHeight="14.4" x14ac:dyDescent="0.3"/>
  <cols>
    <col min="1" max="1" width="9.44140625" customWidth="1"/>
    <col min="2" max="2" width="12.77734375" customWidth="1"/>
    <col min="3" max="3" width="11.33203125" customWidth="1"/>
    <col min="4" max="4" width="11.5546875" customWidth="1"/>
    <col min="5" max="5" width="10.21875" customWidth="1"/>
    <col min="6" max="6" width="10.5546875" customWidth="1"/>
    <col min="7" max="7" width="14" customWidth="1"/>
    <col min="8" max="8" width="16.6640625" customWidth="1"/>
    <col min="9" max="9" width="15.44140625" customWidth="1"/>
    <col min="10" max="10" width="12.88671875" customWidth="1"/>
    <col min="11" max="11" width="13.5546875" customWidth="1"/>
    <col min="13" max="13" width="16.88671875" customWidth="1"/>
    <col min="14" max="14" width="13.77734375" customWidth="1"/>
    <col min="15" max="15" width="13.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s="1">
        <v>45687</v>
      </c>
      <c r="E2">
        <v>5</v>
      </c>
      <c r="F2">
        <v>31647</v>
      </c>
      <c r="G2">
        <v>94941</v>
      </c>
      <c r="H2" s="24">
        <v>0.14000000000000001</v>
      </c>
      <c r="I2" t="s">
        <v>18</v>
      </c>
      <c r="J2" t="s">
        <v>19</v>
      </c>
      <c r="K2" s="1">
        <v>45859</v>
      </c>
      <c r="L2" t="s">
        <v>20</v>
      </c>
      <c r="M2">
        <v>41</v>
      </c>
      <c r="N2" t="s">
        <v>20</v>
      </c>
      <c r="O2" t="s">
        <v>21</v>
      </c>
    </row>
    <row r="3" spans="1:15" x14ac:dyDescent="0.3">
      <c r="A3" t="s">
        <v>22</v>
      </c>
      <c r="B3" t="s">
        <v>23</v>
      </c>
      <c r="C3" t="s">
        <v>24</v>
      </c>
      <c r="D3" s="1">
        <v>45802</v>
      </c>
      <c r="E3">
        <v>5</v>
      </c>
      <c r="F3">
        <v>24100</v>
      </c>
      <c r="G3">
        <v>96400</v>
      </c>
      <c r="H3" s="24">
        <v>0.1</v>
      </c>
      <c r="I3" t="s">
        <v>18</v>
      </c>
      <c r="J3" t="s">
        <v>19</v>
      </c>
      <c r="K3" s="1">
        <v>45858</v>
      </c>
      <c r="L3" t="s">
        <v>21</v>
      </c>
      <c r="M3">
        <v>455</v>
      </c>
      <c r="N3" t="s">
        <v>21</v>
      </c>
      <c r="O3" t="s">
        <v>21</v>
      </c>
    </row>
    <row r="4" spans="1:15" x14ac:dyDescent="0.3">
      <c r="A4" t="s">
        <v>25</v>
      </c>
      <c r="B4" t="s">
        <v>26</v>
      </c>
      <c r="C4" t="s">
        <v>27</v>
      </c>
      <c r="D4" s="1">
        <v>45697</v>
      </c>
      <c r="E4">
        <v>4</v>
      </c>
      <c r="F4">
        <v>89335</v>
      </c>
      <c r="G4">
        <v>268005</v>
      </c>
      <c r="H4" s="24">
        <v>0.28999999999999998</v>
      </c>
      <c r="I4" t="s">
        <v>28</v>
      </c>
      <c r="J4" t="s">
        <v>19</v>
      </c>
      <c r="K4" s="1">
        <v>45862</v>
      </c>
      <c r="L4" t="s">
        <v>20</v>
      </c>
      <c r="M4">
        <v>80</v>
      </c>
      <c r="N4" t="s">
        <v>21</v>
      </c>
      <c r="O4" t="s">
        <v>21</v>
      </c>
    </row>
    <row r="5" spans="1:15" x14ac:dyDescent="0.3">
      <c r="A5" t="s">
        <v>29</v>
      </c>
      <c r="B5" t="s">
        <v>26</v>
      </c>
      <c r="C5" t="s">
        <v>30</v>
      </c>
      <c r="D5" s="1">
        <v>45640</v>
      </c>
      <c r="E5">
        <v>2</v>
      </c>
      <c r="F5">
        <v>90888</v>
      </c>
      <c r="G5">
        <v>272664</v>
      </c>
      <c r="H5" s="24">
        <v>0.16</v>
      </c>
      <c r="I5" t="s">
        <v>18</v>
      </c>
      <c r="J5" t="s">
        <v>31</v>
      </c>
      <c r="K5" s="1">
        <v>45869</v>
      </c>
      <c r="L5" t="s">
        <v>21</v>
      </c>
      <c r="M5">
        <v>441</v>
      </c>
      <c r="N5" t="s">
        <v>21</v>
      </c>
      <c r="O5" t="s">
        <v>21</v>
      </c>
    </row>
    <row r="6" spans="1:15" x14ac:dyDescent="0.3">
      <c r="A6" t="s">
        <v>32</v>
      </c>
      <c r="B6" t="s">
        <v>33</v>
      </c>
      <c r="C6" t="s">
        <v>34</v>
      </c>
      <c r="D6" s="1">
        <v>45735</v>
      </c>
      <c r="E6">
        <v>3</v>
      </c>
      <c r="F6">
        <v>72884</v>
      </c>
      <c r="G6">
        <v>364420</v>
      </c>
      <c r="H6" s="24">
        <v>0.18</v>
      </c>
      <c r="I6" t="s">
        <v>18</v>
      </c>
      <c r="J6" t="s">
        <v>19</v>
      </c>
      <c r="K6" s="1">
        <v>45856</v>
      </c>
      <c r="L6" t="s">
        <v>21</v>
      </c>
      <c r="M6">
        <v>123</v>
      </c>
      <c r="N6" t="s">
        <v>21</v>
      </c>
      <c r="O6" t="s">
        <v>20</v>
      </c>
    </row>
    <row r="7" spans="1:15" x14ac:dyDescent="0.3">
      <c r="A7" t="s">
        <v>35</v>
      </c>
      <c r="B7" t="s">
        <v>36</v>
      </c>
      <c r="C7" t="s">
        <v>37</v>
      </c>
      <c r="D7" s="1">
        <v>45609</v>
      </c>
      <c r="E7">
        <v>2</v>
      </c>
      <c r="F7">
        <v>92731</v>
      </c>
      <c r="G7">
        <v>185462</v>
      </c>
      <c r="H7" s="24">
        <v>0.12</v>
      </c>
      <c r="I7" t="s">
        <v>38</v>
      </c>
      <c r="J7" t="s">
        <v>19</v>
      </c>
      <c r="K7" s="1">
        <v>45865</v>
      </c>
      <c r="L7" t="s">
        <v>21</v>
      </c>
      <c r="M7">
        <v>484</v>
      </c>
      <c r="N7" t="s">
        <v>21</v>
      </c>
      <c r="O7" t="s">
        <v>21</v>
      </c>
    </row>
    <row r="8" spans="1:15" x14ac:dyDescent="0.3">
      <c r="A8" t="s">
        <v>39</v>
      </c>
      <c r="B8" t="s">
        <v>40</v>
      </c>
      <c r="C8" t="s">
        <v>41</v>
      </c>
      <c r="D8" s="1">
        <v>45772</v>
      </c>
      <c r="E8">
        <v>3</v>
      </c>
      <c r="F8">
        <v>25227</v>
      </c>
      <c r="G8">
        <v>126135</v>
      </c>
      <c r="H8" s="24">
        <v>0.27</v>
      </c>
      <c r="I8" t="s">
        <v>42</v>
      </c>
      <c r="J8" t="s">
        <v>31</v>
      </c>
      <c r="K8" s="1">
        <v>45860</v>
      </c>
      <c r="L8" t="s">
        <v>20</v>
      </c>
      <c r="M8">
        <v>255</v>
      </c>
      <c r="N8" t="s">
        <v>21</v>
      </c>
      <c r="O8" t="s">
        <v>21</v>
      </c>
    </row>
    <row r="9" spans="1:15" x14ac:dyDescent="0.3">
      <c r="A9" t="s">
        <v>43</v>
      </c>
      <c r="B9" t="s">
        <v>44</v>
      </c>
      <c r="C9" t="s">
        <v>45</v>
      </c>
      <c r="D9" s="1">
        <v>45511</v>
      </c>
      <c r="E9">
        <v>1</v>
      </c>
      <c r="F9">
        <v>61962</v>
      </c>
      <c r="G9">
        <v>61962</v>
      </c>
      <c r="H9" s="24">
        <v>0.19</v>
      </c>
      <c r="I9" t="s">
        <v>28</v>
      </c>
      <c r="J9" t="s">
        <v>46</v>
      </c>
      <c r="K9" s="1">
        <v>45860</v>
      </c>
      <c r="L9" t="s">
        <v>20</v>
      </c>
      <c r="M9">
        <v>110</v>
      </c>
      <c r="N9" t="s">
        <v>21</v>
      </c>
      <c r="O9" t="s">
        <v>20</v>
      </c>
    </row>
    <row r="10" spans="1:15" x14ac:dyDescent="0.3">
      <c r="A10" t="s">
        <v>47</v>
      </c>
      <c r="B10" t="s">
        <v>48</v>
      </c>
      <c r="C10" t="s">
        <v>49</v>
      </c>
      <c r="D10" s="1">
        <v>45522</v>
      </c>
      <c r="E10">
        <v>4</v>
      </c>
      <c r="F10">
        <v>6443</v>
      </c>
      <c r="G10">
        <v>32215</v>
      </c>
      <c r="H10" s="24">
        <v>0.06</v>
      </c>
      <c r="I10" t="s">
        <v>28</v>
      </c>
      <c r="J10" t="s">
        <v>50</v>
      </c>
      <c r="K10" s="1">
        <v>45865</v>
      </c>
      <c r="L10" t="s">
        <v>20</v>
      </c>
      <c r="M10">
        <v>433</v>
      </c>
      <c r="N10" t="s">
        <v>20</v>
      </c>
      <c r="O10" t="s">
        <v>21</v>
      </c>
    </row>
    <row r="11" spans="1:15" x14ac:dyDescent="0.3">
      <c r="A11" t="s">
        <v>51</v>
      </c>
      <c r="B11" t="s">
        <v>52</v>
      </c>
      <c r="C11" t="s">
        <v>53</v>
      </c>
      <c r="D11" s="1">
        <v>45534</v>
      </c>
      <c r="E11">
        <v>3</v>
      </c>
      <c r="F11">
        <v>63656</v>
      </c>
      <c r="G11">
        <v>254624</v>
      </c>
      <c r="H11" s="24">
        <v>0.3</v>
      </c>
      <c r="I11" t="s">
        <v>42</v>
      </c>
      <c r="J11" t="s">
        <v>19</v>
      </c>
      <c r="K11" s="1">
        <v>45866</v>
      </c>
      <c r="L11" t="s">
        <v>21</v>
      </c>
      <c r="M11">
        <v>26</v>
      </c>
      <c r="N11" t="s">
        <v>20</v>
      </c>
      <c r="O11" t="s">
        <v>21</v>
      </c>
    </row>
    <row r="12" spans="1:15" x14ac:dyDescent="0.3">
      <c r="A12" t="s">
        <v>54</v>
      </c>
      <c r="B12" t="s">
        <v>55</v>
      </c>
      <c r="C12" t="s">
        <v>49</v>
      </c>
      <c r="D12" s="1">
        <v>45726</v>
      </c>
      <c r="E12">
        <v>1</v>
      </c>
      <c r="F12">
        <v>6443</v>
      </c>
      <c r="G12">
        <v>25772</v>
      </c>
      <c r="H12" s="24">
        <v>0.06</v>
      </c>
      <c r="I12" t="s">
        <v>18</v>
      </c>
      <c r="J12" t="s">
        <v>46</v>
      </c>
      <c r="K12" s="1">
        <v>45869</v>
      </c>
      <c r="L12" t="s">
        <v>21</v>
      </c>
      <c r="M12">
        <v>422</v>
      </c>
      <c r="N12" t="s">
        <v>20</v>
      </c>
      <c r="O12" t="s">
        <v>20</v>
      </c>
    </row>
    <row r="13" spans="1:15" x14ac:dyDescent="0.3">
      <c r="A13" t="s">
        <v>56</v>
      </c>
      <c r="B13" t="s">
        <v>57</v>
      </c>
      <c r="C13" t="s">
        <v>58</v>
      </c>
      <c r="D13" s="1">
        <v>45510</v>
      </c>
      <c r="E13">
        <v>3</v>
      </c>
      <c r="F13">
        <v>46390</v>
      </c>
      <c r="G13">
        <v>139170</v>
      </c>
      <c r="H13" s="24">
        <v>0.22</v>
      </c>
      <c r="I13" t="s">
        <v>18</v>
      </c>
      <c r="J13" t="s">
        <v>50</v>
      </c>
      <c r="K13" s="1">
        <v>45862</v>
      </c>
      <c r="L13" t="s">
        <v>20</v>
      </c>
      <c r="M13">
        <v>101</v>
      </c>
      <c r="N13" t="s">
        <v>21</v>
      </c>
      <c r="O13" t="s">
        <v>20</v>
      </c>
    </row>
    <row r="14" spans="1:15" x14ac:dyDescent="0.3">
      <c r="A14" t="s">
        <v>59</v>
      </c>
      <c r="B14" t="s">
        <v>60</v>
      </c>
      <c r="C14" t="s">
        <v>61</v>
      </c>
      <c r="D14" s="1">
        <v>45747</v>
      </c>
      <c r="E14">
        <v>2</v>
      </c>
      <c r="F14">
        <v>24664</v>
      </c>
      <c r="G14">
        <v>73992</v>
      </c>
      <c r="H14" s="24">
        <v>0.06</v>
      </c>
      <c r="I14" t="s">
        <v>28</v>
      </c>
      <c r="J14" t="s">
        <v>46</v>
      </c>
      <c r="K14" s="1">
        <v>45859</v>
      </c>
      <c r="L14" t="s">
        <v>20</v>
      </c>
      <c r="M14">
        <v>310</v>
      </c>
      <c r="N14" t="s">
        <v>20</v>
      </c>
      <c r="O14" t="s">
        <v>21</v>
      </c>
    </row>
    <row r="15" spans="1:15" x14ac:dyDescent="0.3">
      <c r="A15" t="s">
        <v>62</v>
      </c>
      <c r="B15" t="s">
        <v>63</v>
      </c>
      <c r="C15" t="s">
        <v>64</v>
      </c>
      <c r="D15" s="1">
        <v>45535</v>
      </c>
      <c r="E15">
        <v>2</v>
      </c>
      <c r="F15">
        <v>74500</v>
      </c>
      <c r="G15">
        <v>298000</v>
      </c>
      <c r="H15" s="24">
        <v>0.11</v>
      </c>
      <c r="I15" t="s">
        <v>18</v>
      </c>
      <c r="J15" t="s">
        <v>50</v>
      </c>
      <c r="K15" s="1">
        <v>45855</v>
      </c>
      <c r="L15" t="s">
        <v>21</v>
      </c>
      <c r="M15">
        <v>259</v>
      </c>
      <c r="N15" t="s">
        <v>21</v>
      </c>
      <c r="O15" t="s">
        <v>21</v>
      </c>
    </row>
    <row r="16" spans="1:15" x14ac:dyDescent="0.3">
      <c r="A16" t="s">
        <v>65</v>
      </c>
      <c r="B16" t="s">
        <v>66</v>
      </c>
      <c r="C16" t="s">
        <v>67</v>
      </c>
      <c r="D16" s="1">
        <v>45763</v>
      </c>
      <c r="E16">
        <v>3</v>
      </c>
      <c r="F16">
        <v>39329</v>
      </c>
      <c r="G16">
        <v>117987</v>
      </c>
      <c r="H16" s="24">
        <v>0.12</v>
      </c>
      <c r="I16" t="s">
        <v>38</v>
      </c>
      <c r="J16" t="s">
        <v>46</v>
      </c>
      <c r="K16" s="1">
        <v>45858</v>
      </c>
      <c r="L16" t="s">
        <v>21</v>
      </c>
      <c r="M16">
        <v>407</v>
      </c>
      <c r="N16" t="s">
        <v>20</v>
      </c>
      <c r="O16" t="s">
        <v>21</v>
      </c>
    </row>
    <row r="17" spans="1:15" x14ac:dyDescent="0.3">
      <c r="A17" t="s">
        <v>68</v>
      </c>
      <c r="B17" t="s">
        <v>69</v>
      </c>
      <c r="C17" t="s">
        <v>70</v>
      </c>
      <c r="D17" s="1">
        <v>45761</v>
      </c>
      <c r="E17">
        <v>5</v>
      </c>
      <c r="F17">
        <v>72067</v>
      </c>
      <c r="G17">
        <v>360335</v>
      </c>
      <c r="H17" s="24">
        <v>0.15</v>
      </c>
      <c r="I17" t="s">
        <v>71</v>
      </c>
      <c r="J17" t="s">
        <v>19</v>
      </c>
      <c r="K17" s="1">
        <v>45855</v>
      </c>
      <c r="L17" t="s">
        <v>21</v>
      </c>
      <c r="M17">
        <v>87</v>
      </c>
      <c r="N17" t="s">
        <v>21</v>
      </c>
      <c r="O17" t="s">
        <v>20</v>
      </c>
    </row>
    <row r="18" spans="1:15" x14ac:dyDescent="0.3">
      <c r="A18" t="s">
        <v>72</v>
      </c>
      <c r="B18" t="s">
        <v>73</v>
      </c>
      <c r="C18" t="s">
        <v>27</v>
      </c>
      <c r="D18" s="1">
        <v>45552</v>
      </c>
      <c r="E18">
        <v>1</v>
      </c>
      <c r="F18">
        <v>89335</v>
      </c>
      <c r="G18">
        <v>446675</v>
      </c>
      <c r="H18" s="24">
        <v>0.28999999999999998</v>
      </c>
      <c r="I18" t="s">
        <v>38</v>
      </c>
      <c r="J18" t="s">
        <v>31</v>
      </c>
      <c r="K18" s="1">
        <v>45867</v>
      </c>
      <c r="L18" t="s">
        <v>20</v>
      </c>
      <c r="M18">
        <v>225</v>
      </c>
      <c r="N18" t="s">
        <v>21</v>
      </c>
      <c r="O18" t="s">
        <v>21</v>
      </c>
    </row>
    <row r="19" spans="1:15" x14ac:dyDescent="0.3">
      <c r="A19" t="s">
        <v>74</v>
      </c>
      <c r="B19" t="s">
        <v>75</v>
      </c>
      <c r="C19" t="s">
        <v>76</v>
      </c>
      <c r="D19" s="1">
        <v>45623</v>
      </c>
      <c r="E19">
        <v>2</v>
      </c>
      <c r="F19">
        <v>83491</v>
      </c>
      <c r="G19">
        <v>333964</v>
      </c>
      <c r="H19" s="24">
        <v>0.05</v>
      </c>
      <c r="I19" t="s">
        <v>18</v>
      </c>
      <c r="J19" t="s">
        <v>46</v>
      </c>
      <c r="K19" s="1">
        <v>45867</v>
      </c>
      <c r="L19" t="s">
        <v>20</v>
      </c>
      <c r="M19">
        <v>361</v>
      </c>
      <c r="N19" t="s">
        <v>20</v>
      </c>
      <c r="O19" t="s">
        <v>20</v>
      </c>
    </row>
    <row r="20" spans="1:15" x14ac:dyDescent="0.3">
      <c r="A20" t="s">
        <v>77</v>
      </c>
      <c r="B20" t="s">
        <v>78</v>
      </c>
      <c r="C20" t="s">
        <v>79</v>
      </c>
      <c r="D20" s="1">
        <v>45689</v>
      </c>
      <c r="E20">
        <v>4</v>
      </c>
      <c r="F20">
        <v>71307</v>
      </c>
      <c r="G20">
        <v>356535</v>
      </c>
      <c r="H20" s="24">
        <v>0.13</v>
      </c>
      <c r="I20" t="s">
        <v>28</v>
      </c>
      <c r="J20" t="s">
        <v>50</v>
      </c>
      <c r="K20" s="1">
        <v>45861</v>
      </c>
      <c r="L20" t="s">
        <v>20</v>
      </c>
      <c r="M20">
        <v>235</v>
      </c>
      <c r="N20" t="s">
        <v>21</v>
      </c>
      <c r="O20" t="s">
        <v>21</v>
      </c>
    </row>
    <row r="21" spans="1:15" x14ac:dyDescent="0.3">
      <c r="A21" t="s">
        <v>80</v>
      </c>
      <c r="B21" t="s">
        <v>81</v>
      </c>
      <c r="C21" t="s">
        <v>82</v>
      </c>
      <c r="D21" s="1">
        <v>45553</v>
      </c>
      <c r="E21">
        <v>3</v>
      </c>
      <c r="F21">
        <v>20556</v>
      </c>
      <c r="G21">
        <v>102780</v>
      </c>
      <c r="H21" s="24">
        <v>0.14000000000000001</v>
      </c>
      <c r="I21" t="s">
        <v>28</v>
      </c>
      <c r="J21" t="s">
        <v>31</v>
      </c>
      <c r="K21" s="1">
        <v>45864</v>
      </c>
      <c r="L21" t="s">
        <v>20</v>
      </c>
      <c r="M21">
        <v>142</v>
      </c>
      <c r="N21" t="s">
        <v>21</v>
      </c>
      <c r="O21" t="s">
        <v>20</v>
      </c>
    </row>
    <row r="22" spans="1:15" x14ac:dyDescent="0.3">
      <c r="A22" t="s">
        <v>83</v>
      </c>
      <c r="B22" t="s">
        <v>84</v>
      </c>
      <c r="C22" t="s">
        <v>82</v>
      </c>
      <c r="D22" s="1">
        <v>45538</v>
      </c>
      <c r="E22">
        <v>3</v>
      </c>
      <c r="F22">
        <v>20556</v>
      </c>
      <c r="G22">
        <v>41112</v>
      </c>
      <c r="H22" s="24">
        <v>0.14000000000000001</v>
      </c>
      <c r="I22" t="s">
        <v>28</v>
      </c>
      <c r="J22" t="s">
        <v>50</v>
      </c>
      <c r="K22" s="1">
        <v>45861</v>
      </c>
      <c r="L22" t="s">
        <v>21</v>
      </c>
      <c r="M22">
        <v>178</v>
      </c>
      <c r="N22" t="s">
        <v>21</v>
      </c>
      <c r="O22" t="s">
        <v>21</v>
      </c>
    </row>
    <row r="23" spans="1:15" x14ac:dyDescent="0.3">
      <c r="A23" t="s">
        <v>85</v>
      </c>
      <c r="B23" t="s">
        <v>86</v>
      </c>
      <c r="C23" t="s">
        <v>87</v>
      </c>
      <c r="D23" s="1">
        <v>45773</v>
      </c>
      <c r="E23">
        <v>5</v>
      </c>
      <c r="F23">
        <v>31171</v>
      </c>
      <c r="G23">
        <v>124684</v>
      </c>
      <c r="H23" s="24">
        <v>0.22</v>
      </c>
      <c r="I23" t="s">
        <v>28</v>
      </c>
      <c r="J23" t="s">
        <v>50</v>
      </c>
      <c r="K23" s="1">
        <v>45857</v>
      </c>
      <c r="L23" t="s">
        <v>20</v>
      </c>
      <c r="M23">
        <v>148</v>
      </c>
      <c r="N23" t="s">
        <v>20</v>
      </c>
      <c r="O23" t="s">
        <v>21</v>
      </c>
    </row>
    <row r="24" spans="1:15" x14ac:dyDescent="0.3">
      <c r="A24" t="s">
        <v>88</v>
      </c>
      <c r="B24" t="s">
        <v>89</v>
      </c>
      <c r="C24" t="s">
        <v>90</v>
      </c>
      <c r="D24" s="1">
        <v>45788</v>
      </c>
      <c r="E24">
        <v>3</v>
      </c>
      <c r="F24">
        <v>90766</v>
      </c>
      <c r="G24">
        <v>363064</v>
      </c>
      <c r="H24" s="24">
        <v>0.14000000000000001</v>
      </c>
      <c r="I24" t="s">
        <v>42</v>
      </c>
      <c r="J24" t="s">
        <v>46</v>
      </c>
      <c r="K24" s="1">
        <v>45855</v>
      </c>
      <c r="L24" t="s">
        <v>20</v>
      </c>
      <c r="M24">
        <v>103</v>
      </c>
      <c r="N24" t="s">
        <v>21</v>
      </c>
      <c r="O24" t="s">
        <v>21</v>
      </c>
    </row>
    <row r="25" spans="1:15" x14ac:dyDescent="0.3">
      <c r="A25" t="s">
        <v>91</v>
      </c>
      <c r="B25" t="s">
        <v>52</v>
      </c>
      <c r="C25" t="s">
        <v>92</v>
      </c>
      <c r="D25" s="1">
        <v>45619</v>
      </c>
      <c r="E25">
        <v>5</v>
      </c>
      <c r="F25">
        <v>54455</v>
      </c>
      <c r="G25">
        <v>272275</v>
      </c>
      <c r="H25" s="24">
        <v>0.27</v>
      </c>
      <c r="I25" t="s">
        <v>71</v>
      </c>
      <c r="J25" t="s">
        <v>31</v>
      </c>
      <c r="K25" s="1">
        <v>45865</v>
      </c>
      <c r="L25" t="s">
        <v>20</v>
      </c>
      <c r="M25">
        <v>342</v>
      </c>
      <c r="N25" t="s">
        <v>20</v>
      </c>
      <c r="O25" t="s">
        <v>20</v>
      </c>
    </row>
    <row r="26" spans="1:15" x14ac:dyDescent="0.3">
      <c r="A26" t="s">
        <v>93</v>
      </c>
      <c r="B26" t="s">
        <v>48</v>
      </c>
      <c r="C26" t="s">
        <v>94</v>
      </c>
      <c r="D26" s="1">
        <v>45594</v>
      </c>
      <c r="E26">
        <v>4</v>
      </c>
      <c r="F26">
        <v>77220</v>
      </c>
      <c r="G26">
        <v>231660</v>
      </c>
      <c r="H26" s="24">
        <v>0.18</v>
      </c>
      <c r="I26" t="s">
        <v>28</v>
      </c>
      <c r="J26" t="s">
        <v>19</v>
      </c>
      <c r="K26" s="1">
        <v>45867</v>
      </c>
      <c r="L26" t="s">
        <v>20</v>
      </c>
      <c r="M26">
        <v>2</v>
      </c>
      <c r="N26" t="s">
        <v>20</v>
      </c>
      <c r="O26" t="s">
        <v>21</v>
      </c>
    </row>
    <row r="27" spans="1:15" x14ac:dyDescent="0.3">
      <c r="A27" t="s">
        <v>95</v>
      </c>
      <c r="B27" t="s">
        <v>23</v>
      </c>
      <c r="C27" t="s">
        <v>96</v>
      </c>
      <c r="D27" s="1">
        <v>45513</v>
      </c>
      <c r="E27">
        <v>4</v>
      </c>
      <c r="F27">
        <v>98254</v>
      </c>
      <c r="G27">
        <v>196508</v>
      </c>
      <c r="H27" s="24">
        <v>0.15</v>
      </c>
      <c r="I27" t="s">
        <v>42</v>
      </c>
      <c r="J27" t="s">
        <v>50</v>
      </c>
      <c r="K27" s="1">
        <v>45861</v>
      </c>
      <c r="L27" t="s">
        <v>21</v>
      </c>
      <c r="M27">
        <v>330</v>
      </c>
      <c r="N27" t="s">
        <v>20</v>
      </c>
      <c r="O27" t="s">
        <v>20</v>
      </c>
    </row>
    <row r="28" spans="1:15" x14ac:dyDescent="0.3">
      <c r="A28" t="s">
        <v>97</v>
      </c>
      <c r="B28" t="s">
        <v>23</v>
      </c>
      <c r="C28" t="s">
        <v>87</v>
      </c>
      <c r="D28" s="1">
        <v>45765</v>
      </c>
      <c r="E28">
        <v>2</v>
      </c>
      <c r="F28">
        <v>31171</v>
      </c>
      <c r="G28">
        <v>155855</v>
      </c>
      <c r="H28" s="24">
        <v>0.22</v>
      </c>
      <c r="I28" t="s">
        <v>38</v>
      </c>
      <c r="J28" t="s">
        <v>31</v>
      </c>
      <c r="K28" s="1">
        <v>45868</v>
      </c>
      <c r="L28" t="s">
        <v>21</v>
      </c>
      <c r="M28">
        <v>451</v>
      </c>
      <c r="N28" t="s">
        <v>20</v>
      </c>
      <c r="O28" t="s">
        <v>20</v>
      </c>
    </row>
    <row r="29" spans="1:15" x14ac:dyDescent="0.3">
      <c r="A29" t="s">
        <v>98</v>
      </c>
      <c r="B29" t="s">
        <v>99</v>
      </c>
      <c r="C29" t="s">
        <v>45</v>
      </c>
      <c r="D29" s="1">
        <v>45732</v>
      </c>
      <c r="E29">
        <v>2</v>
      </c>
      <c r="F29">
        <v>61962</v>
      </c>
      <c r="G29">
        <v>185886</v>
      </c>
      <c r="H29" s="24">
        <v>0.19</v>
      </c>
      <c r="I29" t="s">
        <v>38</v>
      </c>
      <c r="J29" t="s">
        <v>19</v>
      </c>
      <c r="K29" s="1">
        <v>45856</v>
      </c>
      <c r="L29" t="s">
        <v>21</v>
      </c>
      <c r="M29">
        <v>290</v>
      </c>
      <c r="N29" t="s">
        <v>20</v>
      </c>
      <c r="O29" t="s">
        <v>21</v>
      </c>
    </row>
    <row r="30" spans="1:15" x14ac:dyDescent="0.3">
      <c r="A30" t="s">
        <v>100</v>
      </c>
      <c r="B30" t="s">
        <v>101</v>
      </c>
      <c r="C30" t="s">
        <v>102</v>
      </c>
      <c r="D30" s="1">
        <v>45681</v>
      </c>
      <c r="E30">
        <v>5</v>
      </c>
      <c r="F30">
        <v>41533</v>
      </c>
      <c r="G30">
        <v>207665</v>
      </c>
      <c r="H30" s="24">
        <v>0.23</v>
      </c>
      <c r="I30" t="s">
        <v>28</v>
      </c>
      <c r="J30" t="s">
        <v>31</v>
      </c>
      <c r="K30" s="1">
        <v>45866</v>
      </c>
      <c r="L30" t="s">
        <v>21</v>
      </c>
      <c r="M30">
        <v>139</v>
      </c>
      <c r="N30" t="s">
        <v>20</v>
      </c>
      <c r="O30" t="s">
        <v>20</v>
      </c>
    </row>
    <row r="31" spans="1:15" x14ac:dyDescent="0.3">
      <c r="A31" t="s">
        <v>103</v>
      </c>
      <c r="B31" t="s">
        <v>104</v>
      </c>
      <c r="C31" t="s">
        <v>41</v>
      </c>
      <c r="D31" s="1">
        <v>45687</v>
      </c>
      <c r="E31">
        <v>4</v>
      </c>
      <c r="F31">
        <v>25227</v>
      </c>
      <c r="G31">
        <v>75681</v>
      </c>
      <c r="H31" s="24">
        <v>0.27</v>
      </c>
      <c r="I31" t="s">
        <v>71</v>
      </c>
      <c r="J31" t="s">
        <v>19</v>
      </c>
      <c r="K31" s="1">
        <v>45863</v>
      </c>
      <c r="L31" t="s">
        <v>21</v>
      </c>
      <c r="M31">
        <v>404</v>
      </c>
      <c r="N31" t="s">
        <v>21</v>
      </c>
      <c r="O31" t="s">
        <v>20</v>
      </c>
    </row>
    <row r="32" spans="1:15" x14ac:dyDescent="0.3">
      <c r="A32" t="s">
        <v>105</v>
      </c>
      <c r="B32" t="s">
        <v>106</v>
      </c>
      <c r="C32" t="s">
        <v>107</v>
      </c>
      <c r="D32" s="1">
        <v>45510</v>
      </c>
      <c r="E32">
        <v>4</v>
      </c>
      <c r="F32">
        <v>59299</v>
      </c>
      <c r="G32">
        <v>237196</v>
      </c>
      <c r="H32" s="24">
        <v>0.24</v>
      </c>
      <c r="I32" t="s">
        <v>18</v>
      </c>
      <c r="J32" t="s">
        <v>50</v>
      </c>
      <c r="K32" s="1">
        <v>45867</v>
      </c>
      <c r="L32" t="s">
        <v>20</v>
      </c>
      <c r="M32">
        <v>205</v>
      </c>
      <c r="N32" t="s">
        <v>20</v>
      </c>
      <c r="O32" t="s">
        <v>20</v>
      </c>
    </row>
    <row r="33" spans="1:15" x14ac:dyDescent="0.3">
      <c r="A33" t="s">
        <v>108</v>
      </c>
      <c r="B33" t="s">
        <v>52</v>
      </c>
      <c r="C33" t="s">
        <v>109</v>
      </c>
      <c r="D33" s="1">
        <v>45822</v>
      </c>
      <c r="E33">
        <v>3</v>
      </c>
      <c r="F33">
        <v>95839</v>
      </c>
      <c r="G33">
        <v>191678</v>
      </c>
      <c r="H33" s="24">
        <v>0.25</v>
      </c>
      <c r="I33" t="s">
        <v>38</v>
      </c>
      <c r="J33" t="s">
        <v>50</v>
      </c>
      <c r="K33" s="1">
        <v>45868</v>
      </c>
      <c r="L33" t="s">
        <v>21</v>
      </c>
      <c r="M33">
        <v>120</v>
      </c>
      <c r="N33" t="s">
        <v>21</v>
      </c>
      <c r="O33" t="s">
        <v>21</v>
      </c>
    </row>
    <row r="34" spans="1:15" x14ac:dyDescent="0.3">
      <c r="A34" t="s">
        <v>110</v>
      </c>
      <c r="B34" t="s">
        <v>104</v>
      </c>
      <c r="C34" t="s">
        <v>111</v>
      </c>
      <c r="D34" s="1">
        <v>45553</v>
      </c>
      <c r="E34">
        <v>5</v>
      </c>
      <c r="F34">
        <v>49066</v>
      </c>
      <c r="G34">
        <v>245330</v>
      </c>
      <c r="H34" s="24">
        <v>0.11</v>
      </c>
      <c r="I34" t="s">
        <v>38</v>
      </c>
      <c r="J34" t="s">
        <v>50</v>
      </c>
      <c r="K34" s="1">
        <v>45863</v>
      </c>
      <c r="L34" t="s">
        <v>21</v>
      </c>
      <c r="M34">
        <v>354</v>
      </c>
      <c r="N34" t="s">
        <v>20</v>
      </c>
      <c r="O34" t="s">
        <v>20</v>
      </c>
    </row>
    <row r="35" spans="1:15" x14ac:dyDescent="0.3">
      <c r="A35" t="s">
        <v>112</v>
      </c>
      <c r="B35" t="s">
        <v>113</v>
      </c>
      <c r="C35" t="s">
        <v>114</v>
      </c>
      <c r="D35" s="1">
        <v>45550</v>
      </c>
      <c r="E35">
        <v>4</v>
      </c>
      <c r="F35">
        <v>35503</v>
      </c>
      <c r="G35">
        <v>106509</v>
      </c>
      <c r="H35" s="24">
        <v>0.22</v>
      </c>
      <c r="I35" t="s">
        <v>71</v>
      </c>
      <c r="J35" t="s">
        <v>46</v>
      </c>
      <c r="K35" s="1">
        <v>45861</v>
      </c>
      <c r="L35" t="s">
        <v>21</v>
      </c>
      <c r="M35">
        <v>353</v>
      </c>
      <c r="N35" t="s">
        <v>20</v>
      </c>
      <c r="O35" t="s">
        <v>21</v>
      </c>
    </row>
    <row r="36" spans="1:15" x14ac:dyDescent="0.3">
      <c r="A36" t="s">
        <v>115</v>
      </c>
      <c r="B36" t="s">
        <v>116</v>
      </c>
      <c r="C36" t="s">
        <v>107</v>
      </c>
      <c r="D36" s="1">
        <v>45789</v>
      </c>
      <c r="E36">
        <v>2</v>
      </c>
      <c r="F36">
        <v>59299</v>
      </c>
      <c r="G36">
        <v>118598</v>
      </c>
      <c r="H36" s="24">
        <v>0.24</v>
      </c>
      <c r="I36" t="s">
        <v>71</v>
      </c>
      <c r="J36" t="s">
        <v>46</v>
      </c>
      <c r="K36" s="1">
        <v>45857</v>
      </c>
      <c r="L36" t="s">
        <v>20</v>
      </c>
      <c r="M36">
        <v>232</v>
      </c>
      <c r="N36" t="s">
        <v>21</v>
      </c>
      <c r="O36" t="s">
        <v>21</v>
      </c>
    </row>
    <row r="37" spans="1:15" x14ac:dyDescent="0.3">
      <c r="A37" t="s">
        <v>117</v>
      </c>
      <c r="B37" t="s">
        <v>118</v>
      </c>
      <c r="C37" t="s">
        <v>119</v>
      </c>
      <c r="D37" s="1">
        <v>45836</v>
      </c>
      <c r="E37">
        <v>4</v>
      </c>
      <c r="F37">
        <v>40983</v>
      </c>
      <c r="G37">
        <v>204915</v>
      </c>
      <c r="H37" s="24">
        <v>0.1</v>
      </c>
      <c r="I37" t="s">
        <v>71</v>
      </c>
      <c r="J37" t="s">
        <v>31</v>
      </c>
      <c r="K37" s="1">
        <v>45868</v>
      </c>
      <c r="L37" t="s">
        <v>20</v>
      </c>
      <c r="M37">
        <v>269</v>
      </c>
      <c r="N37" t="s">
        <v>21</v>
      </c>
      <c r="O37" t="s">
        <v>21</v>
      </c>
    </row>
    <row r="38" spans="1:15" x14ac:dyDescent="0.3">
      <c r="A38" t="s">
        <v>120</v>
      </c>
      <c r="B38" t="s">
        <v>121</v>
      </c>
      <c r="C38" t="s">
        <v>122</v>
      </c>
      <c r="D38" s="1">
        <v>45750</v>
      </c>
      <c r="E38">
        <v>1</v>
      </c>
      <c r="F38">
        <v>22197</v>
      </c>
      <c r="G38">
        <v>22197</v>
      </c>
      <c r="H38" s="24">
        <v>0.28000000000000003</v>
      </c>
      <c r="I38" t="s">
        <v>18</v>
      </c>
      <c r="J38" t="s">
        <v>31</v>
      </c>
      <c r="K38" s="1">
        <v>45857</v>
      </c>
      <c r="L38" t="s">
        <v>20</v>
      </c>
      <c r="M38">
        <v>84</v>
      </c>
      <c r="N38" t="s">
        <v>21</v>
      </c>
      <c r="O38" t="s">
        <v>21</v>
      </c>
    </row>
    <row r="39" spans="1:15" x14ac:dyDescent="0.3">
      <c r="A39" t="s">
        <v>123</v>
      </c>
      <c r="B39" t="s">
        <v>124</v>
      </c>
      <c r="C39" t="s">
        <v>125</v>
      </c>
      <c r="D39" s="1">
        <v>45577</v>
      </c>
      <c r="E39">
        <v>2</v>
      </c>
      <c r="F39">
        <v>56140</v>
      </c>
      <c r="G39">
        <v>280700</v>
      </c>
      <c r="H39" s="24">
        <v>7.0000000000000007E-2</v>
      </c>
      <c r="I39" t="s">
        <v>28</v>
      </c>
      <c r="J39" t="s">
        <v>19</v>
      </c>
      <c r="K39" s="1">
        <v>45867</v>
      </c>
      <c r="L39" t="s">
        <v>21</v>
      </c>
      <c r="M39">
        <v>414</v>
      </c>
      <c r="N39" t="s">
        <v>20</v>
      </c>
      <c r="O39" t="s">
        <v>21</v>
      </c>
    </row>
    <row r="40" spans="1:15" x14ac:dyDescent="0.3">
      <c r="A40" t="s">
        <v>126</v>
      </c>
      <c r="B40" t="s">
        <v>127</v>
      </c>
      <c r="C40" t="s">
        <v>128</v>
      </c>
      <c r="D40" s="1">
        <v>45489</v>
      </c>
      <c r="E40">
        <v>4</v>
      </c>
      <c r="F40">
        <v>85937</v>
      </c>
      <c r="G40">
        <v>343748</v>
      </c>
      <c r="H40" s="24">
        <v>0.11</v>
      </c>
      <c r="I40" t="s">
        <v>18</v>
      </c>
      <c r="J40" t="s">
        <v>19</v>
      </c>
      <c r="K40" s="1">
        <v>45856</v>
      </c>
      <c r="L40" t="s">
        <v>21</v>
      </c>
      <c r="M40">
        <v>344</v>
      </c>
      <c r="N40" t="s">
        <v>21</v>
      </c>
      <c r="O40" t="s">
        <v>20</v>
      </c>
    </row>
    <row r="41" spans="1:15" x14ac:dyDescent="0.3">
      <c r="A41" t="s">
        <v>129</v>
      </c>
      <c r="B41" t="s">
        <v>99</v>
      </c>
      <c r="C41" t="s">
        <v>130</v>
      </c>
      <c r="D41" s="1">
        <v>45822</v>
      </c>
      <c r="E41">
        <v>1</v>
      </c>
      <c r="F41">
        <v>12313</v>
      </c>
      <c r="G41">
        <v>24626</v>
      </c>
      <c r="H41" s="24">
        <v>0.14000000000000001</v>
      </c>
      <c r="I41" t="s">
        <v>18</v>
      </c>
      <c r="J41" t="s">
        <v>19</v>
      </c>
      <c r="K41" s="1">
        <v>45855</v>
      </c>
      <c r="L41" t="s">
        <v>20</v>
      </c>
      <c r="M41">
        <v>216</v>
      </c>
      <c r="N41" t="s">
        <v>21</v>
      </c>
      <c r="O41" t="s">
        <v>20</v>
      </c>
    </row>
    <row r="42" spans="1:15" x14ac:dyDescent="0.3">
      <c r="A42" t="s">
        <v>131</v>
      </c>
      <c r="B42" t="s">
        <v>132</v>
      </c>
      <c r="C42" t="s">
        <v>133</v>
      </c>
      <c r="D42" s="1">
        <v>45583</v>
      </c>
      <c r="E42">
        <v>1</v>
      </c>
      <c r="F42">
        <v>72850</v>
      </c>
      <c r="G42">
        <v>291400</v>
      </c>
      <c r="H42" s="24">
        <v>7.0000000000000007E-2</v>
      </c>
      <c r="I42" t="s">
        <v>38</v>
      </c>
      <c r="J42" t="s">
        <v>50</v>
      </c>
      <c r="K42" s="1">
        <v>45856</v>
      </c>
      <c r="L42" t="s">
        <v>21</v>
      </c>
      <c r="M42">
        <v>92</v>
      </c>
      <c r="N42" t="s">
        <v>20</v>
      </c>
      <c r="O42" t="s">
        <v>21</v>
      </c>
    </row>
    <row r="43" spans="1:15" x14ac:dyDescent="0.3">
      <c r="A43" t="s">
        <v>134</v>
      </c>
      <c r="B43" t="s">
        <v>116</v>
      </c>
      <c r="C43" t="s">
        <v>135</v>
      </c>
      <c r="D43" s="1">
        <v>45672</v>
      </c>
      <c r="E43">
        <v>4</v>
      </c>
      <c r="F43">
        <v>12719</v>
      </c>
      <c r="G43">
        <v>50876</v>
      </c>
      <c r="H43" s="24">
        <v>0.18</v>
      </c>
      <c r="I43" t="s">
        <v>28</v>
      </c>
      <c r="J43" t="s">
        <v>19</v>
      </c>
      <c r="K43" s="1">
        <v>45863</v>
      </c>
      <c r="L43" t="s">
        <v>20</v>
      </c>
      <c r="M43">
        <v>334</v>
      </c>
      <c r="N43" t="s">
        <v>21</v>
      </c>
      <c r="O43" t="s">
        <v>20</v>
      </c>
    </row>
    <row r="44" spans="1:15" x14ac:dyDescent="0.3">
      <c r="A44" t="s">
        <v>136</v>
      </c>
      <c r="B44" t="s">
        <v>106</v>
      </c>
      <c r="C44" t="s">
        <v>137</v>
      </c>
      <c r="D44" s="1">
        <v>45637</v>
      </c>
      <c r="E44">
        <v>4</v>
      </c>
      <c r="F44">
        <v>79497</v>
      </c>
      <c r="G44">
        <v>397485</v>
      </c>
      <c r="H44" s="24">
        <v>0.09</v>
      </c>
      <c r="I44" t="s">
        <v>71</v>
      </c>
      <c r="J44" t="s">
        <v>31</v>
      </c>
      <c r="K44" s="1">
        <v>45858</v>
      </c>
      <c r="L44" t="s">
        <v>20</v>
      </c>
      <c r="M44">
        <v>387</v>
      </c>
      <c r="N44" t="s">
        <v>20</v>
      </c>
      <c r="O44" t="s">
        <v>21</v>
      </c>
    </row>
    <row r="45" spans="1:15" x14ac:dyDescent="0.3">
      <c r="A45" t="s">
        <v>138</v>
      </c>
      <c r="B45" t="s">
        <v>139</v>
      </c>
      <c r="C45" t="s">
        <v>140</v>
      </c>
      <c r="D45" s="1">
        <v>45558</v>
      </c>
      <c r="E45">
        <v>5</v>
      </c>
      <c r="F45">
        <v>52931</v>
      </c>
      <c r="G45">
        <v>211724</v>
      </c>
      <c r="H45" s="24">
        <v>0.28000000000000003</v>
      </c>
      <c r="I45" t="s">
        <v>18</v>
      </c>
      <c r="J45" t="s">
        <v>46</v>
      </c>
      <c r="K45" s="1">
        <v>45855</v>
      </c>
      <c r="L45" t="s">
        <v>20</v>
      </c>
      <c r="M45">
        <v>126</v>
      </c>
      <c r="N45" t="s">
        <v>21</v>
      </c>
      <c r="O45" t="s">
        <v>21</v>
      </c>
    </row>
    <row r="46" spans="1:15" x14ac:dyDescent="0.3">
      <c r="A46" t="s">
        <v>141</v>
      </c>
      <c r="B46" t="s">
        <v>75</v>
      </c>
      <c r="C46" t="s">
        <v>142</v>
      </c>
      <c r="D46" s="1">
        <v>45703</v>
      </c>
      <c r="E46">
        <v>2</v>
      </c>
      <c r="F46">
        <v>31147</v>
      </c>
      <c r="G46">
        <v>31147</v>
      </c>
      <c r="H46" s="24">
        <v>0.2</v>
      </c>
      <c r="I46" t="s">
        <v>38</v>
      </c>
      <c r="J46" t="s">
        <v>46</v>
      </c>
      <c r="K46" s="1">
        <v>45865</v>
      </c>
      <c r="L46" t="s">
        <v>20</v>
      </c>
      <c r="M46">
        <v>123</v>
      </c>
      <c r="N46" t="s">
        <v>20</v>
      </c>
      <c r="O46" t="s">
        <v>20</v>
      </c>
    </row>
    <row r="47" spans="1:15" x14ac:dyDescent="0.3">
      <c r="A47" t="s">
        <v>143</v>
      </c>
      <c r="B47" t="s">
        <v>57</v>
      </c>
      <c r="C47" t="s">
        <v>144</v>
      </c>
      <c r="D47" s="1">
        <v>45576</v>
      </c>
      <c r="E47">
        <v>1</v>
      </c>
      <c r="F47">
        <v>29602</v>
      </c>
      <c r="G47">
        <v>118408</v>
      </c>
      <c r="H47" s="24">
        <v>0.19</v>
      </c>
      <c r="I47" t="s">
        <v>18</v>
      </c>
      <c r="J47" t="s">
        <v>19</v>
      </c>
      <c r="K47" s="1">
        <v>45862</v>
      </c>
      <c r="L47" t="s">
        <v>20</v>
      </c>
      <c r="M47">
        <v>379</v>
      </c>
      <c r="N47" t="s">
        <v>20</v>
      </c>
      <c r="O47" t="s">
        <v>21</v>
      </c>
    </row>
    <row r="48" spans="1:15" x14ac:dyDescent="0.3">
      <c r="A48" t="s">
        <v>145</v>
      </c>
      <c r="B48" t="s">
        <v>146</v>
      </c>
      <c r="C48" t="s">
        <v>147</v>
      </c>
      <c r="D48" s="1">
        <v>45585</v>
      </c>
      <c r="E48">
        <v>5</v>
      </c>
      <c r="F48">
        <v>50486</v>
      </c>
      <c r="G48">
        <v>100972</v>
      </c>
      <c r="H48" s="24">
        <v>0.23</v>
      </c>
      <c r="I48" t="s">
        <v>38</v>
      </c>
      <c r="J48" t="s">
        <v>31</v>
      </c>
      <c r="K48" s="1">
        <v>45865</v>
      </c>
      <c r="L48" t="s">
        <v>21</v>
      </c>
      <c r="M48">
        <v>119</v>
      </c>
      <c r="N48" t="s">
        <v>21</v>
      </c>
      <c r="O48" t="s">
        <v>21</v>
      </c>
    </row>
    <row r="49" spans="1:15" x14ac:dyDescent="0.3">
      <c r="A49" t="s">
        <v>148</v>
      </c>
      <c r="B49" t="s">
        <v>149</v>
      </c>
      <c r="C49" t="s">
        <v>111</v>
      </c>
      <c r="D49" s="1">
        <v>45844</v>
      </c>
      <c r="E49">
        <v>2</v>
      </c>
      <c r="F49">
        <v>49066</v>
      </c>
      <c r="G49">
        <v>245330</v>
      </c>
      <c r="H49" s="24">
        <v>0.11</v>
      </c>
      <c r="I49" t="s">
        <v>71</v>
      </c>
      <c r="J49" t="s">
        <v>46</v>
      </c>
      <c r="K49" s="1">
        <v>45862</v>
      </c>
      <c r="L49" t="s">
        <v>21</v>
      </c>
      <c r="M49">
        <v>140</v>
      </c>
      <c r="N49" t="s">
        <v>20</v>
      </c>
      <c r="O49" t="s">
        <v>20</v>
      </c>
    </row>
    <row r="50" spans="1:15" x14ac:dyDescent="0.3">
      <c r="A50" t="s">
        <v>150</v>
      </c>
      <c r="B50" t="s">
        <v>151</v>
      </c>
      <c r="C50" t="s">
        <v>140</v>
      </c>
      <c r="D50" s="1">
        <v>45594</v>
      </c>
      <c r="E50">
        <v>4</v>
      </c>
      <c r="F50">
        <v>52931</v>
      </c>
      <c r="G50">
        <v>264655</v>
      </c>
      <c r="H50" s="24">
        <v>0.28000000000000003</v>
      </c>
      <c r="I50" t="s">
        <v>28</v>
      </c>
      <c r="J50" t="s">
        <v>19</v>
      </c>
      <c r="K50" s="1">
        <v>45856</v>
      </c>
      <c r="L50" t="s">
        <v>21</v>
      </c>
      <c r="M50">
        <v>482</v>
      </c>
      <c r="N50" t="s">
        <v>21</v>
      </c>
      <c r="O50" t="s">
        <v>21</v>
      </c>
    </row>
    <row r="51" spans="1:15" x14ac:dyDescent="0.3">
      <c r="A51" t="s">
        <v>152</v>
      </c>
      <c r="B51" t="s">
        <v>118</v>
      </c>
      <c r="C51" t="s">
        <v>153</v>
      </c>
      <c r="D51" s="1">
        <v>45710</v>
      </c>
      <c r="E51">
        <v>4</v>
      </c>
      <c r="F51">
        <v>74895</v>
      </c>
      <c r="G51">
        <v>149790</v>
      </c>
      <c r="H51" s="24">
        <v>0.24</v>
      </c>
      <c r="I51" t="s">
        <v>42</v>
      </c>
      <c r="J51" t="s">
        <v>46</v>
      </c>
      <c r="K51" s="1">
        <v>45864</v>
      </c>
      <c r="L51" t="s">
        <v>20</v>
      </c>
      <c r="M51">
        <v>386</v>
      </c>
      <c r="N51" t="s">
        <v>21</v>
      </c>
      <c r="O51" t="s">
        <v>20</v>
      </c>
    </row>
    <row r="52" spans="1:15" x14ac:dyDescent="0.3">
      <c r="A52" t="s">
        <v>154</v>
      </c>
      <c r="B52" t="s">
        <v>155</v>
      </c>
      <c r="C52" t="s">
        <v>111</v>
      </c>
      <c r="D52" s="1">
        <v>45535</v>
      </c>
      <c r="E52">
        <v>2</v>
      </c>
      <c r="F52">
        <v>49066</v>
      </c>
      <c r="G52">
        <v>196264</v>
      </c>
      <c r="H52" s="24">
        <v>0.11</v>
      </c>
      <c r="I52" t="s">
        <v>38</v>
      </c>
      <c r="J52" t="s">
        <v>46</v>
      </c>
      <c r="K52" s="1">
        <v>45867</v>
      </c>
      <c r="L52" t="s">
        <v>21</v>
      </c>
      <c r="M52">
        <v>285</v>
      </c>
      <c r="N52" t="s">
        <v>20</v>
      </c>
      <c r="O52" t="s">
        <v>21</v>
      </c>
    </row>
    <row r="53" spans="1:15" x14ac:dyDescent="0.3">
      <c r="A53" t="s">
        <v>156</v>
      </c>
      <c r="B53" t="s">
        <v>40</v>
      </c>
      <c r="C53" t="s">
        <v>130</v>
      </c>
      <c r="D53" s="1">
        <v>45750</v>
      </c>
      <c r="E53">
        <v>2</v>
      </c>
      <c r="F53">
        <v>12313</v>
      </c>
      <c r="G53">
        <v>36939</v>
      </c>
      <c r="H53" s="24">
        <v>0.14000000000000001</v>
      </c>
      <c r="I53" t="s">
        <v>38</v>
      </c>
      <c r="J53" t="s">
        <v>46</v>
      </c>
      <c r="K53" s="1">
        <v>45856</v>
      </c>
      <c r="L53" t="s">
        <v>21</v>
      </c>
      <c r="M53">
        <v>47</v>
      </c>
      <c r="N53" t="s">
        <v>20</v>
      </c>
      <c r="O53" t="s">
        <v>20</v>
      </c>
    </row>
    <row r="54" spans="1:15" x14ac:dyDescent="0.3">
      <c r="A54" t="s">
        <v>157</v>
      </c>
      <c r="B54" t="s">
        <v>36</v>
      </c>
      <c r="C54" t="s">
        <v>135</v>
      </c>
      <c r="D54" s="1">
        <v>45558</v>
      </c>
      <c r="E54">
        <v>5</v>
      </c>
      <c r="F54">
        <v>12719</v>
      </c>
      <c r="G54">
        <v>63595</v>
      </c>
      <c r="H54" s="24">
        <v>0.18</v>
      </c>
      <c r="I54" t="s">
        <v>38</v>
      </c>
      <c r="J54" t="s">
        <v>19</v>
      </c>
      <c r="K54" s="1">
        <v>45860</v>
      </c>
      <c r="L54" t="s">
        <v>20</v>
      </c>
      <c r="M54">
        <v>411</v>
      </c>
      <c r="N54" t="s">
        <v>20</v>
      </c>
      <c r="O54" t="s">
        <v>21</v>
      </c>
    </row>
    <row r="55" spans="1:15" x14ac:dyDescent="0.3">
      <c r="A55" t="s">
        <v>158</v>
      </c>
      <c r="B55" t="s">
        <v>159</v>
      </c>
      <c r="C55" t="s">
        <v>160</v>
      </c>
      <c r="D55" s="1">
        <v>45801</v>
      </c>
      <c r="E55">
        <v>3</v>
      </c>
      <c r="F55">
        <v>35282</v>
      </c>
      <c r="G55">
        <v>35282</v>
      </c>
      <c r="H55" s="24">
        <v>0.06</v>
      </c>
      <c r="I55" t="s">
        <v>71</v>
      </c>
      <c r="J55" t="s">
        <v>31</v>
      </c>
      <c r="K55" s="1">
        <v>45867</v>
      </c>
      <c r="L55" t="s">
        <v>20</v>
      </c>
      <c r="M55">
        <v>382</v>
      </c>
      <c r="N55" t="s">
        <v>21</v>
      </c>
      <c r="O55" t="s">
        <v>20</v>
      </c>
    </row>
    <row r="56" spans="1:15" x14ac:dyDescent="0.3">
      <c r="A56" t="s">
        <v>161</v>
      </c>
      <c r="B56" t="s">
        <v>118</v>
      </c>
      <c r="C56" t="s">
        <v>162</v>
      </c>
      <c r="D56" s="1">
        <v>45506</v>
      </c>
      <c r="E56">
        <v>2</v>
      </c>
      <c r="F56">
        <v>29930</v>
      </c>
      <c r="G56">
        <v>119720</v>
      </c>
      <c r="H56" s="24">
        <v>0.05</v>
      </c>
      <c r="I56" t="s">
        <v>71</v>
      </c>
      <c r="J56" t="s">
        <v>50</v>
      </c>
      <c r="K56" s="1">
        <v>45864</v>
      </c>
      <c r="L56" t="s">
        <v>21</v>
      </c>
      <c r="M56">
        <v>194</v>
      </c>
      <c r="N56" t="s">
        <v>21</v>
      </c>
      <c r="O56" t="s">
        <v>21</v>
      </c>
    </row>
    <row r="57" spans="1:15" x14ac:dyDescent="0.3">
      <c r="A57" t="s">
        <v>163</v>
      </c>
      <c r="B57" t="s">
        <v>44</v>
      </c>
      <c r="C57" t="s">
        <v>53</v>
      </c>
      <c r="D57" s="1">
        <v>45515</v>
      </c>
      <c r="E57">
        <v>3</v>
      </c>
      <c r="F57">
        <v>63656</v>
      </c>
      <c r="G57">
        <v>318280</v>
      </c>
      <c r="H57" s="24">
        <v>0.3</v>
      </c>
      <c r="I57" t="s">
        <v>28</v>
      </c>
      <c r="J57" t="s">
        <v>46</v>
      </c>
      <c r="K57" s="1">
        <v>45866</v>
      </c>
      <c r="L57" t="s">
        <v>20</v>
      </c>
      <c r="M57">
        <v>411</v>
      </c>
      <c r="N57" t="s">
        <v>21</v>
      </c>
      <c r="O57" t="s">
        <v>21</v>
      </c>
    </row>
    <row r="58" spans="1:15" x14ac:dyDescent="0.3">
      <c r="A58" t="s">
        <v>164</v>
      </c>
      <c r="B58" t="s">
        <v>159</v>
      </c>
      <c r="C58" t="s">
        <v>165</v>
      </c>
      <c r="D58" s="1">
        <v>45825</v>
      </c>
      <c r="E58">
        <v>3</v>
      </c>
      <c r="F58">
        <v>96131</v>
      </c>
      <c r="G58">
        <v>384524</v>
      </c>
      <c r="H58" s="24">
        <v>0.08</v>
      </c>
      <c r="I58" t="s">
        <v>38</v>
      </c>
      <c r="J58" t="s">
        <v>31</v>
      </c>
      <c r="K58" s="1">
        <v>45861</v>
      </c>
      <c r="L58" t="s">
        <v>20</v>
      </c>
      <c r="M58">
        <v>8</v>
      </c>
      <c r="N58" t="s">
        <v>21</v>
      </c>
      <c r="O58" t="s">
        <v>21</v>
      </c>
    </row>
    <row r="59" spans="1:15" x14ac:dyDescent="0.3">
      <c r="A59" t="s">
        <v>166</v>
      </c>
      <c r="B59" t="s">
        <v>167</v>
      </c>
      <c r="C59" t="s">
        <v>168</v>
      </c>
      <c r="D59" s="1">
        <v>45789</v>
      </c>
      <c r="E59">
        <v>2</v>
      </c>
      <c r="F59">
        <v>77431</v>
      </c>
      <c r="G59">
        <v>232293</v>
      </c>
      <c r="H59" s="24">
        <v>0.23</v>
      </c>
      <c r="I59" t="s">
        <v>71</v>
      </c>
      <c r="J59" t="s">
        <v>46</v>
      </c>
      <c r="K59" s="1">
        <v>45862</v>
      </c>
      <c r="L59" t="s">
        <v>20</v>
      </c>
      <c r="M59">
        <v>255</v>
      </c>
      <c r="N59" t="s">
        <v>21</v>
      </c>
      <c r="O59" t="s">
        <v>21</v>
      </c>
    </row>
    <row r="60" spans="1:15" x14ac:dyDescent="0.3">
      <c r="A60" t="s">
        <v>169</v>
      </c>
      <c r="B60" t="s">
        <v>170</v>
      </c>
      <c r="C60" t="s">
        <v>171</v>
      </c>
      <c r="D60" s="1">
        <v>45616</v>
      </c>
      <c r="E60">
        <v>4</v>
      </c>
      <c r="F60">
        <v>23718</v>
      </c>
      <c r="G60">
        <v>94872</v>
      </c>
      <c r="H60" s="24">
        <v>0.28999999999999998</v>
      </c>
      <c r="I60" t="s">
        <v>71</v>
      </c>
      <c r="J60" t="s">
        <v>50</v>
      </c>
      <c r="K60" s="1">
        <v>45857</v>
      </c>
      <c r="L60" t="s">
        <v>20</v>
      </c>
      <c r="M60">
        <v>71</v>
      </c>
      <c r="N60" t="s">
        <v>21</v>
      </c>
      <c r="O60" t="s">
        <v>20</v>
      </c>
    </row>
    <row r="61" spans="1:15" x14ac:dyDescent="0.3">
      <c r="A61" t="s">
        <v>172</v>
      </c>
      <c r="B61" t="s">
        <v>132</v>
      </c>
      <c r="C61" t="s">
        <v>173</v>
      </c>
      <c r="D61" s="1">
        <v>45703</v>
      </c>
      <c r="E61">
        <v>1</v>
      </c>
      <c r="F61">
        <v>98452</v>
      </c>
      <c r="G61">
        <v>492260</v>
      </c>
      <c r="H61" s="24">
        <v>0.05</v>
      </c>
      <c r="I61" t="s">
        <v>38</v>
      </c>
      <c r="J61" t="s">
        <v>19</v>
      </c>
      <c r="K61" s="1">
        <v>45866</v>
      </c>
      <c r="L61" t="s">
        <v>20</v>
      </c>
      <c r="M61">
        <v>391</v>
      </c>
      <c r="N61" t="s">
        <v>20</v>
      </c>
      <c r="O61" t="s">
        <v>21</v>
      </c>
    </row>
    <row r="62" spans="1:15" x14ac:dyDescent="0.3">
      <c r="A62" t="s">
        <v>174</v>
      </c>
      <c r="B62" t="s">
        <v>52</v>
      </c>
      <c r="C62" t="s">
        <v>175</v>
      </c>
      <c r="D62" s="1">
        <v>45492</v>
      </c>
      <c r="E62">
        <v>2</v>
      </c>
      <c r="F62">
        <v>70761</v>
      </c>
      <c r="G62">
        <v>70761</v>
      </c>
      <c r="H62" s="24">
        <v>0.05</v>
      </c>
      <c r="I62" t="s">
        <v>71</v>
      </c>
      <c r="J62" t="s">
        <v>19</v>
      </c>
      <c r="K62" s="1">
        <v>45863</v>
      </c>
      <c r="L62" t="s">
        <v>20</v>
      </c>
      <c r="M62">
        <v>258</v>
      </c>
      <c r="N62" t="s">
        <v>21</v>
      </c>
      <c r="O62" t="s">
        <v>21</v>
      </c>
    </row>
    <row r="63" spans="1:15" x14ac:dyDescent="0.3">
      <c r="A63" t="s">
        <v>176</v>
      </c>
      <c r="B63" t="s">
        <v>177</v>
      </c>
      <c r="C63" t="s">
        <v>17</v>
      </c>
      <c r="D63" s="1">
        <v>45566</v>
      </c>
      <c r="E63">
        <v>5</v>
      </c>
      <c r="F63">
        <v>31647</v>
      </c>
      <c r="G63">
        <v>126588</v>
      </c>
      <c r="H63" s="24">
        <v>0.14000000000000001</v>
      </c>
      <c r="I63" t="s">
        <v>28</v>
      </c>
      <c r="J63" t="s">
        <v>19</v>
      </c>
      <c r="K63" s="1">
        <v>45862</v>
      </c>
      <c r="L63" t="s">
        <v>20</v>
      </c>
      <c r="M63">
        <v>272</v>
      </c>
      <c r="N63" t="s">
        <v>21</v>
      </c>
      <c r="O63" t="s">
        <v>20</v>
      </c>
    </row>
    <row r="64" spans="1:15" x14ac:dyDescent="0.3">
      <c r="A64" t="s">
        <v>178</v>
      </c>
      <c r="B64" t="s">
        <v>179</v>
      </c>
      <c r="C64" t="s">
        <v>180</v>
      </c>
      <c r="D64" s="1">
        <v>45707</v>
      </c>
      <c r="E64">
        <v>3</v>
      </c>
      <c r="F64">
        <v>7363</v>
      </c>
      <c r="G64">
        <v>36815</v>
      </c>
      <c r="H64" s="24">
        <v>0.3</v>
      </c>
      <c r="I64" t="s">
        <v>42</v>
      </c>
      <c r="J64" t="s">
        <v>19</v>
      </c>
      <c r="K64" s="1">
        <v>45862</v>
      </c>
      <c r="L64" t="s">
        <v>21</v>
      </c>
      <c r="M64">
        <v>412</v>
      </c>
      <c r="N64" t="s">
        <v>20</v>
      </c>
      <c r="O64" t="s">
        <v>20</v>
      </c>
    </row>
    <row r="65" spans="1:15" x14ac:dyDescent="0.3">
      <c r="A65" t="s">
        <v>181</v>
      </c>
      <c r="B65" t="s">
        <v>57</v>
      </c>
      <c r="C65" t="s">
        <v>180</v>
      </c>
      <c r="D65" s="1">
        <v>45776</v>
      </c>
      <c r="E65">
        <v>2</v>
      </c>
      <c r="F65">
        <v>7363</v>
      </c>
      <c r="G65">
        <v>14726</v>
      </c>
      <c r="H65" s="24">
        <v>0.3</v>
      </c>
      <c r="I65" t="s">
        <v>71</v>
      </c>
      <c r="J65" t="s">
        <v>50</v>
      </c>
      <c r="K65" s="1">
        <v>45860</v>
      </c>
      <c r="L65" t="s">
        <v>21</v>
      </c>
      <c r="M65">
        <v>136</v>
      </c>
      <c r="N65" t="s">
        <v>21</v>
      </c>
      <c r="O65" t="s">
        <v>20</v>
      </c>
    </row>
    <row r="66" spans="1:15" x14ac:dyDescent="0.3">
      <c r="A66" t="s">
        <v>182</v>
      </c>
      <c r="B66" t="s">
        <v>116</v>
      </c>
      <c r="C66" t="s">
        <v>183</v>
      </c>
      <c r="D66" s="1">
        <v>45669</v>
      </c>
      <c r="E66">
        <v>4</v>
      </c>
      <c r="F66">
        <v>92604</v>
      </c>
      <c r="G66">
        <v>463020</v>
      </c>
      <c r="H66" s="24">
        <v>0.28999999999999998</v>
      </c>
      <c r="I66" t="s">
        <v>71</v>
      </c>
      <c r="J66" t="s">
        <v>31</v>
      </c>
      <c r="K66" s="1">
        <v>45863</v>
      </c>
      <c r="L66" t="s">
        <v>21</v>
      </c>
      <c r="M66">
        <v>350</v>
      </c>
      <c r="N66" t="s">
        <v>20</v>
      </c>
      <c r="O66" t="s">
        <v>20</v>
      </c>
    </row>
    <row r="67" spans="1:15" x14ac:dyDescent="0.3">
      <c r="A67" t="s">
        <v>184</v>
      </c>
      <c r="B67" t="s">
        <v>185</v>
      </c>
      <c r="C67" t="s">
        <v>183</v>
      </c>
      <c r="D67" s="1">
        <v>45718</v>
      </c>
      <c r="E67">
        <v>4</v>
      </c>
      <c r="F67">
        <v>92604</v>
      </c>
      <c r="G67">
        <v>370416</v>
      </c>
      <c r="H67" s="24">
        <v>0.28999999999999998</v>
      </c>
      <c r="I67" t="s">
        <v>18</v>
      </c>
      <c r="J67" t="s">
        <v>46</v>
      </c>
      <c r="K67" s="1">
        <v>45866</v>
      </c>
      <c r="L67" t="s">
        <v>20</v>
      </c>
      <c r="M67">
        <v>326</v>
      </c>
      <c r="N67" t="s">
        <v>20</v>
      </c>
      <c r="O67" t="s">
        <v>20</v>
      </c>
    </row>
    <row r="68" spans="1:15" x14ac:dyDescent="0.3">
      <c r="A68" t="s">
        <v>186</v>
      </c>
      <c r="B68" t="s">
        <v>187</v>
      </c>
      <c r="C68" t="s">
        <v>45</v>
      </c>
      <c r="D68" s="1">
        <v>45789</v>
      </c>
      <c r="E68">
        <v>4</v>
      </c>
      <c r="F68">
        <v>61962</v>
      </c>
      <c r="G68">
        <v>185886</v>
      </c>
      <c r="H68" s="24">
        <v>0.19</v>
      </c>
      <c r="I68" t="s">
        <v>18</v>
      </c>
      <c r="J68" t="s">
        <v>19</v>
      </c>
      <c r="K68" s="1">
        <v>45859</v>
      </c>
      <c r="L68" t="s">
        <v>20</v>
      </c>
      <c r="M68">
        <v>117</v>
      </c>
      <c r="N68" t="s">
        <v>20</v>
      </c>
      <c r="O68" t="s">
        <v>21</v>
      </c>
    </row>
    <row r="69" spans="1:15" x14ac:dyDescent="0.3">
      <c r="A69" t="s">
        <v>188</v>
      </c>
      <c r="B69" t="s">
        <v>36</v>
      </c>
      <c r="C69" t="s">
        <v>189</v>
      </c>
      <c r="D69" s="1">
        <v>45773</v>
      </c>
      <c r="E69">
        <v>1</v>
      </c>
      <c r="F69">
        <v>40324</v>
      </c>
      <c r="G69">
        <v>120972</v>
      </c>
      <c r="H69" s="24">
        <v>7.0000000000000007E-2</v>
      </c>
      <c r="I69" t="s">
        <v>18</v>
      </c>
      <c r="J69" t="s">
        <v>19</v>
      </c>
      <c r="K69" s="1">
        <v>45868</v>
      </c>
      <c r="L69" t="s">
        <v>20</v>
      </c>
      <c r="M69">
        <v>475</v>
      </c>
      <c r="N69" t="s">
        <v>21</v>
      </c>
      <c r="O69" t="s">
        <v>20</v>
      </c>
    </row>
    <row r="70" spans="1:15" x14ac:dyDescent="0.3">
      <c r="A70" t="s">
        <v>190</v>
      </c>
      <c r="B70" t="s">
        <v>159</v>
      </c>
      <c r="C70" t="s">
        <v>191</v>
      </c>
      <c r="D70" s="1">
        <v>45784</v>
      </c>
      <c r="E70">
        <v>2</v>
      </c>
      <c r="F70">
        <v>93744</v>
      </c>
      <c r="G70">
        <v>374976</v>
      </c>
      <c r="H70" s="24">
        <v>0.21</v>
      </c>
      <c r="I70" t="s">
        <v>38</v>
      </c>
      <c r="J70" t="s">
        <v>50</v>
      </c>
      <c r="K70" s="1">
        <v>45860</v>
      </c>
      <c r="L70" t="s">
        <v>20</v>
      </c>
      <c r="M70">
        <v>288</v>
      </c>
      <c r="N70" t="s">
        <v>20</v>
      </c>
      <c r="O70" t="s">
        <v>21</v>
      </c>
    </row>
    <row r="71" spans="1:15" x14ac:dyDescent="0.3">
      <c r="A71" t="s">
        <v>192</v>
      </c>
      <c r="B71" t="s">
        <v>81</v>
      </c>
      <c r="C71" t="s">
        <v>193</v>
      </c>
      <c r="D71" s="1">
        <v>45547</v>
      </c>
      <c r="E71">
        <v>3</v>
      </c>
      <c r="F71">
        <v>49872</v>
      </c>
      <c r="G71">
        <v>199488</v>
      </c>
      <c r="H71" s="24">
        <v>0.25</v>
      </c>
      <c r="I71" t="s">
        <v>71</v>
      </c>
      <c r="J71" t="s">
        <v>19</v>
      </c>
      <c r="K71" s="1">
        <v>45855</v>
      </c>
      <c r="L71" t="s">
        <v>21</v>
      </c>
      <c r="M71">
        <v>27</v>
      </c>
      <c r="N71" t="s">
        <v>20</v>
      </c>
      <c r="O71" t="s">
        <v>21</v>
      </c>
    </row>
    <row r="72" spans="1:15" x14ac:dyDescent="0.3">
      <c r="A72" t="s">
        <v>194</v>
      </c>
      <c r="B72" t="s">
        <v>195</v>
      </c>
      <c r="C72" t="s">
        <v>196</v>
      </c>
      <c r="D72" s="1">
        <v>45851</v>
      </c>
      <c r="E72">
        <v>3</v>
      </c>
      <c r="F72">
        <v>85386</v>
      </c>
      <c r="G72">
        <v>426930</v>
      </c>
      <c r="H72" s="24">
        <v>0.09</v>
      </c>
      <c r="I72" t="s">
        <v>18</v>
      </c>
      <c r="J72" t="s">
        <v>46</v>
      </c>
      <c r="K72" s="1">
        <v>45864</v>
      </c>
      <c r="L72" t="s">
        <v>21</v>
      </c>
      <c r="M72">
        <v>15</v>
      </c>
      <c r="N72" t="s">
        <v>21</v>
      </c>
      <c r="O72" t="s">
        <v>21</v>
      </c>
    </row>
    <row r="73" spans="1:15" x14ac:dyDescent="0.3">
      <c r="A73" t="s">
        <v>197</v>
      </c>
      <c r="B73" t="s">
        <v>198</v>
      </c>
      <c r="C73" t="s">
        <v>147</v>
      </c>
      <c r="D73" s="1">
        <v>45498</v>
      </c>
      <c r="E73">
        <v>3</v>
      </c>
      <c r="F73">
        <v>50486</v>
      </c>
      <c r="G73">
        <v>252430</v>
      </c>
      <c r="H73" s="24">
        <v>0.23</v>
      </c>
      <c r="I73" t="s">
        <v>28</v>
      </c>
      <c r="J73" t="s">
        <v>46</v>
      </c>
      <c r="K73" s="1">
        <v>45860</v>
      </c>
      <c r="L73" t="s">
        <v>20</v>
      </c>
      <c r="M73">
        <v>348</v>
      </c>
      <c r="N73" t="s">
        <v>21</v>
      </c>
      <c r="O73" t="s">
        <v>20</v>
      </c>
    </row>
    <row r="74" spans="1:15" x14ac:dyDescent="0.3">
      <c r="A74" t="s">
        <v>199</v>
      </c>
      <c r="B74" t="s">
        <v>200</v>
      </c>
      <c r="C74" t="s">
        <v>17</v>
      </c>
      <c r="D74" s="1">
        <v>45699</v>
      </c>
      <c r="E74">
        <v>3</v>
      </c>
      <c r="F74">
        <v>31647</v>
      </c>
      <c r="G74">
        <v>63294</v>
      </c>
      <c r="H74" s="24">
        <v>0.14000000000000001</v>
      </c>
      <c r="I74" t="s">
        <v>38</v>
      </c>
      <c r="J74" t="s">
        <v>19</v>
      </c>
      <c r="K74" s="1">
        <v>45863</v>
      </c>
      <c r="L74" t="s">
        <v>21</v>
      </c>
      <c r="M74">
        <v>78</v>
      </c>
      <c r="N74" t="s">
        <v>21</v>
      </c>
      <c r="O74" t="s">
        <v>20</v>
      </c>
    </row>
    <row r="75" spans="1:15" x14ac:dyDescent="0.3">
      <c r="A75" t="s">
        <v>201</v>
      </c>
      <c r="B75" t="s">
        <v>202</v>
      </c>
      <c r="C75" t="s">
        <v>203</v>
      </c>
      <c r="D75" s="1">
        <v>45735</v>
      </c>
      <c r="E75">
        <v>3</v>
      </c>
      <c r="F75">
        <v>98841</v>
      </c>
      <c r="G75">
        <v>296523</v>
      </c>
      <c r="H75" s="24">
        <v>0.18</v>
      </c>
      <c r="I75" t="s">
        <v>38</v>
      </c>
      <c r="J75" t="s">
        <v>19</v>
      </c>
      <c r="K75" s="1">
        <v>45855</v>
      </c>
      <c r="L75" t="s">
        <v>20</v>
      </c>
      <c r="M75">
        <v>482</v>
      </c>
      <c r="N75" t="s">
        <v>21</v>
      </c>
      <c r="O75" t="s">
        <v>21</v>
      </c>
    </row>
    <row r="76" spans="1:15" x14ac:dyDescent="0.3">
      <c r="A76" t="s">
        <v>204</v>
      </c>
      <c r="B76" t="s">
        <v>205</v>
      </c>
      <c r="C76" t="s">
        <v>206</v>
      </c>
      <c r="D76" s="1">
        <v>45619</v>
      </c>
      <c r="E76">
        <v>3</v>
      </c>
      <c r="F76">
        <v>59479</v>
      </c>
      <c r="G76">
        <v>59479</v>
      </c>
      <c r="H76" s="24">
        <v>0.19</v>
      </c>
      <c r="I76" t="s">
        <v>71</v>
      </c>
      <c r="J76" t="s">
        <v>19</v>
      </c>
      <c r="K76" s="1">
        <v>45855</v>
      </c>
      <c r="L76" t="s">
        <v>20</v>
      </c>
      <c r="M76">
        <v>220</v>
      </c>
      <c r="N76" t="s">
        <v>21</v>
      </c>
      <c r="O76" t="s">
        <v>21</v>
      </c>
    </row>
    <row r="77" spans="1:15" x14ac:dyDescent="0.3">
      <c r="A77" t="s">
        <v>207</v>
      </c>
      <c r="B77" t="s">
        <v>208</v>
      </c>
      <c r="C77" t="s">
        <v>209</v>
      </c>
      <c r="D77" s="1">
        <v>45783</v>
      </c>
      <c r="E77">
        <v>1</v>
      </c>
      <c r="F77">
        <v>38790</v>
      </c>
      <c r="G77">
        <v>116370</v>
      </c>
      <c r="H77" s="24">
        <v>0.27</v>
      </c>
      <c r="I77" t="s">
        <v>18</v>
      </c>
      <c r="J77" t="s">
        <v>19</v>
      </c>
      <c r="K77" s="1">
        <v>45864</v>
      </c>
      <c r="L77" t="s">
        <v>21</v>
      </c>
      <c r="M77">
        <v>442</v>
      </c>
      <c r="N77" t="s">
        <v>21</v>
      </c>
      <c r="O77" t="s">
        <v>20</v>
      </c>
    </row>
    <row r="78" spans="1:15" x14ac:dyDescent="0.3">
      <c r="A78" t="s">
        <v>210</v>
      </c>
      <c r="B78" t="s">
        <v>167</v>
      </c>
      <c r="C78" t="s">
        <v>76</v>
      </c>
      <c r="D78" s="1">
        <v>45818</v>
      </c>
      <c r="E78">
        <v>4</v>
      </c>
      <c r="F78">
        <v>83491</v>
      </c>
      <c r="G78">
        <v>83491</v>
      </c>
      <c r="H78" s="24">
        <v>0.05</v>
      </c>
      <c r="I78" t="s">
        <v>18</v>
      </c>
      <c r="J78" t="s">
        <v>31</v>
      </c>
      <c r="K78" s="1">
        <v>45862</v>
      </c>
      <c r="L78" t="s">
        <v>20</v>
      </c>
      <c r="M78">
        <v>350</v>
      </c>
      <c r="N78" t="s">
        <v>21</v>
      </c>
      <c r="O78" t="s">
        <v>20</v>
      </c>
    </row>
    <row r="79" spans="1:15" x14ac:dyDescent="0.3">
      <c r="A79" t="s">
        <v>211</v>
      </c>
      <c r="B79" t="s">
        <v>52</v>
      </c>
      <c r="C79" t="s">
        <v>212</v>
      </c>
      <c r="D79" s="1">
        <v>45529</v>
      </c>
      <c r="E79">
        <v>3</v>
      </c>
      <c r="F79">
        <v>12336</v>
      </c>
      <c r="G79">
        <v>37008</v>
      </c>
      <c r="H79" s="24">
        <v>0.3</v>
      </c>
      <c r="I79" t="s">
        <v>28</v>
      </c>
      <c r="J79" t="s">
        <v>31</v>
      </c>
      <c r="K79" s="1">
        <v>45859</v>
      </c>
      <c r="L79" t="s">
        <v>20</v>
      </c>
      <c r="M79">
        <v>85</v>
      </c>
      <c r="N79" t="s">
        <v>21</v>
      </c>
      <c r="O79" t="s">
        <v>21</v>
      </c>
    </row>
    <row r="80" spans="1:15" x14ac:dyDescent="0.3">
      <c r="A80" t="s">
        <v>213</v>
      </c>
      <c r="B80" t="s">
        <v>214</v>
      </c>
      <c r="C80" t="s">
        <v>111</v>
      </c>
      <c r="D80" s="1">
        <v>45694</v>
      </c>
      <c r="E80">
        <v>4</v>
      </c>
      <c r="F80">
        <v>49066</v>
      </c>
      <c r="G80">
        <v>49066</v>
      </c>
      <c r="H80" s="24">
        <v>0.11</v>
      </c>
      <c r="I80" t="s">
        <v>42</v>
      </c>
      <c r="J80" t="s">
        <v>50</v>
      </c>
      <c r="K80" s="1">
        <v>45860</v>
      </c>
      <c r="L80" t="s">
        <v>20</v>
      </c>
      <c r="M80">
        <v>369</v>
      </c>
      <c r="N80" t="s">
        <v>21</v>
      </c>
      <c r="O80" t="s">
        <v>20</v>
      </c>
    </row>
    <row r="81" spans="1:22" x14ac:dyDescent="0.3">
      <c r="A81" t="s">
        <v>215</v>
      </c>
      <c r="B81" t="s">
        <v>216</v>
      </c>
      <c r="C81" t="s">
        <v>92</v>
      </c>
      <c r="D81" s="1">
        <v>45652</v>
      </c>
      <c r="E81">
        <v>2</v>
      </c>
      <c r="F81">
        <v>54455</v>
      </c>
      <c r="G81">
        <v>163365</v>
      </c>
      <c r="H81" s="24">
        <v>0.27</v>
      </c>
      <c r="I81" t="s">
        <v>38</v>
      </c>
      <c r="J81" t="s">
        <v>46</v>
      </c>
      <c r="K81" s="1">
        <v>45866</v>
      </c>
      <c r="L81" t="s">
        <v>21</v>
      </c>
      <c r="M81">
        <v>430</v>
      </c>
      <c r="N81" t="s">
        <v>21</v>
      </c>
      <c r="O81" t="s">
        <v>21</v>
      </c>
    </row>
    <row r="82" spans="1:22" x14ac:dyDescent="0.3">
      <c r="A82" t="s">
        <v>217</v>
      </c>
      <c r="B82" t="s">
        <v>146</v>
      </c>
      <c r="C82" t="s">
        <v>160</v>
      </c>
      <c r="D82" s="1">
        <v>45512</v>
      </c>
      <c r="E82">
        <v>4</v>
      </c>
      <c r="F82">
        <v>35282</v>
      </c>
      <c r="G82">
        <v>176410</v>
      </c>
      <c r="H82" s="24">
        <v>0.06</v>
      </c>
      <c r="I82" t="s">
        <v>71</v>
      </c>
      <c r="J82" t="s">
        <v>50</v>
      </c>
      <c r="K82" s="1">
        <v>45858</v>
      </c>
      <c r="L82" t="s">
        <v>21</v>
      </c>
      <c r="M82">
        <v>308</v>
      </c>
      <c r="N82" t="s">
        <v>20</v>
      </c>
      <c r="O82" t="s">
        <v>21</v>
      </c>
    </row>
    <row r="83" spans="1:22" x14ac:dyDescent="0.3">
      <c r="A83" t="s">
        <v>218</v>
      </c>
      <c r="B83" t="s">
        <v>219</v>
      </c>
      <c r="C83" t="s">
        <v>220</v>
      </c>
      <c r="D83" s="1">
        <v>45765</v>
      </c>
      <c r="E83">
        <v>4</v>
      </c>
      <c r="F83">
        <v>19394</v>
      </c>
      <c r="G83">
        <v>58182</v>
      </c>
      <c r="H83" s="24">
        <v>0.18</v>
      </c>
      <c r="I83" t="s">
        <v>42</v>
      </c>
      <c r="J83" t="s">
        <v>46</v>
      </c>
      <c r="K83" s="1">
        <v>45861</v>
      </c>
      <c r="L83" t="s">
        <v>20</v>
      </c>
      <c r="M83">
        <v>166</v>
      </c>
      <c r="N83" t="s">
        <v>21</v>
      </c>
      <c r="O83" t="s">
        <v>21</v>
      </c>
    </row>
    <row r="84" spans="1:22" x14ac:dyDescent="0.3">
      <c r="A84" t="s">
        <v>221</v>
      </c>
      <c r="B84" t="s">
        <v>99</v>
      </c>
      <c r="C84" t="s">
        <v>222</v>
      </c>
      <c r="D84" s="1">
        <v>45525</v>
      </c>
      <c r="E84">
        <v>1</v>
      </c>
      <c r="F84">
        <v>72764</v>
      </c>
      <c r="G84">
        <v>363820</v>
      </c>
      <c r="H84" s="24">
        <v>0.28000000000000003</v>
      </c>
      <c r="I84" t="s">
        <v>71</v>
      </c>
      <c r="J84" t="s">
        <v>31</v>
      </c>
      <c r="K84" s="1">
        <v>45856</v>
      </c>
      <c r="L84" t="s">
        <v>20</v>
      </c>
      <c r="M84">
        <v>487</v>
      </c>
      <c r="N84" t="s">
        <v>21</v>
      </c>
      <c r="O84" t="s">
        <v>20</v>
      </c>
    </row>
    <row r="85" spans="1:22" x14ac:dyDescent="0.3">
      <c r="A85" t="s">
        <v>223</v>
      </c>
      <c r="B85" t="s">
        <v>146</v>
      </c>
      <c r="C85" t="s">
        <v>224</v>
      </c>
      <c r="D85" s="1">
        <v>45846</v>
      </c>
      <c r="E85">
        <v>1</v>
      </c>
      <c r="F85">
        <v>97904</v>
      </c>
      <c r="G85">
        <v>391616</v>
      </c>
      <c r="H85" s="24">
        <v>0.27</v>
      </c>
      <c r="I85" t="s">
        <v>28</v>
      </c>
      <c r="J85" t="s">
        <v>31</v>
      </c>
      <c r="K85" s="1">
        <v>45860</v>
      </c>
      <c r="L85" t="s">
        <v>21</v>
      </c>
      <c r="M85">
        <v>123</v>
      </c>
      <c r="N85" t="s">
        <v>21</v>
      </c>
      <c r="O85" t="s">
        <v>20</v>
      </c>
      <c r="V85">
        <v>100</v>
      </c>
    </row>
    <row r="86" spans="1:22" x14ac:dyDescent="0.3">
      <c r="A86" t="s">
        <v>225</v>
      </c>
      <c r="B86" t="s">
        <v>89</v>
      </c>
      <c r="C86" t="s">
        <v>226</v>
      </c>
      <c r="D86" s="1">
        <v>45837</v>
      </c>
      <c r="E86">
        <v>4</v>
      </c>
      <c r="F86">
        <v>56076</v>
      </c>
      <c r="G86">
        <v>56076</v>
      </c>
      <c r="H86" s="24">
        <v>0.2</v>
      </c>
      <c r="I86" t="s">
        <v>28</v>
      </c>
      <c r="J86" t="s">
        <v>46</v>
      </c>
      <c r="K86" s="1">
        <v>45867</v>
      </c>
      <c r="L86" t="s">
        <v>21</v>
      </c>
      <c r="M86">
        <v>273</v>
      </c>
      <c r="N86" t="s">
        <v>21</v>
      </c>
      <c r="O86" t="s">
        <v>20</v>
      </c>
    </row>
    <row r="87" spans="1:22" x14ac:dyDescent="0.3">
      <c r="A87" t="s">
        <v>227</v>
      </c>
      <c r="B87" t="s">
        <v>205</v>
      </c>
      <c r="C87" t="s">
        <v>228</v>
      </c>
      <c r="D87" s="1">
        <v>45649</v>
      </c>
      <c r="E87">
        <v>5</v>
      </c>
      <c r="F87">
        <v>10335</v>
      </c>
      <c r="G87">
        <v>51675</v>
      </c>
      <c r="H87" s="24">
        <v>0.26</v>
      </c>
      <c r="I87" t="s">
        <v>38</v>
      </c>
      <c r="J87" t="s">
        <v>19</v>
      </c>
      <c r="K87" s="1">
        <v>45864</v>
      </c>
      <c r="L87" t="s">
        <v>20</v>
      </c>
      <c r="M87">
        <v>336</v>
      </c>
      <c r="N87" t="s">
        <v>21</v>
      </c>
      <c r="O87" t="s">
        <v>20</v>
      </c>
    </row>
    <row r="88" spans="1:22" x14ac:dyDescent="0.3">
      <c r="A88" t="s">
        <v>229</v>
      </c>
      <c r="B88" t="s">
        <v>230</v>
      </c>
      <c r="C88" t="s">
        <v>107</v>
      </c>
      <c r="D88" s="1">
        <v>45667</v>
      </c>
      <c r="E88">
        <v>1</v>
      </c>
      <c r="F88">
        <v>59299</v>
      </c>
      <c r="G88">
        <v>296495</v>
      </c>
      <c r="H88" s="24">
        <v>0.24</v>
      </c>
      <c r="I88" t="s">
        <v>28</v>
      </c>
      <c r="J88" t="s">
        <v>50</v>
      </c>
      <c r="K88" s="1">
        <v>45857</v>
      </c>
      <c r="L88" t="s">
        <v>21</v>
      </c>
      <c r="M88">
        <v>54</v>
      </c>
      <c r="N88" t="s">
        <v>20</v>
      </c>
      <c r="O88" t="s">
        <v>20</v>
      </c>
    </row>
    <row r="89" spans="1:22" x14ac:dyDescent="0.3">
      <c r="A89" t="s">
        <v>231</v>
      </c>
      <c r="B89" t="s">
        <v>69</v>
      </c>
      <c r="C89" t="s">
        <v>232</v>
      </c>
      <c r="D89" s="1">
        <v>45714</v>
      </c>
      <c r="E89">
        <v>5</v>
      </c>
      <c r="F89">
        <v>39710</v>
      </c>
      <c r="G89">
        <v>198550</v>
      </c>
      <c r="H89" s="24">
        <v>0.25</v>
      </c>
      <c r="I89" t="s">
        <v>18</v>
      </c>
      <c r="J89" t="s">
        <v>31</v>
      </c>
      <c r="K89" s="1">
        <v>45857</v>
      </c>
      <c r="L89" t="s">
        <v>21</v>
      </c>
      <c r="M89">
        <v>191</v>
      </c>
      <c r="N89" t="s">
        <v>21</v>
      </c>
      <c r="O89" t="s">
        <v>21</v>
      </c>
    </row>
    <row r="90" spans="1:22" x14ac:dyDescent="0.3">
      <c r="A90" t="s">
        <v>233</v>
      </c>
      <c r="B90" t="s">
        <v>200</v>
      </c>
      <c r="C90" t="s">
        <v>140</v>
      </c>
      <c r="D90" s="1">
        <v>45685</v>
      </c>
      <c r="E90">
        <v>5</v>
      </c>
      <c r="F90">
        <v>52931</v>
      </c>
      <c r="G90">
        <v>264655</v>
      </c>
      <c r="H90" s="24">
        <v>0.28000000000000003</v>
      </c>
      <c r="I90" t="s">
        <v>71</v>
      </c>
      <c r="J90" t="s">
        <v>50</v>
      </c>
      <c r="K90" s="1">
        <v>45858</v>
      </c>
      <c r="L90" t="s">
        <v>20</v>
      </c>
      <c r="M90">
        <v>247</v>
      </c>
      <c r="N90" t="s">
        <v>20</v>
      </c>
      <c r="O90" t="s">
        <v>21</v>
      </c>
    </row>
    <row r="91" spans="1:22" x14ac:dyDescent="0.3">
      <c r="A91" t="s">
        <v>234</v>
      </c>
      <c r="B91" t="s">
        <v>214</v>
      </c>
      <c r="C91" t="s">
        <v>90</v>
      </c>
      <c r="D91" s="1">
        <v>45736</v>
      </c>
      <c r="E91">
        <v>1</v>
      </c>
      <c r="F91">
        <v>90766</v>
      </c>
      <c r="G91">
        <v>181532</v>
      </c>
      <c r="H91" s="24">
        <v>0.14000000000000001</v>
      </c>
      <c r="I91" t="s">
        <v>42</v>
      </c>
      <c r="J91" t="s">
        <v>50</v>
      </c>
      <c r="K91" s="1">
        <v>45864</v>
      </c>
      <c r="L91" t="s">
        <v>21</v>
      </c>
      <c r="M91">
        <v>233</v>
      </c>
      <c r="N91" t="s">
        <v>20</v>
      </c>
      <c r="O91" t="s">
        <v>21</v>
      </c>
    </row>
    <row r="92" spans="1:22" x14ac:dyDescent="0.3">
      <c r="A92" t="s">
        <v>235</v>
      </c>
      <c r="B92" t="s">
        <v>236</v>
      </c>
      <c r="C92" t="s">
        <v>96</v>
      </c>
      <c r="D92" s="1">
        <v>45518</v>
      </c>
      <c r="E92">
        <v>1</v>
      </c>
      <c r="F92">
        <v>98254</v>
      </c>
      <c r="G92">
        <v>393016</v>
      </c>
      <c r="H92" s="24">
        <v>0.15</v>
      </c>
      <c r="I92" t="s">
        <v>28</v>
      </c>
      <c r="J92" t="s">
        <v>50</v>
      </c>
      <c r="K92" s="1">
        <v>45869</v>
      </c>
      <c r="L92" t="s">
        <v>20</v>
      </c>
      <c r="M92">
        <v>153</v>
      </c>
      <c r="N92" t="s">
        <v>20</v>
      </c>
      <c r="O92" t="s">
        <v>20</v>
      </c>
    </row>
    <row r="93" spans="1:22" x14ac:dyDescent="0.3">
      <c r="A93" t="s">
        <v>237</v>
      </c>
      <c r="B93" t="s">
        <v>179</v>
      </c>
      <c r="C93" t="s">
        <v>238</v>
      </c>
      <c r="D93" s="1">
        <v>45709</v>
      </c>
      <c r="E93">
        <v>1</v>
      </c>
      <c r="F93">
        <v>29538</v>
      </c>
      <c r="G93">
        <v>59076</v>
      </c>
      <c r="H93" s="24">
        <v>0.24</v>
      </c>
      <c r="I93" t="s">
        <v>71</v>
      </c>
      <c r="J93" t="s">
        <v>31</v>
      </c>
      <c r="K93" s="1">
        <v>45856</v>
      </c>
      <c r="L93" t="s">
        <v>20</v>
      </c>
      <c r="M93">
        <v>169</v>
      </c>
      <c r="N93" t="s">
        <v>21</v>
      </c>
      <c r="O93" t="s">
        <v>21</v>
      </c>
    </row>
    <row r="94" spans="1:22" x14ac:dyDescent="0.3">
      <c r="A94" t="s">
        <v>239</v>
      </c>
      <c r="B94" t="s">
        <v>195</v>
      </c>
      <c r="C94" t="s">
        <v>183</v>
      </c>
      <c r="D94" s="1">
        <v>45657</v>
      </c>
      <c r="E94">
        <v>2</v>
      </c>
      <c r="F94">
        <v>92604</v>
      </c>
      <c r="G94">
        <v>185208</v>
      </c>
      <c r="H94" s="24">
        <v>0.28999999999999998</v>
      </c>
      <c r="I94" t="s">
        <v>28</v>
      </c>
      <c r="J94" t="s">
        <v>46</v>
      </c>
      <c r="K94" s="1">
        <v>45858</v>
      </c>
      <c r="L94" t="s">
        <v>20</v>
      </c>
      <c r="M94">
        <v>377</v>
      </c>
      <c r="N94" t="s">
        <v>20</v>
      </c>
      <c r="O94" t="s">
        <v>21</v>
      </c>
    </row>
    <row r="95" spans="1:22" x14ac:dyDescent="0.3">
      <c r="A95" t="s">
        <v>240</v>
      </c>
      <c r="B95" t="s">
        <v>241</v>
      </c>
      <c r="C95" t="s">
        <v>226</v>
      </c>
      <c r="D95" s="1">
        <v>45580</v>
      </c>
      <c r="E95">
        <v>4</v>
      </c>
      <c r="F95">
        <v>56076</v>
      </c>
      <c r="G95">
        <v>56076</v>
      </c>
      <c r="H95" s="24">
        <v>0.2</v>
      </c>
      <c r="I95" t="s">
        <v>71</v>
      </c>
      <c r="J95" t="s">
        <v>31</v>
      </c>
      <c r="K95" s="1">
        <v>45862</v>
      </c>
      <c r="L95" t="s">
        <v>21</v>
      </c>
      <c r="M95">
        <v>385</v>
      </c>
      <c r="N95" t="s">
        <v>20</v>
      </c>
      <c r="O95" t="s">
        <v>20</v>
      </c>
    </row>
    <row r="96" spans="1:22" x14ac:dyDescent="0.3">
      <c r="A96" t="s">
        <v>242</v>
      </c>
      <c r="B96" t="s">
        <v>243</v>
      </c>
      <c r="C96" t="s">
        <v>244</v>
      </c>
      <c r="D96" s="1">
        <v>45590</v>
      </c>
      <c r="E96">
        <v>3</v>
      </c>
      <c r="F96">
        <v>43565</v>
      </c>
      <c r="G96">
        <v>130695</v>
      </c>
      <c r="H96" s="24">
        <v>0.26</v>
      </c>
      <c r="I96" t="s">
        <v>71</v>
      </c>
      <c r="J96" t="s">
        <v>46</v>
      </c>
      <c r="K96" s="1">
        <v>45862</v>
      </c>
      <c r="L96" t="s">
        <v>20</v>
      </c>
      <c r="M96">
        <v>134</v>
      </c>
      <c r="N96" t="s">
        <v>21</v>
      </c>
      <c r="O96" t="s">
        <v>21</v>
      </c>
    </row>
    <row r="97" spans="1:15" x14ac:dyDescent="0.3">
      <c r="A97" t="s">
        <v>245</v>
      </c>
      <c r="B97" t="s">
        <v>246</v>
      </c>
      <c r="C97" t="s">
        <v>203</v>
      </c>
      <c r="D97" s="1">
        <v>45848</v>
      </c>
      <c r="E97">
        <v>5</v>
      </c>
      <c r="F97">
        <v>98841</v>
      </c>
      <c r="G97">
        <v>395364</v>
      </c>
      <c r="H97" s="24">
        <v>0.18</v>
      </c>
      <c r="I97" t="s">
        <v>18</v>
      </c>
      <c r="J97" t="s">
        <v>19</v>
      </c>
      <c r="K97" s="1">
        <v>45864</v>
      </c>
      <c r="L97" t="s">
        <v>21</v>
      </c>
      <c r="M97">
        <v>180</v>
      </c>
      <c r="N97" t="s">
        <v>21</v>
      </c>
      <c r="O97" t="s">
        <v>20</v>
      </c>
    </row>
    <row r="98" spans="1:15" x14ac:dyDescent="0.3">
      <c r="A98" t="s">
        <v>247</v>
      </c>
      <c r="B98" t="s">
        <v>81</v>
      </c>
      <c r="C98" t="s">
        <v>248</v>
      </c>
      <c r="D98" s="1">
        <v>45761</v>
      </c>
      <c r="E98">
        <v>3</v>
      </c>
      <c r="F98">
        <v>31432</v>
      </c>
      <c r="G98">
        <v>157160</v>
      </c>
      <c r="H98" s="24">
        <v>0.28999999999999998</v>
      </c>
      <c r="I98" t="s">
        <v>18</v>
      </c>
      <c r="J98" t="s">
        <v>19</v>
      </c>
      <c r="K98" s="1">
        <v>45862</v>
      </c>
      <c r="L98" t="s">
        <v>20</v>
      </c>
      <c r="M98">
        <v>160</v>
      </c>
      <c r="N98" t="s">
        <v>20</v>
      </c>
      <c r="O98" t="s">
        <v>20</v>
      </c>
    </row>
    <row r="99" spans="1:15" x14ac:dyDescent="0.3">
      <c r="A99" t="s">
        <v>249</v>
      </c>
      <c r="B99" t="s">
        <v>44</v>
      </c>
      <c r="C99" t="s">
        <v>250</v>
      </c>
      <c r="D99" s="1">
        <v>45612</v>
      </c>
      <c r="E99">
        <v>2</v>
      </c>
      <c r="F99">
        <v>67949</v>
      </c>
      <c r="G99">
        <v>203847</v>
      </c>
      <c r="H99" s="24">
        <v>0.05</v>
      </c>
      <c r="I99" t="s">
        <v>71</v>
      </c>
      <c r="J99" t="s">
        <v>46</v>
      </c>
      <c r="K99" s="1">
        <v>45865</v>
      </c>
      <c r="L99" t="s">
        <v>21</v>
      </c>
      <c r="M99">
        <v>305</v>
      </c>
      <c r="N99" t="s">
        <v>20</v>
      </c>
      <c r="O99" t="s">
        <v>21</v>
      </c>
    </row>
    <row r="100" spans="1:15" x14ac:dyDescent="0.3">
      <c r="A100" t="s">
        <v>251</v>
      </c>
      <c r="B100" t="s">
        <v>252</v>
      </c>
      <c r="C100" t="s">
        <v>244</v>
      </c>
      <c r="D100" s="1">
        <v>45594</v>
      </c>
      <c r="E100">
        <v>4</v>
      </c>
      <c r="F100">
        <v>43565</v>
      </c>
      <c r="G100">
        <v>217825</v>
      </c>
      <c r="H100" s="24">
        <v>0.26</v>
      </c>
      <c r="I100" t="s">
        <v>71</v>
      </c>
      <c r="J100" t="s">
        <v>31</v>
      </c>
      <c r="K100" s="1">
        <v>45860</v>
      </c>
      <c r="L100" t="s">
        <v>21</v>
      </c>
      <c r="M100">
        <v>147</v>
      </c>
      <c r="N100" t="s">
        <v>20</v>
      </c>
      <c r="O100" t="s">
        <v>20</v>
      </c>
    </row>
    <row r="101" spans="1:15" x14ac:dyDescent="0.3">
      <c r="A101" t="s">
        <v>253</v>
      </c>
      <c r="B101" t="s">
        <v>219</v>
      </c>
      <c r="C101" t="s">
        <v>37</v>
      </c>
      <c r="D101" s="1">
        <v>45518</v>
      </c>
      <c r="E101">
        <v>5</v>
      </c>
      <c r="F101">
        <v>92731</v>
      </c>
      <c r="G101">
        <v>92731</v>
      </c>
      <c r="H101" s="24">
        <v>0.12</v>
      </c>
      <c r="I101" t="s">
        <v>42</v>
      </c>
      <c r="J101" t="s">
        <v>19</v>
      </c>
      <c r="K101" s="1">
        <v>45859</v>
      </c>
      <c r="L101" t="s">
        <v>21</v>
      </c>
      <c r="M101">
        <v>69</v>
      </c>
      <c r="N101" t="s">
        <v>20</v>
      </c>
      <c r="O10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B27F-A34F-448E-8A40-C1A572F9408D}">
  <sheetPr>
    <tabColor theme="9" tint="0.59999389629810485"/>
  </sheetPr>
  <dimension ref="A1:P101"/>
  <sheetViews>
    <sheetView topLeftCell="A28" zoomScale="106" workbookViewId="0">
      <selection activeCell="I41" sqref="I41"/>
    </sheetView>
  </sheetViews>
  <sheetFormatPr defaultRowHeight="14.4" x14ac:dyDescent="0.3"/>
  <cols>
    <col min="1" max="1" width="11.6640625" bestFit="1" customWidth="1"/>
    <col min="2" max="2" width="26.109375" bestFit="1" customWidth="1"/>
    <col min="3" max="3" width="14.33203125" bestFit="1" customWidth="1"/>
    <col min="4" max="4" width="14" bestFit="1" customWidth="1"/>
    <col min="5" max="5" width="32.6640625" bestFit="1" customWidth="1"/>
    <col min="6" max="6" width="7.33203125" bestFit="1" customWidth="1"/>
    <col min="7" max="7" width="10.5546875" bestFit="1" customWidth="1"/>
    <col min="8" max="8" width="10.88671875" bestFit="1" customWidth="1"/>
    <col min="9" max="9" width="17.77734375" bestFit="1" customWidth="1"/>
    <col min="10" max="10" width="9.77734375" bestFit="1" customWidth="1"/>
    <col min="11" max="11" width="12.21875" bestFit="1" customWidth="1"/>
    <col min="12" max="12" width="8.5546875" bestFit="1" customWidth="1"/>
    <col min="13" max="13" width="13.21875" bestFit="1" customWidth="1"/>
    <col min="14" max="14" width="12.44140625" bestFit="1" customWidth="1"/>
    <col min="15" max="15" width="11.109375" bestFit="1" customWidth="1"/>
    <col min="16" max="16" width="9.88671875" bestFit="1" customWidth="1"/>
  </cols>
  <sheetData>
    <row r="1" spans="1:16" x14ac:dyDescent="0.3">
      <c r="A1" t="s">
        <v>2</v>
      </c>
      <c r="B1" t="s">
        <v>542</v>
      </c>
      <c r="C1" t="s">
        <v>543</v>
      </c>
      <c r="D1" t="s">
        <v>544</v>
      </c>
      <c r="E1" t="s">
        <v>545</v>
      </c>
      <c r="F1" t="s">
        <v>546</v>
      </c>
      <c r="G1" t="s">
        <v>547</v>
      </c>
      <c r="H1" t="s">
        <v>548</v>
      </c>
      <c r="I1" t="s">
        <v>549</v>
      </c>
      <c r="J1" t="s">
        <v>550</v>
      </c>
      <c r="K1" t="s">
        <v>551</v>
      </c>
      <c r="L1" t="s">
        <v>552</v>
      </c>
      <c r="M1" t="s">
        <v>553</v>
      </c>
      <c r="N1" t="s">
        <v>554</v>
      </c>
      <c r="O1" t="s">
        <v>555</v>
      </c>
      <c r="P1" t="s">
        <v>1205</v>
      </c>
    </row>
    <row r="2" spans="1:16" x14ac:dyDescent="0.3">
      <c r="A2" t="s">
        <v>556</v>
      </c>
      <c r="B2" t="s">
        <v>557</v>
      </c>
      <c r="C2" t="s">
        <v>281</v>
      </c>
      <c r="D2" t="s">
        <v>558</v>
      </c>
      <c r="E2" t="s">
        <v>559</v>
      </c>
      <c r="F2">
        <v>45556</v>
      </c>
      <c r="G2">
        <v>18</v>
      </c>
      <c r="H2">
        <v>763</v>
      </c>
      <c r="I2">
        <v>24</v>
      </c>
      <c r="J2" t="s">
        <v>560</v>
      </c>
      <c r="K2" t="s">
        <v>21</v>
      </c>
      <c r="L2">
        <v>3.2</v>
      </c>
      <c r="M2" s="1">
        <v>45413</v>
      </c>
      <c r="N2" t="s">
        <v>21</v>
      </c>
      <c r="O2">
        <v>4778</v>
      </c>
      <c r="P2">
        <v>55</v>
      </c>
    </row>
    <row r="3" spans="1:16" x14ac:dyDescent="0.3">
      <c r="A3" t="s">
        <v>561</v>
      </c>
      <c r="B3" t="s">
        <v>562</v>
      </c>
      <c r="C3" t="s">
        <v>295</v>
      </c>
      <c r="D3" t="s">
        <v>563</v>
      </c>
      <c r="E3" t="s">
        <v>564</v>
      </c>
      <c r="F3">
        <v>41859</v>
      </c>
      <c r="G3">
        <v>8</v>
      </c>
      <c r="H3">
        <v>760</v>
      </c>
      <c r="I3">
        <v>12</v>
      </c>
      <c r="J3" t="s">
        <v>565</v>
      </c>
      <c r="K3" t="s">
        <v>20</v>
      </c>
      <c r="L3">
        <v>4.3</v>
      </c>
      <c r="M3" s="1">
        <v>45150</v>
      </c>
      <c r="N3" t="s">
        <v>21</v>
      </c>
      <c r="O3">
        <v>9596</v>
      </c>
      <c r="P3">
        <v>72</v>
      </c>
    </row>
    <row r="4" spans="1:16" x14ac:dyDescent="0.3">
      <c r="A4" t="s">
        <v>67</v>
      </c>
      <c r="B4" t="s">
        <v>566</v>
      </c>
      <c r="C4" t="s">
        <v>275</v>
      </c>
      <c r="D4" t="s">
        <v>563</v>
      </c>
      <c r="E4" t="s">
        <v>567</v>
      </c>
      <c r="F4">
        <v>39329</v>
      </c>
      <c r="G4">
        <v>12</v>
      </c>
      <c r="H4">
        <v>369</v>
      </c>
      <c r="I4">
        <v>12</v>
      </c>
      <c r="J4" t="s">
        <v>560</v>
      </c>
      <c r="K4" t="s">
        <v>20</v>
      </c>
      <c r="L4">
        <v>4.3</v>
      </c>
      <c r="M4" s="1">
        <v>44925</v>
      </c>
      <c r="N4" t="s">
        <v>20</v>
      </c>
      <c r="O4">
        <v>5495</v>
      </c>
      <c r="P4">
        <v>42</v>
      </c>
    </row>
    <row r="5" spans="1:16" x14ac:dyDescent="0.3">
      <c r="A5" t="s">
        <v>209</v>
      </c>
      <c r="B5" t="s">
        <v>568</v>
      </c>
      <c r="C5" t="s">
        <v>295</v>
      </c>
      <c r="D5" t="s">
        <v>558</v>
      </c>
      <c r="E5" t="s">
        <v>569</v>
      </c>
      <c r="F5">
        <v>38790</v>
      </c>
      <c r="G5">
        <v>27</v>
      </c>
      <c r="H5">
        <v>966</v>
      </c>
      <c r="I5">
        <v>12</v>
      </c>
      <c r="J5" t="s">
        <v>570</v>
      </c>
      <c r="K5" t="s">
        <v>20</v>
      </c>
      <c r="L5">
        <v>4.7</v>
      </c>
      <c r="M5" s="1">
        <v>45275</v>
      </c>
      <c r="N5" t="s">
        <v>21</v>
      </c>
      <c r="O5">
        <v>8691</v>
      </c>
      <c r="P5">
        <v>47</v>
      </c>
    </row>
    <row r="6" spans="1:16" x14ac:dyDescent="0.3">
      <c r="A6" t="s">
        <v>61</v>
      </c>
      <c r="B6" t="s">
        <v>571</v>
      </c>
      <c r="C6" t="s">
        <v>281</v>
      </c>
      <c r="D6" t="s">
        <v>572</v>
      </c>
      <c r="E6" t="s">
        <v>573</v>
      </c>
      <c r="F6">
        <v>24664</v>
      </c>
      <c r="G6">
        <v>6</v>
      </c>
      <c r="H6">
        <v>258</v>
      </c>
      <c r="I6">
        <v>36</v>
      </c>
      <c r="J6" t="s">
        <v>574</v>
      </c>
      <c r="K6" t="s">
        <v>20</v>
      </c>
      <c r="L6">
        <v>3.5</v>
      </c>
      <c r="M6" s="1">
        <v>45278</v>
      </c>
      <c r="N6" t="s">
        <v>20</v>
      </c>
      <c r="O6">
        <v>1879</v>
      </c>
      <c r="P6">
        <v>145</v>
      </c>
    </row>
    <row r="7" spans="1:16" x14ac:dyDescent="0.3">
      <c r="A7" t="s">
        <v>189</v>
      </c>
      <c r="B7" t="s">
        <v>575</v>
      </c>
      <c r="C7" t="s">
        <v>287</v>
      </c>
      <c r="D7" t="s">
        <v>558</v>
      </c>
      <c r="E7" t="s">
        <v>576</v>
      </c>
      <c r="F7">
        <v>40324</v>
      </c>
      <c r="G7">
        <v>7</v>
      </c>
      <c r="H7">
        <v>254</v>
      </c>
      <c r="I7">
        <v>6</v>
      </c>
      <c r="J7" t="s">
        <v>570</v>
      </c>
      <c r="K7" t="s">
        <v>20</v>
      </c>
      <c r="L7">
        <v>4.4000000000000004</v>
      </c>
      <c r="M7" s="1">
        <v>45696</v>
      </c>
      <c r="N7" t="s">
        <v>21</v>
      </c>
      <c r="O7">
        <v>8382</v>
      </c>
      <c r="P7">
        <v>104</v>
      </c>
    </row>
    <row r="8" spans="1:16" x14ac:dyDescent="0.3">
      <c r="A8" t="s">
        <v>577</v>
      </c>
      <c r="B8" t="s">
        <v>578</v>
      </c>
      <c r="C8" t="s">
        <v>281</v>
      </c>
      <c r="D8" t="s">
        <v>558</v>
      </c>
      <c r="E8" t="s">
        <v>579</v>
      </c>
      <c r="F8">
        <v>56707</v>
      </c>
      <c r="G8">
        <v>14</v>
      </c>
      <c r="H8">
        <v>582</v>
      </c>
      <c r="I8">
        <v>6</v>
      </c>
      <c r="J8" t="s">
        <v>574</v>
      </c>
      <c r="K8" t="s">
        <v>20</v>
      </c>
      <c r="L8">
        <v>4.0999999999999996</v>
      </c>
      <c r="M8" s="1">
        <v>45034</v>
      </c>
      <c r="N8" t="s">
        <v>21</v>
      </c>
      <c r="O8">
        <v>2331</v>
      </c>
      <c r="P8">
        <v>15</v>
      </c>
    </row>
    <row r="9" spans="1:16" x14ac:dyDescent="0.3">
      <c r="A9" t="s">
        <v>133</v>
      </c>
      <c r="B9" t="s">
        <v>580</v>
      </c>
      <c r="C9" t="s">
        <v>287</v>
      </c>
      <c r="D9" t="s">
        <v>563</v>
      </c>
      <c r="E9" t="s">
        <v>581</v>
      </c>
      <c r="F9">
        <v>72850</v>
      </c>
      <c r="G9">
        <v>7</v>
      </c>
      <c r="H9">
        <v>160</v>
      </c>
      <c r="I9">
        <v>6</v>
      </c>
      <c r="J9" t="s">
        <v>570</v>
      </c>
      <c r="K9" t="s">
        <v>21</v>
      </c>
      <c r="L9">
        <v>4.2</v>
      </c>
      <c r="M9" s="1">
        <v>45653</v>
      </c>
      <c r="N9" t="s">
        <v>21</v>
      </c>
      <c r="O9">
        <v>5772</v>
      </c>
      <c r="P9">
        <v>87</v>
      </c>
    </row>
    <row r="10" spans="1:16" x14ac:dyDescent="0.3">
      <c r="A10" t="s">
        <v>582</v>
      </c>
      <c r="B10" t="s">
        <v>583</v>
      </c>
      <c r="C10" t="s">
        <v>295</v>
      </c>
      <c r="D10" t="s">
        <v>572</v>
      </c>
      <c r="E10" t="s">
        <v>584</v>
      </c>
      <c r="F10">
        <v>93162</v>
      </c>
      <c r="G10">
        <v>14</v>
      </c>
      <c r="H10">
        <v>719</v>
      </c>
      <c r="I10">
        <v>36</v>
      </c>
      <c r="J10" t="s">
        <v>574</v>
      </c>
      <c r="K10" t="s">
        <v>20</v>
      </c>
      <c r="L10">
        <v>4.8</v>
      </c>
      <c r="M10" s="1">
        <v>45369</v>
      </c>
      <c r="N10" t="s">
        <v>20</v>
      </c>
      <c r="O10">
        <v>7966</v>
      </c>
      <c r="P10">
        <v>44</v>
      </c>
    </row>
    <row r="11" spans="1:16" x14ac:dyDescent="0.3">
      <c r="A11" t="s">
        <v>196</v>
      </c>
      <c r="B11" t="s">
        <v>585</v>
      </c>
      <c r="C11" t="s">
        <v>295</v>
      </c>
      <c r="D11" t="s">
        <v>563</v>
      </c>
      <c r="E11" t="s">
        <v>586</v>
      </c>
      <c r="F11">
        <v>85386</v>
      </c>
      <c r="G11">
        <v>9</v>
      </c>
      <c r="H11">
        <v>930</v>
      </c>
      <c r="I11">
        <v>24</v>
      </c>
      <c r="J11" t="s">
        <v>565</v>
      </c>
      <c r="K11" t="s">
        <v>20</v>
      </c>
      <c r="L11">
        <v>2.6</v>
      </c>
      <c r="M11" s="1">
        <v>45606</v>
      </c>
      <c r="N11" t="s">
        <v>21</v>
      </c>
      <c r="O11">
        <v>5729</v>
      </c>
      <c r="P11">
        <v>92</v>
      </c>
    </row>
    <row r="12" spans="1:16" x14ac:dyDescent="0.3">
      <c r="A12" t="s">
        <v>90</v>
      </c>
      <c r="B12" t="s">
        <v>587</v>
      </c>
      <c r="C12" t="s">
        <v>281</v>
      </c>
      <c r="D12" t="s">
        <v>588</v>
      </c>
      <c r="E12" t="s">
        <v>589</v>
      </c>
      <c r="F12">
        <v>90766</v>
      </c>
      <c r="G12">
        <v>14</v>
      </c>
      <c r="H12">
        <v>716</v>
      </c>
      <c r="I12">
        <v>36</v>
      </c>
      <c r="J12" t="s">
        <v>560</v>
      </c>
      <c r="K12" t="s">
        <v>21</v>
      </c>
      <c r="L12">
        <v>3.6</v>
      </c>
      <c r="M12" s="1">
        <v>45440</v>
      </c>
      <c r="N12" t="s">
        <v>20</v>
      </c>
      <c r="O12">
        <v>8079</v>
      </c>
      <c r="P12">
        <v>71</v>
      </c>
    </row>
    <row r="13" spans="1:16" x14ac:dyDescent="0.3">
      <c r="A13" t="s">
        <v>590</v>
      </c>
      <c r="B13" t="s">
        <v>591</v>
      </c>
      <c r="C13" t="s">
        <v>275</v>
      </c>
      <c r="D13" t="s">
        <v>572</v>
      </c>
      <c r="E13" t="s">
        <v>592</v>
      </c>
      <c r="F13">
        <v>3890</v>
      </c>
      <c r="G13">
        <v>7</v>
      </c>
      <c r="H13">
        <v>234</v>
      </c>
      <c r="I13">
        <v>6</v>
      </c>
      <c r="J13" t="s">
        <v>560</v>
      </c>
      <c r="K13" t="s">
        <v>20</v>
      </c>
      <c r="L13">
        <v>4.4000000000000004</v>
      </c>
      <c r="M13" s="1">
        <v>44975</v>
      </c>
      <c r="N13" t="s">
        <v>20</v>
      </c>
      <c r="O13">
        <v>8709</v>
      </c>
      <c r="P13">
        <v>50</v>
      </c>
    </row>
    <row r="14" spans="1:16" x14ac:dyDescent="0.3">
      <c r="A14" t="s">
        <v>94</v>
      </c>
      <c r="B14" t="s">
        <v>593</v>
      </c>
      <c r="C14" t="s">
        <v>281</v>
      </c>
      <c r="D14" t="s">
        <v>563</v>
      </c>
      <c r="E14" t="s">
        <v>594</v>
      </c>
      <c r="F14">
        <v>77220</v>
      </c>
      <c r="G14">
        <v>18</v>
      </c>
      <c r="H14">
        <v>650</v>
      </c>
      <c r="I14">
        <v>36</v>
      </c>
      <c r="J14" t="s">
        <v>574</v>
      </c>
      <c r="K14" t="s">
        <v>21</v>
      </c>
      <c r="L14">
        <v>3.4</v>
      </c>
      <c r="M14" s="1">
        <v>45782</v>
      </c>
      <c r="N14" t="s">
        <v>21</v>
      </c>
      <c r="O14">
        <v>6261</v>
      </c>
      <c r="P14">
        <v>138</v>
      </c>
    </row>
    <row r="15" spans="1:16" x14ac:dyDescent="0.3">
      <c r="A15" t="s">
        <v>92</v>
      </c>
      <c r="B15" t="s">
        <v>595</v>
      </c>
      <c r="C15" t="s">
        <v>295</v>
      </c>
      <c r="D15" t="s">
        <v>572</v>
      </c>
      <c r="E15" t="s">
        <v>596</v>
      </c>
      <c r="F15">
        <v>54455</v>
      </c>
      <c r="G15">
        <v>27</v>
      </c>
      <c r="H15">
        <v>507</v>
      </c>
      <c r="I15">
        <v>24</v>
      </c>
      <c r="J15" t="s">
        <v>570</v>
      </c>
      <c r="K15" t="s">
        <v>20</v>
      </c>
      <c r="L15">
        <v>3.6</v>
      </c>
      <c r="M15" s="1">
        <v>45456</v>
      </c>
      <c r="N15" t="s">
        <v>21</v>
      </c>
      <c r="O15">
        <v>5136</v>
      </c>
      <c r="P15">
        <v>50</v>
      </c>
    </row>
    <row r="16" spans="1:16" x14ac:dyDescent="0.3">
      <c r="A16" t="s">
        <v>250</v>
      </c>
      <c r="B16" t="s">
        <v>597</v>
      </c>
      <c r="C16" t="s">
        <v>275</v>
      </c>
      <c r="D16" t="s">
        <v>588</v>
      </c>
      <c r="E16" t="s">
        <v>598</v>
      </c>
      <c r="F16">
        <v>67949</v>
      </c>
      <c r="G16">
        <v>5</v>
      </c>
      <c r="H16">
        <v>673</v>
      </c>
      <c r="I16">
        <v>36</v>
      </c>
      <c r="J16" t="s">
        <v>570</v>
      </c>
      <c r="K16" t="s">
        <v>20</v>
      </c>
      <c r="L16">
        <v>3</v>
      </c>
      <c r="M16" s="1">
        <v>45545</v>
      </c>
      <c r="N16" t="s">
        <v>21</v>
      </c>
      <c r="O16">
        <v>9168</v>
      </c>
      <c r="P16">
        <v>153</v>
      </c>
    </row>
    <row r="17" spans="1:16" x14ac:dyDescent="0.3">
      <c r="A17" t="s">
        <v>114</v>
      </c>
      <c r="B17" t="s">
        <v>599</v>
      </c>
      <c r="C17" t="s">
        <v>281</v>
      </c>
      <c r="D17" t="s">
        <v>563</v>
      </c>
      <c r="E17" t="s">
        <v>600</v>
      </c>
      <c r="F17">
        <v>35503</v>
      </c>
      <c r="G17">
        <v>22</v>
      </c>
      <c r="H17">
        <v>134</v>
      </c>
      <c r="I17">
        <v>24</v>
      </c>
      <c r="J17" t="s">
        <v>570</v>
      </c>
      <c r="K17" t="s">
        <v>21</v>
      </c>
      <c r="L17">
        <v>2.8</v>
      </c>
      <c r="M17" s="1">
        <v>45848</v>
      </c>
      <c r="N17" t="s">
        <v>20</v>
      </c>
      <c r="O17">
        <v>3595</v>
      </c>
      <c r="P17">
        <v>179</v>
      </c>
    </row>
    <row r="18" spans="1:16" x14ac:dyDescent="0.3">
      <c r="A18" t="s">
        <v>34</v>
      </c>
      <c r="B18" t="s">
        <v>601</v>
      </c>
      <c r="C18" t="s">
        <v>275</v>
      </c>
      <c r="D18" t="s">
        <v>602</v>
      </c>
      <c r="E18" t="s">
        <v>603</v>
      </c>
      <c r="F18">
        <v>72884</v>
      </c>
      <c r="G18">
        <v>18</v>
      </c>
      <c r="H18">
        <v>95</v>
      </c>
      <c r="I18">
        <v>12</v>
      </c>
      <c r="J18" t="s">
        <v>574</v>
      </c>
      <c r="K18" t="s">
        <v>21</v>
      </c>
      <c r="L18">
        <v>4.9000000000000004</v>
      </c>
      <c r="M18" s="1">
        <v>45780</v>
      </c>
      <c r="N18" t="s">
        <v>20</v>
      </c>
      <c r="O18">
        <v>9166</v>
      </c>
      <c r="P18">
        <v>185</v>
      </c>
    </row>
    <row r="19" spans="1:16" x14ac:dyDescent="0.3">
      <c r="A19" t="s">
        <v>604</v>
      </c>
      <c r="B19" t="s">
        <v>605</v>
      </c>
      <c r="C19" t="s">
        <v>275</v>
      </c>
      <c r="D19" t="s">
        <v>606</v>
      </c>
      <c r="E19" t="s">
        <v>607</v>
      </c>
      <c r="F19">
        <v>36338</v>
      </c>
      <c r="G19">
        <v>18</v>
      </c>
      <c r="H19">
        <v>854</v>
      </c>
      <c r="I19">
        <v>36</v>
      </c>
      <c r="J19" t="s">
        <v>570</v>
      </c>
      <c r="K19" t="s">
        <v>20</v>
      </c>
      <c r="L19">
        <v>3.6</v>
      </c>
      <c r="M19" s="1">
        <v>45633</v>
      </c>
      <c r="N19" t="s">
        <v>20</v>
      </c>
      <c r="O19">
        <v>7285</v>
      </c>
      <c r="P19">
        <v>190</v>
      </c>
    </row>
    <row r="20" spans="1:16" x14ac:dyDescent="0.3">
      <c r="A20" t="s">
        <v>608</v>
      </c>
      <c r="B20" t="s">
        <v>609</v>
      </c>
      <c r="C20" t="s">
        <v>287</v>
      </c>
      <c r="D20" t="s">
        <v>558</v>
      </c>
      <c r="E20" t="s">
        <v>610</v>
      </c>
      <c r="F20">
        <v>98318</v>
      </c>
      <c r="G20">
        <v>9</v>
      </c>
      <c r="H20">
        <v>884</v>
      </c>
      <c r="I20">
        <v>6</v>
      </c>
      <c r="J20" t="s">
        <v>560</v>
      </c>
      <c r="K20" t="s">
        <v>21</v>
      </c>
      <c r="L20">
        <v>3.3</v>
      </c>
      <c r="M20" s="1">
        <v>44923</v>
      </c>
      <c r="N20" t="s">
        <v>21</v>
      </c>
      <c r="O20">
        <v>1043</v>
      </c>
      <c r="P20">
        <v>166</v>
      </c>
    </row>
    <row r="21" spans="1:16" x14ac:dyDescent="0.3">
      <c r="A21" t="s">
        <v>168</v>
      </c>
      <c r="B21" t="s">
        <v>611</v>
      </c>
      <c r="C21" t="s">
        <v>275</v>
      </c>
      <c r="D21" t="s">
        <v>572</v>
      </c>
      <c r="E21" t="s">
        <v>612</v>
      </c>
      <c r="F21">
        <v>77431</v>
      </c>
      <c r="G21">
        <v>23</v>
      </c>
      <c r="H21">
        <v>675</v>
      </c>
      <c r="I21">
        <v>36</v>
      </c>
      <c r="J21" t="s">
        <v>565</v>
      </c>
      <c r="K21" t="s">
        <v>21</v>
      </c>
      <c r="L21">
        <v>3.8</v>
      </c>
      <c r="M21" s="1">
        <v>45552</v>
      </c>
      <c r="N21" t="s">
        <v>21</v>
      </c>
      <c r="O21">
        <v>6447</v>
      </c>
      <c r="P21">
        <v>34</v>
      </c>
    </row>
    <row r="22" spans="1:16" x14ac:dyDescent="0.3">
      <c r="A22" t="s">
        <v>41</v>
      </c>
      <c r="B22" t="s">
        <v>613</v>
      </c>
      <c r="C22" t="s">
        <v>281</v>
      </c>
      <c r="D22" t="s">
        <v>572</v>
      </c>
      <c r="E22" t="s">
        <v>614</v>
      </c>
      <c r="F22">
        <v>25227</v>
      </c>
      <c r="G22">
        <v>27</v>
      </c>
      <c r="H22">
        <v>244</v>
      </c>
      <c r="I22">
        <v>36</v>
      </c>
      <c r="J22" t="s">
        <v>565</v>
      </c>
      <c r="K22" t="s">
        <v>21</v>
      </c>
      <c r="L22">
        <v>2.6</v>
      </c>
      <c r="M22" s="1">
        <v>45366</v>
      </c>
      <c r="N22" t="s">
        <v>21</v>
      </c>
      <c r="O22">
        <v>7247</v>
      </c>
      <c r="P22">
        <v>147</v>
      </c>
    </row>
    <row r="23" spans="1:16" x14ac:dyDescent="0.3">
      <c r="A23" t="s">
        <v>615</v>
      </c>
      <c r="B23" t="s">
        <v>616</v>
      </c>
      <c r="C23" t="s">
        <v>281</v>
      </c>
      <c r="D23" t="s">
        <v>606</v>
      </c>
      <c r="E23" t="s">
        <v>617</v>
      </c>
      <c r="F23">
        <v>20436</v>
      </c>
      <c r="G23">
        <v>20</v>
      </c>
      <c r="H23">
        <v>987</v>
      </c>
      <c r="I23">
        <v>6</v>
      </c>
      <c r="J23" t="s">
        <v>565</v>
      </c>
      <c r="K23" t="s">
        <v>21</v>
      </c>
      <c r="L23">
        <v>4.7</v>
      </c>
      <c r="M23" s="1">
        <v>44797</v>
      </c>
      <c r="N23" t="s">
        <v>21</v>
      </c>
      <c r="O23">
        <v>2634</v>
      </c>
      <c r="P23">
        <v>80</v>
      </c>
    </row>
    <row r="24" spans="1:16" x14ac:dyDescent="0.3">
      <c r="A24" t="s">
        <v>220</v>
      </c>
      <c r="B24" t="s">
        <v>618</v>
      </c>
      <c r="C24" t="s">
        <v>281</v>
      </c>
      <c r="D24" t="s">
        <v>606</v>
      </c>
      <c r="E24" t="s">
        <v>619</v>
      </c>
      <c r="F24">
        <v>19394</v>
      </c>
      <c r="G24">
        <v>18</v>
      </c>
      <c r="H24">
        <v>891</v>
      </c>
      <c r="I24">
        <v>12</v>
      </c>
      <c r="J24" t="s">
        <v>574</v>
      </c>
      <c r="K24" t="s">
        <v>21</v>
      </c>
      <c r="L24">
        <v>4.5</v>
      </c>
      <c r="M24" s="1">
        <v>44892</v>
      </c>
      <c r="N24" t="s">
        <v>21</v>
      </c>
      <c r="O24">
        <v>6547</v>
      </c>
      <c r="P24">
        <v>61</v>
      </c>
    </row>
    <row r="25" spans="1:16" x14ac:dyDescent="0.3">
      <c r="A25" t="s">
        <v>244</v>
      </c>
      <c r="B25" t="s">
        <v>620</v>
      </c>
      <c r="C25" t="s">
        <v>281</v>
      </c>
      <c r="D25" t="s">
        <v>602</v>
      </c>
      <c r="E25" t="s">
        <v>621</v>
      </c>
      <c r="F25">
        <v>43565</v>
      </c>
      <c r="G25">
        <v>26</v>
      </c>
      <c r="H25">
        <v>879</v>
      </c>
      <c r="I25">
        <v>36</v>
      </c>
      <c r="J25" t="s">
        <v>560</v>
      </c>
      <c r="K25" t="s">
        <v>21</v>
      </c>
      <c r="L25">
        <v>4.7</v>
      </c>
      <c r="M25" s="1">
        <v>45291</v>
      </c>
      <c r="N25" t="s">
        <v>20</v>
      </c>
      <c r="O25">
        <v>2122</v>
      </c>
      <c r="P25">
        <v>58</v>
      </c>
    </row>
    <row r="26" spans="1:16" x14ac:dyDescent="0.3">
      <c r="A26" t="s">
        <v>622</v>
      </c>
      <c r="B26" t="s">
        <v>623</v>
      </c>
      <c r="C26" t="s">
        <v>287</v>
      </c>
      <c r="D26" t="s">
        <v>606</v>
      </c>
      <c r="E26" t="s">
        <v>624</v>
      </c>
      <c r="F26">
        <v>38167</v>
      </c>
      <c r="G26">
        <v>12</v>
      </c>
      <c r="H26">
        <v>764</v>
      </c>
      <c r="I26">
        <v>6</v>
      </c>
      <c r="J26" t="s">
        <v>570</v>
      </c>
      <c r="K26" t="s">
        <v>20</v>
      </c>
      <c r="L26">
        <v>4.4000000000000004</v>
      </c>
      <c r="M26" s="1">
        <v>45300</v>
      </c>
      <c r="N26" t="s">
        <v>20</v>
      </c>
      <c r="O26">
        <v>8270</v>
      </c>
      <c r="P26">
        <v>126</v>
      </c>
    </row>
    <row r="27" spans="1:16" x14ac:dyDescent="0.3">
      <c r="A27" t="s">
        <v>625</v>
      </c>
      <c r="B27" t="s">
        <v>626</v>
      </c>
      <c r="C27" t="s">
        <v>287</v>
      </c>
      <c r="D27" t="s">
        <v>572</v>
      </c>
      <c r="E27" t="s">
        <v>627</v>
      </c>
      <c r="F27">
        <v>4294</v>
      </c>
      <c r="G27">
        <v>6</v>
      </c>
      <c r="H27">
        <v>332</v>
      </c>
      <c r="I27">
        <v>6</v>
      </c>
      <c r="J27" t="s">
        <v>560</v>
      </c>
      <c r="K27" t="s">
        <v>21</v>
      </c>
      <c r="L27">
        <v>3.4</v>
      </c>
      <c r="M27" s="1">
        <v>45841</v>
      </c>
      <c r="N27" t="s">
        <v>20</v>
      </c>
      <c r="O27">
        <v>5001</v>
      </c>
      <c r="P27">
        <v>192</v>
      </c>
    </row>
    <row r="28" spans="1:16" x14ac:dyDescent="0.3">
      <c r="A28" t="s">
        <v>24</v>
      </c>
      <c r="B28" t="s">
        <v>628</v>
      </c>
      <c r="C28" t="s">
        <v>281</v>
      </c>
      <c r="D28" t="s">
        <v>606</v>
      </c>
      <c r="E28" t="s">
        <v>629</v>
      </c>
      <c r="F28">
        <v>24100</v>
      </c>
      <c r="G28">
        <v>10</v>
      </c>
      <c r="H28">
        <v>179</v>
      </c>
      <c r="I28">
        <v>6</v>
      </c>
      <c r="J28" t="s">
        <v>570</v>
      </c>
      <c r="K28" t="s">
        <v>20</v>
      </c>
      <c r="L28">
        <v>3.7</v>
      </c>
      <c r="M28" s="1">
        <v>44828</v>
      </c>
      <c r="N28" t="s">
        <v>20</v>
      </c>
      <c r="O28">
        <v>4805</v>
      </c>
      <c r="P28">
        <v>44</v>
      </c>
    </row>
    <row r="29" spans="1:16" x14ac:dyDescent="0.3">
      <c r="A29" t="s">
        <v>630</v>
      </c>
      <c r="B29" t="s">
        <v>631</v>
      </c>
      <c r="C29" t="s">
        <v>281</v>
      </c>
      <c r="D29" t="s">
        <v>572</v>
      </c>
      <c r="E29" t="s">
        <v>632</v>
      </c>
      <c r="F29">
        <v>60736</v>
      </c>
      <c r="G29">
        <v>13</v>
      </c>
      <c r="H29">
        <v>682</v>
      </c>
      <c r="I29">
        <v>6</v>
      </c>
      <c r="J29" t="s">
        <v>570</v>
      </c>
      <c r="K29" t="s">
        <v>21</v>
      </c>
      <c r="L29">
        <v>4.2</v>
      </c>
      <c r="M29" s="1">
        <v>45765</v>
      </c>
      <c r="N29" t="s">
        <v>20</v>
      </c>
      <c r="O29">
        <v>2211</v>
      </c>
      <c r="P29">
        <v>135</v>
      </c>
    </row>
    <row r="30" spans="1:16" x14ac:dyDescent="0.3">
      <c r="A30" t="s">
        <v>232</v>
      </c>
      <c r="B30" t="s">
        <v>633</v>
      </c>
      <c r="C30" t="s">
        <v>281</v>
      </c>
      <c r="D30" t="s">
        <v>558</v>
      </c>
      <c r="E30" t="s">
        <v>634</v>
      </c>
      <c r="F30">
        <v>39710</v>
      </c>
      <c r="G30">
        <v>25</v>
      </c>
      <c r="H30">
        <v>985</v>
      </c>
      <c r="I30">
        <v>36</v>
      </c>
      <c r="J30" t="s">
        <v>560</v>
      </c>
      <c r="K30" t="s">
        <v>21</v>
      </c>
      <c r="L30">
        <v>4.5999999999999996</v>
      </c>
      <c r="M30" s="1">
        <v>45030</v>
      </c>
      <c r="N30" t="s">
        <v>20</v>
      </c>
      <c r="O30">
        <v>7303</v>
      </c>
      <c r="P30">
        <v>157</v>
      </c>
    </row>
    <row r="31" spans="1:16" x14ac:dyDescent="0.3">
      <c r="A31" t="s">
        <v>147</v>
      </c>
      <c r="B31" t="s">
        <v>635</v>
      </c>
      <c r="C31" t="s">
        <v>281</v>
      </c>
      <c r="D31" t="s">
        <v>563</v>
      </c>
      <c r="E31" t="s">
        <v>636</v>
      </c>
      <c r="F31">
        <v>50486</v>
      </c>
      <c r="G31">
        <v>23</v>
      </c>
      <c r="H31">
        <v>367</v>
      </c>
      <c r="I31">
        <v>24</v>
      </c>
      <c r="J31" t="s">
        <v>560</v>
      </c>
      <c r="K31" t="s">
        <v>20</v>
      </c>
      <c r="L31">
        <v>4.9000000000000004</v>
      </c>
      <c r="M31" s="1">
        <v>45421</v>
      </c>
      <c r="N31" t="s">
        <v>21</v>
      </c>
      <c r="O31">
        <v>5498</v>
      </c>
      <c r="P31">
        <v>62</v>
      </c>
    </row>
    <row r="32" spans="1:16" x14ac:dyDescent="0.3">
      <c r="A32" t="s">
        <v>637</v>
      </c>
      <c r="B32" t="s">
        <v>638</v>
      </c>
      <c r="C32" t="s">
        <v>295</v>
      </c>
      <c r="D32" t="s">
        <v>606</v>
      </c>
      <c r="E32" t="s">
        <v>639</v>
      </c>
      <c r="F32">
        <v>98105</v>
      </c>
      <c r="G32">
        <v>6</v>
      </c>
      <c r="H32">
        <v>932</v>
      </c>
      <c r="I32">
        <v>36</v>
      </c>
      <c r="J32" t="s">
        <v>560</v>
      </c>
      <c r="K32" t="s">
        <v>20</v>
      </c>
      <c r="L32">
        <v>4</v>
      </c>
      <c r="M32" s="1">
        <v>45045</v>
      </c>
      <c r="N32" t="s">
        <v>21</v>
      </c>
      <c r="O32">
        <v>4589</v>
      </c>
      <c r="P32">
        <v>116</v>
      </c>
    </row>
    <row r="33" spans="1:16" x14ac:dyDescent="0.3">
      <c r="A33" t="s">
        <v>27</v>
      </c>
      <c r="B33" t="s">
        <v>640</v>
      </c>
      <c r="C33" t="s">
        <v>287</v>
      </c>
      <c r="D33" t="s">
        <v>572</v>
      </c>
      <c r="E33" t="s">
        <v>641</v>
      </c>
      <c r="F33">
        <v>89335</v>
      </c>
      <c r="G33">
        <v>29</v>
      </c>
      <c r="H33">
        <v>738</v>
      </c>
      <c r="I33">
        <v>12</v>
      </c>
      <c r="J33" t="s">
        <v>574</v>
      </c>
      <c r="K33" t="s">
        <v>20</v>
      </c>
      <c r="L33">
        <v>3.3</v>
      </c>
      <c r="M33" s="1">
        <v>45712</v>
      </c>
      <c r="N33" t="s">
        <v>21</v>
      </c>
      <c r="O33">
        <v>1547</v>
      </c>
      <c r="P33">
        <v>163</v>
      </c>
    </row>
    <row r="34" spans="1:16" x14ac:dyDescent="0.3">
      <c r="A34" t="s">
        <v>130</v>
      </c>
      <c r="B34" t="s">
        <v>642</v>
      </c>
      <c r="C34" t="s">
        <v>275</v>
      </c>
      <c r="D34" t="s">
        <v>563</v>
      </c>
      <c r="E34" t="s">
        <v>643</v>
      </c>
      <c r="F34">
        <v>12313</v>
      </c>
      <c r="G34">
        <v>14</v>
      </c>
      <c r="H34">
        <v>334</v>
      </c>
      <c r="I34">
        <v>36</v>
      </c>
      <c r="J34" t="s">
        <v>565</v>
      </c>
      <c r="K34" t="s">
        <v>20</v>
      </c>
      <c r="L34">
        <v>2.8</v>
      </c>
      <c r="M34" s="1">
        <v>44765</v>
      </c>
      <c r="N34" t="s">
        <v>21</v>
      </c>
      <c r="O34">
        <v>9698</v>
      </c>
      <c r="P34">
        <v>176</v>
      </c>
    </row>
    <row r="35" spans="1:16" x14ac:dyDescent="0.3">
      <c r="A35" t="s">
        <v>53</v>
      </c>
      <c r="B35" t="s">
        <v>644</v>
      </c>
      <c r="C35" t="s">
        <v>275</v>
      </c>
      <c r="D35" t="s">
        <v>572</v>
      </c>
      <c r="E35" t="s">
        <v>645</v>
      </c>
      <c r="F35">
        <v>63656</v>
      </c>
      <c r="G35">
        <v>30</v>
      </c>
      <c r="H35">
        <v>302</v>
      </c>
      <c r="I35">
        <v>24</v>
      </c>
      <c r="J35" t="s">
        <v>574</v>
      </c>
      <c r="K35" t="s">
        <v>21</v>
      </c>
      <c r="L35">
        <v>4.9000000000000004</v>
      </c>
      <c r="M35" s="1">
        <v>45852</v>
      </c>
      <c r="N35" t="s">
        <v>20</v>
      </c>
      <c r="O35">
        <v>4697</v>
      </c>
      <c r="P35">
        <v>195</v>
      </c>
    </row>
    <row r="36" spans="1:16" x14ac:dyDescent="0.3">
      <c r="A36" t="s">
        <v>212</v>
      </c>
      <c r="B36" t="s">
        <v>557</v>
      </c>
      <c r="C36" t="s">
        <v>281</v>
      </c>
      <c r="D36" t="s">
        <v>572</v>
      </c>
      <c r="E36" t="s">
        <v>646</v>
      </c>
      <c r="F36">
        <v>12336</v>
      </c>
      <c r="G36">
        <v>30</v>
      </c>
      <c r="H36">
        <v>404</v>
      </c>
      <c r="I36">
        <v>6</v>
      </c>
      <c r="J36" t="s">
        <v>560</v>
      </c>
      <c r="K36" t="s">
        <v>20</v>
      </c>
      <c r="L36">
        <v>3.6</v>
      </c>
      <c r="M36" s="1">
        <v>45327</v>
      </c>
      <c r="N36" t="s">
        <v>21</v>
      </c>
      <c r="O36">
        <v>7243</v>
      </c>
      <c r="P36">
        <v>12</v>
      </c>
    </row>
    <row r="37" spans="1:16" x14ac:dyDescent="0.3">
      <c r="A37" t="s">
        <v>142</v>
      </c>
      <c r="B37" t="s">
        <v>647</v>
      </c>
      <c r="C37" t="s">
        <v>275</v>
      </c>
      <c r="D37" t="s">
        <v>606</v>
      </c>
      <c r="E37" t="s">
        <v>648</v>
      </c>
      <c r="F37">
        <v>31147</v>
      </c>
      <c r="G37">
        <v>20</v>
      </c>
      <c r="H37">
        <v>25</v>
      </c>
      <c r="I37">
        <v>24</v>
      </c>
      <c r="J37" t="s">
        <v>565</v>
      </c>
      <c r="K37" t="s">
        <v>20</v>
      </c>
      <c r="L37">
        <v>4.0999999999999996</v>
      </c>
      <c r="M37" s="1">
        <v>45166</v>
      </c>
      <c r="N37" t="s">
        <v>21</v>
      </c>
      <c r="O37">
        <v>5952</v>
      </c>
      <c r="P37">
        <v>178</v>
      </c>
    </row>
    <row r="38" spans="1:16" x14ac:dyDescent="0.3">
      <c r="A38" t="s">
        <v>49</v>
      </c>
      <c r="B38" t="s">
        <v>649</v>
      </c>
      <c r="C38" t="s">
        <v>281</v>
      </c>
      <c r="D38" t="s">
        <v>563</v>
      </c>
      <c r="E38" t="s">
        <v>650</v>
      </c>
      <c r="F38">
        <v>6443</v>
      </c>
      <c r="G38">
        <v>6</v>
      </c>
      <c r="H38">
        <v>311</v>
      </c>
      <c r="I38">
        <v>36</v>
      </c>
      <c r="J38" t="s">
        <v>574</v>
      </c>
      <c r="K38" t="s">
        <v>20</v>
      </c>
      <c r="L38">
        <v>3.1</v>
      </c>
      <c r="M38" s="1">
        <v>45686</v>
      </c>
      <c r="N38" t="s">
        <v>20</v>
      </c>
      <c r="O38">
        <v>7368</v>
      </c>
      <c r="P38">
        <v>156</v>
      </c>
    </row>
    <row r="39" spans="1:16" x14ac:dyDescent="0.3">
      <c r="A39" t="s">
        <v>224</v>
      </c>
      <c r="B39" t="s">
        <v>651</v>
      </c>
      <c r="C39" t="s">
        <v>281</v>
      </c>
      <c r="D39" t="s">
        <v>606</v>
      </c>
      <c r="E39" t="s">
        <v>652</v>
      </c>
      <c r="F39">
        <v>97904</v>
      </c>
      <c r="G39">
        <v>27</v>
      </c>
      <c r="H39">
        <v>968</v>
      </c>
      <c r="I39">
        <v>36</v>
      </c>
      <c r="J39" t="s">
        <v>565</v>
      </c>
      <c r="K39" t="s">
        <v>21</v>
      </c>
      <c r="L39">
        <v>4.0999999999999996</v>
      </c>
      <c r="M39" s="1">
        <v>45305</v>
      </c>
      <c r="N39" t="s">
        <v>21</v>
      </c>
      <c r="O39">
        <v>7687</v>
      </c>
      <c r="P39">
        <v>74</v>
      </c>
    </row>
    <row r="40" spans="1:16" x14ac:dyDescent="0.3">
      <c r="A40" t="s">
        <v>111</v>
      </c>
      <c r="B40" t="s">
        <v>653</v>
      </c>
      <c r="C40" t="s">
        <v>275</v>
      </c>
      <c r="D40" t="s">
        <v>606</v>
      </c>
      <c r="E40" t="s">
        <v>654</v>
      </c>
      <c r="F40">
        <v>49066</v>
      </c>
      <c r="G40">
        <v>11</v>
      </c>
      <c r="H40">
        <v>454</v>
      </c>
      <c r="I40">
        <v>36</v>
      </c>
      <c r="J40" t="s">
        <v>565</v>
      </c>
      <c r="K40" t="s">
        <v>21</v>
      </c>
      <c r="L40">
        <v>2.7</v>
      </c>
      <c r="M40" s="1">
        <v>45803</v>
      </c>
      <c r="N40" t="s">
        <v>21</v>
      </c>
      <c r="O40">
        <v>9921</v>
      </c>
      <c r="P40">
        <v>131</v>
      </c>
    </row>
    <row r="41" spans="1:16" x14ac:dyDescent="0.3">
      <c r="A41" t="s">
        <v>655</v>
      </c>
      <c r="B41" t="s">
        <v>568</v>
      </c>
      <c r="C41" t="s">
        <v>275</v>
      </c>
      <c r="D41" t="s">
        <v>588</v>
      </c>
      <c r="E41" t="s">
        <v>656</v>
      </c>
      <c r="F41">
        <v>36660</v>
      </c>
      <c r="G41">
        <v>11</v>
      </c>
      <c r="H41">
        <v>991</v>
      </c>
      <c r="I41">
        <v>6</v>
      </c>
      <c r="J41" t="s">
        <v>570</v>
      </c>
      <c r="K41" t="s">
        <v>20</v>
      </c>
      <c r="L41">
        <v>4.2</v>
      </c>
      <c r="M41" s="1">
        <v>45233</v>
      </c>
      <c r="N41" t="s">
        <v>20</v>
      </c>
      <c r="O41">
        <v>1829</v>
      </c>
      <c r="P41">
        <v>92</v>
      </c>
    </row>
    <row r="42" spans="1:16" x14ac:dyDescent="0.3">
      <c r="A42" t="s">
        <v>64</v>
      </c>
      <c r="B42" t="s">
        <v>657</v>
      </c>
      <c r="C42" t="s">
        <v>275</v>
      </c>
      <c r="D42" t="s">
        <v>563</v>
      </c>
      <c r="E42" t="s">
        <v>658</v>
      </c>
      <c r="F42">
        <v>74500</v>
      </c>
      <c r="G42">
        <v>11</v>
      </c>
      <c r="H42">
        <v>70</v>
      </c>
      <c r="I42">
        <v>12</v>
      </c>
      <c r="J42" t="s">
        <v>565</v>
      </c>
      <c r="K42" t="s">
        <v>20</v>
      </c>
      <c r="L42">
        <v>3.3</v>
      </c>
      <c r="M42" s="1">
        <v>44978</v>
      </c>
      <c r="N42" t="s">
        <v>20</v>
      </c>
      <c r="O42">
        <v>1047</v>
      </c>
      <c r="P42">
        <v>87</v>
      </c>
    </row>
    <row r="43" spans="1:16" x14ac:dyDescent="0.3">
      <c r="A43" t="s">
        <v>79</v>
      </c>
      <c r="B43" t="s">
        <v>659</v>
      </c>
      <c r="C43" t="s">
        <v>275</v>
      </c>
      <c r="D43" t="s">
        <v>563</v>
      </c>
      <c r="E43" t="s">
        <v>660</v>
      </c>
      <c r="F43">
        <v>71307</v>
      </c>
      <c r="G43">
        <v>13</v>
      </c>
      <c r="H43">
        <v>817</v>
      </c>
      <c r="I43">
        <v>12</v>
      </c>
      <c r="J43" t="s">
        <v>574</v>
      </c>
      <c r="K43" t="s">
        <v>20</v>
      </c>
      <c r="L43">
        <v>2.8</v>
      </c>
      <c r="M43" s="1">
        <v>45651</v>
      </c>
      <c r="N43" t="s">
        <v>21</v>
      </c>
      <c r="O43">
        <v>4899</v>
      </c>
      <c r="P43">
        <v>59</v>
      </c>
    </row>
    <row r="44" spans="1:16" x14ac:dyDescent="0.3">
      <c r="A44" t="s">
        <v>160</v>
      </c>
      <c r="B44" t="s">
        <v>661</v>
      </c>
      <c r="C44" t="s">
        <v>275</v>
      </c>
      <c r="D44" t="s">
        <v>563</v>
      </c>
      <c r="E44" t="s">
        <v>662</v>
      </c>
      <c r="F44">
        <v>35282</v>
      </c>
      <c r="G44">
        <v>6</v>
      </c>
      <c r="H44">
        <v>129</v>
      </c>
      <c r="I44">
        <v>36</v>
      </c>
      <c r="J44" t="s">
        <v>574</v>
      </c>
      <c r="K44" t="s">
        <v>20</v>
      </c>
      <c r="L44">
        <v>3.7</v>
      </c>
      <c r="M44" s="1">
        <v>45746</v>
      </c>
      <c r="N44" t="s">
        <v>21</v>
      </c>
      <c r="O44">
        <v>9409</v>
      </c>
      <c r="P44">
        <v>81</v>
      </c>
    </row>
    <row r="45" spans="1:16" x14ac:dyDescent="0.3">
      <c r="A45" t="s">
        <v>238</v>
      </c>
      <c r="B45" t="s">
        <v>663</v>
      </c>
      <c r="C45" t="s">
        <v>295</v>
      </c>
      <c r="D45" t="s">
        <v>558</v>
      </c>
      <c r="E45" t="s">
        <v>664</v>
      </c>
      <c r="F45">
        <v>29538</v>
      </c>
      <c r="G45">
        <v>24</v>
      </c>
      <c r="H45">
        <v>44</v>
      </c>
      <c r="I45">
        <v>24</v>
      </c>
      <c r="J45" t="s">
        <v>570</v>
      </c>
      <c r="K45" t="s">
        <v>20</v>
      </c>
      <c r="L45">
        <v>2.7</v>
      </c>
      <c r="M45" s="1">
        <v>45207</v>
      </c>
      <c r="N45" t="s">
        <v>21</v>
      </c>
      <c r="O45">
        <v>7581</v>
      </c>
      <c r="P45">
        <v>11</v>
      </c>
    </row>
    <row r="46" spans="1:16" x14ac:dyDescent="0.3">
      <c r="A46" t="s">
        <v>665</v>
      </c>
      <c r="B46" t="s">
        <v>666</v>
      </c>
      <c r="C46" t="s">
        <v>281</v>
      </c>
      <c r="D46" t="s">
        <v>602</v>
      </c>
      <c r="E46" t="s">
        <v>667</v>
      </c>
      <c r="F46">
        <v>64760</v>
      </c>
      <c r="G46">
        <v>27</v>
      </c>
      <c r="H46">
        <v>931</v>
      </c>
      <c r="I46">
        <v>36</v>
      </c>
      <c r="J46" t="s">
        <v>574</v>
      </c>
      <c r="K46" t="s">
        <v>20</v>
      </c>
      <c r="L46">
        <v>3.3</v>
      </c>
      <c r="M46" s="1">
        <v>45721</v>
      </c>
      <c r="N46" t="s">
        <v>20</v>
      </c>
      <c r="O46">
        <v>2077</v>
      </c>
      <c r="P46">
        <v>149</v>
      </c>
    </row>
    <row r="47" spans="1:16" x14ac:dyDescent="0.3">
      <c r="A47" t="s">
        <v>668</v>
      </c>
      <c r="B47" t="s">
        <v>669</v>
      </c>
      <c r="C47" t="s">
        <v>287</v>
      </c>
      <c r="D47" t="s">
        <v>558</v>
      </c>
      <c r="E47" t="s">
        <v>670</v>
      </c>
      <c r="F47">
        <v>83478</v>
      </c>
      <c r="G47">
        <v>23</v>
      </c>
      <c r="H47">
        <v>561</v>
      </c>
      <c r="I47">
        <v>24</v>
      </c>
      <c r="J47" t="s">
        <v>570</v>
      </c>
      <c r="K47" t="s">
        <v>21</v>
      </c>
      <c r="L47">
        <v>3.6</v>
      </c>
      <c r="M47" s="1">
        <v>44971</v>
      </c>
      <c r="N47" t="s">
        <v>21</v>
      </c>
      <c r="O47">
        <v>2625</v>
      </c>
      <c r="P47">
        <v>62</v>
      </c>
    </row>
    <row r="48" spans="1:16" x14ac:dyDescent="0.3">
      <c r="A48" t="s">
        <v>222</v>
      </c>
      <c r="B48" t="s">
        <v>671</v>
      </c>
      <c r="C48" t="s">
        <v>295</v>
      </c>
      <c r="D48" t="s">
        <v>606</v>
      </c>
      <c r="E48" t="s">
        <v>672</v>
      </c>
      <c r="F48">
        <v>72764</v>
      </c>
      <c r="G48">
        <v>28</v>
      </c>
      <c r="H48">
        <v>886</v>
      </c>
      <c r="I48">
        <v>12</v>
      </c>
      <c r="J48" t="s">
        <v>570</v>
      </c>
      <c r="K48" t="s">
        <v>21</v>
      </c>
      <c r="L48">
        <v>4.7</v>
      </c>
      <c r="M48" s="1">
        <v>45394</v>
      </c>
      <c r="N48" t="s">
        <v>21</v>
      </c>
      <c r="O48">
        <v>6554</v>
      </c>
      <c r="P48">
        <v>30</v>
      </c>
    </row>
    <row r="49" spans="1:16" x14ac:dyDescent="0.3">
      <c r="A49" t="s">
        <v>165</v>
      </c>
      <c r="B49" t="s">
        <v>673</v>
      </c>
      <c r="C49" t="s">
        <v>281</v>
      </c>
      <c r="D49" t="s">
        <v>588</v>
      </c>
      <c r="E49" t="s">
        <v>674</v>
      </c>
      <c r="F49">
        <v>96131</v>
      </c>
      <c r="G49">
        <v>8</v>
      </c>
      <c r="H49">
        <v>320</v>
      </c>
      <c r="I49">
        <v>36</v>
      </c>
      <c r="J49" t="s">
        <v>560</v>
      </c>
      <c r="K49" t="s">
        <v>21</v>
      </c>
      <c r="L49">
        <v>3.4</v>
      </c>
      <c r="M49" s="1">
        <v>45518</v>
      </c>
      <c r="N49" t="s">
        <v>20</v>
      </c>
      <c r="O49">
        <v>8771</v>
      </c>
      <c r="P49">
        <v>62</v>
      </c>
    </row>
    <row r="50" spans="1:16" x14ac:dyDescent="0.3">
      <c r="A50" t="s">
        <v>135</v>
      </c>
      <c r="B50" t="s">
        <v>675</v>
      </c>
      <c r="C50" t="s">
        <v>295</v>
      </c>
      <c r="D50" t="s">
        <v>602</v>
      </c>
      <c r="E50" t="s">
        <v>676</v>
      </c>
      <c r="F50">
        <v>12719</v>
      </c>
      <c r="G50">
        <v>18</v>
      </c>
      <c r="H50">
        <v>98</v>
      </c>
      <c r="I50">
        <v>24</v>
      </c>
      <c r="J50" t="s">
        <v>565</v>
      </c>
      <c r="K50" t="s">
        <v>20</v>
      </c>
      <c r="L50">
        <v>4</v>
      </c>
      <c r="M50" s="1">
        <v>45212</v>
      </c>
      <c r="N50" t="s">
        <v>21</v>
      </c>
      <c r="O50">
        <v>3003</v>
      </c>
      <c r="P50">
        <v>4</v>
      </c>
    </row>
    <row r="51" spans="1:16" x14ac:dyDescent="0.3">
      <c r="A51" t="s">
        <v>203</v>
      </c>
      <c r="B51" t="s">
        <v>677</v>
      </c>
      <c r="C51" t="s">
        <v>281</v>
      </c>
      <c r="D51" t="s">
        <v>606</v>
      </c>
      <c r="E51" t="s">
        <v>678</v>
      </c>
      <c r="F51">
        <v>98841</v>
      </c>
      <c r="G51">
        <v>18</v>
      </c>
      <c r="H51">
        <v>888</v>
      </c>
      <c r="I51">
        <v>6</v>
      </c>
      <c r="J51" t="s">
        <v>560</v>
      </c>
      <c r="K51" t="s">
        <v>21</v>
      </c>
      <c r="L51">
        <v>3.4</v>
      </c>
      <c r="M51" s="1">
        <v>45207</v>
      </c>
      <c r="N51" t="s">
        <v>20</v>
      </c>
      <c r="O51">
        <v>3536</v>
      </c>
      <c r="P51">
        <v>10</v>
      </c>
    </row>
    <row r="52" spans="1:16" x14ac:dyDescent="0.3">
      <c r="A52" t="s">
        <v>58</v>
      </c>
      <c r="B52" t="s">
        <v>679</v>
      </c>
      <c r="C52" t="s">
        <v>281</v>
      </c>
      <c r="D52" t="s">
        <v>602</v>
      </c>
      <c r="E52" t="s">
        <v>680</v>
      </c>
      <c r="F52">
        <v>46390</v>
      </c>
      <c r="G52">
        <v>22</v>
      </c>
      <c r="H52">
        <v>376</v>
      </c>
      <c r="I52">
        <v>6</v>
      </c>
      <c r="J52" t="s">
        <v>560</v>
      </c>
      <c r="K52" t="s">
        <v>20</v>
      </c>
      <c r="L52">
        <v>4.5</v>
      </c>
      <c r="M52" s="1">
        <v>44934</v>
      </c>
      <c r="N52" t="s">
        <v>20</v>
      </c>
      <c r="O52">
        <v>5382</v>
      </c>
      <c r="P52">
        <v>117</v>
      </c>
    </row>
    <row r="53" spans="1:16" x14ac:dyDescent="0.3">
      <c r="A53" t="s">
        <v>183</v>
      </c>
      <c r="B53" t="s">
        <v>681</v>
      </c>
      <c r="C53" t="s">
        <v>295</v>
      </c>
      <c r="D53" t="s">
        <v>572</v>
      </c>
      <c r="E53" t="s">
        <v>682</v>
      </c>
      <c r="F53">
        <v>92604</v>
      </c>
      <c r="G53">
        <v>29</v>
      </c>
      <c r="H53">
        <v>316</v>
      </c>
      <c r="I53">
        <v>24</v>
      </c>
      <c r="J53" t="s">
        <v>560</v>
      </c>
      <c r="K53" t="s">
        <v>20</v>
      </c>
      <c r="L53">
        <v>3</v>
      </c>
      <c r="M53" s="1">
        <v>45328</v>
      </c>
      <c r="N53" t="s">
        <v>20</v>
      </c>
      <c r="O53">
        <v>7567</v>
      </c>
      <c r="P53">
        <v>123</v>
      </c>
    </row>
    <row r="54" spans="1:16" x14ac:dyDescent="0.3">
      <c r="A54" t="s">
        <v>76</v>
      </c>
      <c r="B54" t="s">
        <v>683</v>
      </c>
      <c r="C54" t="s">
        <v>295</v>
      </c>
      <c r="D54" t="s">
        <v>606</v>
      </c>
      <c r="E54" t="s">
        <v>684</v>
      </c>
      <c r="F54">
        <v>83491</v>
      </c>
      <c r="G54">
        <v>5</v>
      </c>
      <c r="H54">
        <v>93</v>
      </c>
      <c r="I54">
        <v>12</v>
      </c>
      <c r="J54" t="s">
        <v>570</v>
      </c>
      <c r="K54" t="s">
        <v>21</v>
      </c>
      <c r="L54">
        <v>3.6</v>
      </c>
      <c r="M54" s="1">
        <v>45098</v>
      </c>
      <c r="N54" t="s">
        <v>20</v>
      </c>
      <c r="O54">
        <v>7063</v>
      </c>
      <c r="P54">
        <v>79</v>
      </c>
    </row>
    <row r="55" spans="1:16" x14ac:dyDescent="0.3">
      <c r="A55" t="s">
        <v>153</v>
      </c>
      <c r="B55" t="s">
        <v>685</v>
      </c>
      <c r="C55" t="s">
        <v>275</v>
      </c>
      <c r="D55" t="s">
        <v>572</v>
      </c>
      <c r="E55" t="s">
        <v>686</v>
      </c>
      <c r="F55">
        <v>74895</v>
      </c>
      <c r="G55">
        <v>24</v>
      </c>
      <c r="H55">
        <v>86</v>
      </c>
      <c r="I55">
        <v>6</v>
      </c>
      <c r="J55" t="s">
        <v>565</v>
      </c>
      <c r="K55" t="s">
        <v>20</v>
      </c>
      <c r="L55">
        <v>4.4000000000000004</v>
      </c>
      <c r="M55" s="1">
        <v>44809</v>
      </c>
      <c r="N55" t="s">
        <v>20</v>
      </c>
      <c r="O55">
        <v>2337</v>
      </c>
      <c r="P55">
        <v>175</v>
      </c>
    </row>
    <row r="56" spans="1:16" x14ac:dyDescent="0.3">
      <c r="A56" t="s">
        <v>226</v>
      </c>
      <c r="B56" t="s">
        <v>687</v>
      </c>
      <c r="C56" t="s">
        <v>275</v>
      </c>
      <c r="D56" t="s">
        <v>606</v>
      </c>
      <c r="E56" t="s">
        <v>688</v>
      </c>
      <c r="F56">
        <v>56076</v>
      </c>
      <c r="G56">
        <v>20</v>
      </c>
      <c r="H56">
        <v>621</v>
      </c>
      <c r="I56">
        <v>36</v>
      </c>
      <c r="J56" t="s">
        <v>570</v>
      </c>
      <c r="K56" t="s">
        <v>21</v>
      </c>
      <c r="L56">
        <v>3</v>
      </c>
      <c r="M56" s="1">
        <v>45441</v>
      </c>
      <c r="N56" t="s">
        <v>20</v>
      </c>
      <c r="O56">
        <v>6656</v>
      </c>
      <c r="P56">
        <v>94</v>
      </c>
    </row>
    <row r="57" spans="1:16" x14ac:dyDescent="0.3">
      <c r="A57" t="s">
        <v>689</v>
      </c>
      <c r="B57" t="s">
        <v>690</v>
      </c>
      <c r="C57" t="s">
        <v>281</v>
      </c>
      <c r="D57" t="s">
        <v>572</v>
      </c>
      <c r="E57" t="s">
        <v>691</v>
      </c>
      <c r="F57">
        <v>89395</v>
      </c>
      <c r="G57">
        <v>26</v>
      </c>
      <c r="H57">
        <v>607</v>
      </c>
      <c r="I57">
        <v>36</v>
      </c>
      <c r="J57" t="s">
        <v>560</v>
      </c>
      <c r="K57" t="s">
        <v>20</v>
      </c>
      <c r="L57">
        <v>3.1</v>
      </c>
      <c r="M57" s="1">
        <v>45672</v>
      </c>
      <c r="N57" t="s">
        <v>20</v>
      </c>
      <c r="O57">
        <v>1126</v>
      </c>
      <c r="P57">
        <v>57</v>
      </c>
    </row>
    <row r="58" spans="1:16" x14ac:dyDescent="0.3">
      <c r="A58" t="s">
        <v>692</v>
      </c>
      <c r="B58" t="s">
        <v>693</v>
      </c>
      <c r="C58" t="s">
        <v>287</v>
      </c>
      <c r="D58" t="s">
        <v>563</v>
      </c>
      <c r="E58" t="s">
        <v>694</v>
      </c>
      <c r="F58">
        <v>18487</v>
      </c>
      <c r="G58">
        <v>29</v>
      </c>
      <c r="H58">
        <v>261</v>
      </c>
      <c r="I58">
        <v>24</v>
      </c>
      <c r="J58" t="s">
        <v>560</v>
      </c>
      <c r="K58" t="s">
        <v>20</v>
      </c>
      <c r="L58">
        <v>2.5</v>
      </c>
      <c r="M58" s="1">
        <v>45716</v>
      </c>
      <c r="N58" t="s">
        <v>21</v>
      </c>
      <c r="O58">
        <v>3879</v>
      </c>
      <c r="P58">
        <v>38</v>
      </c>
    </row>
    <row r="59" spans="1:16" x14ac:dyDescent="0.3">
      <c r="A59" t="s">
        <v>37</v>
      </c>
      <c r="B59" t="s">
        <v>695</v>
      </c>
      <c r="C59" t="s">
        <v>287</v>
      </c>
      <c r="D59" t="s">
        <v>558</v>
      </c>
      <c r="E59" t="s">
        <v>696</v>
      </c>
      <c r="F59">
        <v>92731</v>
      </c>
      <c r="G59">
        <v>12</v>
      </c>
      <c r="H59">
        <v>512</v>
      </c>
      <c r="I59">
        <v>24</v>
      </c>
      <c r="J59" t="s">
        <v>574</v>
      </c>
      <c r="K59" t="s">
        <v>21</v>
      </c>
      <c r="L59">
        <v>4.7</v>
      </c>
      <c r="M59" s="1">
        <v>45644</v>
      </c>
      <c r="N59" t="s">
        <v>20</v>
      </c>
      <c r="O59">
        <v>8148</v>
      </c>
      <c r="P59">
        <v>8</v>
      </c>
    </row>
    <row r="60" spans="1:16" x14ac:dyDescent="0.3">
      <c r="A60" t="s">
        <v>102</v>
      </c>
      <c r="B60" t="s">
        <v>697</v>
      </c>
      <c r="C60" t="s">
        <v>295</v>
      </c>
      <c r="D60" t="s">
        <v>602</v>
      </c>
      <c r="E60" t="s">
        <v>698</v>
      </c>
      <c r="F60">
        <v>41533</v>
      </c>
      <c r="G60">
        <v>23</v>
      </c>
      <c r="H60">
        <v>439</v>
      </c>
      <c r="I60">
        <v>36</v>
      </c>
      <c r="J60" t="s">
        <v>570</v>
      </c>
      <c r="K60" t="s">
        <v>21</v>
      </c>
      <c r="L60">
        <v>2.8</v>
      </c>
      <c r="M60" s="1">
        <v>45261</v>
      </c>
      <c r="N60" t="s">
        <v>20</v>
      </c>
      <c r="O60">
        <v>6322</v>
      </c>
      <c r="P60">
        <v>195</v>
      </c>
    </row>
    <row r="61" spans="1:16" x14ac:dyDescent="0.3">
      <c r="A61" t="s">
        <v>30</v>
      </c>
      <c r="B61" t="s">
        <v>699</v>
      </c>
      <c r="C61" t="s">
        <v>287</v>
      </c>
      <c r="D61" t="s">
        <v>588</v>
      </c>
      <c r="E61" t="s">
        <v>700</v>
      </c>
      <c r="F61">
        <v>90888</v>
      </c>
      <c r="G61">
        <v>16</v>
      </c>
      <c r="H61">
        <v>90</v>
      </c>
      <c r="I61">
        <v>36</v>
      </c>
      <c r="J61" t="s">
        <v>574</v>
      </c>
      <c r="K61" t="s">
        <v>20</v>
      </c>
      <c r="L61">
        <v>3.6</v>
      </c>
      <c r="M61" s="1">
        <v>45558</v>
      </c>
      <c r="N61" t="s">
        <v>21</v>
      </c>
      <c r="O61">
        <v>9585</v>
      </c>
      <c r="P61">
        <v>34</v>
      </c>
    </row>
    <row r="62" spans="1:16" x14ac:dyDescent="0.3">
      <c r="A62" t="s">
        <v>96</v>
      </c>
      <c r="B62" t="s">
        <v>701</v>
      </c>
      <c r="C62" t="s">
        <v>295</v>
      </c>
      <c r="D62" t="s">
        <v>572</v>
      </c>
      <c r="E62" t="s">
        <v>702</v>
      </c>
      <c r="F62">
        <v>98254</v>
      </c>
      <c r="G62">
        <v>15</v>
      </c>
      <c r="H62">
        <v>226</v>
      </c>
      <c r="I62">
        <v>24</v>
      </c>
      <c r="J62" t="s">
        <v>565</v>
      </c>
      <c r="K62" t="s">
        <v>20</v>
      </c>
      <c r="L62">
        <v>3.8</v>
      </c>
      <c r="M62" s="1">
        <v>44851</v>
      </c>
      <c r="N62" t="s">
        <v>20</v>
      </c>
      <c r="O62">
        <v>9694</v>
      </c>
      <c r="P62">
        <v>54</v>
      </c>
    </row>
    <row r="63" spans="1:16" x14ac:dyDescent="0.3">
      <c r="A63" t="s">
        <v>109</v>
      </c>
      <c r="B63" t="s">
        <v>703</v>
      </c>
      <c r="C63" t="s">
        <v>287</v>
      </c>
      <c r="D63" t="s">
        <v>572</v>
      </c>
      <c r="E63" t="s">
        <v>704</v>
      </c>
      <c r="F63">
        <v>95839</v>
      </c>
      <c r="G63">
        <v>25</v>
      </c>
      <c r="H63">
        <v>834</v>
      </c>
      <c r="I63">
        <v>12</v>
      </c>
      <c r="J63" t="s">
        <v>565</v>
      </c>
      <c r="K63" t="s">
        <v>20</v>
      </c>
      <c r="L63">
        <v>2.9</v>
      </c>
      <c r="M63" s="1">
        <v>44986</v>
      </c>
      <c r="N63" t="s">
        <v>20</v>
      </c>
      <c r="O63">
        <v>3843</v>
      </c>
      <c r="P63">
        <v>26</v>
      </c>
    </row>
    <row r="64" spans="1:16" x14ac:dyDescent="0.3">
      <c r="A64" t="s">
        <v>171</v>
      </c>
      <c r="B64" t="s">
        <v>705</v>
      </c>
      <c r="C64" t="s">
        <v>287</v>
      </c>
      <c r="D64" t="s">
        <v>602</v>
      </c>
      <c r="E64" t="s">
        <v>706</v>
      </c>
      <c r="F64">
        <v>23718</v>
      </c>
      <c r="G64">
        <v>29</v>
      </c>
      <c r="H64">
        <v>643</v>
      </c>
      <c r="I64">
        <v>36</v>
      </c>
      <c r="J64" t="s">
        <v>570</v>
      </c>
      <c r="K64" t="s">
        <v>21</v>
      </c>
      <c r="L64">
        <v>4.2</v>
      </c>
      <c r="M64" s="1">
        <v>44979</v>
      </c>
      <c r="N64" t="s">
        <v>21</v>
      </c>
      <c r="O64">
        <v>6180</v>
      </c>
      <c r="P64">
        <v>90</v>
      </c>
    </row>
    <row r="65" spans="1:16" x14ac:dyDescent="0.3">
      <c r="A65" t="s">
        <v>45</v>
      </c>
      <c r="B65" t="s">
        <v>707</v>
      </c>
      <c r="C65" t="s">
        <v>287</v>
      </c>
      <c r="D65" t="s">
        <v>602</v>
      </c>
      <c r="E65" t="s">
        <v>708</v>
      </c>
      <c r="F65">
        <v>61962</v>
      </c>
      <c r="G65">
        <v>19</v>
      </c>
      <c r="H65">
        <v>646</v>
      </c>
      <c r="I65">
        <v>24</v>
      </c>
      <c r="J65" t="s">
        <v>560</v>
      </c>
      <c r="K65" t="s">
        <v>20</v>
      </c>
      <c r="L65">
        <v>3.4</v>
      </c>
      <c r="M65" s="1">
        <v>45461</v>
      </c>
      <c r="N65" t="s">
        <v>20</v>
      </c>
      <c r="O65">
        <v>6086</v>
      </c>
      <c r="P65">
        <v>26</v>
      </c>
    </row>
    <row r="66" spans="1:16" x14ac:dyDescent="0.3">
      <c r="A66" t="s">
        <v>709</v>
      </c>
      <c r="B66" t="s">
        <v>710</v>
      </c>
      <c r="C66" t="s">
        <v>281</v>
      </c>
      <c r="D66" t="s">
        <v>602</v>
      </c>
      <c r="E66" t="s">
        <v>711</v>
      </c>
      <c r="F66">
        <v>7956</v>
      </c>
      <c r="G66">
        <v>16</v>
      </c>
      <c r="H66">
        <v>851</v>
      </c>
      <c r="I66">
        <v>24</v>
      </c>
      <c r="J66" t="s">
        <v>574</v>
      </c>
      <c r="K66" t="s">
        <v>20</v>
      </c>
      <c r="L66">
        <v>4</v>
      </c>
      <c r="M66" s="1">
        <v>45191</v>
      </c>
      <c r="N66" t="s">
        <v>21</v>
      </c>
      <c r="O66">
        <v>8582</v>
      </c>
      <c r="P66">
        <v>188</v>
      </c>
    </row>
    <row r="67" spans="1:16" x14ac:dyDescent="0.3">
      <c r="A67" t="s">
        <v>128</v>
      </c>
      <c r="B67" t="s">
        <v>712</v>
      </c>
      <c r="C67" t="s">
        <v>295</v>
      </c>
      <c r="D67" t="s">
        <v>558</v>
      </c>
      <c r="E67" t="s">
        <v>713</v>
      </c>
      <c r="F67">
        <v>85937</v>
      </c>
      <c r="G67">
        <v>11</v>
      </c>
      <c r="H67">
        <v>329</v>
      </c>
      <c r="I67">
        <v>36</v>
      </c>
      <c r="J67" t="s">
        <v>565</v>
      </c>
      <c r="K67" t="s">
        <v>20</v>
      </c>
      <c r="L67">
        <v>3.6</v>
      </c>
      <c r="M67" s="1">
        <v>45267</v>
      </c>
      <c r="N67" t="s">
        <v>21</v>
      </c>
      <c r="O67">
        <v>2382</v>
      </c>
      <c r="P67">
        <v>41</v>
      </c>
    </row>
    <row r="68" spans="1:16" x14ac:dyDescent="0.3">
      <c r="A68" t="s">
        <v>714</v>
      </c>
      <c r="B68" t="s">
        <v>715</v>
      </c>
      <c r="C68" t="s">
        <v>287</v>
      </c>
      <c r="D68" t="s">
        <v>563</v>
      </c>
      <c r="E68" t="s">
        <v>716</v>
      </c>
      <c r="F68">
        <v>93249</v>
      </c>
      <c r="G68">
        <v>19</v>
      </c>
      <c r="H68">
        <v>449</v>
      </c>
      <c r="I68">
        <v>12</v>
      </c>
      <c r="J68" t="s">
        <v>560</v>
      </c>
      <c r="K68" t="s">
        <v>21</v>
      </c>
      <c r="L68">
        <v>4.8</v>
      </c>
      <c r="M68" s="1">
        <v>45471</v>
      </c>
      <c r="N68" t="s">
        <v>21</v>
      </c>
      <c r="O68">
        <v>7698</v>
      </c>
      <c r="P68">
        <v>109</v>
      </c>
    </row>
    <row r="69" spans="1:16" x14ac:dyDescent="0.3">
      <c r="A69" t="s">
        <v>180</v>
      </c>
      <c r="B69" t="s">
        <v>717</v>
      </c>
      <c r="C69" t="s">
        <v>275</v>
      </c>
      <c r="D69" t="s">
        <v>558</v>
      </c>
      <c r="E69" t="s">
        <v>718</v>
      </c>
      <c r="F69">
        <v>7363</v>
      </c>
      <c r="G69">
        <v>30</v>
      </c>
      <c r="H69">
        <v>646</v>
      </c>
      <c r="I69">
        <v>24</v>
      </c>
      <c r="J69" t="s">
        <v>574</v>
      </c>
      <c r="K69" t="s">
        <v>21</v>
      </c>
      <c r="L69">
        <v>2.7</v>
      </c>
      <c r="M69" s="1">
        <v>45376</v>
      </c>
      <c r="N69" t="s">
        <v>21</v>
      </c>
      <c r="O69">
        <v>5656</v>
      </c>
      <c r="P69">
        <v>55</v>
      </c>
    </row>
    <row r="70" spans="1:16" x14ac:dyDescent="0.3">
      <c r="A70" t="s">
        <v>137</v>
      </c>
      <c r="B70" t="s">
        <v>719</v>
      </c>
      <c r="C70" t="s">
        <v>275</v>
      </c>
      <c r="D70" t="s">
        <v>606</v>
      </c>
      <c r="E70" t="s">
        <v>720</v>
      </c>
      <c r="F70">
        <v>79497</v>
      </c>
      <c r="G70">
        <v>9</v>
      </c>
      <c r="H70">
        <v>341</v>
      </c>
      <c r="I70">
        <v>6</v>
      </c>
      <c r="J70" t="s">
        <v>565</v>
      </c>
      <c r="K70" t="s">
        <v>21</v>
      </c>
      <c r="L70">
        <v>3.3</v>
      </c>
      <c r="M70" s="1">
        <v>45176</v>
      </c>
      <c r="N70" t="s">
        <v>21</v>
      </c>
      <c r="O70">
        <v>3113</v>
      </c>
      <c r="P70">
        <v>152</v>
      </c>
    </row>
    <row r="71" spans="1:16" x14ac:dyDescent="0.3">
      <c r="A71" t="s">
        <v>193</v>
      </c>
      <c r="B71" t="s">
        <v>721</v>
      </c>
      <c r="C71" t="s">
        <v>295</v>
      </c>
      <c r="D71" t="s">
        <v>558</v>
      </c>
      <c r="E71" t="s">
        <v>722</v>
      </c>
      <c r="F71">
        <v>49872</v>
      </c>
      <c r="G71">
        <v>25</v>
      </c>
      <c r="H71">
        <v>810</v>
      </c>
      <c r="I71">
        <v>24</v>
      </c>
      <c r="J71" t="s">
        <v>565</v>
      </c>
      <c r="K71" t="s">
        <v>20</v>
      </c>
      <c r="L71">
        <v>4.0999999999999996</v>
      </c>
      <c r="M71" s="1">
        <v>45638</v>
      </c>
      <c r="N71" t="s">
        <v>21</v>
      </c>
      <c r="O71">
        <v>9332</v>
      </c>
      <c r="P71">
        <v>17</v>
      </c>
    </row>
    <row r="72" spans="1:16" x14ac:dyDescent="0.3">
      <c r="A72" t="s">
        <v>119</v>
      </c>
      <c r="B72" t="s">
        <v>723</v>
      </c>
      <c r="C72" t="s">
        <v>275</v>
      </c>
      <c r="D72" t="s">
        <v>572</v>
      </c>
      <c r="E72" t="s">
        <v>724</v>
      </c>
      <c r="F72">
        <v>40983</v>
      </c>
      <c r="G72">
        <v>10</v>
      </c>
      <c r="H72">
        <v>973</v>
      </c>
      <c r="I72">
        <v>12</v>
      </c>
      <c r="J72" t="s">
        <v>560</v>
      </c>
      <c r="K72" t="s">
        <v>21</v>
      </c>
      <c r="L72">
        <v>3</v>
      </c>
      <c r="M72" s="1">
        <v>44913</v>
      </c>
      <c r="N72" t="s">
        <v>20</v>
      </c>
      <c r="O72">
        <v>3539</v>
      </c>
      <c r="P72">
        <v>84</v>
      </c>
    </row>
    <row r="73" spans="1:16" x14ac:dyDescent="0.3">
      <c r="A73" t="s">
        <v>725</v>
      </c>
      <c r="B73" t="s">
        <v>726</v>
      </c>
      <c r="C73" t="s">
        <v>295</v>
      </c>
      <c r="D73" t="s">
        <v>602</v>
      </c>
      <c r="E73" t="s">
        <v>727</v>
      </c>
      <c r="F73">
        <v>67043</v>
      </c>
      <c r="G73">
        <v>29</v>
      </c>
      <c r="H73">
        <v>552</v>
      </c>
      <c r="I73">
        <v>6</v>
      </c>
      <c r="J73" t="s">
        <v>560</v>
      </c>
      <c r="K73" t="s">
        <v>20</v>
      </c>
      <c r="L73">
        <v>4</v>
      </c>
      <c r="M73" s="1">
        <v>45004</v>
      </c>
      <c r="N73" t="s">
        <v>20</v>
      </c>
      <c r="O73">
        <v>3659</v>
      </c>
      <c r="P73">
        <v>131</v>
      </c>
    </row>
    <row r="74" spans="1:16" x14ac:dyDescent="0.3">
      <c r="A74" t="s">
        <v>122</v>
      </c>
      <c r="B74" t="s">
        <v>728</v>
      </c>
      <c r="C74" t="s">
        <v>287</v>
      </c>
      <c r="D74" t="s">
        <v>558</v>
      </c>
      <c r="E74" t="s">
        <v>729</v>
      </c>
      <c r="F74">
        <v>22197</v>
      </c>
      <c r="G74">
        <v>28</v>
      </c>
      <c r="H74">
        <v>448</v>
      </c>
      <c r="I74">
        <v>6</v>
      </c>
      <c r="J74" t="s">
        <v>570</v>
      </c>
      <c r="K74" t="s">
        <v>21</v>
      </c>
      <c r="L74">
        <v>4.2</v>
      </c>
      <c r="M74" s="1">
        <v>45073</v>
      </c>
      <c r="N74" t="s">
        <v>20</v>
      </c>
      <c r="O74">
        <v>8278</v>
      </c>
      <c r="P74">
        <v>199</v>
      </c>
    </row>
    <row r="75" spans="1:16" x14ac:dyDescent="0.3">
      <c r="A75" t="s">
        <v>87</v>
      </c>
      <c r="B75" t="s">
        <v>730</v>
      </c>
      <c r="C75" t="s">
        <v>275</v>
      </c>
      <c r="D75" t="s">
        <v>588</v>
      </c>
      <c r="E75" t="s">
        <v>731</v>
      </c>
      <c r="F75">
        <v>31171</v>
      </c>
      <c r="G75">
        <v>22</v>
      </c>
      <c r="H75">
        <v>244</v>
      </c>
      <c r="I75">
        <v>24</v>
      </c>
      <c r="J75" t="s">
        <v>570</v>
      </c>
      <c r="K75" t="s">
        <v>20</v>
      </c>
      <c r="L75">
        <v>3.4</v>
      </c>
      <c r="M75" s="1">
        <v>45184</v>
      </c>
      <c r="N75" t="s">
        <v>21</v>
      </c>
      <c r="O75">
        <v>8565</v>
      </c>
      <c r="P75">
        <v>112</v>
      </c>
    </row>
    <row r="76" spans="1:16" x14ac:dyDescent="0.3">
      <c r="A76" t="s">
        <v>732</v>
      </c>
      <c r="B76" t="s">
        <v>733</v>
      </c>
      <c r="C76" t="s">
        <v>275</v>
      </c>
      <c r="D76" t="s">
        <v>558</v>
      </c>
      <c r="E76" t="s">
        <v>734</v>
      </c>
      <c r="F76">
        <v>69635</v>
      </c>
      <c r="G76">
        <v>18</v>
      </c>
      <c r="H76">
        <v>989</v>
      </c>
      <c r="I76">
        <v>12</v>
      </c>
      <c r="J76" t="s">
        <v>565</v>
      </c>
      <c r="K76" t="s">
        <v>20</v>
      </c>
      <c r="L76">
        <v>4.7</v>
      </c>
      <c r="M76" s="1">
        <v>45336</v>
      </c>
      <c r="N76" t="s">
        <v>20</v>
      </c>
      <c r="O76">
        <v>8874</v>
      </c>
      <c r="P76">
        <v>125</v>
      </c>
    </row>
    <row r="77" spans="1:16" x14ac:dyDescent="0.3">
      <c r="A77" t="s">
        <v>191</v>
      </c>
      <c r="B77" t="s">
        <v>605</v>
      </c>
      <c r="C77" t="s">
        <v>275</v>
      </c>
      <c r="D77" t="s">
        <v>602</v>
      </c>
      <c r="E77" t="s">
        <v>735</v>
      </c>
      <c r="F77">
        <v>93744</v>
      </c>
      <c r="G77">
        <v>21</v>
      </c>
      <c r="H77">
        <v>871</v>
      </c>
      <c r="I77">
        <v>6</v>
      </c>
      <c r="J77" t="s">
        <v>560</v>
      </c>
      <c r="K77" t="s">
        <v>20</v>
      </c>
      <c r="L77">
        <v>4.4000000000000004</v>
      </c>
      <c r="M77" s="1">
        <v>45730</v>
      </c>
      <c r="N77" t="s">
        <v>21</v>
      </c>
      <c r="O77">
        <v>8362</v>
      </c>
      <c r="P77">
        <v>47</v>
      </c>
    </row>
    <row r="78" spans="1:16" x14ac:dyDescent="0.3">
      <c r="A78" t="s">
        <v>144</v>
      </c>
      <c r="B78" t="s">
        <v>736</v>
      </c>
      <c r="C78" t="s">
        <v>287</v>
      </c>
      <c r="D78" t="s">
        <v>602</v>
      </c>
      <c r="E78" t="s">
        <v>737</v>
      </c>
      <c r="F78">
        <v>29602</v>
      </c>
      <c r="G78">
        <v>19</v>
      </c>
      <c r="H78">
        <v>905</v>
      </c>
      <c r="I78">
        <v>24</v>
      </c>
      <c r="J78" t="s">
        <v>574</v>
      </c>
      <c r="K78" t="s">
        <v>21</v>
      </c>
      <c r="L78">
        <v>2.6</v>
      </c>
      <c r="M78" s="1">
        <v>45852</v>
      </c>
      <c r="N78" t="s">
        <v>21</v>
      </c>
      <c r="O78">
        <v>4863</v>
      </c>
      <c r="P78">
        <v>195</v>
      </c>
    </row>
    <row r="79" spans="1:16" x14ac:dyDescent="0.3">
      <c r="A79" t="s">
        <v>162</v>
      </c>
      <c r="B79" t="s">
        <v>738</v>
      </c>
      <c r="C79" t="s">
        <v>281</v>
      </c>
      <c r="D79" t="s">
        <v>572</v>
      </c>
      <c r="E79" t="s">
        <v>739</v>
      </c>
      <c r="F79">
        <v>29930</v>
      </c>
      <c r="G79">
        <v>5</v>
      </c>
      <c r="H79">
        <v>326</v>
      </c>
      <c r="I79">
        <v>6</v>
      </c>
      <c r="J79" t="s">
        <v>560</v>
      </c>
      <c r="K79" t="s">
        <v>20</v>
      </c>
      <c r="L79">
        <v>2.8</v>
      </c>
      <c r="M79" s="1">
        <v>44880</v>
      </c>
      <c r="N79" t="s">
        <v>21</v>
      </c>
      <c r="O79">
        <v>8741</v>
      </c>
      <c r="P79">
        <v>128</v>
      </c>
    </row>
    <row r="80" spans="1:16" x14ac:dyDescent="0.3">
      <c r="A80" t="s">
        <v>107</v>
      </c>
      <c r="B80" t="s">
        <v>740</v>
      </c>
      <c r="C80" t="s">
        <v>287</v>
      </c>
      <c r="D80" t="s">
        <v>588</v>
      </c>
      <c r="E80" t="s">
        <v>741</v>
      </c>
      <c r="F80">
        <v>59299</v>
      </c>
      <c r="G80">
        <v>24</v>
      </c>
      <c r="H80">
        <v>5</v>
      </c>
      <c r="I80">
        <v>6</v>
      </c>
      <c r="J80" t="s">
        <v>574</v>
      </c>
      <c r="K80" t="s">
        <v>21</v>
      </c>
      <c r="L80">
        <v>3</v>
      </c>
      <c r="M80" s="1">
        <v>44773</v>
      </c>
      <c r="N80" t="s">
        <v>20</v>
      </c>
      <c r="O80">
        <v>9992</v>
      </c>
      <c r="P80">
        <v>88</v>
      </c>
    </row>
    <row r="81" spans="1:16" x14ac:dyDescent="0.3">
      <c r="A81" t="s">
        <v>17</v>
      </c>
      <c r="B81" t="s">
        <v>742</v>
      </c>
      <c r="C81" t="s">
        <v>281</v>
      </c>
      <c r="D81" t="s">
        <v>572</v>
      </c>
      <c r="E81" t="s">
        <v>743</v>
      </c>
      <c r="F81">
        <v>31647</v>
      </c>
      <c r="G81">
        <v>14</v>
      </c>
      <c r="H81">
        <v>124</v>
      </c>
      <c r="I81">
        <v>6</v>
      </c>
      <c r="J81" t="s">
        <v>565</v>
      </c>
      <c r="K81" t="s">
        <v>21</v>
      </c>
      <c r="L81">
        <v>4.0999999999999996</v>
      </c>
      <c r="M81" s="1">
        <v>45837</v>
      </c>
      <c r="N81" t="s">
        <v>21</v>
      </c>
      <c r="O81">
        <v>2030</v>
      </c>
      <c r="P81">
        <v>161</v>
      </c>
    </row>
    <row r="82" spans="1:16" x14ac:dyDescent="0.3">
      <c r="A82" t="s">
        <v>175</v>
      </c>
      <c r="B82" t="s">
        <v>744</v>
      </c>
      <c r="C82" t="s">
        <v>295</v>
      </c>
      <c r="D82" t="s">
        <v>558</v>
      </c>
      <c r="E82" t="s">
        <v>745</v>
      </c>
      <c r="F82">
        <v>70761</v>
      </c>
      <c r="G82">
        <v>5</v>
      </c>
      <c r="H82">
        <v>647</v>
      </c>
      <c r="I82">
        <v>12</v>
      </c>
      <c r="J82" t="s">
        <v>565</v>
      </c>
      <c r="K82" t="s">
        <v>21</v>
      </c>
      <c r="L82">
        <v>3.6</v>
      </c>
      <c r="M82" s="1">
        <v>45354</v>
      </c>
      <c r="N82" t="s">
        <v>21</v>
      </c>
      <c r="O82">
        <v>4942</v>
      </c>
      <c r="P82">
        <v>88</v>
      </c>
    </row>
    <row r="83" spans="1:16" x14ac:dyDescent="0.3">
      <c r="A83" t="s">
        <v>746</v>
      </c>
      <c r="B83" t="s">
        <v>747</v>
      </c>
      <c r="C83" t="s">
        <v>281</v>
      </c>
      <c r="D83" t="s">
        <v>606</v>
      </c>
      <c r="E83" t="s">
        <v>748</v>
      </c>
      <c r="F83">
        <v>88084</v>
      </c>
      <c r="G83">
        <v>7</v>
      </c>
      <c r="H83">
        <v>536</v>
      </c>
      <c r="I83">
        <v>24</v>
      </c>
      <c r="J83" t="s">
        <v>574</v>
      </c>
      <c r="K83" t="s">
        <v>20</v>
      </c>
      <c r="L83">
        <v>3.5</v>
      </c>
      <c r="M83" s="1">
        <v>45329</v>
      </c>
      <c r="N83" t="s">
        <v>21</v>
      </c>
      <c r="O83">
        <v>1714</v>
      </c>
      <c r="P83">
        <v>184</v>
      </c>
    </row>
    <row r="84" spans="1:16" x14ac:dyDescent="0.3">
      <c r="A84" t="s">
        <v>173</v>
      </c>
      <c r="B84" t="s">
        <v>749</v>
      </c>
      <c r="C84" t="s">
        <v>281</v>
      </c>
      <c r="D84" t="s">
        <v>572</v>
      </c>
      <c r="E84" t="s">
        <v>750</v>
      </c>
      <c r="F84">
        <v>98452</v>
      </c>
      <c r="G84">
        <v>5</v>
      </c>
      <c r="H84">
        <v>365</v>
      </c>
      <c r="I84">
        <v>6</v>
      </c>
      <c r="J84" t="s">
        <v>560</v>
      </c>
      <c r="K84" t="s">
        <v>20</v>
      </c>
      <c r="L84">
        <v>4.3</v>
      </c>
      <c r="M84" s="1">
        <v>45755</v>
      </c>
      <c r="N84" t="s">
        <v>20</v>
      </c>
      <c r="O84">
        <v>6448</v>
      </c>
      <c r="P84">
        <v>62</v>
      </c>
    </row>
    <row r="85" spans="1:16" x14ac:dyDescent="0.3">
      <c r="A85" t="s">
        <v>70</v>
      </c>
      <c r="B85" t="s">
        <v>751</v>
      </c>
      <c r="C85" t="s">
        <v>287</v>
      </c>
      <c r="D85" t="s">
        <v>572</v>
      </c>
      <c r="E85" t="s">
        <v>752</v>
      </c>
      <c r="F85">
        <v>72067</v>
      </c>
      <c r="G85">
        <v>15</v>
      </c>
      <c r="H85">
        <v>833</v>
      </c>
      <c r="I85">
        <v>12</v>
      </c>
      <c r="J85" t="s">
        <v>570</v>
      </c>
      <c r="K85" t="s">
        <v>21</v>
      </c>
      <c r="L85">
        <v>4.0999999999999996</v>
      </c>
      <c r="M85" s="1">
        <v>45634</v>
      </c>
      <c r="N85" t="s">
        <v>20</v>
      </c>
      <c r="O85">
        <v>2034</v>
      </c>
      <c r="P85">
        <v>171</v>
      </c>
    </row>
    <row r="86" spans="1:16" x14ac:dyDescent="0.3">
      <c r="A86" t="s">
        <v>753</v>
      </c>
      <c r="B86" t="s">
        <v>742</v>
      </c>
      <c r="C86" t="s">
        <v>281</v>
      </c>
      <c r="D86" t="s">
        <v>572</v>
      </c>
      <c r="E86" t="s">
        <v>754</v>
      </c>
      <c r="F86">
        <v>26922</v>
      </c>
      <c r="G86">
        <v>6</v>
      </c>
      <c r="H86">
        <v>810</v>
      </c>
      <c r="I86">
        <v>12</v>
      </c>
      <c r="J86" t="s">
        <v>574</v>
      </c>
      <c r="K86" t="s">
        <v>21</v>
      </c>
      <c r="L86">
        <v>4.8</v>
      </c>
      <c r="M86" s="1">
        <v>45089</v>
      </c>
      <c r="N86" t="s">
        <v>21</v>
      </c>
      <c r="O86">
        <v>9898</v>
      </c>
      <c r="P86">
        <v>21</v>
      </c>
    </row>
    <row r="87" spans="1:16" x14ac:dyDescent="0.3">
      <c r="A87" t="s">
        <v>755</v>
      </c>
      <c r="B87" t="s">
        <v>726</v>
      </c>
      <c r="C87" t="s">
        <v>281</v>
      </c>
      <c r="D87" t="s">
        <v>602</v>
      </c>
      <c r="E87" t="s">
        <v>756</v>
      </c>
      <c r="F87">
        <v>99235</v>
      </c>
      <c r="G87">
        <v>25</v>
      </c>
      <c r="H87">
        <v>195</v>
      </c>
      <c r="I87">
        <v>24</v>
      </c>
      <c r="J87" t="s">
        <v>560</v>
      </c>
      <c r="K87" t="s">
        <v>20</v>
      </c>
      <c r="L87">
        <v>4.7</v>
      </c>
      <c r="M87" s="1">
        <v>45096</v>
      </c>
      <c r="N87" t="s">
        <v>21</v>
      </c>
      <c r="O87">
        <v>5477</v>
      </c>
      <c r="P87">
        <v>172</v>
      </c>
    </row>
    <row r="88" spans="1:16" x14ac:dyDescent="0.3">
      <c r="A88" t="s">
        <v>140</v>
      </c>
      <c r="B88" t="s">
        <v>757</v>
      </c>
      <c r="C88" t="s">
        <v>295</v>
      </c>
      <c r="D88" t="s">
        <v>588</v>
      </c>
      <c r="E88" t="s">
        <v>758</v>
      </c>
      <c r="F88">
        <v>52931</v>
      </c>
      <c r="G88">
        <v>28</v>
      </c>
      <c r="H88">
        <v>450</v>
      </c>
      <c r="I88">
        <v>36</v>
      </c>
      <c r="J88" t="s">
        <v>560</v>
      </c>
      <c r="K88" t="s">
        <v>20</v>
      </c>
      <c r="L88">
        <v>3.7</v>
      </c>
      <c r="M88" s="1">
        <v>45674</v>
      </c>
      <c r="N88" t="s">
        <v>21</v>
      </c>
      <c r="O88">
        <v>7019</v>
      </c>
      <c r="P88">
        <v>148</v>
      </c>
    </row>
    <row r="89" spans="1:16" x14ac:dyDescent="0.3">
      <c r="A89" t="s">
        <v>125</v>
      </c>
      <c r="B89" t="s">
        <v>661</v>
      </c>
      <c r="C89" t="s">
        <v>275</v>
      </c>
      <c r="D89" t="s">
        <v>606</v>
      </c>
      <c r="E89" t="s">
        <v>759</v>
      </c>
      <c r="F89">
        <v>56140</v>
      </c>
      <c r="G89">
        <v>7</v>
      </c>
      <c r="H89">
        <v>440</v>
      </c>
      <c r="I89">
        <v>12</v>
      </c>
      <c r="J89" t="s">
        <v>560</v>
      </c>
      <c r="K89" t="s">
        <v>21</v>
      </c>
      <c r="L89">
        <v>2.8</v>
      </c>
      <c r="M89" s="1">
        <v>44976</v>
      </c>
      <c r="N89" t="s">
        <v>21</v>
      </c>
      <c r="O89">
        <v>5844</v>
      </c>
      <c r="P89">
        <v>155</v>
      </c>
    </row>
    <row r="90" spans="1:16" x14ac:dyDescent="0.3">
      <c r="A90" t="s">
        <v>760</v>
      </c>
      <c r="B90" t="s">
        <v>761</v>
      </c>
      <c r="C90" t="s">
        <v>275</v>
      </c>
      <c r="D90" t="s">
        <v>558</v>
      </c>
      <c r="E90" t="s">
        <v>762</v>
      </c>
      <c r="F90">
        <v>94565</v>
      </c>
      <c r="G90">
        <v>18</v>
      </c>
      <c r="H90">
        <v>170</v>
      </c>
      <c r="I90">
        <v>36</v>
      </c>
      <c r="J90" t="s">
        <v>560</v>
      </c>
      <c r="K90" t="s">
        <v>21</v>
      </c>
      <c r="L90">
        <v>2.6</v>
      </c>
      <c r="M90" s="1">
        <v>45618</v>
      </c>
      <c r="N90" t="s">
        <v>21</v>
      </c>
      <c r="O90">
        <v>8127</v>
      </c>
      <c r="P90">
        <v>82</v>
      </c>
    </row>
    <row r="91" spans="1:16" x14ac:dyDescent="0.3">
      <c r="A91" t="s">
        <v>228</v>
      </c>
      <c r="B91" t="s">
        <v>763</v>
      </c>
      <c r="C91" t="s">
        <v>275</v>
      </c>
      <c r="D91" t="s">
        <v>602</v>
      </c>
      <c r="E91" t="s">
        <v>764</v>
      </c>
      <c r="F91">
        <v>10335</v>
      </c>
      <c r="G91">
        <v>26</v>
      </c>
      <c r="H91">
        <v>652</v>
      </c>
      <c r="I91">
        <v>36</v>
      </c>
      <c r="J91" t="s">
        <v>560</v>
      </c>
      <c r="K91" t="s">
        <v>20</v>
      </c>
      <c r="L91">
        <v>4.9000000000000004</v>
      </c>
      <c r="M91" s="1">
        <v>45078</v>
      </c>
      <c r="N91" t="s">
        <v>20</v>
      </c>
      <c r="O91">
        <v>8180</v>
      </c>
      <c r="P91">
        <v>8</v>
      </c>
    </row>
    <row r="92" spans="1:16" x14ac:dyDescent="0.3">
      <c r="A92" t="s">
        <v>248</v>
      </c>
      <c r="B92" t="s">
        <v>765</v>
      </c>
      <c r="C92" t="s">
        <v>295</v>
      </c>
      <c r="D92" t="s">
        <v>602</v>
      </c>
      <c r="E92" t="s">
        <v>766</v>
      </c>
      <c r="F92">
        <v>31432</v>
      </c>
      <c r="G92">
        <v>29</v>
      </c>
      <c r="H92">
        <v>660</v>
      </c>
      <c r="I92">
        <v>24</v>
      </c>
      <c r="J92" t="s">
        <v>560</v>
      </c>
      <c r="K92" t="s">
        <v>21</v>
      </c>
      <c r="L92">
        <v>4.9000000000000004</v>
      </c>
      <c r="M92" s="1">
        <v>45218</v>
      </c>
      <c r="N92" t="s">
        <v>20</v>
      </c>
      <c r="O92">
        <v>3514</v>
      </c>
      <c r="P92">
        <v>39</v>
      </c>
    </row>
    <row r="93" spans="1:16" x14ac:dyDescent="0.3">
      <c r="A93" t="s">
        <v>767</v>
      </c>
      <c r="B93" t="s">
        <v>768</v>
      </c>
      <c r="C93" t="s">
        <v>281</v>
      </c>
      <c r="D93" t="s">
        <v>572</v>
      </c>
      <c r="E93" t="s">
        <v>769</v>
      </c>
      <c r="F93">
        <v>58688</v>
      </c>
      <c r="G93">
        <v>29</v>
      </c>
      <c r="H93">
        <v>78</v>
      </c>
      <c r="I93">
        <v>12</v>
      </c>
      <c r="J93" t="s">
        <v>560</v>
      </c>
      <c r="K93" t="s">
        <v>21</v>
      </c>
      <c r="L93">
        <v>3.3</v>
      </c>
      <c r="M93" s="1">
        <v>45358</v>
      </c>
      <c r="N93" t="s">
        <v>21</v>
      </c>
      <c r="O93">
        <v>5090</v>
      </c>
      <c r="P93">
        <v>183</v>
      </c>
    </row>
    <row r="94" spans="1:16" x14ac:dyDescent="0.3">
      <c r="A94" t="s">
        <v>770</v>
      </c>
      <c r="B94" t="s">
        <v>771</v>
      </c>
      <c r="C94" t="s">
        <v>295</v>
      </c>
      <c r="D94" t="s">
        <v>606</v>
      </c>
      <c r="E94" t="s">
        <v>772</v>
      </c>
      <c r="F94">
        <v>24885</v>
      </c>
      <c r="G94">
        <v>20</v>
      </c>
      <c r="H94">
        <v>530</v>
      </c>
      <c r="I94">
        <v>36</v>
      </c>
      <c r="J94" t="s">
        <v>574</v>
      </c>
      <c r="K94" t="s">
        <v>21</v>
      </c>
      <c r="L94">
        <v>4.4000000000000004</v>
      </c>
      <c r="M94" s="1">
        <v>45681</v>
      </c>
      <c r="N94" t="s">
        <v>21</v>
      </c>
      <c r="O94">
        <v>4516</v>
      </c>
      <c r="P94">
        <v>163</v>
      </c>
    </row>
    <row r="95" spans="1:16" x14ac:dyDescent="0.3">
      <c r="A95" t="s">
        <v>773</v>
      </c>
      <c r="B95" t="s">
        <v>774</v>
      </c>
      <c r="C95" t="s">
        <v>275</v>
      </c>
      <c r="D95" t="s">
        <v>588</v>
      </c>
      <c r="E95" t="s">
        <v>775</v>
      </c>
      <c r="F95">
        <v>26737</v>
      </c>
      <c r="G95">
        <v>8</v>
      </c>
      <c r="H95">
        <v>138</v>
      </c>
      <c r="I95">
        <v>6</v>
      </c>
      <c r="J95" t="s">
        <v>570</v>
      </c>
      <c r="K95" t="s">
        <v>20</v>
      </c>
      <c r="L95">
        <v>4.7</v>
      </c>
      <c r="M95" s="1">
        <v>44964</v>
      </c>
      <c r="N95" t="s">
        <v>21</v>
      </c>
      <c r="O95">
        <v>2439</v>
      </c>
      <c r="P95">
        <v>16</v>
      </c>
    </row>
    <row r="96" spans="1:16" x14ac:dyDescent="0.3">
      <c r="A96" t="s">
        <v>776</v>
      </c>
      <c r="B96" t="s">
        <v>777</v>
      </c>
      <c r="C96" t="s">
        <v>275</v>
      </c>
      <c r="D96" t="s">
        <v>572</v>
      </c>
      <c r="E96" t="s">
        <v>778</v>
      </c>
      <c r="F96">
        <v>93500</v>
      </c>
      <c r="G96">
        <v>7</v>
      </c>
      <c r="H96">
        <v>563</v>
      </c>
      <c r="I96">
        <v>24</v>
      </c>
      <c r="J96" t="s">
        <v>560</v>
      </c>
      <c r="K96" t="s">
        <v>20</v>
      </c>
      <c r="L96">
        <v>4.3</v>
      </c>
      <c r="M96" s="1">
        <v>45490</v>
      </c>
      <c r="N96" t="s">
        <v>20</v>
      </c>
      <c r="O96">
        <v>6923</v>
      </c>
      <c r="P96">
        <v>148</v>
      </c>
    </row>
    <row r="97" spans="1:16" x14ac:dyDescent="0.3">
      <c r="A97" t="s">
        <v>779</v>
      </c>
      <c r="B97" t="s">
        <v>780</v>
      </c>
      <c r="C97" t="s">
        <v>287</v>
      </c>
      <c r="D97" t="s">
        <v>563</v>
      </c>
      <c r="E97" t="s">
        <v>781</v>
      </c>
      <c r="F97">
        <v>18702</v>
      </c>
      <c r="G97">
        <v>12</v>
      </c>
      <c r="H97">
        <v>809</v>
      </c>
      <c r="I97">
        <v>36</v>
      </c>
      <c r="J97" t="s">
        <v>574</v>
      </c>
      <c r="K97" t="s">
        <v>21</v>
      </c>
      <c r="L97">
        <v>3.9</v>
      </c>
      <c r="M97" s="1">
        <v>45166</v>
      </c>
      <c r="N97" t="s">
        <v>21</v>
      </c>
      <c r="O97">
        <v>8658</v>
      </c>
      <c r="P97">
        <v>174</v>
      </c>
    </row>
    <row r="98" spans="1:16" x14ac:dyDescent="0.3">
      <c r="A98" t="s">
        <v>782</v>
      </c>
      <c r="B98" t="s">
        <v>783</v>
      </c>
      <c r="C98" t="s">
        <v>287</v>
      </c>
      <c r="D98" t="s">
        <v>602</v>
      </c>
      <c r="E98" t="s">
        <v>784</v>
      </c>
      <c r="F98">
        <v>9117</v>
      </c>
      <c r="G98">
        <v>14</v>
      </c>
      <c r="H98">
        <v>407</v>
      </c>
      <c r="I98">
        <v>36</v>
      </c>
      <c r="J98" t="s">
        <v>570</v>
      </c>
      <c r="K98" t="s">
        <v>21</v>
      </c>
      <c r="L98">
        <v>4.5999999999999996</v>
      </c>
      <c r="M98" s="1">
        <v>45545</v>
      </c>
      <c r="N98" t="s">
        <v>20</v>
      </c>
      <c r="O98">
        <v>3054</v>
      </c>
      <c r="P98">
        <v>157</v>
      </c>
    </row>
    <row r="99" spans="1:16" x14ac:dyDescent="0.3">
      <c r="A99" t="s">
        <v>206</v>
      </c>
      <c r="B99" t="s">
        <v>785</v>
      </c>
      <c r="C99" t="s">
        <v>275</v>
      </c>
      <c r="D99" t="s">
        <v>602</v>
      </c>
      <c r="E99" t="s">
        <v>786</v>
      </c>
      <c r="F99">
        <v>59479</v>
      </c>
      <c r="G99">
        <v>19</v>
      </c>
      <c r="H99">
        <v>696</v>
      </c>
      <c r="I99">
        <v>24</v>
      </c>
      <c r="J99" t="s">
        <v>565</v>
      </c>
      <c r="K99" t="s">
        <v>20</v>
      </c>
      <c r="L99">
        <v>4.4000000000000004</v>
      </c>
      <c r="M99" s="1">
        <v>45849</v>
      </c>
      <c r="N99" t="s">
        <v>20</v>
      </c>
      <c r="O99">
        <v>8089</v>
      </c>
      <c r="P99">
        <v>104</v>
      </c>
    </row>
    <row r="100" spans="1:16" x14ac:dyDescent="0.3">
      <c r="A100" t="s">
        <v>82</v>
      </c>
      <c r="B100" t="s">
        <v>787</v>
      </c>
      <c r="C100" t="s">
        <v>295</v>
      </c>
      <c r="D100" t="s">
        <v>558</v>
      </c>
      <c r="E100" t="s">
        <v>788</v>
      </c>
      <c r="F100">
        <v>20556</v>
      </c>
      <c r="G100">
        <v>14</v>
      </c>
      <c r="H100">
        <v>168</v>
      </c>
      <c r="I100">
        <v>12</v>
      </c>
      <c r="J100" t="s">
        <v>560</v>
      </c>
      <c r="K100" t="s">
        <v>20</v>
      </c>
      <c r="L100">
        <v>3.4</v>
      </c>
      <c r="M100" s="1">
        <v>45715</v>
      </c>
      <c r="N100" t="s">
        <v>21</v>
      </c>
      <c r="O100">
        <v>2293</v>
      </c>
      <c r="P100">
        <v>129</v>
      </c>
    </row>
    <row r="101" spans="1:16" x14ac:dyDescent="0.3">
      <c r="A101" t="s">
        <v>789</v>
      </c>
      <c r="B101" t="s">
        <v>595</v>
      </c>
      <c r="C101" t="s">
        <v>275</v>
      </c>
      <c r="D101" t="s">
        <v>606</v>
      </c>
      <c r="E101" t="s">
        <v>790</v>
      </c>
      <c r="F101">
        <v>72699</v>
      </c>
      <c r="G101">
        <v>13</v>
      </c>
      <c r="H101">
        <v>128</v>
      </c>
      <c r="I101">
        <v>24</v>
      </c>
      <c r="J101" t="s">
        <v>574</v>
      </c>
      <c r="K101" t="s">
        <v>20</v>
      </c>
      <c r="L101">
        <v>4</v>
      </c>
      <c r="M101" s="1">
        <v>44881</v>
      </c>
      <c r="N101" t="s">
        <v>20</v>
      </c>
      <c r="O101">
        <v>3805</v>
      </c>
      <c r="P101">
        <v>186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B5764-E399-4834-A60A-8E9DAE0FFCDF}">
  <sheetPr>
    <tabColor theme="5" tint="0.39997558519241921"/>
  </sheetPr>
  <dimension ref="A1:O101"/>
  <sheetViews>
    <sheetView workbookViewId="0">
      <selection activeCell="H12" sqref="H12"/>
    </sheetView>
  </sheetViews>
  <sheetFormatPr defaultRowHeight="14.4" x14ac:dyDescent="0.3"/>
  <cols>
    <col min="1" max="1" width="13.109375" bestFit="1" customWidth="1"/>
    <col min="2" max="2" width="22.77734375" bestFit="1" customWidth="1"/>
    <col min="3" max="3" width="31.44140625" bestFit="1" customWidth="1"/>
    <col min="4" max="4" width="12" bestFit="1" customWidth="1"/>
    <col min="5" max="5" width="10.6640625" bestFit="1" customWidth="1"/>
    <col min="6" max="6" width="12.21875" bestFit="1" customWidth="1"/>
    <col min="7" max="7" width="10" bestFit="1" customWidth="1"/>
    <col min="8" max="8" width="9.33203125" bestFit="1" customWidth="1"/>
    <col min="9" max="9" width="13.109375" bestFit="1" customWidth="1"/>
    <col min="10" max="10" width="15.88671875" bestFit="1" customWidth="1"/>
    <col min="11" max="11" width="18.77734375" bestFit="1" customWidth="1"/>
    <col min="12" max="12" width="14.5546875" bestFit="1" customWidth="1"/>
    <col min="13" max="13" width="14.44140625" bestFit="1" customWidth="1"/>
    <col min="14" max="14" width="12.88671875" bestFit="1" customWidth="1"/>
    <col min="15" max="15" width="15.6640625" bestFit="1" customWidth="1"/>
  </cols>
  <sheetData>
    <row r="1" spans="1:15" x14ac:dyDescent="0.3">
      <c r="A1" t="s">
        <v>1</v>
      </c>
      <c r="B1" t="s">
        <v>255</v>
      </c>
      <c r="C1" t="s">
        <v>256</v>
      </c>
      <c r="D1" t="s">
        <v>257</v>
      </c>
      <c r="E1" t="s">
        <v>258</v>
      </c>
      <c r="F1" t="s">
        <v>259</v>
      </c>
      <c r="G1" t="s">
        <v>260</v>
      </c>
      <c r="H1" t="s">
        <v>261</v>
      </c>
      <c r="I1" t="s">
        <v>262</v>
      </c>
      <c r="J1" t="s">
        <v>263</v>
      </c>
      <c r="K1" t="s">
        <v>264</v>
      </c>
      <c r="L1" t="s">
        <v>265</v>
      </c>
      <c r="M1" t="s">
        <v>266</v>
      </c>
      <c r="N1" t="s">
        <v>267</v>
      </c>
      <c r="O1" t="s">
        <v>268</v>
      </c>
    </row>
    <row r="2" spans="1:15" x14ac:dyDescent="0.3">
      <c r="A2" t="s">
        <v>269</v>
      </c>
      <c r="B2" t="s">
        <v>270</v>
      </c>
      <c r="C2" t="s">
        <v>271</v>
      </c>
      <c r="D2">
        <v>918196001338</v>
      </c>
      <c r="E2" t="s">
        <v>272</v>
      </c>
      <c r="F2" t="s">
        <v>273</v>
      </c>
      <c r="G2">
        <v>838637</v>
      </c>
      <c r="H2" t="s">
        <v>274</v>
      </c>
      <c r="I2" s="1">
        <v>36394</v>
      </c>
      <c r="J2" s="1">
        <v>44892</v>
      </c>
      <c r="K2" t="s">
        <v>275</v>
      </c>
      <c r="L2">
        <v>4112</v>
      </c>
      <c r="M2" t="s">
        <v>276</v>
      </c>
      <c r="N2" t="s">
        <v>277</v>
      </c>
      <c r="O2">
        <v>1744492</v>
      </c>
    </row>
    <row r="3" spans="1:15" x14ac:dyDescent="0.3">
      <c r="A3" t="s">
        <v>278</v>
      </c>
      <c r="B3" t="s">
        <v>279</v>
      </c>
      <c r="C3" t="s">
        <v>280</v>
      </c>
      <c r="D3">
        <v>911615594078</v>
      </c>
      <c r="E3" t="s">
        <v>272</v>
      </c>
      <c r="F3" t="s">
        <v>273</v>
      </c>
      <c r="G3">
        <v>618495</v>
      </c>
      <c r="H3" t="s">
        <v>274</v>
      </c>
      <c r="I3" s="1">
        <v>36098</v>
      </c>
      <c r="J3" s="1">
        <v>44625</v>
      </c>
      <c r="K3" t="s">
        <v>281</v>
      </c>
      <c r="L3">
        <v>620</v>
      </c>
      <c r="M3" t="s">
        <v>276</v>
      </c>
      <c r="N3" t="s">
        <v>282</v>
      </c>
      <c r="O3">
        <v>658517</v>
      </c>
    </row>
    <row r="4" spans="1:15" x14ac:dyDescent="0.3">
      <c r="A4" t="s">
        <v>179</v>
      </c>
      <c r="B4" t="s">
        <v>283</v>
      </c>
      <c r="C4" t="s">
        <v>284</v>
      </c>
      <c r="D4">
        <v>7525534192</v>
      </c>
      <c r="E4" t="s">
        <v>285</v>
      </c>
      <c r="F4" t="s">
        <v>286</v>
      </c>
      <c r="G4">
        <v>276483</v>
      </c>
      <c r="H4" t="s">
        <v>274</v>
      </c>
      <c r="I4" s="1">
        <v>38764</v>
      </c>
      <c r="J4" s="1">
        <v>45035</v>
      </c>
      <c r="K4" t="s">
        <v>287</v>
      </c>
      <c r="L4">
        <v>9028</v>
      </c>
      <c r="M4" t="s">
        <v>288</v>
      </c>
      <c r="N4" t="s">
        <v>277</v>
      </c>
      <c r="O4">
        <v>1142059</v>
      </c>
    </row>
    <row r="5" spans="1:15" x14ac:dyDescent="0.3">
      <c r="A5" t="s">
        <v>289</v>
      </c>
      <c r="B5" t="s">
        <v>290</v>
      </c>
      <c r="C5" t="s">
        <v>291</v>
      </c>
      <c r="D5">
        <v>5376724238</v>
      </c>
      <c r="E5" t="s">
        <v>292</v>
      </c>
      <c r="F5" t="s">
        <v>293</v>
      </c>
      <c r="G5">
        <v>969653</v>
      </c>
      <c r="H5" t="s">
        <v>294</v>
      </c>
      <c r="I5" s="1">
        <v>25186</v>
      </c>
      <c r="J5" s="1">
        <v>45611</v>
      </c>
      <c r="K5" t="s">
        <v>295</v>
      </c>
      <c r="L5">
        <v>2715</v>
      </c>
      <c r="M5" t="s">
        <v>288</v>
      </c>
      <c r="N5" t="s">
        <v>296</v>
      </c>
      <c r="O5">
        <v>782738</v>
      </c>
    </row>
    <row r="6" spans="1:15" x14ac:dyDescent="0.3">
      <c r="A6" t="s">
        <v>297</v>
      </c>
      <c r="B6" t="s">
        <v>298</v>
      </c>
      <c r="C6" t="s">
        <v>299</v>
      </c>
      <c r="D6">
        <v>9166978480</v>
      </c>
      <c r="E6" t="s">
        <v>300</v>
      </c>
      <c r="F6" t="s">
        <v>301</v>
      </c>
      <c r="G6">
        <v>845146</v>
      </c>
      <c r="H6" t="s">
        <v>274</v>
      </c>
      <c r="I6" s="1">
        <v>25679</v>
      </c>
      <c r="J6" s="1">
        <v>45437</v>
      </c>
      <c r="K6" t="s">
        <v>275</v>
      </c>
      <c r="L6">
        <v>1774</v>
      </c>
      <c r="M6" t="s">
        <v>276</v>
      </c>
      <c r="N6" t="s">
        <v>302</v>
      </c>
      <c r="O6">
        <v>402828</v>
      </c>
    </row>
    <row r="7" spans="1:15" x14ac:dyDescent="0.3">
      <c r="A7" t="s">
        <v>60</v>
      </c>
      <c r="B7" t="s">
        <v>303</v>
      </c>
      <c r="C7" t="s">
        <v>304</v>
      </c>
      <c r="D7">
        <v>8932528809</v>
      </c>
      <c r="E7" t="s">
        <v>305</v>
      </c>
      <c r="F7" t="s">
        <v>306</v>
      </c>
      <c r="G7">
        <v>701543</v>
      </c>
      <c r="H7" t="s">
        <v>294</v>
      </c>
      <c r="I7" s="1">
        <v>23187</v>
      </c>
      <c r="J7" s="1">
        <v>44776</v>
      </c>
      <c r="K7" t="s">
        <v>275</v>
      </c>
      <c r="L7">
        <v>811</v>
      </c>
      <c r="M7" t="s">
        <v>288</v>
      </c>
      <c r="N7" t="s">
        <v>307</v>
      </c>
      <c r="O7">
        <v>461779</v>
      </c>
    </row>
    <row r="8" spans="1:15" x14ac:dyDescent="0.3">
      <c r="A8" t="s">
        <v>48</v>
      </c>
      <c r="B8" t="s">
        <v>308</v>
      </c>
      <c r="C8" t="s">
        <v>309</v>
      </c>
      <c r="D8">
        <v>7824896383</v>
      </c>
      <c r="E8" t="s">
        <v>310</v>
      </c>
      <c r="F8" t="s">
        <v>311</v>
      </c>
      <c r="G8">
        <v>657871</v>
      </c>
      <c r="H8" t="s">
        <v>274</v>
      </c>
      <c r="I8" s="1">
        <v>27909</v>
      </c>
      <c r="J8" s="1">
        <v>44726</v>
      </c>
      <c r="K8" t="s">
        <v>275</v>
      </c>
      <c r="L8">
        <v>6025</v>
      </c>
      <c r="M8" t="s">
        <v>276</v>
      </c>
      <c r="N8" t="s">
        <v>282</v>
      </c>
      <c r="O8">
        <v>296100</v>
      </c>
    </row>
    <row r="9" spans="1:15" x14ac:dyDescent="0.3">
      <c r="A9" t="s">
        <v>177</v>
      </c>
      <c r="B9" t="s">
        <v>312</v>
      </c>
      <c r="C9" t="s">
        <v>313</v>
      </c>
      <c r="D9">
        <v>310518347</v>
      </c>
      <c r="E9" t="s">
        <v>285</v>
      </c>
      <c r="F9" t="s">
        <v>286</v>
      </c>
      <c r="G9">
        <v>829973</v>
      </c>
      <c r="H9" t="s">
        <v>294</v>
      </c>
      <c r="I9" s="1">
        <v>33503</v>
      </c>
      <c r="J9" s="1">
        <v>45292</v>
      </c>
      <c r="K9" t="s">
        <v>295</v>
      </c>
      <c r="L9">
        <v>3914</v>
      </c>
      <c r="M9" t="s">
        <v>276</v>
      </c>
      <c r="N9" t="s">
        <v>302</v>
      </c>
      <c r="O9">
        <v>782952</v>
      </c>
    </row>
    <row r="10" spans="1:15" x14ac:dyDescent="0.3">
      <c r="A10" t="s">
        <v>314</v>
      </c>
      <c r="B10" t="s">
        <v>315</v>
      </c>
      <c r="C10" t="s">
        <v>316</v>
      </c>
      <c r="D10">
        <v>106513338</v>
      </c>
      <c r="E10" t="s">
        <v>317</v>
      </c>
      <c r="F10" t="s">
        <v>318</v>
      </c>
      <c r="G10">
        <v>262473</v>
      </c>
      <c r="H10" t="s">
        <v>294</v>
      </c>
      <c r="I10" s="1">
        <v>23621</v>
      </c>
      <c r="J10" s="1">
        <v>45404</v>
      </c>
      <c r="K10" t="s">
        <v>287</v>
      </c>
      <c r="L10">
        <v>6165</v>
      </c>
      <c r="M10" t="s">
        <v>288</v>
      </c>
      <c r="N10" t="s">
        <v>277</v>
      </c>
      <c r="O10">
        <v>1605459</v>
      </c>
    </row>
    <row r="11" spans="1:15" x14ac:dyDescent="0.3">
      <c r="A11" t="s">
        <v>121</v>
      </c>
      <c r="B11" t="s">
        <v>319</v>
      </c>
      <c r="C11" t="s">
        <v>320</v>
      </c>
      <c r="D11">
        <v>7736026064</v>
      </c>
      <c r="E11" t="s">
        <v>321</v>
      </c>
      <c r="F11" t="s">
        <v>322</v>
      </c>
      <c r="G11">
        <v>468723</v>
      </c>
      <c r="H11" t="s">
        <v>274</v>
      </c>
      <c r="I11" s="1">
        <v>29122</v>
      </c>
      <c r="J11" s="1">
        <v>44704</v>
      </c>
      <c r="K11" t="s">
        <v>287</v>
      </c>
      <c r="L11">
        <v>8851</v>
      </c>
      <c r="M11" t="s">
        <v>276</v>
      </c>
      <c r="N11" t="s">
        <v>277</v>
      </c>
      <c r="O11">
        <v>1169429</v>
      </c>
    </row>
    <row r="12" spans="1:15" x14ac:dyDescent="0.3">
      <c r="A12" t="s">
        <v>187</v>
      </c>
      <c r="B12" t="s">
        <v>323</v>
      </c>
      <c r="C12" t="s">
        <v>324</v>
      </c>
      <c r="D12">
        <v>2081219136</v>
      </c>
      <c r="E12" t="s">
        <v>310</v>
      </c>
      <c r="F12" t="s">
        <v>311</v>
      </c>
      <c r="G12">
        <v>939909</v>
      </c>
      <c r="H12" t="s">
        <v>294</v>
      </c>
      <c r="I12" s="1">
        <v>23785</v>
      </c>
      <c r="J12" s="1">
        <v>45330</v>
      </c>
      <c r="K12" t="s">
        <v>287</v>
      </c>
      <c r="L12">
        <v>5413</v>
      </c>
      <c r="M12" t="s">
        <v>276</v>
      </c>
      <c r="N12" t="s">
        <v>277</v>
      </c>
      <c r="O12">
        <v>1923444</v>
      </c>
    </row>
    <row r="13" spans="1:15" x14ac:dyDescent="0.3">
      <c r="A13" t="s">
        <v>185</v>
      </c>
      <c r="B13" t="s">
        <v>325</v>
      </c>
      <c r="C13" t="s">
        <v>326</v>
      </c>
      <c r="D13">
        <v>4751079911</v>
      </c>
      <c r="E13" t="s">
        <v>327</v>
      </c>
      <c r="F13" t="s">
        <v>327</v>
      </c>
      <c r="G13">
        <v>842513</v>
      </c>
      <c r="H13" t="s">
        <v>294</v>
      </c>
      <c r="I13" s="1">
        <v>30932</v>
      </c>
      <c r="J13" s="1">
        <v>44913</v>
      </c>
      <c r="K13" t="s">
        <v>281</v>
      </c>
      <c r="L13">
        <v>4486</v>
      </c>
      <c r="M13" t="s">
        <v>276</v>
      </c>
      <c r="N13" t="s">
        <v>277</v>
      </c>
      <c r="O13">
        <v>1389462</v>
      </c>
    </row>
    <row r="14" spans="1:15" x14ac:dyDescent="0.3">
      <c r="A14" t="s">
        <v>57</v>
      </c>
      <c r="B14" t="s">
        <v>328</v>
      </c>
      <c r="C14" t="s">
        <v>329</v>
      </c>
      <c r="D14">
        <v>1182449353</v>
      </c>
      <c r="E14" t="s">
        <v>305</v>
      </c>
      <c r="F14" t="s">
        <v>306</v>
      </c>
      <c r="G14">
        <v>874016</v>
      </c>
      <c r="H14" t="s">
        <v>274</v>
      </c>
      <c r="I14" s="1">
        <v>28624</v>
      </c>
      <c r="J14" s="1">
        <v>44164</v>
      </c>
      <c r="K14" t="s">
        <v>281</v>
      </c>
      <c r="L14">
        <v>6582</v>
      </c>
      <c r="M14" t="s">
        <v>288</v>
      </c>
      <c r="N14" t="s">
        <v>277</v>
      </c>
      <c r="O14">
        <v>755493</v>
      </c>
    </row>
    <row r="15" spans="1:15" x14ac:dyDescent="0.3">
      <c r="A15" t="s">
        <v>208</v>
      </c>
      <c r="B15" t="s">
        <v>330</v>
      </c>
      <c r="C15" t="s">
        <v>331</v>
      </c>
      <c r="D15">
        <v>8011280598</v>
      </c>
      <c r="E15" t="s">
        <v>300</v>
      </c>
      <c r="F15" t="s">
        <v>301</v>
      </c>
      <c r="G15">
        <v>620450</v>
      </c>
      <c r="H15" t="s">
        <v>274</v>
      </c>
      <c r="I15" s="1">
        <v>30641</v>
      </c>
      <c r="J15" s="1">
        <v>44680</v>
      </c>
      <c r="K15" t="s">
        <v>275</v>
      </c>
      <c r="L15">
        <v>9677</v>
      </c>
      <c r="M15" t="s">
        <v>288</v>
      </c>
      <c r="N15" t="s">
        <v>307</v>
      </c>
      <c r="O15">
        <v>1037603</v>
      </c>
    </row>
    <row r="16" spans="1:15" x14ac:dyDescent="0.3">
      <c r="A16" t="s">
        <v>124</v>
      </c>
      <c r="B16" t="s">
        <v>332</v>
      </c>
      <c r="C16" t="s">
        <v>333</v>
      </c>
      <c r="D16">
        <v>916025634216</v>
      </c>
      <c r="E16" t="s">
        <v>305</v>
      </c>
      <c r="F16" t="s">
        <v>306</v>
      </c>
      <c r="G16">
        <v>733754</v>
      </c>
      <c r="H16" t="s">
        <v>274</v>
      </c>
      <c r="I16" s="1">
        <v>27404</v>
      </c>
      <c r="J16" s="1">
        <v>44720</v>
      </c>
      <c r="K16" t="s">
        <v>287</v>
      </c>
      <c r="L16">
        <v>8448</v>
      </c>
      <c r="M16" t="s">
        <v>288</v>
      </c>
      <c r="N16" t="s">
        <v>282</v>
      </c>
      <c r="O16">
        <v>1784990</v>
      </c>
    </row>
    <row r="17" spans="1:15" x14ac:dyDescent="0.3">
      <c r="A17" t="s">
        <v>86</v>
      </c>
      <c r="B17" t="s">
        <v>334</v>
      </c>
      <c r="C17" t="s">
        <v>335</v>
      </c>
      <c r="D17">
        <v>8685014294</v>
      </c>
      <c r="E17" t="s">
        <v>327</v>
      </c>
      <c r="F17" t="s">
        <v>327</v>
      </c>
      <c r="G17">
        <v>196556</v>
      </c>
      <c r="H17" t="s">
        <v>274</v>
      </c>
      <c r="I17" s="1">
        <v>36815</v>
      </c>
      <c r="J17" s="1">
        <v>45616</v>
      </c>
      <c r="K17" t="s">
        <v>287</v>
      </c>
      <c r="L17">
        <v>2721</v>
      </c>
      <c r="M17" t="s">
        <v>288</v>
      </c>
      <c r="N17" t="s">
        <v>307</v>
      </c>
      <c r="O17">
        <v>333227</v>
      </c>
    </row>
    <row r="18" spans="1:15" x14ac:dyDescent="0.3">
      <c r="A18" t="s">
        <v>127</v>
      </c>
      <c r="B18" t="s">
        <v>336</v>
      </c>
      <c r="C18" t="s">
        <v>337</v>
      </c>
      <c r="D18">
        <v>3561595148</v>
      </c>
      <c r="E18" t="s">
        <v>310</v>
      </c>
      <c r="F18" t="s">
        <v>311</v>
      </c>
      <c r="G18">
        <v>656482</v>
      </c>
      <c r="H18" t="s">
        <v>294</v>
      </c>
      <c r="I18" s="1">
        <v>26516</v>
      </c>
      <c r="J18" s="1">
        <v>45334</v>
      </c>
      <c r="K18" t="s">
        <v>281</v>
      </c>
      <c r="L18">
        <v>8769</v>
      </c>
      <c r="M18" t="s">
        <v>288</v>
      </c>
      <c r="N18" t="s">
        <v>307</v>
      </c>
      <c r="O18">
        <v>224077</v>
      </c>
    </row>
    <row r="19" spans="1:15" x14ac:dyDescent="0.3">
      <c r="A19" t="s">
        <v>52</v>
      </c>
      <c r="B19" t="s">
        <v>338</v>
      </c>
      <c r="C19" t="s">
        <v>339</v>
      </c>
      <c r="D19">
        <v>916995777387</v>
      </c>
      <c r="E19" t="s">
        <v>272</v>
      </c>
      <c r="F19" t="s">
        <v>273</v>
      </c>
      <c r="G19">
        <v>148951</v>
      </c>
      <c r="H19" t="s">
        <v>294</v>
      </c>
      <c r="I19" s="1">
        <v>27585</v>
      </c>
      <c r="J19" s="1">
        <v>44992</v>
      </c>
      <c r="K19" t="s">
        <v>275</v>
      </c>
      <c r="L19">
        <v>1927</v>
      </c>
      <c r="M19" t="s">
        <v>288</v>
      </c>
      <c r="N19" t="s">
        <v>302</v>
      </c>
      <c r="O19">
        <v>531680</v>
      </c>
    </row>
    <row r="20" spans="1:15" x14ac:dyDescent="0.3">
      <c r="A20" t="s">
        <v>340</v>
      </c>
      <c r="B20" t="s">
        <v>341</v>
      </c>
      <c r="C20" t="s">
        <v>342</v>
      </c>
      <c r="D20">
        <v>1769367632</v>
      </c>
      <c r="E20" t="s">
        <v>317</v>
      </c>
      <c r="F20" t="s">
        <v>318</v>
      </c>
      <c r="G20">
        <v>163287</v>
      </c>
      <c r="H20" t="s">
        <v>274</v>
      </c>
      <c r="I20" s="1">
        <v>22996</v>
      </c>
      <c r="J20" s="1">
        <v>45759</v>
      </c>
      <c r="K20" t="s">
        <v>275</v>
      </c>
      <c r="L20">
        <v>8301</v>
      </c>
      <c r="M20" t="s">
        <v>276</v>
      </c>
      <c r="N20" t="s">
        <v>307</v>
      </c>
      <c r="O20">
        <v>423159</v>
      </c>
    </row>
    <row r="21" spans="1:15" x14ac:dyDescent="0.3">
      <c r="A21" t="s">
        <v>75</v>
      </c>
      <c r="B21" t="s">
        <v>343</v>
      </c>
      <c r="C21" t="s">
        <v>344</v>
      </c>
      <c r="D21">
        <v>5798687277</v>
      </c>
      <c r="E21" t="s">
        <v>321</v>
      </c>
      <c r="F21" t="s">
        <v>322</v>
      </c>
      <c r="G21">
        <v>348734</v>
      </c>
      <c r="H21" t="s">
        <v>274</v>
      </c>
      <c r="I21" s="1">
        <v>32681</v>
      </c>
      <c r="J21" s="1">
        <v>44268</v>
      </c>
      <c r="K21" t="s">
        <v>287</v>
      </c>
      <c r="L21">
        <v>6226</v>
      </c>
      <c r="M21" t="s">
        <v>276</v>
      </c>
      <c r="N21" t="s">
        <v>307</v>
      </c>
      <c r="O21">
        <v>1832898</v>
      </c>
    </row>
    <row r="22" spans="1:15" x14ac:dyDescent="0.3">
      <c r="A22" t="s">
        <v>345</v>
      </c>
      <c r="B22" t="s">
        <v>346</v>
      </c>
      <c r="C22" t="s">
        <v>347</v>
      </c>
      <c r="D22">
        <v>913623166587</v>
      </c>
      <c r="E22" t="s">
        <v>348</v>
      </c>
      <c r="F22" t="s">
        <v>273</v>
      </c>
      <c r="G22">
        <v>36690</v>
      </c>
      <c r="H22" t="s">
        <v>274</v>
      </c>
      <c r="I22" s="1">
        <v>36056</v>
      </c>
      <c r="J22" s="1">
        <v>45209</v>
      </c>
      <c r="K22" t="s">
        <v>275</v>
      </c>
      <c r="L22">
        <v>8105</v>
      </c>
      <c r="M22" t="s">
        <v>276</v>
      </c>
      <c r="N22" t="s">
        <v>282</v>
      </c>
      <c r="O22">
        <v>961225</v>
      </c>
    </row>
    <row r="23" spans="1:15" x14ac:dyDescent="0.3">
      <c r="A23" t="s">
        <v>349</v>
      </c>
      <c r="B23" t="s">
        <v>350</v>
      </c>
      <c r="C23" t="s">
        <v>351</v>
      </c>
      <c r="D23">
        <v>8937346706</v>
      </c>
      <c r="E23" t="s">
        <v>321</v>
      </c>
      <c r="F23" t="s">
        <v>322</v>
      </c>
      <c r="G23">
        <v>627298</v>
      </c>
      <c r="H23" t="s">
        <v>274</v>
      </c>
      <c r="I23" s="1">
        <v>22418</v>
      </c>
      <c r="J23" s="1">
        <v>45252</v>
      </c>
      <c r="K23" t="s">
        <v>295</v>
      </c>
      <c r="L23">
        <v>4046</v>
      </c>
      <c r="M23" t="s">
        <v>276</v>
      </c>
      <c r="N23" t="s">
        <v>282</v>
      </c>
      <c r="O23">
        <v>1734921</v>
      </c>
    </row>
    <row r="24" spans="1:15" x14ac:dyDescent="0.3">
      <c r="A24" t="s">
        <v>106</v>
      </c>
      <c r="B24" t="s">
        <v>352</v>
      </c>
      <c r="C24" t="s">
        <v>353</v>
      </c>
      <c r="D24">
        <v>6537556464</v>
      </c>
      <c r="E24" t="s">
        <v>317</v>
      </c>
      <c r="F24" t="s">
        <v>318</v>
      </c>
      <c r="G24">
        <v>708053</v>
      </c>
      <c r="H24" t="s">
        <v>274</v>
      </c>
      <c r="I24" s="1">
        <v>37907</v>
      </c>
      <c r="J24" s="1">
        <v>44241</v>
      </c>
      <c r="K24" t="s">
        <v>287</v>
      </c>
      <c r="L24">
        <v>2203</v>
      </c>
      <c r="M24" t="s">
        <v>288</v>
      </c>
      <c r="N24" t="s">
        <v>307</v>
      </c>
      <c r="O24">
        <v>546296</v>
      </c>
    </row>
    <row r="25" spans="1:15" x14ac:dyDescent="0.3">
      <c r="A25" t="s">
        <v>354</v>
      </c>
      <c r="B25" t="s">
        <v>355</v>
      </c>
      <c r="C25" t="s">
        <v>356</v>
      </c>
      <c r="D25">
        <v>917193745299</v>
      </c>
      <c r="E25" t="s">
        <v>321</v>
      </c>
      <c r="F25" t="s">
        <v>322</v>
      </c>
      <c r="G25">
        <v>241904</v>
      </c>
      <c r="H25" t="s">
        <v>294</v>
      </c>
      <c r="I25" s="1">
        <v>36059</v>
      </c>
      <c r="J25" s="1">
        <v>45194</v>
      </c>
      <c r="K25" t="s">
        <v>287</v>
      </c>
      <c r="L25">
        <v>8935</v>
      </c>
      <c r="M25" t="s">
        <v>276</v>
      </c>
      <c r="N25" t="s">
        <v>296</v>
      </c>
      <c r="O25">
        <v>1036747</v>
      </c>
    </row>
    <row r="26" spans="1:15" x14ac:dyDescent="0.3">
      <c r="A26" t="s">
        <v>357</v>
      </c>
      <c r="B26" t="s">
        <v>358</v>
      </c>
      <c r="C26" t="s">
        <v>359</v>
      </c>
      <c r="D26">
        <v>1905865185</v>
      </c>
      <c r="E26" t="s">
        <v>305</v>
      </c>
      <c r="F26" t="s">
        <v>306</v>
      </c>
      <c r="G26">
        <v>671657</v>
      </c>
      <c r="H26" t="s">
        <v>294</v>
      </c>
      <c r="I26" s="1">
        <v>25550</v>
      </c>
      <c r="J26" s="1">
        <v>45381</v>
      </c>
      <c r="K26" t="s">
        <v>281</v>
      </c>
      <c r="L26">
        <v>2082</v>
      </c>
      <c r="M26" t="s">
        <v>276</v>
      </c>
      <c r="N26" t="s">
        <v>277</v>
      </c>
      <c r="O26">
        <v>334272</v>
      </c>
    </row>
    <row r="27" spans="1:15" x14ac:dyDescent="0.3">
      <c r="A27" t="s">
        <v>360</v>
      </c>
      <c r="B27" t="s">
        <v>361</v>
      </c>
      <c r="C27" t="s">
        <v>362</v>
      </c>
      <c r="D27">
        <v>4531473799</v>
      </c>
      <c r="E27" t="s">
        <v>305</v>
      </c>
      <c r="F27" t="s">
        <v>306</v>
      </c>
      <c r="G27">
        <v>507527</v>
      </c>
      <c r="H27" t="s">
        <v>274</v>
      </c>
      <c r="I27" s="1">
        <v>27020</v>
      </c>
      <c r="J27" s="1">
        <v>45130</v>
      </c>
      <c r="K27" t="s">
        <v>287</v>
      </c>
      <c r="L27">
        <v>9741</v>
      </c>
      <c r="M27" t="s">
        <v>276</v>
      </c>
      <c r="N27" t="s">
        <v>282</v>
      </c>
      <c r="O27">
        <v>348883</v>
      </c>
    </row>
    <row r="28" spans="1:15" x14ac:dyDescent="0.3">
      <c r="A28" t="s">
        <v>159</v>
      </c>
      <c r="B28" t="s">
        <v>363</v>
      </c>
      <c r="C28" t="s">
        <v>364</v>
      </c>
      <c r="D28">
        <v>916783777014</v>
      </c>
      <c r="E28" t="s">
        <v>327</v>
      </c>
      <c r="F28" t="s">
        <v>327</v>
      </c>
      <c r="G28">
        <v>634957</v>
      </c>
      <c r="H28" t="s">
        <v>274</v>
      </c>
      <c r="I28" s="1">
        <v>35504</v>
      </c>
      <c r="J28" s="1">
        <v>45677</v>
      </c>
      <c r="K28" t="s">
        <v>295</v>
      </c>
      <c r="L28">
        <v>614</v>
      </c>
      <c r="M28" t="s">
        <v>288</v>
      </c>
      <c r="N28" t="s">
        <v>282</v>
      </c>
      <c r="O28">
        <v>1278263</v>
      </c>
    </row>
    <row r="29" spans="1:15" x14ac:dyDescent="0.3">
      <c r="A29" t="s">
        <v>365</v>
      </c>
      <c r="B29" t="s">
        <v>366</v>
      </c>
      <c r="C29" t="s">
        <v>367</v>
      </c>
      <c r="D29">
        <v>911351823374</v>
      </c>
      <c r="E29" t="s">
        <v>285</v>
      </c>
      <c r="F29" t="s">
        <v>286</v>
      </c>
      <c r="G29">
        <v>134352</v>
      </c>
      <c r="H29" t="s">
        <v>294</v>
      </c>
      <c r="I29" s="1">
        <v>29260</v>
      </c>
      <c r="J29" s="1">
        <v>44071</v>
      </c>
      <c r="K29" t="s">
        <v>281</v>
      </c>
      <c r="L29">
        <v>3610</v>
      </c>
      <c r="M29" t="s">
        <v>276</v>
      </c>
      <c r="N29" t="s">
        <v>307</v>
      </c>
      <c r="O29">
        <v>1408403</v>
      </c>
    </row>
    <row r="30" spans="1:15" x14ac:dyDescent="0.3">
      <c r="A30" t="s">
        <v>155</v>
      </c>
      <c r="B30" t="s">
        <v>368</v>
      </c>
      <c r="C30" t="s">
        <v>369</v>
      </c>
      <c r="D30">
        <v>1094777520</v>
      </c>
      <c r="E30" t="s">
        <v>317</v>
      </c>
      <c r="F30" t="s">
        <v>318</v>
      </c>
      <c r="G30">
        <v>711671</v>
      </c>
      <c r="H30" t="s">
        <v>274</v>
      </c>
      <c r="I30" s="1">
        <v>36089</v>
      </c>
      <c r="J30" s="1">
        <v>44194</v>
      </c>
      <c r="K30" t="s">
        <v>281</v>
      </c>
      <c r="L30">
        <v>6769</v>
      </c>
      <c r="M30" t="s">
        <v>276</v>
      </c>
      <c r="N30" t="s">
        <v>282</v>
      </c>
      <c r="O30">
        <v>403278</v>
      </c>
    </row>
    <row r="31" spans="1:15" x14ac:dyDescent="0.3">
      <c r="A31" t="s">
        <v>195</v>
      </c>
      <c r="B31" t="s">
        <v>370</v>
      </c>
      <c r="C31" t="s">
        <v>371</v>
      </c>
      <c r="D31">
        <v>9993867749</v>
      </c>
      <c r="E31" t="s">
        <v>310</v>
      </c>
      <c r="F31" t="s">
        <v>311</v>
      </c>
      <c r="G31">
        <v>499091</v>
      </c>
      <c r="H31" t="s">
        <v>294</v>
      </c>
      <c r="I31" s="1">
        <v>26912</v>
      </c>
      <c r="J31" s="1">
        <v>44683</v>
      </c>
      <c r="K31" t="s">
        <v>281</v>
      </c>
      <c r="L31">
        <v>6835</v>
      </c>
      <c r="M31" t="s">
        <v>288</v>
      </c>
      <c r="N31" t="s">
        <v>282</v>
      </c>
      <c r="O31">
        <v>1612147</v>
      </c>
    </row>
    <row r="32" spans="1:15" x14ac:dyDescent="0.3">
      <c r="A32" t="s">
        <v>149</v>
      </c>
      <c r="B32" t="s">
        <v>372</v>
      </c>
      <c r="C32" t="s">
        <v>373</v>
      </c>
      <c r="D32">
        <v>916797403447</v>
      </c>
      <c r="E32" t="s">
        <v>272</v>
      </c>
      <c r="F32" t="s">
        <v>273</v>
      </c>
      <c r="G32">
        <v>349361</v>
      </c>
      <c r="H32" t="s">
        <v>274</v>
      </c>
      <c r="I32" s="1">
        <v>35283</v>
      </c>
      <c r="J32" s="1">
        <v>44726</v>
      </c>
      <c r="K32" t="s">
        <v>281</v>
      </c>
      <c r="L32">
        <v>5659</v>
      </c>
      <c r="M32" t="s">
        <v>276</v>
      </c>
      <c r="N32" t="s">
        <v>277</v>
      </c>
      <c r="O32">
        <v>601793</v>
      </c>
    </row>
    <row r="33" spans="1:15" x14ac:dyDescent="0.3">
      <c r="A33" t="s">
        <v>40</v>
      </c>
      <c r="B33" t="s">
        <v>374</v>
      </c>
      <c r="C33" t="s">
        <v>375</v>
      </c>
      <c r="D33">
        <v>9471746488</v>
      </c>
      <c r="E33" t="s">
        <v>285</v>
      </c>
      <c r="F33" t="s">
        <v>286</v>
      </c>
      <c r="G33">
        <v>719065</v>
      </c>
      <c r="H33" t="s">
        <v>294</v>
      </c>
      <c r="I33" s="1">
        <v>36753</v>
      </c>
      <c r="J33" s="1">
        <v>44805</v>
      </c>
      <c r="K33" t="s">
        <v>287</v>
      </c>
      <c r="L33">
        <v>7012</v>
      </c>
      <c r="M33" t="s">
        <v>276</v>
      </c>
      <c r="N33" t="s">
        <v>296</v>
      </c>
      <c r="O33">
        <v>1170201</v>
      </c>
    </row>
    <row r="34" spans="1:15" x14ac:dyDescent="0.3">
      <c r="A34" t="s">
        <v>376</v>
      </c>
      <c r="B34" t="s">
        <v>377</v>
      </c>
      <c r="C34" t="s">
        <v>378</v>
      </c>
      <c r="D34">
        <v>8742967175</v>
      </c>
      <c r="E34" t="s">
        <v>285</v>
      </c>
      <c r="F34" t="s">
        <v>286</v>
      </c>
      <c r="G34">
        <v>551256</v>
      </c>
      <c r="H34" t="s">
        <v>274</v>
      </c>
      <c r="I34" s="1">
        <v>38989</v>
      </c>
      <c r="J34" s="1">
        <v>45567</v>
      </c>
      <c r="K34" t="s">
        <v>281</v>
      </c>
      <c r="L34">
        <v>9116</v>
      </c>
      <c r="M34" t="s">
        <v>276</v>
      </c>
      <c r="N34" t="s">
        <v>282</v>
      </c>
      <c r="O34">
        <v>1567646</v>
      </c>
    </row>
    <row r="35" spans="1:15" x14ac:dyDescent="0.3">
      <c r="A35" t="s">
        <v>69</v>
      </c>
      <c r="B35" t="s">
        <v>379</v>
      </c>
      <c r="C35" t="s">
        <v>380</v>
      </c>
      <c r="D35">
        <v>1680876038</v>
      </c>
      <c r="E35" t="s">
        <v>348</v>
      </c>
      <c r="F35" t="s">
        <v>273</v>
      </c>
      <c r="G35">
        <v>977034</v>
      </c>
      <c r="H35" t="s">
        <v>274</v>
      </c>
      <c r="I35" s="1">
        <v>35398</v>
      </c>
      <c r="J35" s="1">
        <v>44435</v>
      </c>
      <c r="K35" t="s">
        <v>295</v>
      </c>
      <c r="L35">
        <v>3972</v>
      </c>
      <c r="M35" t="s">
        <v>276</v>
      </c>
      <c r="N35" t="s">
        <v>302</v>
      </c>
      <c r="O35">
        <v>1218463</v>
      </c>
    </row>
    <row r="36" spans="1:15" x14ac:dyDescent="0.3">
      <c r="A36" t="s">
        <v>36</v>
      </c>
      <c r="B36" t="s">
        <v>381</v>
      </c>
      <c r="C36" t="s">
        <v>382</v>
      </c>
      <c r="D36">
        <v>914808613171</v>
      </c>
      <c r="E36" t="s">
        <v>317</v>
      </c>
      <c r="F36" t="s">
        <v>318</v>
      </c>
      <c r="G36">
        <v>748467</v>
      </c>
      <c r="H36" t="s">
        <v>274</v>
      </c>
      <c r="I36" s="1">
        <v>33485</v>
      </c>
      <c r="J36" s="1">
        <v>44785</v>
      </c>
      <c r="K36" t="s">
        <v>281</v>
      </c>
      <c r="L36">
        <v>1060</v>
      </c>
      <c r="M36" t="s">
        <v>276</v>
      </c>
      <c r="N36" t="s">
        <v>302</v>
      </c>
      <c r="O36">
        <v>204520</v>
      </c>
    </row>
    <row r="37" spans="1:15" x14ac:dyDescent="0.3">
      <c r="A37" t="s">
        <v>383</v>
      </c>
      <c r="B37" t="s">
        <v>384</v>
      </c>
      <c r="C37" t="s">
        <v>385</v>
      </c>
      <c r="D37">
        <v>6584044997</v>
      </c>
      <c r="E37" t="s">
        <v>310</v>
      </c>
      <c r="F37" t="s">
        <v>311</v>
      </c>
      <c r="G37">
        <v>787558</v>
      </c>
      <c r="H37" t="s">
        <v>294</v>
      </c>
      <c r="I37" s="1">
        <v>35255</v>
      </c>
      <c r="J37" s="1">
        <v>45199</v>
      </c>
      <c r="K37" t="s">
        <v>281</v>
      </c>
      <c r="L37">
        <v>4773</v>
      </c>
      <c r="M37" t="s">
        <v>288</v>
      </c>
      <c r="N37" t="s">
        <v>307</v>
      </c>
      <c r="O37">
        <v>1588044</v>
      </c>
    </row>
    <row r="38" spans="1:15" x14ac:dyDescent="0.3">
      <c r="A38" t="s">
        <v>101</v>
      </c>
      <c r="B38" t="s">
        <v>386</v>
      </c>
      <c r="C38" t="s">
        <v>387</v>
      </c>
      <c r="D38">
        <v>915766270289</v>
      </c>
      <c r="E38" t="s">
        <v>317</v>
      </c>
      <c r="F38" t="s">
        <v>318</v>
      </c>
      <c r="G38">
        <v>171870</v>
      </c>
      <c r="H38" t="s">
        <v>274</v>
      </c>
      <c r="I38" s="1">
        <v>25331</v>
      </c>
      <c r="J38" s="1">
        <v>45301</v>
      </c>
      <c r="K38" t="s">
        <v>287</v>
      </c>
      <c r="L38">
        <v>4961</v>
      </c>
      <c r="M38" t="s">
        <v>276</v>
      </c>
      <c r="N38" t="s">
        <v>282</v>
      </c>
      <c r="O38">
        <v>1414629</v>
      </c>
    </row>
    <row r="39" spans="1:15" x14ac:dyDescent="0.3">
      <c r="A39" t="s">
        <v>167</v>
      </c>
      <c r="B39" t="s">
        <v>388</v>
      </c>
      <c r="C39" t="s">
        <v>389</v>
      </c>
      <c r="D39">
        <v>915865780913</v>
      </c>
      <c r="E39" t="s">
        <v>348</v>
      </c>
      <c r="F39" t="s">
        <v>273</v>
      </c>
      <c r="G39">
        <v>316117</v>
      </c>
      <c r="H39" t="s">
        <v>274</v>
      </c>
      <c r="I39" s="1">
        <v>25883</v>
      </c>
      <c r="J39" s="1">
        <v>44958</v>
      </c>
      <c r="K39" t="s">
        <v>275</v>
      </c>
      <c r="L39">
        <v>1036</v>
      </c>
      <c r="M39" t="s">
        <v>276</v>
      </c>
      <c r="N39" t="s">
        <v>307</v>
      </c>
      <c r="O39">
        <v>1199897</v>
      </c>
    </row>
    <row r="40" spans="1:15" x14ac:dyDescent="0.3">
      <c r="A40" t="s">
        <v>84</v>
      </c>
      <c r="B40" t="s">
        <v>390</v>
      </c>
      <c r="C40" t="s">
        <v>391</v>
      </c>
      <c r="D40">
        <v>2386922219</v>
      </c>
      <c r="E40" t="s">
        <v>348</v>
      </c>
      <c r="F40" t="s">
        <v>273</v>
      </c>
      <c r="G40">
        <v>937923</v>
      </c>
      <c r="H40" t="s">
        <v>274</v>
      </c>
      <c r="I40" s="1">
        <v>33209</v>
      </c>
      <c r="J40" s="1">
        <v>44817</v>
      </c>
      <c r="K40" t="s">
        <v>295</v>
      </c>
      <c r="L40">
        <v>8420</v>
      </c>
      <c r="M40" t="s">
        <v>276</v>
      </c>
      <c r="N40" t="s">
        <v>277</v>
      </c>
      <c r="O40">
        <v>343699</v>
      </c>
    </row>
    <row r="41" spans="1:15" x14ac:dyDescent="0.3">
      <c r="A41" t="s">
        <v>44</v>
      </c>
      <c r="B41" t="s">
        <v>392</v>
      </c>
      <c r="C41" t="s">
        <v>393</v>
      </c>
      <c r="D41">
        <v>911759464743</v>
      </c>
      <c r="E41" t="s">
        <v>292</v>
      </c>
      <c r="F41" t="s">
        <v>293</v>
      </c>
      <c r="G41">
        <v>713695</v>
      </c>
      <c r="H41" t="s">
        <v>274</v>
      </c>
      <c r="I41" s="1">
        <v>36035</v>
      </c>
      <c r="J41" s="1">
        <v>44947</v>
      </c>
      <c r="K41" t="s">
        <v>287</v>
      </c>
      <c r="L41">
        <v>6715</v>
      </c>
      <c r="M41" t="s">
        <v>276</v>
      </c>
      <c r="N41" t="s">
        <v>307</v>
      </c>
      <c r="O41">
        <v>716351</v>
      </c>
    </row>
    <row r="42" spans="1:15" x14ac:dyDescent="0.3">
      <c r="A42" t="s">
        <v>219</v>
      </c>
      <c r="B42" t="s">
        <v>394</v>
      </c>
      <c r="C42" t="s">
        <v>395</v>
      </c>
      <c r="D42">
        <v>7439533942</v>
      </c>
      <c r="E42" t="s">
        <v>292</v>
      </c>
      <c r="F42" t="s">
        <v>293</v>
      </c>
      <c r="G42">
        <v>47095</v>
      </c>
      <c r="H42" t="s">
        <v>274</v>
      </c>
      <c r="I42" s="1">
        <v>25014</v>
      </c>
      <c r="J42" s="1">
        <v>44308</v>
      </c>
      <c r="K42" t="s">
        <v>295</v>
      </c>
      <c r="L42">
        <v>6968</v>
      </c>
      <c r="M42" t="s">
        <v>288</v>
      </c>
      <c r="N42" t="s">
        <v>296</v>
      </c>
      <c r="O42">
        <v>628362</v>
      </c>
    </row>
    <row r="43" spans="1:15" x14ac:dyDescent="0.3">
      <c r="A43" t="s">
        <v>396</v>
      </c>
      <c r="B43" t="s">
        <v>397</v>
      </c>
      <c r="C43" t="s">
        <v>398</v>
      </c>
      <c r="D43">
        <v>8842474517</v>
      </c>
      <c r="E43" t="s">
        <v>305</v>
      </c>
      <c r="F43" t="s">
        <v>306</v>
      </c>
      <c r="G43">
        <v>236851</v>
      </c>
      <c r="H43" t="s">
        <v>274</v>
      </c>
      <c r="I43" s="1">
        <v>31555</v>
      </c>
      <c r="J43" s="1">
        <v>44071</v>
      </c>
      <c r="K43" t="s">
        <v>275</v>
      </c>
      <c r="L43">
        <v>6584</v>
      </c>
      <c r="M43" t="s">
        <v>276</v>
      </c>
      <c r="N43" t="s">
        <v>296</v>
      </c>
      <c r="O43">
        <v>1158869</v>
      </c>
    </row>
    <row r="44" spans="1:15" x14ac:dyDescent="0.3">
      <c r="A44" t="s">
        <v>104</v>
      </c>
      <c r="B44" t="s">
        <v>399</v>
      </c>
      <c r="C44" t="s">
        <v>400</v>
      </c>
      <c r="D44">
        <v>1370985931</v>
      </c>
      <c r="E44" t="s">
        <v>305</v>
      </c>
      <c r="F44" t="s">
        <v>306</v>
      </c>
      <c r="G44">
        <v>461200</v>
      </c>
      <c r="H44" t="s">
        <v>274</v>
      </c>
      <c r="I44" s="1">
        <v>29313</v>
      </c>
      <c r="J44" s="1">
        <v>45558</v>
      </c>
      <c r="K44" t="s">
        <v>295</v>
      </c>
      <c r="L44">
        <v>7608</v>
      </c>
      <c r="M44" t="s">
        <v>276</v>
      </c>
      <c r="N44" t="s">
        <v>282</v>
      </c>
      <c r="O44">
        <v>1327501</v>
      </c>
    </row>
    <row r="45" spans="1:15" x14ac:dyDescent="0.3">
      <c r="A45" t="s">
        <v>401</v>
      </c>
      <c r="B45" t="s">
        <v>402</v>
      </c>
      <c r="C45" t="s">
        <v>403</v>
      </c>
      <c r="D45">
        <v>8692617964</v>
      </c>
      <c r="E45" t="s">
        <v>285</v>
      </c>
      <c r="F45" t="s">
        <v>286</v>
      </c>
      <c r="G45">
        <v>537735</v>
      </c>
      <c r="H45" t="s">
        <v>294</v>
      </c>
      <c r="I45" s="1">
        <v>24217</v>
      </c>
      <c r="J45" s="1">
        <v>45169</v>
      </c>
      <c r="K45" t="s">
        <v>287</v>
      </c>
      <c r="L45">
        <v>5818</v>
      </c>
      <c r="M45" t="s">
        <v>276</v>
      </c>
      <c r="N45" t="s">
        <v>277</v>
      </c>
      <c r="O45">
        <v>974954</v>
      </c>
    </row>
    <row r="46" spans="1:15" x14ac:dyDescent="0.3">
      <c r="A46" t="s">
        <v>236</v>
      </c>
      <c r="B46" t="s">
        <v>404</v>
      </c>
      <c r="C46" t="s">
        <v>405</v>
      </c>
      <c r="D46">
        <v>3900532931</v>
      </c>
      <c r="E46" t="s">
        <v>321</v>
      </c>
      <c r="F46" t="s">
        <v>322</v>
      </c>
      <c r="G46">
        <v>933529</v>
      </c>
      <c r="H46" t="s">
        <v>274</v>
      </c>
      <c r="I46" s="1">
        <v>21818</v>
      </c>
      <c r="J46" s="1">
        <v>44889</v>
      </c>
      <c r="K46" t="s">
        <v>281</v>
      </c>
      <c r="L46">
        <v>9000</v>
      </c>
      <c r="M46" t="s">
        <v>288</v>
      </c>
      <c r="N46" t="s">
        <v>307</v>
      </c>
      <c r="O46">
        <v>1892611</v>
      </c>
    </row>
    <row r="47" spans="1:15" x14ac:dyDescent="0.3">
      <c r="A47" t="s">
        <v>406</v>
      </c>
      <c r="B47" t="s">
        <v>407</v>
      </c>
      <c r="C47" t="s">
        <v>408</v>
      </c>
      <c r="D47">
        <v>915395024026</v>
      </c>
      <c r="E47" t="s">
        <v>348</v>
      </c>
      <c r="F47" t="s">
        <v>273</v>
      </c>
      <c r="G47">
        <v>177589</v>
      </c>
      <c r="H47" t="s">
        <v>274</v>
      </c>
      <c r="I47" s="1">
        <v>24458</v>
      </c>
      <c r="J47" s="1">
        <v>45432</v>
      </c>
      <c r="K47" t="s">
        <v>275</v>
      </c>
      <c r="L47">
        <v>1797</v>
      </c>
      <c r="M47" t="s">
        <v>276</v>
      </c>
      <c r="N47" t="s">
        <v>296</v>
      </c>
      <c r="O47">
        <v>442071</v>
      </c>
    </row>
    <row r="48" spans="1:15" x14ac:dyDescent="0.3">
      <c r="A48" t="s">
        <v>205</v>
      </c>
      <c r="B48" t="s">
        <v>409</v>
      </c>
      <c r="C48" t="s">
        <v>410</v>
      </c>
      <c r="D48">
        <v>6177115921</v>
      </c>
      <c r="E48" t="s">
        <v>272</v>
      </c>
      <c r="F48" t="s">
        <v>273</v>
      </c>
      <c r="G48">
        <v>499856</v>
      </c>
      <c r="H48" t="s">
        <v>274</v>
      </c>
      <c r="I48" s="1">
        <v>36596</v>
      </c>
      <c r="J48" s="1">
        <v>45676</v>
      </c>
      <c r="K48" t="s">
        <v>275</v>
      </c>
      <c r="L48">
        <v>4716</v>
      </c>
      <c r="M48" t="s">
        <v>276</v>
      </c>
      <c r="N48" t="s">
        <v>296</v>
      </c>
      <c r="O48">
        <v>626974</v>
      </c>
    </row>
    <row r="49" spans="1:15" x14ac:dyDescent="0.3">
      <c r="A49" t="s">
        <v>116</v>
      </c>
      <c r="B49" t="s">
        <v>411</v>
      </c>
      <c r="C49" t="s">
        <v>412</v>
      </c>
      <c r="D49">
        <v>918367365766</v>
      </c>
      <c r="E49" t="s">
        <v>321</v>
      </c>
      <c r="F49" t="s">
        <v>322</v>
      </c>
      <c r="G49">
        <v>565452</v>
      </c>
      <c r="H49" t="s">
        <v>294</v>
      </c>
      <c r="I49" s="1">
        <v>38819</v>
      </c>
      <c r="J49" s="1">
        <v>45501</v>
      </c>
      <c r="K49" t="s">
        <v>275</v>
      </c>
      <c r="L49">
        <v>932</v>
      </c>
      <c r="M49" t="s">
        <v>276</v>
      </c>
      <c r="N49" t="s">
        <v>302</v>
      </c>
      <c r="O49">
        <v>1939269</v>
      </c>
    </row>
    <row r="50" spans="1:15" x14ac:dyDescent="0.3">
      <c r="A50" t="s">
        <v>413</v>
      </c>
      <c r="B50" t="s">
        <v>414</v>
      </c>
      <c r="C50" t="s">
        <v>415</v>
      </c>
      <c r="D50">
        <v>5280988516</v>
      </c>
      <c r="E50" t="s">
        <v>321</v>
      </c>
      <c r="F50" t="s">
        <v>322</v>
      </c>
      <c r="G50">
        <v>604945</v>
      </c>
      <c r="H50" t="s">
        <v>274</v>
      </c>
      <c r="I50" s="1">
        <v>24323</v>
      </c>
      <c r="J50" s="1">
        <v>45823</v>
      </c>
      <c r="K50" t="s">
        <v>295</v>
      </c>
      <c r="L50">
        <v>5564</v>
      </c>
      <c r="M50" t="s">
        <v>276</v>
      </c>
      <c r="N50" t="s">
        <v>296</v>
      </c>
      <c r="O50">
        <v>538861</v>
      </c>
    </row>
    <row r="51" spans="1:15" x14ac:dyDescent="0.3">
      <c r="A51" t="s">
        <v>416</v>
      </c>
      <c r="B51" t="s">
        <v>417</v>
      </c>
      <c r="C51" t="s">
        <v>418</v>
      </c>
      <c r="D51">
        <v>1493689980</v>
      </c>
      <c r="E51" t="s">
        <v>317</v>
      </c>
      <c r="F51" t="s">
        <v>318</v>
      </c>
      <c r="G51">
        <v>24455</v>
      </c>
      <c r="H51" t="s">
        <v>294</v>
      </c>
      <c r="I51" s="1">
        <v>21899</v>
      </c>
      <c r="J51" s="1">
        <v>44591</v>
      </c>
      <c r="K51" t="s">
        <v>295</v>
      </c>
      <c r="L51">
        <v>1932</v>
      </c>
      <c r="M51" t="s">
        <v>276</v>
      </c>
      <c r="N51" t="s">
        <v>277</v>
      </c>
      <c r="O51">
        <v>1344185</v>
      </c>
    </row>
    <row r="52" spans="1:15" x14ac:dyDescent="0.3">
      <c r="A52" t="s">
        <v>99</v>
      </c>
      <c r="B52" t="s">
        <v>419</v>
      </c>
      <c r="C52" t="s">
        <v>420</v>
      </c>
      <c r="D52">
        <v>3667525459</v>
      </c>
      <c r="E52" t="s">
        <v>327</v>
      </c>
      <c r="F52" t="s">
        <v>327</v>
      </c>
      <c r="G52">
        <v>22901</v>
      </c>
      <c r="H52" t="s">
        <v>294</v>
      </c>
      <c r="I52" s="1">
        <v>28511</v>
      </c>
      <c r="J52" s="1">
        <v>45404</v>
      </c>
      <c r="K52" t="s">
        <v>287</v>
      </c>
      <c r="L52">
        <v>7141</v>
      </c>
      <c r="M52" t="s">
        <v>276</v>
      </c>
      <c r="N52" t="s">
        <v>282</v>
      </c>
      <c r="O52">
        <v>846464</v>
      </c>
    </row>
    <row r="53" spans="1:15" x14ac:dyDescent="0.3">
      <c r="A53" t="s">
        <v>33</v>
      </c>
      <c r="B53" t="s">
        <v>421</v>
      </c>
      <c r="C53" t="s">
        <v>422</v>
      </c>
      <c r="D53">
        <v>915614978403</v>
      </c>
      <c r="E53" t="s">
        <v>305</v>
      </c>
      <c r="F53" t="s">
        <v>306</v>
      </c>
      <c r="G53">
        <v>900343</v>
      </c>
      <c r="H53" t="s">
        <v>274</v>
      </c>
      <c r="I53" s="1">
        <v>25158</v>
      </c>
      <c r="J53" s="1">
        <v>44821</v>
      </c>
      <c r="K53" t="s">
        <v>275</v>
      </c>
      <c r="L53">
        <v>3541</v>
      </c>
      <c r="M53" t="s">
        <v>276</v>
      </c>
      <c r="N53" t="s">
        <v>282</v>
      </c>
      <c r="O53">
        <v>941717</v>
      </c>
    </row>
    <row r="54" spans="1:15" x14ac:dyDescent="0.3">
      <c r="A54" t="s">
        <v>423</v>
      </c>
      <c r="B54" t="s">
        <v>424</v>
      </c>
      <c r="C54" t="s">
        <v>425</v>
      </c>
      <c r="D54">
        <v>916838851606</v>
      </c>
      <c r="E54" t="s">
        <v>348</v>
      </c>
      <c r="F54" t="s">
        <v>273</v>
      </c>
      <c r="G54">
        <v>715969</v>
      </c>
      <c r="H54" t="s">
        <v>294</v>
      </c>
      <c r="I54" s="1">
        <v>31799</v>
      </c>
      <c r="J54" s="1">
        <v>45325</v>
      </c>
      <c r="K54" t="s">
        <v>287</v>
      </c>
      <c r="L54">
        <v>3978</v>
      </c>
      <c r="M54" t="s">
        <v>276</v>
      </c>
      <c r="N54" t="s">
        <v>277</v>
      </c>
      <c r="O54">
        <v>1064644</v>
      </c>
    </row>
    <row r="55" spans="1:15" x14ac:dyDescent="0.3">
      <c r="A55" t="s">
        <v>214</v>
      </c>
      <c r="B55" t="s">
        <v>426</v>
      </c>
      <c r="C55" t="s">
        <v>427</v>
      </c>
      <c r="D55">
        <v>5161369681</v>
      </c>
      <c r="E55" t="s">
        <v>327</v>
      </c>
      <c r="F55" t="s">
        <v>327</v>
      </c>
      <c r="G55">
        <v>453521</v>
      </c>
      <c r="H55" t="s">
        <v>274</v>
      </c>
      <c r="I55" s="1">
        <v>34436</v>
      </c>
      <c r="J55" s="1">
        <v>44382</v>
      </c>
      <c r="K55" t="s">
        <v>275</v>
      </c>
      <c r="L55">
        <v>6845</v>
      </c>
      <c r="M55" t="s">
        <v>276</v>
      </c>
      <c r="N55" t="s">
        <v>296</v>
      </c>
      <c r="O55">
        <v>533862</v>
      </c>
    </row>
    <row r="56" spans="1:15" x14ac:dyDescent="0.3">
      <c r="A56" t="s">
        <v>252</v>
      </c>
      <c r="B56" t="s">
        <v>428</v>
      </c>
      <c r="C56" t="s">
        <v>429</v>
      </c>
      <c r="D56">
        <v>3292127799</v>
      </c>
      <c r="E56" t="s">
        <v>272</v>
      </c>
      <c r="F56" t="s">
        <v>273</v>
      </c>
      <c r="G56">
        <v>995527</v>
      </c>
      <c r="H56" t="s">
        <v>294</v>
      </c>
      <c r="I56" s="1">
        <v>23445</v>
      </c>
      <c r="J56" s="1">
        <v>45484</v>
      </c>
      <c r="K56" t="s">
        <v>295</v>
      </c>
      <c r="L56">
        <v>7811</v>
      </c>
      <c r="M56" t="s">
        <v>276</v>
      </c>
      <c r="N56" t="s">
        <v>277</v>
      </c>
      <c r="O56">
        <v>1912506</v>
      </c>
    </row>
    <row r="57" spans="1:15" x14ac:dyDescent="0.3">
      <c r="A57" t="s">
        <v>430</v>
      </c>
      <c r="B57" t="s">
        <v>431</v>
      </c>
      <c r="C57" t="s">
        <v>432</v>
      </c>
      <c r="D57">
        <v>7700541199</v>
      </c>
      <c r="E57" t="s">
        <v>317</v>
      </c>
      <c r="F57" t="s">
        <v>318</v>
      </c>
      <c r="G57">
        <v>798079</v>
      </c>
      <c r="H57" t="s">
        <v>294</v>
      </c>
      <c r="I57" s="1">
        <v>37949</v>
      </c>
      <c r="J57" s="1">
        <v>44612</v>
      </c>
      <c r="K57" t="s">
        <v>275</v>
      </c>
      <c r="L57">
        <v>3828</v>
      </c>
      <c r="M57" t="s">
        <v>276</v>
      </c>
      <c r="N57" t="s">
        <v>282</v>
      </c>
      <c r="O57">
        <v>1584189</v>
      </c>
    </row>
    <row r="58" spans="1:15" x14ac:dyDescent="0.3">
      <c r="A58" t="s">
        <v>146</v>
      </c>
      <c r="B58" t="s">
        <v>433</v>
      </c>
      <c r="C58" t="s">
        <v>434</v>
      </c>
      <c r="D58">
        <v>1820377889</v>
      </c>
      <c r="E58" t="s">
        <v>285</v>
      </c>
      <c r="F58" t="s">
        <v>286</v>
      </c>
      <c r="G58">
        <v>554665</v>
      </c>
      <c r="H58" t="s">
        <v>294</v>
      </c>
      <c r="I58" s="1">
        <v>38622</v>
      </c>
      <c r="J58" s="1">
        <v>44190</v>
      </c>
      <c r="K58" t="s">
        <v>275</v>
      </c>
      <c r="L58">
        <v>4664</v>
      </c>
      <c r="M58" t="s">
        <v>276</v>
      </c>
      <c r="N58" t="s">
        <v>296</v>
      </c>
      <c r="O58">
        <v>936406</v>
      </c>
    </row>
    <row r="59" spans="1:15" x14ac:dyDescent="0.3">
      <c r="A59" t="s">
        <v>435</v>
      </c>
      <c r="B59" t="s">
        <v>436</v>
      </c>
      <c r="C59" t="s">
        <v>437</v>
      </c>
      <c r="D59">
        <v>9251925462</v>
      </c>
      <c r="E59" t="s">
        <v>348</v>
      </c>
      <c r="F59" t="s">
        <v>273</v>
      </c>
      <c r="G59">
        <v>486528</v>
      </c>
      <c r="H59" t="s">
        <v>294</v>
      </c>
      <c r="I59" s="1">
        <v>24070</v>
      </c>
      <c r="J59" s="1">
        <v>45343</v>
      </c>
      <c r="K59" t="s">
        <v>275</v>
      </c>
      <c r="L59">
        <v>552</v>
      </c>
      <c r="M59" t="s">
        <v>276</v>
      </c>
      <c r="N59" t="s">
        <v>296</v>
      </c>
      <c r="O59">
        <v>574483</v>
      </c>
    </row>
    <row r="60" spans="1:15" x14ac:dyDescent="0.3">
      <c r="A60" t="s">
        <v>216</v>
      </c>
      <c r="B60" t="s">
        <v>438</v>
      </c>
      <c r="C60" t="s">
        <v>439</v>
      </c>
      <c r="D60">
        <v>913221418880</v>
      </c>
      <c r="E60" t="s">
        <v>292</v>
      </c>
      <c r="F60" t="s">
        <v>293</v>
      </c>
      <c r="G60">
        <v>929622</v>
      </c>
      <c r="H60" t="s">
        <v>294</v>
      </c>
      <c r="I60" s="1">
        <v>26242</v>
      </c>
      <c r="J60" s="1">
        <v>44542</v>
      </c>
      <c r="K60" t="s">
        <v>295</v>
      </c>
      <c r="L60">
        <v>1876</v>
      </c>
      <c r="M60" t="s">
        <v>288</v>
      </c>
      <c r="N60" t="s">
        <v>296</v>
      </c>
      <c r="O60">
        <v>1727869</v>
      </c>
    </row>
    <row r="61" spans="1:15" x14ac:dyDescent="0.3">
      <c r="A61" t="s">
        <v>139</v>
      </c>
      <c r="B61" t="s">
        <v>440</v>
      </c>
      <c r="C61" t="s">
        <v>441</v>
      </c>
      <c r="D61">
        <v>7383473597</v>
      </c>
      <c r="E61" t="s">
        <v>305</v>
      </c>
      <c r="F61" t="s">
        <v>306</v>
      </c>
      <c r="G61">
        <v>468862</v>
      </c>
      <c r="H61" t="s">
        <v>294</v>
      </c>
      <c r="I61" s="1">
        <v>26711</v>
      </c>
      <c r="J61" s="1">
        <v>44457</v>
      </c>
      <c r="K61" t="s">
        <v>295</v>
      </c>
      <c r="L61">
        <v>6411</v>
      </c>
      <c r="M61" t="s">
        <v>276</v>
      </c>
      <c r="N61" t="s">
        <v>296</v>
      </c>
      <c r="O61">
        <v>293085</v>
      </c>
    </row>
    <row r="62" spans="1:15" x14ac:dyDescent="0.3">
      <c r="A62" t="s">
        <v>66</v>
      </c>
      <c r="B62" t="s">
        <v>442</v>
      </c>
      <c r="C62" t="s">
        <v>443</v>
      </c>
      <c r="D62">
        <v>912478261375</v>
      </c>
      <c r="E62" t="s">
        <v>310</v>
      </c>
      <c r="F62" t="s">
        <v>311</v>
      </c>
      <c r="G62">
        <v>606853</v>
      </c>
      <c r="H62" t="s">
        <v>274</v>
      </c>
      <c r="I62" s="1">
        <v>31346</v>
      </c>
      <c r="J62" s="1">
        <v>44281</v>
      </c>
      <c r="K62" t="s">
        <v>287</v>
      </c>
      <c r="L62">
        <v>6067</v>
      </c>
      <c r="M62" t="s">
        <v>288</v>
      </c>
      <c r="N62" t="s">
        <v>282</v>
      </c>
      <c r="O62">
        <v>1593007</v>
      </c>
    </row>
    <row r="63" spans="1:15" x14ac:dyDescent="0.3">
      <c r="A63" t="s">
        <v>26</v>
      </c>
      <c r="B63" t="s">
        <v>444</v>
      </c>
      <c r="C63" t="s">
        <v>445</v>
      </c>
      <c r="D63">
        <v>914727790104</v>
      </c>
      <c r="E63" t="s">
        <v>305</v>
      </c>
      <c r="F63" t="s">
        <v>306</v>
      </c>
      <c r="G63">
        <v>289861</v>
      </c>
      <c r="H63" t="s">
        <v>294</v>
      </c>
      <c r="I63" s="1">
        <v>28908</v>
      </c>
      <c r="J63" s="1">
        <v>44766</v>
      </c>
      <c r="K63" t="s">
        <v>295</v>
      </c>
      <c r="L63">
        <v>5020</v>
      </c>
      <c r="M63" t="s">
        <v>288</v>
      </c>
      <c r="N63" t="s">
        <v>302</v>
      </c>
      <c r="O63">
        <v>884055</v>
      </c>
    </row>
    <row r="64" spans="1:15" x14ac:dyDescent="0.3">
      <c r="A64" t="s">
        <v>198</v>
      </c>
      <c r="B64" t="s">
        <v>446</v>
      </c>
      <c r="C64" t="s">
        <v>447</v>
      </c>
      <c r="D64">
        <v>917980893246</v>
      </c>
      <c r="E64" t="s">
        <v>310</v>
      </c>
      <c r="F64" t="s">
        <v>311</v>
      </c>
      <c r="G64">
        <v>953962</v>
      </c>
      <c r="H64" t="s">
        <v>294</v>
      </c>
      <c r="I64" s="1">
        <v>38261</v>
      </c>
      <c r="J64" s="1">
        <v>44293</v>
      </c>
      <c r="K64" t="s">
        <v>287</v>
      </c>
      <c r="L64">
        <v>3243</v>
      </c>
      <c r="M64" t="s">
        <v>288</v>
      </c>
      <c r="N64" t="s">
        <v>302</v>
      </c>
      <c r="O64">
        <v>1620438</v>
      </c>
    </row>
    <row r="65" spans="1:15" x14ac:dyDescent="0.3">
      <c r="A65" t="s">
        <v>448</v>
      </c>
      <c r="B65" t="s">
        <v>449</v>
      </c>
      <c r="C65" t="s">
        <v>450</v>
      </c>
      <c r="D65">
        <v>6540515319</v>
      </c>
      <c r="E65" t="s">
        <v>300</v>
      </c>
      <c r="F65" t="s">
        <v>301</v>
      </c>
      <c r="G65">
        <v>205852</v>
      </c>
      <c r="H65" t="s">
        <v>294</v>
      </c>
      <c r="I65" s="1">
        <v>38765</v>
      </c>
      <c r="J65" s="1">
        <v>45471</v>
      </c>
      <c r="K65" t="s">
        <v>281</v>
      </c>
      <c r="L65">
        <v>9077</v>
      </c>
      <c r="M65" t="s">
        <v>276</v>
      </c>
      <c r="N65" t="s">
        <v>296</v>
      </c>
      <c r="O65">
        <v>801701</v>
      </c>
    </row>
    <row r="66" spans="1:15" x14ac:dyDescent="0.3">
      <c r="A66" t="s">
        <v>451</v>
      </c>
      <c r="B66" t="s">
        <v>452</v>
      </c>
      <c r="C66" t="s">
        <v>453</v>
      </c>
      <c r="D66">
        <v>910305486874</v>
      </c>
      <c r="E66" t="s">
        <v>285</v>
      </c>
      <c r="F66" t="s">
        <v>286</v>
      </c>
      <c r="G66">
        <v>345054</v>
      </c>
      <c r="H66" t="s">
        <v>294</v>
      </c>
      <c r="I66" s="1">
        <v>24841</v>
      </c>
      <c r="J66" s="1">
        <v>45171</v>
      </c>
      <c r="K66" t="s">
        <v>275</v>
      </c>
      <c r="L66">
        <v>7718</v>
      </c>
      <c r="M66" t="s">
        <v>288</v>
      </c>
      <c r="N66" t="s">
        <v>302</v>
      </c>
      <c r="O66">
        <v>1616893</v>
      </c>
    </row>
    <row r="67" spans="1:15" x14ac:dyDescent="0.3">
      <c r="A67" t="s">
        <v>454</v>
      </c>
      <c r="B67" t="s">
        <v>455</v>
      </c>
      <c r="C67" t="s">
        <v>456</v>
      </c>
      <c r="D67">
        <v>7584161692</v>
      </c>
      <c r="E67" t="s">
        <v>285</v>
      </c>
      <c r="F67" t="s">
        <v>286</v>
      </c>
      <c r="G67">
        <v>511544</v>
      </c>
      <c r="H67" t="s">
        <v>294</v>
      </c>
      <c r="I67" s="1">
        <v>32831</v>
      </c>
      <c r="J67" s="1">
        <v>45351</v>
      </c>
      <c r="K67" t="s">
        <v>287</v>
      </c>
      <c r="L67">
        <v>1489</v>
      </c>
      <c r="M67" t="s">
        <v>288</v>
      </c>
      <c r="N67" t="s">
        <v>307</v>
      </c>
      <c r="O67">
        <v>1592202</v>
      </c>
    </row>
    <row r="68" spans="1:15" x14ac:dyDescent="0.3">
      <c r="A68" t="s">
        <v>457</v>
      </c>
      <c r="B68" t="s">
        <v>458</v>
      </c>
      <c r="C68" t="s">
        <v>459</v>
      </c>
      <c r="D68">
        <v>6401658202</v>
      </c>
      <c r="E68" t="s">
        <v>292</v>
      </c>
      <c r="F68" t="s">
        <v>293</v>
      </c>
      <c r="G68">
        <v>21355</v>
      </c>
      <c r="H68" t="s">
        <v>294</v>
      </c>
      <c r="I68" s="1">
        <v>31263</v>
      </c>
      <c r="J68" s="1">
        <v>45790</v>
      </c>
      <c r="K68" t="s">
        <v>295</v>
      </c>
      <c r="L68">
        <v>3948</v>
      </c>
      <c r="M68" t="s">
        <v>288</v>
      </c>
      <c r="N68" t="s">
        <v>277</v>
      </c>
      <c r="O68">
        <v>1891484</v>
      </c>
    </row>
    <row r="69" spans="1:15" x14ac:dyDescent="0.3">
      <c r="A69" t="s">
        <v>460</v>
      </c>
      <c r="B69" t="s">
        <v>461</v>
      </c>
      <c r="C69" t="s">
        <v>462</v>
      </c>
      <c r="D69">
        <v>918565431027</v>
      </c>
      <c r="E69" t="s">
        <v>285</v>
      </c>
      <c r="F69" t="s">
        <v>286</v>
      </c>
      <c r="G69">
        <v>814473</v>
      </c>
      <c r="H69" t="s">
        <v>274</v>
      </c>
      <c r="I69" s="1">
        <v>36956</v>
      </c>
      <c r="J69" s="1">
        <v>44915</v>
      </c>
      <c r="K69" t="s">
        <v>295</v>
      </c>
      <c r="L69">
        <v>857</v>
      </c>
      <c r="M69" t="s">
        <v>276</v>
      </c>
      <c r="N69" t="s">
        <v>302</v>
      </c>
      <c r="O69">
        <v>1481934</v>
      </c>
    </row>
    <row r="70" spans="1:15" x14ac:dyDescent="0.3">
      <c r="A70" t="s">
        <v>243</v>
      </c>
      <c r="B70" t="s">
        <v>463</v>
      </c>
      <c r="C70" t="s">
        <v>464</v>
      </c>
      <c r="D70">
        <v>7155188442</v>
      </c>
      <c r="E70" t="s">
        <v>272</v>
      </c>
      <c r="F70" t="s">
        <v>273</v>
      </c>
      <c r="G70">
        <v>583132</v>
      </c>
      <c r="H70" t="s">
        <v>294</v>
      </c>
      <c r="I70" s="1">
        <v>27632</v>
      </c>
      <c r="J70" s="1">
        <v>45562</v>
      </c>
      <c r="K70" t="s">
        <v>281</v>
      </c>
      <c r="L70">
        <v>9531</v>
      </c>
      <c r="M70" t="s">
        <v>276</v>
      </c>
      <c r="N70" t="s">
        <v>302</v>
      </c>
      <c r="O70">
        <v>1236784</v>
      </c>
    </row>
    <row r="71" spans="1:15" x14ac:dyDescent="0.3">
      <c r="A71" t="s">
        <v>132</v>
      </c>
      <c r="B71" t="s">
        <v>465</v>
      </c>
      <c r="C71" t="s">
        <v>466</v>
      </c>
      <c r="D71">
        <v>914678669125</v>
      </c>
      <c r="E71" t="s">
        <v>310</v>
      </c>
      <c r="F71" t="s">
        <v>311</v>
      </c>
      <c r="G71">
        <v>778528</v>
      </c>
      <c r="H71" t="s">
        <v>274</v>
      </c>
      <c r="I71" s="1">
        <v>37650</v>
      </c>
      <c r="J71" s="1">
        <v>45854</v>
      </c>
      <c r="K71" t="s">
        <v>287</v>
      </c>
      <c r="L71">
        <v>190</v>
      </c>
      <c r="M71" t="s">
        <v>276</v>
      </c>
      <c r="N71" t="s">
        <v>302</v>
      </c>
      <c r="O71">
        <v>658943</v>
      </c>
    </row>
    <row r="72" spans="1:15" x14ac:dyDescent="0.3">
      <c r="A72" t="s">
        <v>55</v>
      </c>
      <c r="B72" t="s">
        <v>467</v>
      </c>
      <c r="C72" t="s">
        <v>468</v>
      </c>
      <c r="D72">
        <v>2253584143</v>
      </c>
      <c r="E72" t="s">
        <v>300</v>
      </c>
      <c r="F72" t="s">
        <v>301</v>
      </c>
      <c r="G72">
        <v>249818</v>
      </c>
      <c r="H72" t="s">
        <v>294</v>
      </c>
      <c r="I72" s="1">
        <v>37679</v>
      </c>
      <c r="J72" s="1">
        <v>44551</v>
      </c>
      <c r="K72" t="s">
        <v>295</v>
      </c>
      <c r="L72">
        <v>9232</v>
      </c>
      <c r="M72" t="s">
        <v>276</v>
      </c>
      <c r="N72" t="s">
        <v>282</v>
      </c>
      <c r="O72">
        <v>1157269</v>
      </c>
    </row>
    <row r="73" spans="1:15" x14ac:dyDescent="0.3">
      <c r="A73" t="s">
        <v>78</v>
      </c>
      <c r="B73" t="s">
        <v>469</v>
      </c>
      <c r="C73" t="s">
        <v>470</v>
      </c>
      <c r="D73">
        <v>9439690784</v>
      </c>
      <c r="E73" t="s">
        <v>300</v>
      </c>
      <c r="F73" t="s">
        <v>301</v>
      </c>
      <c r="G73">
        <v>736471</v>
      </c>
      <c r="H73" t="s">
        <v>294</v>
      </c>
      <c r="I73" s="1">
        <v>38863</v>
      </c>
      <c r="J73" s="1">
        <v>44214</v>
      </c>
      <c r="K73" t="s">
        <v>275</v>
      </c>
      <c r="L73">
        <v>7351</v>
      </c>
      <c r="M73" t="s">
        <v>288</v>
      </c>
      <c r="N73" t="s">
        <v>307</v>
      </c>
      <c r="O73">
        <v>1135148</v>
      </c>
    </row>
    <row r="74" spans="1:15" x14ac:dyDescent="0.3">
      <c r="A74" t="s">
        <v>471</v>
      </c>
      <c r="B74" t="s">
        <v>472</v>
      </c>
      <c r="C74" t="s">
        <v>473</v>
      </c>
      <c r="D74">
        <v>2555625881</v>
      </c>
      <c r="E74" t="s">
        <v>300</v>
      </c>
      <c r="F74" t="s">
        <v>301</v>
      </c>
      <c r="G74">
        <v>371473</v>
      </c>
      <c r="H74" t="s">
        <v>294</v>
      </c>
      <c r="I74" s="1">
        <v>25249</v>
      </c>
      <c r="J74" s="1">
        <v>44328</v>
      </c>
      <c r="K74" t="s">
        <v>281</v>
      </c>
      <c r="L74">
        <v>4346</v>
      </c>
      <c r="M74" t="s">
        <v>276</v>
      </c>
      <c r="N74" t="s">
        <v>296</v>
      </c>
      <c r="O74">
        <v>1806027</v>
      </c>
    </row>
    <row r="75" spans="1:15" x14ac:dyDescent="0.3">
      <c r="A75" t="s">
        <v>474</v>
      </c>
      <c r="B75" t="s">
        <v>475</v>
      </c>
      <c r="C75" t="s">
        <v>476</v>
      </c>
      <c r="D75">
        <v>5327877470</v>
      </c>
      <c r="E75" t="s">
        <v>348</v>
      </c>
      <c r="F75" t="s">
        <v>273</v>
      </c>
      <c r="G75">
        <v>687339</v>
      </c>
      <c r="H75" t="s">
        <v>294</v>
      </c>
      <c r="I75" s="1">
        <v>30519</v>
      </c>
      <c r="J75" s="1">
        <v>44179</v>
      </c>
      <c r="K75" t="s">
        <v>287</v>
      </c>
      <c r="L75">
        <v>4599</v>
      </c>
      <c r="M75" t="s">
        <v>288</v>
      </c>
      <c r="N75" t="s">
        <v>282</v>
      </c>
      <c r="O75">
        <v>1696412</v>
      </c>
    </row>
    <row r="76" spans="1:15" x14ac:dyDescent="0.3">
      <c r="A76" t="s">
        <v>477</v>
      </c>
      <c r="B76" t="s">
        <v>478</v>
      </c>
      <c r="C76" t="s">
        <v>479</v>
      </c>
      <c r="D76">
        <v>916245650609</v>
      </c>
      <c r="E76" t="s">
        <v>321</v>
      </c>
      <c r="F76" t="s">
        <v>322</v>
      </c>
      <c r="G76">
        <v>584168</v>
      </c>
      <c r="H76" t="s">
        <v>274</v>
      </c>
      <c r="I76" s="1">
        <v>32941</v>
      </c>
      <c r="J76" s="1">
        <v>45736</v>
      </c>
      <c r="K76" t="s">
        <v>275</v>
      </c>
      <c r="L76">
        <v>5602</v>
      </c>
      <c r="M76" t="s">
        <v>288</v>
      </c>
      <c r="N76" t="s">
        <v>307</v>
      </c>
      <c r="O76">
        <v>368983</v>
      </c>
    </row>
    <row r="77" spans="1:15" x14ac:dyDescent="0.3">
      <c r="A77" t="s">
        <v>241</v>
      </c>
      <c r="B77" t="s">
        <v>480</v>
      </c>
      <c r="C77" t="s">
        <v>481</v>
      </c>
      <c r="D77">
        <v>5239868000</v>
      </c>
      <c r="E77" t="s">
        <v>300</v>
      </c>
      <c r="F77" t="s">
        <v>301</v>
      </c>
      <c r="G77">
        <v>578729</v>
      </c>
      <c r="H77" t="s">
        <v>274</v>
      </c>
      <c r="I77" s="1">
        <v>34560</v>
      </c>
      <c r="J77" s="1">
        <v>44462</v>
      </c>
      <c r="K77" t="s">
        <v>287</v>
      </c>
      <c r="L77">
        <v>6375</v>
      </c>
      <c r="M77" t="s">
        <v>276</v>
      </c>
      <c r="N77" t="s">
        <v>277</v>
      </c>
      <c r="O77">
        <v>334697</v>
      </c>
    </row>
    <row r="78" spans="1:15" x14ac:dyDescent="0.3">
      <c r="A78" t="s">
        <v>246</v>
      </c>
      <c r="B78" t="s">
        <v>482</v>
      </c>
      <c r="C78" t="s">
        <v>483</v>
      </c>
      <c r="D78">
        <v>8879470551</v>
      </c>
      <c r="E78" t="s">
        <v>310</v>
      </c>
      <c r="F78" t="s">
        <v>311</v>
      </c>
      <c r="G78">
        <v>940974</v>
      </c>
      <c r="H78" t="s">
        <v>294</v>
      </c>
      <c r="I78" s="1">
        <v>38042</v>
      </c>
      <c r="J78" s="1">
        <v>45825</v>
      </c>
      <c r="K78" t="s">
        <v>275</v>
      </c>
      <c r="L78">
        <v>8990</v>
      </c>
      <c r="M78" t="s">
        <v>288</v>
      </c>
      <c r="N78" t="s">
        <v>302</v>
      </c>
      <c r="O78">
        <v>330580</v>
      </c>
    </row>
    <row r="79" spans="1:15" x14ac:dyDescent="0.3">
      <c r="A79" t="s">
        <v>484</v>
      </c>
      <c r="B79" t="s">
        <v>485</v>
      </c>
      <c r="C79" t="s">
        <v>486</v>
      </c>
      <c r="D79">
        <v>910913075626</v>
      </c>
      <c r="E79" t="s">
        <v>285</v>
      </c>
      <c r="F79" t="s">
        <v>286</v>
      </c>
      <c r="G79">
        <v>689702</v>
      </c>
      <c r="H79" t="s">
        <v>294</v>
      </c>
      <c r="I79" s="1">
        <v>34639</v>
      </c>
      <c r="J79" s="1">
        <v>44672</v>
      </c>
      <c r="K79" t="s">
        <v>281</v>
      </c>
      <c r="L79">
        <v>9669</v>
      </c>
      <c r="M79" t="s">
        <v>276</v>
      </c>
      <c r="N79" t="s">
        <v>307</v>
      </c>
      <c r="O79">
        <v>997716</v>
      </c>
    </row>
    <row r="80" spans="1:15" x14ac:dyDescent="0.3">
      <c r="A80" t="s">
        <v>63</v>
      </c>
      <c r="B80" t="s">
        <v>487</v>
      </c>
      <c r="C80" t="s">
        <v>488</v>
      </c>
      <c r="D80">
        <v>5854973348</v>
      </c>
      <c r="E80" t="s">
        <v>317</v>
      </c>
      <c r="F80" t="s">
        <v>318</v>
      </c>
      <c r="G80">
        <v>344375</v>
      </c>
      <c r="H80" t="s">
        <v>274</v>
      </c>
      <c r="I80" s="1">
        <v>33673</v>
      </c>
      <c r="J80" s="1">
        <v>45111</v>
      </c>
      <c r="K80" t="s">
        <v>275</v>
      </c>
      <c r="L80">
        <v>4992</v>
      </c>
      <c r="M80" t="s">
        <v>288</v>
      </c>
      <c r="N80" t="s">
        <v>302</v>
      </c>
      <c r="O80">
        <v>1328730</v>
      </c>
    </row>
    <row r="81" spans="1:15" x14ac:dyDescent="0.3">
      <c r="A81" t="s">
        <v>489</v>
      </c>
      <c r="B81" t="s">
        <v>490</v>
      </c>
      <c r="C81" t="s">
        <v>491</v>
      </c>
      <c r="D81">
        <v>415747338</v>
      </c>
      <c r="E81" t="s">
        <v>348</v>
      </c>
      <c r="F81" t="s">
        <v>273</v>
      </c>
      <c r="G81">
        <v>842199</v>
      </c>
      <c r="H81" t="s">
        <v>274</v>
      </c>
      <c r="I81" s="1">
        <v>27695</v>
      </c>
      <c r="J81" s="1">
        <v>44781</v>
      </c>
      <c r="K81" t="s">
        <v>281</v>
      </c>
      <c r="L81">
        <v>3695</v>
      </c>
      <c r="M81" t="s">
        <v>288</v>
      </c>
      <c r="N81" t="s">
        <v>302</v>
      </c>
      <c r="O81">
        <v>1218465</v>
      </c>
    </row>
    <row r="82" spans="1:15" x14ac:dyDescent="0.3">
      <c r="A82" t="s">
        <v>151</v>
      </c>
      <c r="B82" t="s">
        <v>492</v>
      </c>
      <c r="C82" t="s">
        <v>493</v>
      </c>
      <c r="D82">
        <v>7120826773</v>
      </c>
      <c r="E82" t="s">
        <v>327</v>
      </c>
      <c r="F82" t="s">
        <v>327</v>
      </c>
      <c r="G82">
        <v>540193</v>
      </c>
      <c r="H82" t="s">
        <v>294</v>
      </c>
      <c r="I82" s="1">
        <v>35049</v>
      </c>
      <c r="J82" s="1">
        <v>44143</v>
      </c>
      <c r="K82" t="s">
        <v>275</v>
      </c>
      <c r="L82">
        <v>6724</v>
      </c>
      <c r="M82" t="s">
        <v>276</v>
      </c>
      <c r="N82" t="s">
        <v>302</v>
      </c>
      <c r="O82">
        <v>467654</v>
      </c>
    </row>
    <row r="83" spans="1:15" x14ac:dyDescent="0.3">
      <c r="A83" t="s">
        <v>494</v>
      </c>
      <c r="B83" t="s">
        <v>495</v>
      </c>
      <c r="C83" t="s">
        <v>496</v>
      </c>
      <c r="D83">
        <v>4004991547</v>
      </c>
      <c r="E83" t="s">
        <v>292</v>
      </c>
      <c r="F83" t="s">
        <v>293</v>
      </c>
      <c r="G83">
        <v>287431</v>
      </c>
      <c r="H83" t="s">
        <v>274</v>
      </c>
      <c r="I83" s="1">
        <v>29967</v>
      </c>
      <c r="J83" s="1">
        <v>44532</v>
      </c>
      <c r="K83" t="s">
        <v>281</v>
      </c>
      <c r="L83">
        <v>9797</v>
      </c>
      <c r="M83" t="s">
        <v>276</v>
      </c>
      <c r="N83" t="s">
        <v>282</v>
      </c>
      <c r="O83">
        <v>1547943</v>
      </c>
    </row>
    <row r="84" spans="1:15" x14ac:dyDescent="0.3">
      <c r="A84" t="s">
        <v>230</v>
      </c>
      <c r="B84" t="s">
        <v>497</v>
      </c>
      <c r="C84" t="s">
        <v>498</v>
      </c>
      <c r="D84">
        <v>3296685161</v>
      </c>
      <c r="E84" t="s">
        <v>310</v>
      </c>
      <c r="F84" t="s">
        <v>311</v>
      </c>
      <c r="G84">
        <v>275304</v>
      </c>
      <c r="H84" t="s">
        <v>274</v>
      </c>
      <c r="I84" s="1">
        <v>31281</v>
      </c>
      <c r="J84" s="1">
        <v>44759</v>
      </c>
      <c r="K84" t="s">
        <v>281</v>
      </c>
      <c r="L84">
        <v>3077</v>
      </c>
      <c r="M84" t="s">
        <v>276</v>
      </c>
      <c r="N84" t="s">
        <v>296</v>
      </c>
      <c r="O84">
        <v>995038</v>
      </c>
    </row>
    <row r="85" spans="1:15" x14ac:dyDescent="0.3">
      <c r="A85" t="s">
        <v>23</v>
      </c>
      <c r="B85" t="s">
        <v>499</v>
      </c>
      <c r="C85" t="s">
        <v>500</v>
      </c>
      <c r="D85">
        <v>910174268414</v>
      </c>
      <c r="E85" t="s">
        <v>305</v>
      </c>
      <c r="F85" t="s">
        <v>306</v>
      </c>
      <c r="G85">
        <v>933272</v>
      </c>
      <c r="H85" t="s">
        <v>274</v>
      </c>
      <c r="I85" s="1">
        <v>33056</v>
      </c>
      <c r="J85" s="1">
        <v>45188</v>
      </c>
      <c r="K85" t="s">
        <v>281</v>
      </c>
      <c r="L85">
        <v>5455</v>
      </c>
      <c r="M85" t="s">
        <v>288</v>
      </c>
      <c r="N85" t="s">
        <v>302</v>
      </c>
      <c r="O85">
        <v>783546</v>
      </c>
    </row>
    <row r="86" spans="1:15" x14ac:dyDescent="0.3">
      <c r="A86" t="s">
        <v>16</v>
      </c>
      <c r="B86" t="s">
        <v>501</v>
      </c>
      <c r="C86" t="s">
        <v>502</v>
      </c>
      <c r="D86">
        <v>8519108839</v>
      </c>
      <c r="E86" t="s">
        <v>310</v>
      </c>
      <c r="F86" t="s">
        <v>311</v>
      </c>
      <c r="G86">
        <v>258713</v>
      </c>
      <c r="H86" t="s">
        <v>294</v>
      </c>
      <c r="I86" s="1">
        <v>36242</v>
      </c>
      <c r="J86" s="1">
        <v>45546</v>
      </c>
      <c r="K86" t="s">
        <v>295</v>
      </c>
      <c r="L86">
        <v>7805</v>
      </c>
      <c r="M86" t="s">
        <v>276</v>
      </c>
      <c r="N86" t="s">
        <v>307</v>
      </c>
      <c r="O86">
        <v>309231</v>
      </c>
    </row>
    <row r="87" spans="1:15" x14ac:dyDescent="0.3">
      <c r="A87" t="s">
        <v>113</v>
      </c>
      <c r="B87" t="s">
        <v>503</v>
      </c>
      <c r="C87" t="s">
        <v>504</v>
      </c>
      <c r="D87">
        <v>7908740640</v>
      </c>
      <c r="E87" t="s">
        <v>305</v>
      </c>
      <c r="F87" t="s">
        <v>306</v>
      </c>
      <c r="G87">
        <v>910651</v>
      </c>
      <c r="H87" t="s">
        <v>274</v>
      </c>
      <c r="I87" s="1">
        <v>35198</v>
      </c>
      <c r="J87" s="1">
        <v>44215</v>
      </c>
      <c r="K87" t="s">
        <v>295</v>
      </c>
      <c r="L87">
        <v>759</v>
      </c>
      <c r="M87" t="s">
        <v>276</v>
      </c>
      <c r="N87" t="s">
        <v>277</v>
      </c>
      <c r="O87">
        <v>618089</v>
      </c>
    </row>
    <row r="88" spans="1:15" x14ac:dyDescent="0.3">
      <c r="A88" t="s">
        <v>81</v>
      </c>
      <c r="B88" t="s">
        <v>505</v>
      </c>
      <c r="C88" t="s">
        <v>506</v>
      </c>
      <c r="D88">
        <v>6567661825</v>
      </c>
      <c r="E88" t="s">
        <v>327</v>
      </c>
      <c r="F88" t="s">
        <v>327</v>
      </c>
      <c r="G88">
        <v>286823</v>
      </c>
      <c r="H88" t="s">
        <v>274</v>
      </c>
      <c r="I88" s="1">
        <v>21834</v>
      </c>
      <c r="J88" s="1">
        <v>44098</v>
      </c>
      <c r="K88" t="s">
        <v>287</v>
      </c>
      <c r="L88">
        <v>2168</v>
      </c>
      <c r="M88" t="s">
        <v>288</v>
      </c>
      <c r="N88" t="s">
        <v>282</v>
      </c>
      <c r="O88">
        <v>1382729</v>
      </c>
    </row>
    <row r="89" spans="1:15" x14ac:dyDescent="0.3">
      <c r="A89" t="s">
        <v>73</v>
      </c>
      <c r="B89" t="s">
        <v>507</v>
      </c>
      <c r="C89" t="s">
        <v>508</v>
      </c>
      <c r="D89">
        <v>2431069033</v>
      </c>
      <c r="E89" t="s">
        <v>285</v>
      </c>
      <c r="F89" t="s">
        <v>286</v>
      </c>
      <c r="G89">
        <v>190790</v>
      </c>
      <c r="H89" t="s">
        <v>294</v>
      </c>
      <c r="I89" s="1">
        <v>27830</v>
      </c>
      <c r="J89" s="1">
        <v>44165</v>
      </c>
      <c r="K89" t="s">
        <v>275</v>
      </c>
      <c r="L89">
        <v>6143</v>
      </c>
      <c r="M89" t="s">
        <v>276</v>
      </c>
      <c r="N89" t="s">
        <v>307</v>
      </c>
      <c r="O89">
        <v>1473490</v>
      </c>
    </row>
    <row r="90" spans="1:15" x14ac:dyDescent="0.3">
      <c r="A90" t="s">
        <v>509</v>
      </c>
      <c r="B90" t="s">
        <v>510</v>
      </c>
      <c r="C90" t="s">
        <v>511</v>
      </c>
      <c r="D90">
        <v>3959953428</v>
      </c>
      <c r="E90" t="s">
        <v>272</v>
      </c>
      <c r="F90" t="s">
        <v>273</v>
      </c>
      <c r="G90">
        <v>644089</v>
      </c>
      <c r="H90" t="s">
        <v>274</v>
      </c>
      <c r="I90" s="1">
        <v>26100</v>
      </c>
      <c r="J90" s="1">
        <v>45355</v>
      </c>
      <c r="K90" t="s">
        <v>275</v>
      </c>
      <c r="L90">
        <v>1871</v>
      </c>
      <c r="M90" t="s">
        <v>276</v>
      </c>
      <c r="N90" t="s">
        <v>296</v>
      </c>
      <c r="O90">
        <v>1407533</v>
      </c>
    </row>
    <row r="91" spans="1:15" x14ac:dyDescent="0.3">
      <c r="A91" t="s">
        <v>118</v>
      </c>
      <c r="B91" t="s">
        <v>512</v>
      </c>
      <c r="C91" t="s">
        <v>513</v>
      </c>
      <c r="D91">
        <v>6246287334</v>
      </c>
      <c r="E91" t="s">
        <v>310</v>
      </c>
      <c r="F91" t="s">
        <v>311</v>
      </c>
      <c r="G91">
        <v>708668</v>
      </c>
      <c r="H91" t="s">
        <v>294</v>
      </c>
      <c r="I91" s="1">
        <v>34921</v>
      </c>
      <c r="J91" s="1">
        <v>44444</v>
      </c>
      <c r="K91" t="s">
        <v>287</v>
      </c>
      <c r="L91">
        <v>1345</v>
      </c>
      <c r="M91" t="s">
        <v>276</v>
      </c>
      <c r="N91" t="s">
        <v>282</v>
      </c>
      <c r="O91">
        <v>1662119</v>
      </c>
    </row>
    <row r="92" spans="1:15" x14ac:dyDescent="0.3">
      <c r="A92" t="s">
        <v>514</v>
      </c>
      <c r="B92" t="s">
        <v>515</v>
      </c>
      <c r="C92" t="s">
        <v>516</v>
      </c>
      <c r="D92">
        <v>1830469901</v>
      </c>
      <c r="E92" t="s">
        <v>321</v>
      </c>
      <c r="F92" t="s">
        <v>322</v>
      </c>
      <c r="G92">
        <v>983735</v>
      </c>
      <c r="H92" t="s">
        <v>274</v>
      </c>
      <c r="I92" s="1">
        <v>29283</v>
      </c>
      <c r="J92" s="1">
        <v>44075</v>
      </c>
      <c r="K92" t="s">
        <v>295</v>
      </c>
      <c r="L92">
        <v>5788</v>
      </c>
      <c r="M92" t="s">
        <v>288</v>
      </c>
      <c r="N92" t="s">
        <v>296</v>
      </c>
      <c r="O92">
        <v>344612</v>
      </c>
    </row>
    <row r="93" spans="1:15" x14ac:dyDescent="0.3">
      <c r="A93" t="s">
        <v>89</v>
      </c>
      <c r="B93" t="s">
        <v>517</v>
      </c>
      <c r="C93" t="s">
        <v>518</v>
      </c>
      <c r="D93">
        <v>3638546785</v>
      </c>
      <c r="E93" t="s">
        <v>348</v>
      </c>
      <c r="F93" t="s">
        <v>273</v>
      </c>
      <c r="G93">
        <v>458771</v>
      </c>
      <c r="H93" t="s">
        <v>294</v>
      </c>
      <c r="I93" s="1">
        <v>33417</v>
      </c>
      <c r="J93" s="1">
        <v>45022</v>
      </c>
      <c r="K93" t="s">
        <v>295</v>
      </c>
      <c r="L93">
        <v>6982</v>
      </c>
      <c r="M93" t="s">
        <v>288</v>
      </c>
      <c r="N93" t="s">
        <v>282</v>
      </c>
      <c r="O93">
        <v>1109164</v>
      </c>
    </row>
    <row r="94" spans="1:15" x14ac:dyDescent="0.3">
      <c r="A94" t="s">
        <v>519</v>
      </c>
      <c r="B94" t="s">
        <v>520</v>
      </c>
      <c r="C94" t="s">
        <v>521</v>
      </c>
      <c r="D94">
        <v>2048996423</v>
      </c>
      <c r="E94" t="s">
        <v>305</v>
      </c>
      <c r="F94" t="s">
        <v>306</v>
      </c>
      <c r="G94">
        <v>369378</v>
      </c>
      <c r="H94" t="s">
        <v>294</v>
      </c>
      <c r="I94" s="1">
        <v>38018</v>
      </c>
      <c r="J94" s="1">
        <v>45076</v>
      </c>
      <c r="K94" t="s">
        <v>287</v>
      </c>
      <c r="L94">
        <v>7235</v>
      </c>
      <c r="M94" t="s">
        <v>276</v>
      </c>
      <c r="N94" t="s">
        <v>307</v>
      </c>
      <c r="O94">
        <v>1564108</v>
      </c>
    </row>
    <row r="95" spans="1:15" x14ac:dyDescent="0.3">
      <c r="A95" t="s">
        <v>522</v>
      </c>
      <c r="B95" t="s">
        <v>523</v>
      </c>
      <c r="C95" t="s">
        <v>524</v>
      </c>
      <c r="D95">
        <v>912872808010</v>
      </c>
      <c r="E95" t="s">
        <v>321</v>
      </c>
      <c r="F95" t="s">
        <v>322</v>
      </c>
      <c r="G95">
        <v>623120</v>
      </c>
      <c r="H95" t="s">
        <v>294</v>
      </c>
      <c r="I95" s="1">
        <v>27184</v>
      </c>
      <c r="J95" s="1">
        <v>45599</v>
      </c>
      <c r="K95" t="s">
        <v>281</v>
      </c>
      <c r="L95">
        <v>7236</v>
      </c>
      <c r="M95" t="s">
        <v>288</v>
      </c>
      <c r="N95" t="s">
        <v>296</v>
      </c>
      <c r="O95">
        <v>1986171</v>
      </c>
    </row>
    <row r="96" spans="1:15" x14ac:dyDescent="0.3">
      <c r="A96" t="s">
        <v>202</v>
      </c>
      <c r="B96" t="s">
        <v>525</v>
      </c>
      <c r="C96" t="s">
        <v>526</v>
      </c>
      <c r="D96">
        <v>8600848408</v>
      </c>
      <c r="E96" t="s">
        <v>285</v>
      </c>
      <c r="F96" t="s">
        <v>286</v>
      </c>
      <c r="G96">
        <v>211823</v>
      </c>
      <c r="H96" t="s">
        <v>274</v>
      </c>
      <c r="I96" s="1">
        <v>26518</v>
      </c>
      <c r="J96" s="1">
        <v>45663</v>
      </c>
      <c r="K96" t="s">
        <v>275</v>
      </c>
      <c r="L96">
        <v>7485</v>
      </c>
      <c r="M96" t="s">
        <v>276</v>
      </c>
      <c r="N96" t="s">
        <v>302</v>
      </c>
      <c r="O96">
        <v>1395061</v>
      </c>
    </row>
    <row r="97" spans="1:15" x14ac:dyDescent="0.3">
      <c r="A97" t="s">
        <v>527</v>
      </c>
      <c r="B97" t="s">
        <v>528</v>
      </c>
      <c r="C97" t="s">
        <v>529</v>
      </c>
      <c r="D97">
        <v>9334101666</v>
      </c>
      <c r="E97" t="s">
        <v>292</v>
      </c>
      <c r="F97" t="s">
        <v>293</v>
      </c>
      <c r="G97">
        <v>2176</v>
      </c>
      <c r="H97" t="s">
        <v>294</v>
      </c>
      <c r="I97" s="1">
        <v>37777</v>
      </c>
      <c r="J97" s="1">
        <v>45057</v>
      </c>
      <c r="K97" t="s">
        <v>275</v>
      </c>
      <c r="L97">
        <v>570</v>
      </c>
      <c r="M97" t="s">
        <v>288</v>
      </c>
      <c r="N97" t="s">
        <v>296</v>
      </c>
      <c r="O97">
        <v>581345</v>
      </c>
    </row>
    <row r="98" spans="1:15" x14ac:dyDescent="0.3">
      <c r="A98" t="s">
        <v>530</v>
      </c>
      <c r="B98" t="s">
        <v>531</v>
      </c>
      <c r="C98" t="s">
        <v>532</v>
      </c>
      <c r="D98">
        <v>914890250392</v>
      </c>
      <c r="E98" t="s">
        <v>317</v>
      </c>
      <c r="F98" t="s">
        <v>318</v>
      </c>
      <c r="G98">
        <v>142939</v>
      </c>
      <c r="H98" t="s">
        <v>274</v>
      </c>
      <c r="I98" s="1">
        <v>31420</v>
      </c>
      <c r="J98" s="1">
        <v>45707</v>
      </c>
      <c r="K98" t="s">
        <v>275</v>
      </c>
      <c r="L98">
        <v>4332</v>
      </c>
      <c r="M98" t="s">
        <v>288</v>
      </c>
      <c r="N98" t="s">
        <v>296</v>
      </c>
      <c r="O98">
        <v>1450227</v>
      </c>
    </row>
    <row r="99" spans="1:15" x14ac:dyDescent="0.3">
      <c r="A99" t="s">
        <v>170</v>
      </c>
      <c r="B99" t="s">
        <v>533</v>
      </c>
      <c r="C99" t="s">
        <v>534</v>
      </c>
      <c r="D99">
        <v>916315999650</v>
      </c>
      <c r="E99" t="s">
        <v>321</v>
      </c>
      <c r="F99" t="s">
        <v>322</v>
      </c>
      <c r="G99">
        <v>773586</v>
      </c>
      <c r="H99" t="s">
        <v>274</v>
      </c>
      <c r="I99" s="1">
        <v>32481</v>
      </c>
      <c r="J99" s="1">
        <v>44605</v>
      </c>
      <c r="K99" t="s">
        <v>287</v>
      </c>
      <c r="L99">
        <v>1502</v>
      </c>
      <c r="M99" t="s">
        <v>276</v>
      </c>
      <c r="N99" t="s">
        <v>302</v>
      </c>
      <c r="O99">
        <v>1224622</v>
      </c>
    </row>
    <row r="100" spans="1:15" x14ac:dyDescent="0.3">
      <c r="A100" t="s">
        <v>200</v>
      </c>
      <c r="B100" t="s">
        <v>535</v>
      </c>
      <c r="C100" t="s">
        <v>536</v>
      </c>
      <c r="D100">
        <v>916265511047</v>
      </c>
      <c r="E100" t="s">
        <v>348</v>
      </c>
      <c r="F100" t="s">
        <v>273</v>
      </c>
      <c r="G100">
        <v>412126</v>
      </c>
      <c r="H100" t="s">
        <v>274</v>
      </c>
      <c r="I100" s="1">
        <v>32904</v>
      </c>
      <c r="J100" s="1">
        <v>45758</v>
      </c>
      <c r="K100" t="s">
        <v>281</v>
      </c>
      <c r="L100">
        <v>8141</v>
      </c>
      <c r="M100" t="s">
        <v>288</v>
      </c>
      <c r="N100" t="s">
        <v>282</v>
      </c>
      <c r="O100">
        <v>395147</v>
      </c>
    </row>
    <row r="101" spans="1:15" x14ac:dyDescent="0.3">
      <c r="A101" t="s">
        <v>537</v>
      </c>
      <c r="B101" t="s">
        <v>538</v>
      </c>
      <c r="C101" t="s">
        <v>539</v>
      </c>
      <c r="D101">
        <v>5604661839</v>
      </c>
      <c r="E101" t="s">
        <v>321</v>
      </c>
      <c r="F101" t="s">
        <v>322</v>
      </c>
      <c r="G101">
        <v>622444</v>
      </c>
      <c r="H101" t="s">
        <v>274</v>
      </c>
      <c r="I101" s="1">
        <v>34004</v>
      </c>
      <c r="J101" s="1">
        <v>44481</v>
      </c>
      <c r="K101" t="s">
        <v>281</v>
      </c>
      <c r="L101">
        <v>4086</v>
      </c>
      <c r="M101" t="s">
        <v>288</v>
      </c>
      <c r="N101" t="s">
        <v>307</v>
      </c>
      <c r="O101">
        <v>973891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9705-FC23-459A-8FEE-398E883976C5}">
  <sheetPr>
    <tabColor theme="4"/>
  </sheetPr>
  <dimension ref="A1:P101"/>
  <sheetViews>
    <sheetView workbookViewId="0">
      <selection activeCell="C9" sqref="C9"/>
    </sheetView>
  </sheetViews>
  <sheetFormatPr defaultRowHeight="14.4" x14ac:dyDescent="0.3"/>
  <cols>
    <col min="1" max="1" width="15.88671875" bestFit="1" customWidth="1"/>
    <col min="2" max="2" width="9.44140625" style="2" bestFit="1" customWidth="1"/>
    <col min="3" max="3" width="37.5546875" bestFit="1" customWidth="1"/>
    <col min="4" max="4" width="10.6640625" bestFit="1" customWidth="1"/>
    <col min="5" max="5" width="12.21875" bestFit="1" customWidth="1"/>
    <col min="6" max="6" width="10" bestFit="1" customWidth="1"/>
    <col min="7" max="7" width="19.109375" bestFit="1" customWidth="1"/>
    <col min="8" max="8" width="16.44140625" bestFit="1" customWidth="1"/>
    <col min="9" max="9" width="12.33203125" bestFit="1" customWidth="1"/>
    <col min="10" max="10" width="16.88671875" bestFit="1" customWidth="1"/>
    <col min="11" max="11" width="13" bestFit="1" customWidth="1"/>
    <col min="12" max="12" width="15.5546875" bestFit="1" customWidth="1"/>
    <col min="13" max="13" width="10.77734375" bestFit="1" customWidth="1"/>
    <col min="14" max="14" width="11.77734375" bestFit="1" customWidth="1"/>
    <col min="15" max="15" width="16.77734375" bestFit="1" customWidth="1"/>
    <col min="16" max="16" width="33.44140625" customWidth="1"/>
  </cols>
  <sheetData>
    <row r="1" spans="1:16" x14ac:dyDescent="0.3">
      <c r="A1" s="2" t="s">
        <v>1206</v>
      </c>
      <c r="B1" t="s">
        <v>792</v>
      </c>
      <c r="C1" t="s">
        <v>793</v>
      </c>
      <c r="D1" t="s">
        <v>258</v>
      </c>
      <c r="E1" t="s">
        <v>259</v>
      </c>
      <c r="F1" t="s">
        <v>260</v>
      </c>
      <c r="G1" t="s">
        <v>794</v>
      </c>
      <c r="H1" t="s">
        <v>795</v>
      </c>
      <c r="I1" t="s">
        <v>796</v>
      </c>
      <c r="J1" t="s">
        <v>797</v>
      </c>
      <c r="K1" t="s">
        <v>798</v>
      </c>
      <c r="L1" t="s">
        <v>799</v>
      </c>
      <c r="M1" t="s">
        <v>800</v>
      </c>
      <c r="N1" t="s">
        <v>801</v>
      </c>
      <c r="O1" t="s">
        <v>802</v>
      </c>
      <c r="P1" t="s">
        <v>256</v>
      </c>
    </row>
    <row r="2" spans="1:16" x14ac:dyDescent="0.3">
      <c r="A2" s="2">
        <v>1</v>
      </c>
      <c r="B2" t="s">
        <v>803</v>
      </c>
      <c r="C2" t="s">
        <v>804</v>
      </c>
      <c r="D2" t="s">
        <v>348</v>
      </c>
      <c r="E2" t="s">
        <v>273</v>
      </c>
      <c r="F2">
        <v>277561</v>
      </c>
      <c r="G2" t="s">
        <v>805</v>
      </c>
      <c r="H2">
        <v>2016</v>
      </c>
      <c r="I2">
        <v>88</v>
      </c>
      <c r="J2">
        <v>17219</v>
      </c>
      <c r="K2">
        <v>3.8</v>
      </c>
      <c r="L2" t="s">
        <v>21</v>
      </c>
      <c r="M2">
        <v>3904</v>
      </c>
      <c r="N2" t="s">
        <v>806</v>
      </c>
      <c r="O2">
        <v>7411249035</v>
      </c>
      <c r="P2" t="s">
        <v>807</v>
      </c>
    </row>
    <row r="3" spans="1:16" x14ac:dyDescent="0.3">
      <c r="A3" s="2">
        <v>2</v>
      </c>
      <c r="B3" t="s">
        <v>808</v>
      </c>
      <c r="C3" t="s">
        <v>809</v>
      </c>
      <c r="D3" t="s">
        <v>317</v>
      </c>
      <c r="E3" t="s">
        <v>318</v>
      </c>
      <c r="F3">
        <v>678831</v>
      </c>
      <c r="G3" t="s">
        <v>810</v>
      </c>
      <c r="H3">
        <v>2015</v>
      </c>
      <c r="I3">
        <v>26</v>
      </c>
      <c r="J3">
        <v>3708</v>
      </c>
      <c r="K3">
        <v>4.0999999999999996</v>
      </c>
      <c r="L3" t="s">
        <v>20</v>
      </c>
      <c r="M3">
        <v>2892</v>
      </c>
      <c r="N3" t="s">
        <v>811</v>
      </c>
      <c r="O3">
        <v>910032365199</v>
      </c>
      <c r="P3" t="s">
        <v>812</v>
      </c>
    </row>
    <row r="4" spans="1:16" x14ac:dyDescent="0.3">
      <c r="A4" s="2">
        <v>3</v>
      </c>
      <c r="B4" t="s">
        <v>813</v>
      </c>
      <c r="C4" t="s">
        <v>814</v>
      </c>
      <c r="D4" t="s">
        <v>321</v>
      </c>
      <c r="E4" t="s">
        <v>322</v>
      </c>
      <c r="F4">
        <v>29667</v>
      </c>
      <c r="G4" t="s">
        <v>815</v>
      </c>
      <c r="H4">
        <v>2007</v>
      </c>
      <c r="I4">
        <v>73</v>
      </c>
      <c r="J4">
        <v>10459</v>
      </c>
      <c r="K4">
        <v>3.3</v>
      </c>
      <c r="L4" t="s">
        <v>21</v>
      </c>
      <c r="M4">
        <v>4557</v>
      </c>
      <c r="N4" t="s">
        <v>806</v>
      </c>
      <c r="O4">
        <v>915324472099</v>
      </c>
      <c r="P4" t="s">
        <v>816</v>
      </c>
    </row>
    <row r="5" spans="1:16" x14ac:dyDescent="0.3">
      <c r="A5" s="2">
        <v>4</v>
      </c>
      <c r="B5" t="s">
        <v>817</v>
      </c>
      <c r="C5" t="s">
        <v>818</v>
      </c>
      <c r="D5" t="s">
        <v>348</v>
      </c>
      <c r="E5" t="s">
        <v>273</v>
      </c>
      <c r="F5">
        <v>383806</v>
      </c>
      <c r="G5" t="s">
        <v>819</v>
      </c>
      <c r="H5">
        <v>2003</v>
      </c>
      <c r="I5">
        <v>78</v>
      </c>
      <c r="J5">
        <v>4742</v>
      </c>
      <c r="K5">
        <v>3.5</v>
      </c>
      <c r="L5" t="s">
        <v>21</v>
      </c>
      <c r="M5">
        <v>4940</v>
      </c>
      <c r="N5" t="s">
        <v>811</v>
      </c>
      <c r="O5">
        <v>9856420593</v>
      </c>
      <c r="P5" t="s">
        <v>820</v>
      </c>
    </row>
    <row r="6" spans="1:16" x14ac:dyDescent="0.3">
      <c r="A6" s="2">
        <v>5</v>
      </c>
      <c r="B6" t="s">
        <v>821</v>
      </c>
      <c r="C6" t="s">
        <v>822</v>
      </c>
      <c r="D6" t="s">
        <v>317</v>
      </c>
      <c r="E6" t="s">
        <v>318</v>
      </c>
      <c r="F6">
        <v>348039</v>
      </c>
      <c r="G6" t="s">
        <v>823</v>
      </c>
      <c r="H6">
        <v>2017</v>
      </c>
      <c r="I6">
        <v>32</v>
      </c>
      <c r="J6">
        <v>14931</v>
      </c>
      <c r="K6">
        <v>3.2</v>
      </c>
      <c r="L6" t="s">
        <v>20</v>
      </c>
      <c r="M6">
        <v>2938</v>
      </c>
      <c r="N6" t="s">
        <v>811</v>
      </c>
      <c r="O6">
        <v>913955905992</v>
      </c>
      <c r="P6" t="s">
        <v>824</v>
      </c>
    </row>
    <row r="7" spans="1:16" x14ac:dyDescent="0.3">
      <c r="A7" s="2">
        <v>6</v>
      </c>
      <c r="B7" t="s">
        <v>825</v>
      </c>
      <c r="C7" t="s">
        <v>826</v>
      </c>
      <c r="D7" t="s">
        <v>317</v>
      </c>
      <c r="E7" t="s">
        <v>318</v>
      </c>
      <c r="F7">
        <v>87059</v>
      </c>
      <c r="G7" t="s">
        <v>827</v>
      </c>
      <c r="H7">
        <v>2008</v>
      </c>
      <c r="I7">
        <v>49</v>
      </c>
      <c r="J7">
        <v>3850</v>
      </c>
      <c r="K7">
        <v>3.9</v>
      </c>
      <c r="L7" t="s">
        <v>20</v>
      </c>
      <c r="M7">
        <v>2441</v>
      </c>
      <c r="N7" t="s">
        <v>811</v>
      </c>
      <c r="O7">
        <v>2500292185</v>
      </c>
      <c r="P7" t="s">
        <v>828</v>
      </c>
    </row>
    <row r="8" spans="1:16" x14ac:dyDescent="0.3">
      <c r="A8" s="2">
        <v>7</v>
      </c>
      <c r="B8" t="s">
        <v>829</v>
      </c>
      <c r="C8" t="s">
        <v>830</v>
      </c>
      <c r="D8" t="s">
        <v>292</v>
      </c>
      <c r="E8" t="s">
        <v>293</v>
      </c>
      <c r="F8">
        <v>752895</v>
      </c>
      <c r="G8" t="s">
        <v>831</v>
      </c>
      <c r="H8">
        <v>2022</v>
      </c>
      <c r="I8">
        <v>49</v>
      </c>
      <c r="J8">
        <v>15030</v>
      </c>
      <c r="K8">
        <v>3.3</v>
      </c>
      <c r="L8" t="s">
        <v>20</v>
      </c>
      <c r="M8">
        <v>2192</v>
      </c>
      <c r="N8" t="s">
        <v>811</v>
      </c>
      <c r="O8">
        <v>4220969029</v>
      </c>
      <c r="P8" t="s">
        <v>832</v>
      </c>
    </row>
    <row r="9" spans="1:16" x14ac:dyDescent="0.3">
      <c r="A9" s="2">
        <v>8</v>
      </c>
      <c r="B9" t="s">
        <v>833</v>
      </c>
      <c r="C9" t="s">
        <v>834</v>
      </c>
      <c r="D9" t="s">
        <v>327</v>
      </c>
      <c r="E9" t="s">
        <v>327</v>
      </c>
      <c r="F9">
        <v>157043</v>
      </c>
      <c r="G9" t="s">
        <v>835</v>
      </c>
      <c r="H9">
        <v>2018</v>
      </c>
      <c r="I9">
        <v>49</v>
      </c>
      <c r="J9">
        <v>18441</v>
      </c>
      <c r="K9">
        <v>3.6</v>
      </c>
      <c r="L9" t="s">
        <v>20</v>
      </c>
      <c r="M9">
        <v>3151</v>
      </c>
      <c r="N9" t="s">
        <v>806</v>
      </c>
      <c r="O9">
        <v>1006762676</v>
      </c>
      <c r="P9" t="s">
        <v>836</v>
      </c>
    </row>
    <row r="10" spans="1:16" x14ac:dyDescent="0.3">
      <c r="A10" s="2">
        <v>9</v>
      </c>
      <c r="B10" t="s">
        <v>837</v>
      </c>
      <c r="C10" t="s">
        <v>838</v>
      </c>
      <c r="D10" t="s">
        <v>321</v>
      </c>
      <c r="E10" t="s">
        <v>322</v>
      </c>
      <c r="F10">
        <v>411526</v>
      </c>
      <c r="G10" t="s">
        <v>839</v>
      </c>
      <c r="H10">
        <v>2009</v>
      </c>
      <c r="I10">
        <v>78</v>
      </c>
      <c r="J10">
        <v>9760</v>
      </c>
      <c r="K10">
        <v>4.9000000000000004</v>
      </c>
      <c r="L10" t="s">
        <v>20</v>
      </c>
      <c r="M10">
        <v>1610</v>
      </c>
      <c r="N10" t="s">
        <v>840</v>
      </c>
      <c r="O10">
        <v>9970629620</v>
      </c>
      <c r="P10" t="s">
        <v>841</v>
      </c>
    </row>
    <row r="11" spans="1:16" x14ac:dyDescent="0.3">
      <c r="A11" s="2">
        <v>10</v>
      </c>
      <c r="B11" t="s">
        <v>842</v>
      </c>
      <c r="C11" t="s">
        <v>843</v>
      </c>
      <c r="D11" t="s">
        <v>327</v>
      </c>
      <c r="E11" t="s">
        <v>327</v>
      </c>
      <c r="F11">
        <v>310698</v>
      </c>
      <c r="G11" t="s">
        <v>844</v>
      </c>
      <c r="H11">
        <v>2008</v>
      </c>
      <c r="I11">
        <v>88</v>
      </c>
      <c r="J11">
        <v>5157</v>
      </c>
      <c r="K11">
        <v>4.4000000000000004</v>
      </c>
      <c r="L11" t="s">
        <v>20</v>
      </c>
      <c r="M11">
        <v>2545</v>
      </c>
      <c r="N11" t="s">
        <v>811</v>
      </c>
      <c r="O11">
        <v>614973103</v>
      </c>
      <c r="P11" t="s">
        <v>845</v>
      </c>
    </row>
    <row r="12" spans="1:16" x14ac:dyDescent="0.3">
      <c r="A12" s="2">
        <v>11</v>
      </c>
      <c r="B12" t="s">
        <v>846</v>
      </c>
      <c r="C12" t="s">
        <v>847</v>
      </c>
      <c r="D12" t="s">
        <v>305</v>
      </c>
      <c r="E12" t="s">
        <v>306</v>
      </c>
      <c r="F12">
        <v>862565</v>
      </c>
      <c r="G12" t="s">
        <v>848</v>
      </c>
      <c r="H12">
        <v>2007</v>
      </c>
      <c r="I12">
        <v>91</v>
      </c>
      <c r="J12">
        <v>13868</v>
      </c>
      <c r="K12">
        <v>4</v>
      </c>
      <c r="L12" t="s">
        <v>21</v>
      </c>
      <c r="M12">
        <v>3893</v>
      </c>
      <c r="N12" t="s">
        <v>840</v>
      </c>
      <c r="O12">
        <v>7743490211</v>
      </c>
      <c r="P12" t="s">
        <v>849</v>
      </c>
    </row>
    <row r="13" spans="1:16" x14ac:dyDescent="0.3">
      <c r="A13" s="2">
        <v>12</v>
      </c>
      <c r="B13" t="s">
        <v>850</v>
      </c>
      <c r="C13" t="s">
        <v>851</v>
      </c>
      <c r="D13" t="s">
        <v>317</v>
      </c>
      <c r="E13" t="s">
        <v>318</v>
      </c>
      <c r="F13">
        <v>160898</v>
      </c>
      <c r="G13" t="s">
        <v>852</v>
      </c>
      <c r="H13">
        <v>2002</v>
      </c>
      <c r="I13">
        <v>86</v>
      </c>
      <c r="J13">
        <v>4050</v>
      </c>
      <c r="K13">
        <v>3.8</v>
      </c>
      <c r="L13" t="s">
        <v>21</v>
      </c>
      <c r="M13">
        <v>3523</v>
      </c>
      <c r="N13" t="s">
        <v>840</v>
      </c>
      <c r="O13">
        <v>912332061632</v>
      </c>
      <c r="P13" t="s">
        <v>853</v>
      </c>
    </row>
    <row r="14" spans="1:16" x14ac:dyDescent="0.3">
      <c r="A14" s="2">
        <v>13</v>
      </c>
      <c r="B14" t="s">
        <v>854</v>
      </c>
      <c r="C14" t="s">
        <v>855</v>
      </c>
      <c r="D14" t="s">
        <v>317</v>
      </c>
      <c r="E14" t="s">
        <v>318</v>
      </c>
      <c r="F14">
        <v>162299</v>
      </c>
      <c r="G14" t="s">
        <v>856</v>
      </c>
      <c r="H14">
        <v>2010</v>
      </c>
      <c r="I14">
        <v>79</v>
      </c>
      <c r="J14">
        <v>1081</v>
      </c>
      <c r="K14">
        <v>4.7</v>
      </c>
      <c r="L14" t="s">
        <v>20</v>
      </c>
      <c r="M14">
        <v>4255</v>
      </c>
      <c r="N14" t="s">
        <v>806</v>
      </c>
      <c r="O14">
        <v>8564679970</v>
      </c>
      <c r="P14" t="s">
        <v>857</v>
      </c>
    </row>
    <row r="15" spans="1:16" x14ac:dyDescent="0.3">
      <c r="A15" s="2">
        <v>14</v>
      </c>
      <c r="B15" t="s">
        <v>858</v>
      </c>
      <c r="C15" t="s">
        <v>859</v>
      </c>
      <c r="D15" t="s">
        <v>305</v>
      </c>
      <c r="E15" t="s">
        <v>306</v>
      </c>
      <c r="F15">
        <v>450544</v>
      </c>
      <c r="G15" t="s">
        <v>860</v>
      </c>
      <c r="H15">
        <v>2002</v>
      </c>
      <c r="I15">
        <v>73</v>
      </c>
      <c r="J15">
        <v>14032</v>
      </c>
      <c r="K15">
        <v>3.4</v>
      </c>
      <c r="L15" t="s">
        <v>21</v>
      </c>
      <c r="M15">
        <v>2235</v>
      </c>
      <c r="N15" t="s">
        <v>840</v>
      </c>
      <c r="O15">
        <v>912475469137</v>
      </c>
      <c r="P15" t="s">
        <v>861</v>
      </c>
    </row>
    <row r="16" spans="1:16" x14ac:dyDescent="0.3">
      <c r="A16" s="2">
        <v>15</v>
      </c>
      <c r="B16" t="s">
        <v>862</v>
      </c>
      <c r="C16" t="s">
        <v>863</v>
      </c>
      <c r="D16" t="s">
        <v>321</v>
      </c>
      <c r="E16" t="s">
        <v>322</v>
      </c>
      <c r="F16">
        <v>289023</v>
      </c>
      <c r="G16" t="s">
        <v>864</v>
      </c>
      <c r="H16">
        <v>2010</v>
      </c>
      <c r="I16">
        <v>41</v>
      </c>
      <c r="J16">
        <v>12067</v>
      </c>
      <c r="K16">
        <v>4.0999999999999996</v>
      </c>
      <c r="L16" t="s">
        <v>20</v>
      </c>
      <c r="M16">
        <v>4475</v>
      </c>
      <c r="N16" t="s">
        <v>840</v>
      </c>
      <c r="O16">
        <v>917053457861</v>
      </c>
      <c r="P16" t="s">
        <v>865</v>
      </c>
    </row>
    <row r="17" spans="1:16" x14ac:dyDescent="0.3">
      <c r="A17" s="2">
        <v>16</v>
      </c>
      <c r="B17" t="s">
        <v>866</v>
      </c>
      <c r="C17" t="s">
        <v>867</v>
      </c>
      <c r="D17" t="s">
        <v>327</v>
      </c>
      <c r="E17" t="s">
        <v>327</v>
      </c>
      <c r="F17">
        <v>140602</v>
      </c>
      <c r="G17" t="s">
        <v>868</v>
      </c>
      <c r="H17">
        <v>2001</v>
      </c>
      <c r="I17">
        <v>17</v>
      </c>
      <c r="J17">
        <v>16059</v>
      </c>
      <c r="K17">
        <v>3</v>
      </c>
      <c r="L17" t="s">
        <v>20</v>
      </c>
      <c r="M17">
        <v>4115</v>
      </c>
      <c r="N17" t="s">
        <v>840</v>
      </c>
      <c r="O17">
        <v>3468007229</v>
      </c>
      <c r="P17" t="s">
        <v>869</v>
      </c>
    </row>
    <row r="18" spans="1:16" x14ac:dyDescent="0.3">
      <c r="A18" s="2">
        <v>17</v>
      </c>
      <c r="B18" t="s">
        <v>870</v>
      </c>
      <c r="C18" t="s">
        <v>871</v>
      </c>
      <c r="D18" t="s">
        <v>327</v>
      </c>
      <c r="E18" t="s">
        <v>327</v>
      </c>
      <c r="F18">
        <v>748969</v>
      </c>
      <c r="G18" t="s">
        <v>872</v>
      </c>
      <c r="H18">
        <v>2013</v>
      </c>
      <c r="I18">
        <v>30</v>
      </c>
      <c r="J18">
        <v>5322</v>
      </c>
      <c r="K18">
        <v>4.8</v>
      </c>
      <c r="L18" t="s">
        <v>21</v>
      </c>
      <c r="M18">
        <v>1802</v>
      </c>
      <c r="N18" t="s">
        <v>840</v>
      </c>
      <c r="O18">
        <v>5899441715</v>
      </c>
      <c r="P18" t="s">
        <v>873</v>
      </c>
    </row>
    <row r="19" spans="1:16" x14ac:dyDescent="0.3">
      <c r="A19" s="2">
        <v>18</v>
      </c>
      <c r="B19" t="s">
        <v>874</v>
      </c>
      <c r="C19" t="s">
        <v>875</v>
      </c>
      <c r="D19" t="s">
        <v>272</v>
      </c>
      <c r="E19" t="s">
        <v>273</v>
      </c>
      <c r="F19">
        <v>520744</v>
      </c>
      <c r="G19" t="s">
        <v>876</v>
      </c>
      <c r="H19">
        <v>2020</v>
      </c>
      <c r="I19">
        <v>51</v>
      </c>
      <c r="J19">
        <v>9204</v>
      </c>
      <c r="K19">
        <v>3.2</v>
      </c>
      <c r="L19" t="s">
        <v>20</v>
      </c>
      <c r="M19">
        <v>924</v>
      </c>
      <c r="N19" t="s">
        <v>840</v>
      </c>
      <c r="O19">
        <v>993538758</v>
      </c>
      <c r="P19" t="s">
        <v>877</v>
      </c>
    </row>
    <row r="20" spans="1:16" x14ac:dyDescent="0.3">
      <c r="A20" s="2">
        <v>19</v>
      </c>
      <c r="B20" t="s">
        <v>878</v>
      </c>
      <c r="C20" t="s">
        <v>879</v>
      </c>
      <c r="D20" t="s">
        <v>321</v>
      </c>
      <c r="E20" t="s">
        <v>322</v>
      </c>
      <c r="F20">
        <v>353465</v>
      </c>
      <c r="G20" t="s">
        <v>880</v>
      </c>
      <c r="H20">
        <v>2022</v>
      </c>
      <c r="I20">
        <v>34</v>
      </c>
      <c r="J20">
        <v>15065</v>
      </c>
      <c r="K20">
        <v>4.3</v>
      </c>
      <c r="L20" t="s">
        <v>20</v>
      </c>
      <c r="M20">
        <v>508</v>
      </c>
      <c r="N20" t="s">
        <v>811</v>
      </c>
      <c r="O20">
        <v>1709991738</v>
      </c>
      <c r="P20" t="s">
        <v>881</v>
      </c>
    </row>
    <row r="21" spans="1:16" x14ac:dyDescent="0.3">
      <c r="A21" s="2">
        <v>20</v>
      </c>
      <c r="B21" t="s">
        <v>882</v>
      </c>
      <c r="C21" t="s">
        <v>883</v>
      </c>
      <c r="D21" t="s">
        <v>317</v>
      </c>
      <c r="E21" t="s">
        <v>318</v>
      </c>
      <c r="F21">
        <v>252175</v>
      </c>
      <c r="G21" t="s">
        <v>884</v>
      </c>
      <c r="H21">
        <v>2002</v>
      </c>
      <c r="I21">
        <v>21</v>
      </c>
      <c r="J21">
        <v>8411</v>
      </c>
      <c r="K21">
        <v>4</v>
      </c>
      <c r="L21" t="s">
        <v>21</v>
      </c>
      <c r="M21">
        <v>576</v>
      </c>
      <c r="N21" t="s">
        <v>811</v>
      </c>
      <c r="O21">
        <v>917432927129</v>
      </c>
      <c r="P21" t="s">
        <v>885</v>
      </c>
    </row>
    <row r="22" spans="1:16" x14ac:dyDescent="0.3">
      <c r="A22" s="2">
        <v>21</v>
      </c>
      <c r="B22" t="s">
        <v>886</v>
      </c>
      <c r="C22" t="s">
        <v>887</v>
      </c>
      <c r="D22" t="s">
        <v>305</v>
      </c>
      <c r="E22" t="s">
        <v>306</v>
      </c>
      <c r="F22">
        <v>58300</v>
      </c>
      <c r="G22" t="s">
        <v>888</v>
      </c>
      <c r="H22">
        <v>2003</v>
      </c>
      <c r="I22">
        <v>59</v>
      </c>
      <c r="J22">
        <v>5331</v>
      </c>
      <c r="K22">
        <v>4</v>
      </c>
      <c r="L22" t="s">
        <v>20</v>
      </c>
      <c r="M22">
        <v>3638</v>
      </c>
      <c r="N22" t="s">
        <v>811</v>
      </c>
      <c r="O22">
        <v>2168942104</v>
      </c>
      <c r="P22" t="s">
        <v>889</v>
      </c>
    </row>
    <row r="23" spans="1:16" x14ac:dyDescent="0.3">
      <c r="A23" s="2">
        <v>22</v>
      </c>
      <c r="B23" t="s">
        <v>890</v>
      </c>
      <c r="C23" t="s">
        <v>891</v>
      </c>
      <c r="D23" t="s">
        <v>272</v>
      </c>
      <c r="E23" t="s">
        <v>273</v>
      </c>
      <c r="F23">
        <v>603323</v>
      </c>
      <c r="G23" t="s">
        <v>892</v>
      </c>
      <c r="H23">
        <v>2003</v>
      </c>
      <c r="I23">
        <v>45</v>
      </c>
      <c r="J23">
        <v>13044</v>
      </c>
      <c r="K23">
        <v>4.8</v>
      </c>
      <c r="L23" t="s">
        <v>20</v>
      </c>
      <c r="M23">
        <v>3635</v>
      </c>
      <c r="N23" t="s">
        <v>811</v>
      </c>
      <c r="O23">
        <v>915064890901</v>
      </c>
      <c r="P23" t="s">
        <v>893</v>
      </c>
    </row>
    <row r="24" spans="1:16" x14ac:dyDescent="0.3">
      <c r="A24" s="2">
        <v>23</v>
      </c>
      <c r="B24" t="s">
        <v>894</v>
      </c>
      <c r="C24" t="s">
        <v>895</v>
      </c>
      <c r="D24" t="s">
        <v>300</v>
      </c>
      <c r="E24" t="s">
        <v>301</v>
      </c>
      <c r="F24">
        <v>46184</v>
      </c>
      <c r="G24" t="s">
        <v>896</v>
      </c>
      <c r="H24">
        <v>2002</v>
      </c>
      <c r="I24">
        <v>72</v>
      </c>
      <c r="J24">
        <v>19457</v>
      </c>
      <c r="K24">
        <v>3</v>
      </c>
      <c r="L24" t="s">
        <v>20</v>
      </c>
      <c r="M24">
        <v>4105</v>
      </c>
      <c r="N24" t="s">
        <v>840</v>
      </c>
      <c r="O24">
        <v>9141173934</v>
      </c>
      <c r="P24" t="s">
        <v>897</v>
      </c>
    </row>
    <row r="25" spans="1:16" x14ac:dyDescent="0.3">
      <c r="A25" s="2">
        <v>24</v>
      </c>
      <c r="B25" t="s">
        <v>898</v>
      </c>
      <c r="C25" t="s">
        <v>899</v>
      </c>
      <c r="D25" t="s">
        <v>285</v>
      </c>
      <c r="E25" t="s">
        <v>286</v>
      </c>
      <c r="F25">
        <v>300119</v>
      </c>
      <c r="G25" t="s">
        <v>900</v>
      </c>
      <c r="H25">
        <v>2020</v>
      </c>
      <c r="I25">
        <v>100</v>
      </c>
      <c r="J25">
        <v>5960</v>
      </c>
      <c r="K25">
        <v>4.8</v>
      </c>
      <c r="L25" t="s">
        <v>21</v>
      </c>
      <c r="M25">
        <v>2279</v>
      </c>
      <c r="N25" t="s">
        <v>811</v>
      </c>
      <c r="O25">
        <v>1143744701</v>
      </c>
      <c r="P25" t="s">
        <v>901</v>
      </c>
    </row>
    <row r="26" spans="1:16" x14ac:dyDescent="0.3">
      <c r="A26" s="2">
        <v>25</v>
      </c>
      <c r="B26" t="s">
        <v>902</v>
      </c>
      <c r="C26" t="s">
        <v>903</v>
      </c>
      <c r="D26" t="s">
        <v>272</v>
      </c>
      <c r="E26" t="s">
        <v>273</v>
      </c>
      <c r="F26">
        <v>255794</v>
      </c>
      <c r="G26" t="s">
        <v>904</v>
      </c>
      <c r="H26">
        <v>2004</v>
      </c>
      <c r="I26">
        <v>20</v>
      </c>
      <c r="J26">
        <v>13583</v>
      </c>
      <c r="K26">
        <v>3.7</v>
      </c>
      <c r="L26" t="s">
        <v>21</v>
      </c>
      <c r="M26">
        <v>3076</v>
      </c>
      <c r="N26" t="s">
        <v>811</v>
      </c>
      <c r="O26">
        <v>911667467621</v>
      </c>
      <c r="P26" t="s">
        <v>905</v>
      </c>
    </row>
    <row r="27" spans="1:16" x14ac:dyDescent="0.3">
      <c r="A27" s="2">
        <v>26</v>
      </c>
      <c r="B27" t="s">
        <v>906</v>
      </c>
      <c r="C27" t="s">
        <v>907</v>
      </c>
      <c r="D27" t="s">
        <v>285</v>
      </c>
      <c r="E27" t="s">
        <v>286</v>
      </c>
      <c r="F27">
        <v>902771</v>
      </c>
      <c r="G27" t="s">
        <v>908</v>
      </c>
      <c r="H27">
        <v>2008</v>
      </c>
      <c r="I27">
        <v>87</v>
      </c>
      <c r="J27">
        <v>3760</v>
      </c>
      <c r="K27">
        <v>3.5</v>
      </c>
      <c r="L27" t="s">
        <v>21</v>
      </c>
      <c r="M27">
        <v>719</v>
      </c>
      <c r="N27" t="s">
        <v>806</v>
      </c>
      <c r="O27">
        <v>914508993588</v>
      </c>
      <c r="P27" t="s">
        <v>909</v>
      </c>
    </row>
    <row r="28" spans="1:16" x14ac:dyDescent="0.3">
      <c r="A28" s="2">
        <v>27</v>
      </c>
      <c r="B28" t="s">
        <v>910</v>
      </c>
      <c r="C28" t="s">
        <v>911</v>
      </c>
      <c r="D28" t="s">
        <v>321</v>
      </c>
      <c r="E28" t="s">
        <v>322</v>
      </c>
      <c r="F28">
        <v>721753</v>
      </c>
      <c r="G28" t="s">
        <v>912</v>
      </c>
      <c r="H28">
        <v>2006</v>
      </c>
      <c r="I28">
        <v>71</v>
      </c>
      <c r="J28">
        <v>17696</v>
      </c>
      <c r="K28">
        <v>3.4</v>
      </c>
      <c r="L28" t="s">
        <v>21</v>
      </c>
      <c r="M28">
        <v>2921</v>
      </c>
      <c r="N28" t="s">
        <v>806</v>
      </c>
      <c r="O28">
        <v>3866317797</v>
      </c>
      <c r="P28" t="s">
        <v>913</v>
      </c>
    </row>
    <row r="29" spans="1:16" x14ac:dyDescent="0.3">
      <c r="A29" s="2">
        <v>28</v>
      </c>
      <c r="B29" t="s">
        <v>914</v>
      </c>
      <c r="C29" t="s">
        <v>915</v>
      </c>
      <c r="D29" t="s">
        <v>327</v>
      </c>
      <c r="E29" t="s">
        <v>327</v>
      </c>
      <c r="F29">
        <v>880199</v>
      </c>
      <c r="G29" t="s">
        <v>916</v>
      </c>
      <c r="H29">
        <v>2007</v>
      </c>
      <c r="I29">
        <v>68</v>
      </c>
      <c r="J29">
        <v>13644</v>
      </c>
      <c r="K29">
        <v>3.2</v>
      </c>
      <c r="L29" t="s">
        <v>21</v>
      </c>
      <c r="M29">
        <v>1081</v>
      </c>
      <c r="N29" t="s">
        <v>806</v>
      </c>
      <c r="O29">
        <v>7550375899</v>
      </c>
      <c r="P29" t="s">
        <v>917</v>
      </c>
    </row>
    <row r="30" spans="1:16" x14ac:dyDescent="0.3">
      <c r="A30" s="2">
        <v>29</v>
      </c>
      <c r="B30" t="s">
        <v>918</v>
      </c>
      <c r="C30" t="s">
        <v>919</v>
      </c>
      <c r="D30" t="s">
        <v>327</v>
      </c>
      <c r="E30" t="s">
        <v>327</v>
      </c>
      <c r="F30">
        <v>885102</v>
      </c>
      <c r="G30" t="s">
        <v>920</v>
      </c>
      <c r="H30">
        <v>2011</v>
      </c>
      <c r="I30">
        <v>45</v>
      </c>
      <c r="J30">
        <v>5324</v>
      </c>
      <c r="K30">
        <v>3.8</v>
      </c>
      <c r="L30" t="s">
        <v>21</v>
      </c>
      <c r="M30">
        <v>3493</v>
      </c>
      <c r="N30" t="s">
        <v>806</v>
      </c>
      <c r="O30">
        <v>914933163735</v>
      </c>
      <c r="P30" t="s">
        <v>921</v>
      </c>
    </row>
    <row r="31" spans="1:16" x14ac:dyDescent="0.3">
      <c r="A31" s="2">
        <v>30</v>
      </c>
      <c r="B31" t="s">
        <v>922</v>
      </c>
      <c r="C31" t="s">
        <v>923</v>
      </c>
      <c r="D31" t="s">
        <v>300</v>
      </c>
      <c r="E31" t="s">
        <v>301</v>
      </c>
      <c r="F31">
        <v>869782</v>
      </c>
      <c r="G31" t="s">
        <v>924</v>
      </c>
      <c r="H31">
        <v>2015</v>
      </c>
      <c r="I31">
        <v>14</v>
      </c>
      <c r="J31">
        <v>1546</v>
      </c>
      <c r="K31">
        <v>4.2</v>
      </c>
      <c r="L31" t="s">
        <v>20</v>
      </c>
      <c r="M31">
        <v>2647</v>
      </c>
      <c r="N31" t="s">
        <v>811</v>
      </c>
      <c r="O31">
        <v>9958669346</v>
      </c>
      <c r="P31" t="s">
        <v>925</v>
      </c>
    </row>
    <row r="32" spans="1:16" x14ac:dyDescent="0.3">
      <c r="A32" s="2">
        <v>31</v>
      </c>
      <c r="B32" t="s">
        <v>926</v>
      </c>
      <c r="C32" t="s">
        <v>927</v>
      </c>
      <c r="D32" t="s">
        <v>327</v>
      </c>
      <c r="E32" t="s">
        <v>327</v>
      </c>
      <c r="F32">
        <v>394522</v>
      </c>
      <c r="G32" t="s">
        <v>928</v>
      </c>
      <c r="H32">
        <v>2001</v>
      </c>
      <c r="I32">
        <v>55</v>
      </c>
      <c r="J32">
        <v>17600</v>
      </c>
      <c r="K32">
        <v>3.6</v>
      </c>
      <c r="L32" t="s">
        <v>21</v>
      </c>
      <c r="M32">
        <v>3969</v>
      </c>
      <c r="N32" t="s">
        <v>806</v>
      </c>
      <c r="O32">
        <v>7996846081</v>
      </c>
      <c r="P32" t="s">
        <v>929</v>
      </c>
    </row>
    <row r="33" spans="1:16" x14ac:dyDescent="0.3">
      <c r="A33" s="2">
        <v>32</v>
      </c>
      <c r="B33" t="s">
        <v>930</v>
      </c>
      <c r="C33" t="s">
        <v>931</v>
      </c>
      <c r="D33" t="s">
        <v>310</v>
      </c>
      <c r="E33" t="s">
        <v>311</v>
      </c>
      <c r="F33">
        <v>204380</v>
      </c>
      <c r="G33" t="s">
        <v>932</v>
      </c>
      <c r="H33">
        <v>2002</v>
      </c>
      <c r="I33">
        <v>86</v>
      </c>
      <c r="J33">
        <v>18582</v>
      </c>
      <c r="K33">
        <v>4.0999999999999996</v>
      </c>
      <c r="L33" t="s">
        <v>20</v>
      </c>
      <c r="M33">
        <v>2773</v>
      </c>
      <c r="N33" t="s">
        <v>811</v>
      </c>
      <c r="O33">
        <v>8386384066</v>
      </c>
      <c r="P33" t="s">
        <v>933</v>
      </c>
    </row>
    <row r="34" spans="1:16" x14ac:dyDescent="0.3">
      <c r="A34" s="2">
        <v>33</v>
      </c>
      <c r="B34" t="s">
        <v>934</v>
      </c>
      <c r="C34" t="s">
        <v>935</v>
      </c>
      <c r="D34" t="s">
        <v>321</v>
      </c>
      <c r="E34" t="s">
        <v>322</v>
      </c>
      <c r="F34">
        <v>989334</v>
      </c>
      <c r="G34" t="s">
        <v>936</v>
      </c>
      <c r="H34">
        <v>2002</v>
      </c>
      <c r="I34">
        <v>70</v>
      </c>
      <c r="J34">
        <v>7658</v>
      </c>
      <c r="K34">
        <v>4.9000000000000004</v>
      </c>
      <c r="L34" t="s">
        <v>20</v>
      </c>
      <c r="M34">
        <v>4894</v>
      </c>
      <c r="N34" t="s">
        <v>840</v>
      </c>
      <c r="O34">
        <v>912816064842</v>
      </c>
      <c r="P34" t="s">
        <v>937</v>
      </c>
    </row>
    <row r="35" spans="1:16" x14ac:dyDescent="0.3">
      <c r="A35" s="2">
        <v>34</v>
      </c>
      <c r="B35" t="s">
        <v>938</v>
      </c>
      <c r="C35" t="s">
        <v>939</v>
      </c>
      <c r="D35" t="s">
        <v>310</v>
      </c>
      <c r="E35" t="s">
        <v>311</v>
      </c>
      <c r="F35">
        <v>947985</v>
      </c>
      <c r="G35" t="s">
        <v>940</v>
      </c>
      <c r="H35">
        <v>2018</v>
      </c>
      <c r="I35">
        <v>86</v>
      </c>
      <c r="J35">
        <v>3166</v>
      </c>
      <c r="K35">
        <v>3.6</v>
      </c>
      <c r="L35" t="s">
        <v>21</v>
      </c>
      <c r="M35">
        <v>2454</v>
      </c>
      <c r="N35" t="s">
        <v>811</v>
      </c>
      <c r="O35">
        <v>912818268861</v>
      </c>
      <c r="P35" t="s">
        <v>941</v>
      </c>
    </row>
    <row r="36" spans="1:16" x14ac:dyDescent="0.3">
      <c r="A36" s="2">
        <v>35</v>
      </c>
      <c r="B36" t="s">
        <v>942</v>
      </c>
      <c r="C36" t="s">
        <v>943</v>
      </c>
      <c r="D36" t="s">
        <v>285</v>
      </c>
      <c r="E36" t="s">
        <v>286</v>
      </c>
      <c r="F36">
        <v>573993</v>
      </c>
      <c r="G36" t="s">
        <v>944</v>
      </c>
      <c r="H36">
        <v>2002</v>
      </c>
      <c r="I36">
        <v>60</v>
      </c>
      <c r="J36">
        <v>4800</v>
      </c>
      <c r="K36">
        <v>3.9</v>
      </c>
      <c r="L36" t="s">
        <v>20</v>
      </c>
      <c r="M36">
        <v>3033</v>
      </c>
      <c r="N36" t="s">
        <v>806</v>
      </c>
      <c r="O36">
        <v>916484085887</v>
      </c>
      <c r="P36" t="s">
        <v>945</v>
      </c>
    </row>
    <row r="37" spans="1:16" x14ac:dyDescent="0.3">
      <c r="A37" s="2">
        <v>36</v>
      </c>
      <c r="B37" t="s">
        <v>946</v>
      </c>
      <c r="C37" t="s">
        <v>947</v>
      </c>
      <c r="D37" t="s">
        <v>300</v>
      </c>
      <c r="E37" t="s">
        <v>301</v>
      </c>
      <c r="F37">
        <v>133613</v>
      </c>
      <c r="G37" t="s">
        <v>948</v>
      </c>
      <c r="H37">
        <v>2003</v>
      </c>
      <c r="I37">
        <v>6</v>
      </c>
      <c r="J37">
        <v>5496</v>
      </c>
      <c r="K37">
        <v>4.4000000000000004</v>
      </c>
      <c r="L37" t="s">
        <v>20</v>
      </c>
      <c r="M37">
        <v>4566</v>
      </c>
      <c r="N37" t="s">
        <v>840</v>
      </c>
      <c r="O37">
        <v>917501102481</v>
      </c>
      <c r="P37" t="s">
        <v>949</v>
      </c>
    </row>
    <row r="38" spans="1:16" x14ac:dyDescent="0.3">
      <c r="A38" s="2">
        <v>37</v>
      </c>
      <c r="B38" t="s">
        <v>950</v>
      </c>
      <c r="C38" t="s">
        <v>951</v>
      </c>
      <c r="D38" t="s">
        <v>348</v>
      </c>
      <c r="E38" t="s">
        <v>273</v>
      </c>
      <c r="F38">
        <v>809190</v>
      </c>
      <c r="G38" t="s">
        <v>952</v>
      </c>
      <c r="H38">
        <v>2016</v>
      </c>
      <c r="I38">
        <v>97</v>
      </c>
      <c r="J38">
        <v>9495</v>
      </c>
      <c r="K38">
        <v>3.3</v>
      </c>
      <c r="L38" t="s">
        <v>20</v>
      </c>
      <c r="M38">
        <v>2701</v>
      </c>
      <c r="N38" t="s">
        <v>806</v>
      </c>
      <c r="O38">
        <v>914491476607</v>
      </c>
      <c r="P38" t="s">
        <v>953</v>
      </c>
    </row>
    <row r="39" spans="1:16" x14ac:dyDescent="0.3">
      <c r="A39" s="2">
        <v>38</v>
      </c>
      <c r="B39" t="s">
        <v>954</v>
      </c>
      <c r="C39" t="s">
        <v>955</v>
      </c>
      <c r="D39" t="s">
        <v>272</v>
      </c>
      <c r="E39" t="s">
        <v>273</v>
      </c>
      <c r="F39">
        <v>9968</v>
      </c>
      <c r="G39" t="s">
        <v>956</v>
      </c>
      <c r="H39">
        <v>2000</v>
      </c>
      <c r="I39">
        <v>47</v>
      </c>
      <c r="J39">
        <v>15068</v>
      </c>
      <c r="K39">
        <v>3.5</v>
      </c>
      <c r="L39" t="s">
        <v>20</v>
      </c>
      <c r="M39">
        <v>2654</v>
      </c>
      <c r="N39" t="s">
        <v>806</v>
      </c>
      <c r="O39">
        <v>5368222394</v>
      </c>
      <c r="P39" t="s">
        <v>957</v>
      </c>
    </row>
    <row r="40" spans="1:16" x14ac:dyDescent="0.3">
      <c r="A40" s="2">
        <v>39</v>
      </c>
      <c r="B40" t="s">
        <v>958</v>
      </c>
      <c r="C40" t="s">
        <v>959</v>
      </c>
      <c r="D40" t="s">
        <v>292</v>
      </c>
      <c r="E40" t="s">
        <v>293</v>
      </c>
      <c r="F40">
        <v>975523</v>
      </c>
      <c r="G40" t="s">
        <v>960</v>
      </c>
      <c r="H40">
        <v>2020</v>
      </c>
      <c r="I40">
        <v>14</v>
      </c>
      <c r="J40">
        <v>17257</v>
      </c>
      <c r="K40">
        <v>3.9</v>
      </c>
      <c r="L40" t="s">
        <v>21</v>
      </c>
      <c r="M40">
        <v>954</v>
      </c>
      <c r="N40" t="s">
        <v>840</v>
      </c>
      <c r="O40">
        <v>915775949299</v>
      </c>
      <c r="P40" t="s">
        <v>961</v>
      </c>
    </row>
    <row r="41" spans="1:16" x14ac:dyDescent="0.3">
      <c r="A41" s="2">
        <v>40</v>
      </c>
      <c r="B41" t="s">
        <v>962</v>
      </c>
      <c r="C41" t="s">
        <v>963</v>
      </c>
      <c r="D41" t="s">
        <v>292</v>
      </c>
      <c r="E41" t="s">
        <v>293</v>
      </c>
      <c r="F41">
        <v>577754</v>
      </c>
      <c r="G41" t="s">
        <v>964</v>
      </c>
      <c r="H41">
        <v>2005</v>
      </c>
      <c r="I41">
        <v>52</v>
      </c>
      <c r="J41">
        <v>6154</v>
      </c>
      <c r="K41">
        <v>3.5</v>
      </c>
      <c r="L41" t="s">
        <v>20</v>
      </c>
      <c r="M41">
        <v>1444</v>
      </c>
      <c r="N41" t="s">
        <v>811</v>
      </c>
      <c r="O41">
        <v>9142834110</v>
      </c>
      <c r="P41" t="s">
        <v>965</v>
      </c>
    </row>
    <row r="42" spans="1:16" x14ac:dyDescent="0.3">
      <c r="A42" s="2">
        <v>41</v>
      </c>
      <c r="B42" t="s">
        <v>966</v>
      </c>
      <c r="C42" t="s">
        <v>967</v>
      </c>
      <c r="D42" t="s">
        <v>348</v>
      </c>
      <c r="E42" t="s">
        <v>273</v>
      </c>
      <c r="F42">
        <v>394278</v>
      </c>
      <c r="G42" t="s">
        <v>968</v>
      </c>
      <c r="H42">
        <v>2000</v>
      </c>
      <c r="I42">
        <v>10</v>
      </c>
      <c r="J42">
        <v>1402</v>
      </c>
      <c r="K42">
        <v>3.5</v>
      </c>
      <c r="L42" t="s">
        <v>21</v>
      </c>
      <c r="M42">
        <v>3481</v>
      </c>
      <c r="N42" t="s">
        <v>840</v>
      </c>
      <c r="O42">
        <v>392827229</v>
      </c>
      <c r="P42" t="s">
        <v>969</v>
      </c>
    </row>
    <row r="43" spans="1:16" x14ac:dyDescent="0.3">
      <c r="A43" s="2">
        <v>42</v>
      </c>
      <c r="B43" t="s">
        <v>970</v>
      </c>
      <c r="C43" t="s">
        <v>971</v>
      </c>
      <c r="D43" t="s">
        <v>300</v>
      </c>
      <c r="E43" t="s">
        <v>301</v>
      </c>
      <c r="F43">
        <v>38567</v>
      </c>
      <c r="G43" t="s">
        <v>972</v>
      </c>
      <c r="H43">
        <v>2005</v>
      </c>
      <c r="I43">
        <v>9</v>
      </c>
      <c r="J43">
        <v>19116</v>
      </c>
      <c r="K43">
        <v>4.5999999999999996</v>
      </c>
      <c r="L43" t="s">
        <v>21</v>
      </c>
      <c r="M43">
        <v>2339</v>
      </c>
      <c r="N43" t="s">
        <v>840</v>
      </c>
      <c r="O43">
        <v>5184498926</v>
      </c>
      <c r="P43" t="s">
        <v>973</v>
      </c>
    </row>
    <row r="44" spans="1:16" x14ac:dyDescent="0.3">
      <c r="A44" s="2">
        <v>43</v>
      </c>
      <c r="B44" t="s">
        <v>974</v>
      </c>
      <c r="C44" t="s">
        <v>975</v>
      </c>
      <c r="D44" t="s">
        <v>285</v>
      </c>
      <c r="E44" t="s">
        <v>286</v>
      </c>
      <c r="F44">
        <v>577908</v>
      </c>
      <c r="G44" t="s">
        <v>976</v>
      </c>
      <c r="H44">
        <v>2013</v>
      </c>
      <c r="I44">
        <v>97</v>
      </c>
      <c r="J44">
        <v>11483</v>
      </c>
      <c r="K44">
        <v>3.5</v>
      </c>
      <c r="L44" t="s">
        <v>20</v>
      </c>
      <c r="M44">
        <v>3554</v>
      </c>
      <c r="N44" t="s">
        <v>811</v>
      </c>
      <c r="O44">
        <v>911843222591</v>
      </c>
      <c r="P44" t="s">
        <v>977</v>
      </c>
    </row>
    <row r="45" spans="1:16" x14ac:dyDescent="0.3">
      <c r="A45" s="2">
        <v>44</v>
      </c>
      <c r="B45" t="s">
        <v>978</v>
      </c>
      <c r="C45" t="s">
        <v>979</v>
      </c>
      <c r="D45" t="s">
        <v>348</v>
      </c>
      <c r="E45" t="s">
        <v>273</v>
      </c>
      <c r="F45">
        <v>30299</v>
      </c>
      <c r="G45" t="s">
        <v>980</v>
      </c>
      <c r="H45">
        <v>2021</v>
      </c>
      <c r="I45">
        <v>11</v>
      </c>
      <c r="J45">
        <v>6876</v>
      </c>
      <c r="K45">
        <v>3.4</v>
      </c>
      <c r="L45" t="s">
        <v>20</v>
      </c>
      <c r="M45">
        <v>3784</v>
      </c>
      <c r="N45" t="s">
        <v>811</v>
      </c>
      <c r="O45">
        <v>919202428699</v>
      </c>
      <c r="P45" t="s">
        <v>981</v>
      </c>
    </row>
    <row r="46" spans="1:16" x14ac:dyDescent="0.3">
      <c r="A46" s="2">
        <v>45</v>
      </c>
      <c r="B46" t="s">
        <v>982</v>
      </c>
      <c r="C46" t="s">
        <v>983</v>
      </c>
      <c r="D46" t="s">
        <v>317</v>
      </c>
      <c r="E46" t="s">
        <v>318</v>
      </c>
      <c r="F46">
        <v>929298</v>
      </c>
      <c r="G46" t="s">
        <v>984</v>
      </c>
      <c r="H46">
        <v>2009</v>
      </c>
      <c r="I46">
        <v>44</v>
      </c>
      <c r="J46">
        <v>11724</v>
      </c>
      <c r="K46">
        <v>3.2</v>
      </c>
      <c r="L46" t="s">
        <v>21</v>
      </c>
      <c r="M46">
        <v>565</v>
      </c>
      <c r="N46" t="s">
        <v>840</v>
      </c>
      <c r="O46">
        <v>9913662103</v>
      </c>
      <c r="P46" t="s">
        <v>985</v>
      </c>
    </row>
    <row r="47" spans="1:16" x14ac:dyDescent="0.3">
      <c r="A47" s="2">
        <v>46</v>
      </c>
      <c r="B47" t="s">
        <v>986</v>
      </c>
      <c r="C47" t="s">
        <v>987</v>
      </c>
      <c r="D47" t="s">
        <v>285</v>
      </c>
      <c r="E47" t="s">
        <v>286</v>
      </c>
      <c r="F47">
        <v>172980</v>
      </c>
      <c r="G47" t="s">
        <v>988</v>
      </c>
      <c r="H47">
        <v>2009</v>
      </c>
      <c r="I47">
        <v>77</v>
      </c>
      <c r="J47">
        <v>10958</v>
      </c>
      <c r="K47">
        <v>4.5</v>
      </c>
      <c r="L47" t="s">
        <v>20</v>
      </c>
      <c r="M47">
        <v>4300</v>
      </c>
      <c r="N47" t="s">
        <v>840</v>
      </c>
      <c r="O47">
        <v>918637659916</v>
      </c>
      <c r="P47" t="s">
        <v>989</v>
      </c>
    </row>
    <row r="48" spans="1:16" x14ac:dyDescent="0.3">
      <c r="A48" s="2">
        <v>47</v>
      </c>
      <c r="B48" t="s">
        <v>990</v>
      </c>
      <c r="C48" t="s">
        <v>991</v>
      </c>
      <c r="D48" t="s">
        <v>292</v>
      </c>
      <c r="E48" t="s">
        <v>293</v>
      </c>
      <c r="F48">
        <v>98180</v>
      </c>
      <c r="G48" t="s">
        <v>992</v>
      </c>
      <c r="H48">
        <v>2015</v>
      </c>
      <c r="I48">
        <v>30</v>
      </c>
      <c r="J48">
        <v>18909</v>
      </c>
      <c r="K48">
        <v>4.5</v>
      </c>
      <c r="L48" t="s">
        <v>20</v>
      </c>
      <c r="M48">
        <v>1733</v>
      </c>
      <c r="N48" t="s">
        <v>811</v>
      </c>
      <c r="O48">
        <v>5126944869</v>
      </c>
      <c r="P48" t="s">
        <v>993</v>
      </c>
    </row>
    <row r="49" spans="1:16" x14ac:dyDescent="0.3">
      <c r="A49" s="2">
        <v>48</v>
      </c>
      <c r="B49" t="s">
        <v>994</v>
      </c>
      <c r="C49" t="s">
        <v>995</v>
      </c>
      <c r="D49" t="s">
        <v>310</v>
      </c>
      <c r="E49" t="s">
        <v>311</v>
      </c>
      <c r="F49">
        <v>621372</v>
      </c>
      <c r="G49" t="s">
        <v>996</v>
      </c>
      <c r="H49">
        <v>2000</v>
      </c>
      <c r="I49">
        <v>34</v>
      </c>
      <c r="J49">
        <v>18745</v>
      </c>
      <c r="K49">
        <v>3.7</v>
      </c>
      <c r="L49" t="s">
        <v>20</v>
      </c>
      <c r="M49">
        <v>3244</v>
      </c>
      <c r="N49" t="s">
        <v>811</v>
      </c>
      <c r="O49">
        <v>5890260127</v>
      </c>
      <c r="P49" t="s">
        <v>997</v>
      </c>
    </row>
    <row r="50" spans="1:16" x14ac:dyDescent="0.3">
      <c r="A50" s="2">
        <v>49</v>
      </c>
      <c r="B50" t="s">
        <v>998</v>
      </c>
      <c r="C50" t="s">
        <v>999</v>
      </c>
      <c r="D50" t="s">
        <v>310</v>
      </c>
      <c r="E50" t="s">
        <v>311</v>
      </c>
      <c r="F50">
        <v>902770</v>
      </c>
      <c r="G50" t="s">
        <v>1000</v>
      </c>
      <c r="H50">
        <v>2009</v>
      </c>
      <c r="I50">
        <v>18</v>
      </c>
      <c r="J50">
        <v>7723</v>
      </c>
      <c r="K50">
        <v>4.0999999999999996</v>
      </c>
      <c r="L50" t="s">
        <v>20</v>
      </c>
      <c r="M50">
        <v>3939</v>
      </c>
      <c r="N50" t="s">
        <v>840</v>
      </c>
      <c r="O50">
        <v>910988392053</v>
      </c>
      <c r="P50" t="s">
        <v>1001</v>
      </c>
    </row>
    <row r="51" spans="1:16" x14ac:dyDescent="0.3">
      <c r="A51" s="2">
        <v>50</v>
      </c>
      <c r="B51" t="s">
        <v>1002</v>
      </c>
      <c r="C51" t="s">
        <v>1003</v>
      </c>
      <c r="D51" t="s">
        <v>327</v>
      </c>
      <c r="E51" t="s">
        <v>327</v>
      </c>
      <c r="F51">
        <v>118489</v>
      </c>
      <c r="G51" t="s">
        <v>1004</v>
      </c>
      <c r="H51">
        <v>2004</v>
      </c>
      <c r="I51">
        <v>96</v>
      </c>
      <c r="J51">
        <v>10169</v>
      </c>
      <c r="K51">
        <v>3.2</v>
      </c>
      <c r="L51" t="s">
        <v>20</v>
      </c>
      <c r="M51">
        <v>4757</v>
      </c>
      <c r="N51" t="s">
        <v>840</v>
      </c>
      <c r="O51">
        <v>919376904268</v>
      </c>
      <c r="P51" t="s">
        <v>1005</v>
      </c>
    </row>
    <row r="52" spans="1:16" x14ac:dyDescent="0.3">
      <c r="A52" s="2">
        <v>51</v>
      </c>
      <c r="B52" t="s">
        <v>1006</v>
      </c>
      <c r="C52" t="s">
        <v>1007</v>
      </c>
      <c r="D52" t="s">
        <v>305</v>
      </c>
      <c r="E52" t="s">
        <v>306</v>
      </c>
      <c r="F52">
        <v>697357</v>
      </c>
      <c r="G52" t="s">
        <v>1008</v>
      </c>
      <c r="H52">
        <v>2014</v>
      </c>
      <c r="I52">
        <v>100</v>
      </c>
      <c r="J52">
        <v>3782</v>
      </c>
      <c r="K52">
        <v>4.2</v>
      </c>
      <c r="L52" t="s">
        <v>20</v>
      </c>
      <c r="M52">
        <v>3730</v>
      </c>
      <c r="N52" t="s">
        <v>811</v>
      </c>
      <c r="O52">
        <v>914163356588</v>
      </c>
      <c r="P52" t="s">
        <v>1009</v>
      </c>
    </row>
    <row r="53" spans="1:16" x14ac:dyDescent="0.3">
      <c r="A53" s="2">
        <v>52</v>
      </c>
      <c r="B53" t="s">
        <v>1010</v>
      </c>
      <c r="C53" t="s">
        <v>1011</v>
      </c>
      <c r="D53" t="s">
        <v>292</v>
      </c>
      <c r="E53" t="s">
        <v>293</v>
      </c>
      <c r="F53">
        <v>539423</v>
      </c>
      <c r="G53" t="s">
        <v>1012</v>
      </c>
      <c r="H53">
        <v>2018</v>
      </c>
      <c r="I53">
        <v>12</v>
      </c>
      <c r="J53">
        <v>15253</v>
      </c>
      <c r="K53">
        <v>4.3</v>
      </c>
      <c r="L53" t="s">
        <v>20</v>
      </c>
      <c r="M53">
        <v>2439</v>
      </c>
      <c r="N53" t="s">
        <v>840</v>
      </c>
      <c r="O53">
        <v>3433339521</v>
      </c>
      <c r="P53" t="s">
        <v>1013</v>
      </c>
    </row>
    <row r="54" spans="1:16" x14ac:dyDescent="0.3">
      <c r="A54" s="2">
        <v>53</v>
      </c>
      <c r="B54" t="s">
        <v>1014</v>
      </c>
      <c r="C54" t="s">
        <v>1015</v>
      </c>
      <c r="D54" t="s">
        <v>321</v>
      </c>
      <c r="E54" t="s">
        <v>322</v>
      </c>
      <c r="F54">
        <v>284639</v>
      </c>
      <c r="G54" t="s">
        <v>1016</v>
      </c>
      <c r="H54">
        <v>2010</v>
      </c>
      <c r="I54">
        <v>55</v>
      </c>
      <c r="J54">
        <v>11690</v>
      </c>
      <c r="K54">
        <v>3.6</v>
      </c>
      <c r="L54" t="s">
        <v>21</v>
      </c>
      <c r="M54">
        <v>2413</v>
      </c>
      <c r="N54" t="s">
        <v>811</v>
      </c>
      <c r="O54">
        <v>7808562718</v>
      </c>
      <c r="P54" t="s">
        <v>1017</v>
      </c>
    </row>
    <row r="55" spans="1:16" x14ac:dyDescent="0.3">
      <c r="A55" s="2">
        <v>54</v>
      </c>
      <c r="B55" t="s">
        <v>1018</v>
      </c>
      <c r="C55" t="s">
        <v>1019</v>
      </c>
      <c r="D55" t="s">
        <v>285</v>
      </c>
      <c r="E55" t="s">
        <v>286</v>
      </c>
      <c r="F55">
        <v>942843</v>
      </c>
      <c r="G55" t="s">
        <v>1020</v>
      </c>
      <c r="H55">
        <v>2004</v>
      </c>
      <c r="I55">
        <v>79</v>
      </c>
      <c r="J55">
        <v>4570</v>
      </c>
      <c r="K55">
        <v>3.3</v>
      </c>
      <c r="L55" t="s">
        <v>20</v>
      </c>
      <c r="M55">
        <v>4182</v>
      </c>
      <c r="N55" t="s">
        <v>840</v>
      </c>
      <c r="O55">
        <v>2763655647</v>
      </c>
      <c r="P55" t="s">
        <v>1021</v>
      </c>
    </row>
    <row r="56" spans="1:16" x14ac:dyDescent="0.3">
      <c r="A56" s="2">
        <v>55</v>
      </c>
      <c r="B56" t="s">
        <v>1022</v>
      </c>
      <c r="C56" t="s">
        <v>1023</v>
      </c>
      <c r="D56" t="s">
        <v>305</v>
      </c>
      <c r="E56" t="s">
        <v>306</v>
      </c>
      <c r="F56">
        <v>270267</v>
      </c>
      <c r="G56" t="s">
        <v>1024</v>
      </c>
      <c r="H56">
        <v>2013</v>
      </c>
      <c r="I56">
        <v>20</v>
      </c>
      <c r="J56">
        <v>18561</v>
      </c>
      <c r="K56">
        <v>3.7</v>
      </c>
      <c r="L56" t="s">
        <v>20</v>
      </c>
      <c r="M56">
        <v>4202</v>
      </c>
      <c r="N56" t="s">
        <v>840</v>
      </c>
      <c r="O56">
        <v>5744890612</v>
      </c>
      <c r="P56" t="s">
        <v>1025</v>
      </c>
    </row>
    <row r="57" spans="1:16" x14ac:dyDescent="0.3">
      <c r="A57" s="2">
        <v>56</v>
      </c>
      <c r="B57" t="s">
        <v>1026</v>
      </c>
      <c r="C57" t="s">
        <v>1027</v>
      </c>
      <c r="D57" t="s">
        <v>317</v>
      </c>
      <c r="E57" t="s">
        <v>318</v>
      </c>
      <c r="F57">
        <v>506159</v>
      </c>
      <c r="G57" t="s">
        <v>1028</v>
      </c>
      <c r="H57">
        <v>2008</v>
      </c>
      <c r="I57">
        <v>20</v>
      </c>
      <c r="J57">
        <v>3962</v>
      </c>
      <c r="K57">
        <v>3.3</v>
      </c>
      <c r="L57" t="s">
        <v>21</v>
      </c>
      <c r="M57">
        <v>830</v>
      </c>
      <c r="N57" t="s">
        <v>811</v>
      </c>
      <c r="O57">
        <v>5877169472</v>
      </c>
      <c r="P57" t="s">
        <v>1029</v>
      </c>
    </row>
    <row r="58" spans="1:16" x14ac:dyDescent="0.3">
      <c r="A58" s="2">
        <v>57</v>
      </c>
      <c r="B58" t="s">
        <v>1030</v>
      </c>
      <c r="C58" t="s">
        <v>1031</v>
      </c>
      <c r="D58" t="s">
        <v>305</v>
      </c>
      <c r="E58" t="s">
        <v>306</v>
      </c>
      <c r="F58">
        <v>449647</v>
      </c>
      <c r="G58" t="s">
        <v>1032</v>
      </c>
      <c r="H58">
        <v>2004</v>
      </c>
      <c r="I58">
        <v>16</v>
      </c>
      <c r="J58">
        <v>9133</v>
      </c>
      <c r="K58">
        <v>4.9000000000000004</v>
      </c>
      <c r="L58" t="s">
        <v>21</v>
      </c>
      <c r="M58">
        <v>4706</v>
      </c>
      <c r="N58" t="s">
        <v>811</v>
      </c>
      <c r="O58">
        <v>912023413261</v>
      </c>
      <c r="P58" t="s">
        <v>1033</v>
      </c>
    </row>
    <row r="59" spans="1:16" x14ac:dyDescent="0.3">
      <c r="A59" s="2">
        <v>58</v>
      </c>
      <c r="B59" t="s">
        <v>1034</v>
      </c>
      <c r="C59" t="s">
        <v>1035</v>
      </c>
      <c r="D59" t="s">
        <v>321</v>
      </c>
      <c r="E59" t="s">
        <v>322</v>
      </c>
      <c r="F59">
        <v>164334</v>
      </c>
      <c r="G59" t="s">
        <v>1036</v>
      </c>
      <c r="H59">
        <v>2008</v>
      </c>
      <c r="I59">
        <v>27</v>
      </c>
      <c r="J59">
        <v>2018</v>
      </c>
      <c r="K59">
        <v>4.9000000000000004</v>
      </c>
      <c r="L59" t="s">
        <v>21</v>
      </c>
      <c r="M59">
        <v>2546</v>
      </c>
      <c r="N59" t="s">
        <v>811</v>
      </c>
      <c r="O59">
        <v>2005577848</v>
      </c>
      <c r="P59" t="s">
        <v>1037</v>
      </c>
    </row>
    <row r="60" spans="1:16" x14ac:dyDescent="0.3">
      <c r="A60" s="2">
        <v>59</v>
      </c>
      <c r="B60" t="s">
        <v>1038</v>
      </c>
      <c r="C60" t="s">
        <v>1039</v>
      </c>
      <c r="D60" t="s">
        <v>317</v>
      </c>
      <c r="E60" t="s">
        <v>318</v>
      </c>
      <c r="F60">
        <v>831745</v>
      </c>
      <c r="G60" t="s">
        <v>1040</v>
      </c>
      <c r="H60">
        <v>2003</v>
      </c>
      <c r="I60">
        <v>22</v>
      </c>
      <c r="J60">
        <v>4979</v>
      </c>
      <c r="K60">
        <v>3</v>
      </c>
      <c r="L60" t="s">
        <v>20</v>
      </c>
      <c r="M60">
        <v>1570</v>
      </c>
      <c r="N60" t="s">
        <v>811</v>
      </c>
      <c r="O60">
        <v>82547807</v>
      </c>
      <c r="P60" t="s">
        <v>1041</v>
      </c>
    </row>
    <row r="61" spans="1:16" x14ac:dyDescent="0.3">
      <c r="A61" s="2">
        <v>60</v>
      </c>
      <c r="B61" t="s">
        <v>1042</v>
      </c>
      <c r="C61" t="s">
        <v>1043</v>
      </c>
      <c r="D61" t="s">
        <v>310</v>
      </c>
      <c r="E61" t="s">
        <v>311</v>
      </c>
      <c r="F61">
        <v>632663</v>
      </c>
      <c r="G61" t="s">
        <v>1044</v>
      </c>
      <c r="H61">
        <v>2011</v>
      </c>
      <c r="I61">
        <v>92</v>
      </c>
      <c r="J61">
        <v>3753</v>
      </c>
      <c r="K61">
        <v>4.2</v>
      </c>
      <c r="L61" t="s">
        <v>21</v>
      </c>
      <c r="M61">
        <v>1114</v>
      </c>
      <c r="N61" t="s">
        <v>811</v>
      </c>
      <c r="O61">
        <v>3894484631</v>
      </c>
      <c r="P61" t="s">
        <v>1045</v>
      </c>
    </row>
    <row r="62" spans="1:16" x14ac:dyDescent="0.3">
      <c r="A62" s="2">
        <v>61</v>
      </c>
      <c r="B62" t="s">
        <v>1046</v>
      </c>
      <c r="C62" t="s">
        <v>1047</v>
      </c>
      <c r="D62" t="s">
        <v>272</v>
      </c>
      <c r="E62" t="s">
        <v>273</v>
      </c>
      <c r="F62">
        <v>20802</v>
      </c>
      <c r="G62" t="s">
        <v>1048</v>
      </c>
      <c r="H62">
        <v>2006</v>
      </c>
      <c r="I62">
        <v>87</v>
      </c>
      <c r="J62">
        <v>15530</v>
      </c>
      <c r="K62">
        <v>4.5999999999999996</v>
      </c>
      <c r="L62" t="s">
        <v>20</v>
      </c>
      <c r="M62">
        <v>3216</v>
      </c>
      <c r="N62" t="s">
        <v>811</v>
      </c>
      <c r="O62">
        <v>917031207356</v>
      </c>
      <c r="P62" t="s">
        <v>1049</v>
      </c>
    </row>
    <row r="63" spans="1:16" x14ac:dyDescent="0.3">
      <c r="A63" s="2">
        <v>62</v>
      </c>
      <c r="B63" t="s">
        <v>1050</v>
      </c>
      <c r="C63" t="s">
        <v>1051</v>
      </c>
      <c r="D63" t="s">
        <v>327</v>
      </c>
      <c r="E63" t="s">
        <v>327</v>
      </c>
      <c r="F63">
        <v>872346</v>
      </c>
      <c r="G63" t="s">
        <v>1052</v>
      </c>
      <c r="H63">
        <v>2014</v>
      </c>
      <c r="I63">
        <v>11</v>
      </c>
      <c r="J63">
        <v>6504</v>
      </c>
      <c r="K63">
        <v>4.8</v>
      </c>
      <c r="L63" t="s">
        <v>21</v>
      </c>
      <c r="M63">
        <v>3735</v>
      </c>
      <c r="N63" t="s">
        <v>840</v>
      </c>
      <c r="O63">
        <v>7303718376</v>
      </c>
      <c r="P63" t="s">
        <v>1053</v>
      </c>
    </row>
    <row r="64" spans="1:16" x14ac:dyDescent="0.3">
      <c r="A64" s="2">
        <v>63</v>
      </c>
      <c r="B64" t="s">
        <v>1054</v>
      </c>
      <c r="C64" t="s">
        <v>1055</v>
      </c>
      <c r="D64" t="s">
        <v>327</v>
      </c>
      <c r="E64" t="s">
        <v>327</v>
      </c>
      <c r="F64">
        <v>313650</v>
      </c>
      <c r="G64" t="s">
        <v>1056</v>
      </c>
      <c r="H64">
        <v>2012</v>
      </c>
      <c r="I64">
        <v>92</v>
      </c>
      <c r="J64">
        <v>14980</v>
      </c>
      <c r="K64">
        <v>3.3</v>
      </c>
      <c r="L64" t="s">
        <v>20</v>
      </c>
      <c r="M64">
        <v>2033</v>
      </c>
      <c r="N64" t="s">
        <v>840</v>
      </c>
      <c r="O64">
        <v>3009792513</v>
      </c>
      <c r="P64" t="s">
        <v>1057</v>
      </c>
    </row>
    <row r="65" spans="1:16" x14ac:dyDescent="0.3">
      <c r="A65" s="2">
        <v>64</v>
      </c>
      <c r="B65" t="s">
        <v>1058</v>
      </c>
      <c r="C65" t="s">
        <v>1059</v>
      </c>
      <c r="D65" t="s">
        <v>321</v>
      </c>
      <c r="E65" t="s">
        <v>322</v>
      </c>
      <c r="F65">
        <v>735857</v>
      </c>
      <c r="G65" t="s">
        <v>1060</v>
      </c>
      <c r="H65">
        <v>2014</v>
      </c>
      <c r="I65">
        <v>24</v>
      </c>
      <c r="J65">
        <v>2135</v>
      </c>
      <c r="K65">
        <v>4.2</v>
      </c>
      <c r="L65" t="s">
        <v>20</v>
      </c>
      <c r="M65">
        <v>2917</v>
      </c>
      <c r="N65" t="s">
        <v>840</v>
      </c>
      <c r="O65">
        <v>2407784873</v>
      </c>
      <c r="P65" t="s">
        <v>1061</v>
      </c>
    </row>
    <row r="66" spans="1:16" x14ac:dyDescent="0.3">
      <c r="A66" s="2">
        <v>65</v>
      </c>
      <c r="B66" t="s">
        <v>1062</v>
      </c>
      <c r="C66" t="s">
        <v>1063</v>
      </c>
      <c r="D66" t="s">
        <v>310</v>
      </c>
      <c r="E66" t="s">
        <v>311</v>
      </c>
      <c r="F66">
        <v>857086</v>
      </c>
      <c r="G66" t="s">
        <v>1064</v>
      </c>
      <c r="H66">
        <v>2017</v>
      </c>
      <c r="I66">
        <v>66</v>
      </c>
      <c r="J66">
        <v>2998</v>
      </c>
      <c r="K66">
        <v>3.2</v>
      </c>
      <c r="L66" t="s">
        <v>21</v>
      </c>
      <c r="M66">
        <v>1624</v>
      </c>
      <c r="N66" t="s">
        <v>840</v>
      </c>
      <c r="O66">
        <v>3518638782</v>
      </c>
      <c r="P66" t="s">
        <v>1065</v>
      </c>
    </row>
    <row r="67" spans="1:16" x14ac:dyDescent="0.3">
      <c r="A67" s="2">
        <v>66</v>
      </c>
      <c r="B67" t="s">
        <v>1066</v>
      </c>
      <c r="C67" t="s">
        <v>1067</v>
      </c>
      <c r="D67" t="s">
        <v>285</v>
      </c>
      <c r="E67" t="s">
        <v>286</v>
      </c>
      <c r="F67">
        <v>317310</v>
      </c>
      <c r="G67" t="s">
        <v>1068</v>
      </c>
      <c r="H67">
        <v>2020</v>
      </c>
      <c r="I67">
        <v>72</v>
      </c>
      <c r="J67">
        <v>9164</v>
      </c>
      <c r="K67">
        <v>4.3</v>
      </c>
      <c r="L67" t="s">
        <v>20</v>
      </c>
      <c r="M67">
        <v>3633</v>
      </c>
      <c r="N67" t="s">
        <v>806</v>
      </c>
      <c r="O67">
        <v>9405391037</v>
      </c>
      <c r="P67" t="s">
        <v>1069</v>
      </c>
    </row>
    <row r="68" spans="1:16" x14ac:dyDescent="0.3">
      <c r="A68" s="2">
        <v>67</v>
      </c>
      <c r="B68" t="s">
        <v>1070</v>
      </c>
      <c r="C68" t="s">
        <v>1071</v>
      </c>
      <c r="D68" t="s">
        <v>305</v>
      </c>
      <c r="E68" t="s">
        <v>306</v>
      </c>
      <c r="F68">
        <v>413811</v>
      </c>
      <c r="G68" t="s">
        <v>336</v>
      </c>
      <c r="H68">
        <v>2015</v>
      </c>
      <c r="I68">
        <v>74</v>
      </c>
      <c r="J68">
        <v>16881</v>
      </c>
      <c r="K68">
        <v>3.7</v>
      </c>
      <c r="L68" t="s">
        <v>21</v>
      </c>
      <c r="M68">
        <v>3681</v>
      </c>
      <c r="N68" t="s">
        <v>840</v>
      </c>
      <c r="O68">
        <v>918392886195</v>
      </c>
      <c r="P68" t="s">
        <v>1072</v>
      </c>
    </row>
    <row r="69" spans="1:16" x14ac:dyDescent="0.3">
      <c r="A69" s="2">
        <v>68</v>
      </c>
      <c r="B69" t="s">
        <v>1073</v>
      </c>
      <c r="C69" t="s">
        <v>1074</v>
      </c>
      <c r="D69" t="s">
        <v>300</v>
      </c>
      <c r="E69" t="s">
        <v>301</v>
      </c>
      <c r="F69">
        <v>558556</v>
      </c>
      <c r="G69" t="s">
        <v>1075</v>
      </c>
      <c r="H69">
        <v>2000</v>
      </c>
      <c r="I69">
        <v>45</v>
      </c>
      <c r="J69">
        <v>8176</v>
      </c>
      <c r="K69">
        <v>3.1</v>
      </c>
      <c r="L69" t="s">
        <v>21</v>
      </c>
      <c r="M69">
        <v>979</v>
      </c>
      <c r="N69" t="s">
        <v>840</v>
      </c>
      <c r="O69">
        <v>8368457760</v>
      </c>
      <c r="P69" t="s">
        <v>1076</v>
      </c>
    </row>
    <row r="70" spans="1:16" x14ac:dyDescent="0.3">
      <c r="A70" s="2">
        <v>69</v>
      </c>
      <c r="B70" t="s">
        <v>1077</v>
      </c>
      <c r="C70" t="s">
        <v>1078</v>
      </c>
      <c r="D70" t="s">
        <v>348</v>
      </c>
      <c r="E70" t="s">
        <v>273</v>
      </c>
      <c r="F70">
        <v>488899</v>
      </c>
      <c r="G70" t="s">
        <v>1079</v>
      </c>
      <c r="H70">
        <v>2011</v>
      </c>
      <c r="I70">
        <v>79</v>
      </c>
      <c r="J70">
        <v>8627</v>
      </c>
      <c r="K70">
        <v>4.9000000000000004</v>
      </c>
      <c r="L70" t="s">
        <v>20</v>
      </c>
      <c r="M70">
        <v>2530</v>
      </c>
      <c r="N70" t="s">
        <v>806</v>
      </c>
      <c r="O70">
        <v>5224593344</v>
      </c>
      <c r="P70" t="s">
        <v>1080</v>
      </c>
    </row>
    <row r="71" spans="1:16" x14ac:dyDescent="0.3">
      <c r="A71" s="2">
        <v>70</v>
      </c>
      <c r="B71" t="s">
        <v>1081</v>
      </c>
      <c r="C71" t="s">
        <v>1082</v>
      </c>
      <c r="D71" t="s">
        <v>285</v>
      </c>
      <c r="E71" t="s">
        <v>286</v>
      </c>
      <c r="F71">
        <v>961055</v>
      </c>
      <c r="G71" t="s">
        <v>1083</v>
      </c>
      <c r="H71">
        <v>2008</v>
      </c>
      <c r="I71">
        <v>73</v>
      </c>
      <c r="J71">
        <v>2832</v>
      </c>
      <c r="K71">
        <v>4.5</v>
      </c>
      <c r="L71" t="s">
        <v>20</v>
      </c>
      <c r="M71">
        <v>3681</v>
      </c>
      <c r="N71" t="s">
        <v>840</v>
      </c>
      <c r="O71">
        <v>919060480589</v>
      </c>
      <c r="P71" t="s">
        <v>1084</v>
      </c>
    </row>
    <row r="72" spans="1:16" x14ac:dyDescent="0.3">
      <c r="A72" s="2">
        <v>71</v>
      </c>
      <c r="B72" t="s">
        <v>1085</v>
      </c>
      <c r="C72" t="s">
        <v>1086</v>
      </c>
      <c r="D72" t="s">
        <v>300</v>
      </c>
      <c r="E72" t="s">
        <v>301</v>
      </c>
      <c r="F72">
        <v>646225</v>
      </c>
      <c r="G72" t="s">
        <v>1087</v>
      </c>
      <c r="H72">
        <v>2005</v>
      </c>
      <c r="I72">
        <v>35</v>
      </c>
      <c r="J72">
        <v>11420</v>
      </c>
      <c r="K72">
        <v>4.5999999999999996</v>
      </c>
      <c r="L72" t="s">
        <v>21</v>
      </c>
      <c r="M72">
        <v>731</v>
      </c>
      <c r="N72" t="s">
        <v>806</v>
      </c>
      <c r="O72">
        <v>6416862278</v>
      </c>
      <c r="P72" t="s">
        <v>1088</v>
      </c>
    </row>
    <row r="73" spans="1:16" x14ac:dyDescent="0.3">
      <c r="A73" s="2">
        <v>72</v>
      </c>
      <c r="B73" t="s">
        <v>1089</v>
      </c>
      <c r="C73" t="s">
        <v>1051</v>
      </c>
      <c r="D73" t="s">
        <v>305</v>
      </c>
      <c r="E73" t="s">
        <v>306</v>
      </c>
      <c r="F73">
        <v>911665</v>
      </c>
      <c r="G73" t="s">
        <v>1090</v>
      </c>
      <c r="H73">
        <v>2018</v>
      </c>
      <c r="I73">
        <v>77</v>
      </c>
      <c r="J73">
        <v>5656</v>
      </c>
      <c r="K73">
        <v>4.0999999999999996</v>
      </c>
      <c r="L73" t="s">
        <v>20</v>
      </c>
      <c r="M73">
        <v>4532</v>
      </c>
      <c r="N73" t="s">
        <v>806</v>
      </c>
      <c r="O73">
        <v>9042597927</v>
      </c>
      <c r="P73" t="s">
        <v>1091</v>
      </c>
    </row>
    <row r="74" spans="1:16" x14ac:dyDescent="0.3">
      <c r="A74" s="2">
        <v>73</v>
      </c>
      <c r="B74" t="s">
        <v>1092</v>
      </c>
      <c r="C74" t="s">
        <v>1093</v>
      </c>
      <c r="D74" t="s">
        <v>321</v>
      </c>
      <c r="E74" t="s">
        <v>322</v>
      </c>
      <c r="F74">
        <v>51477</v>
      </c>
      <c r="G74" t="s">
        <v>1094</v>
      </c>
      <c r="H74">
        <v>2005</v>
      </c>
      <c r="I74">
        <v>67</v>
      </c>
      <c r="J74">
        <v>2243</v>
      </c>
      <c r="K74">
        <v>3.2</v>
      </c>
      <c r="L74" t="s">
        <v>20</v>
      </c>
      <c r="M74">
        <v>2292</v>
      </c>
      <c r="N74" t="s">
        <v>811</v>
      </c>
      <c r="O74">
        <v>8338848792</v>
      </c>
      <c r="P74" t="s">
        <v>1095</v>
      </c>
    </row>
    <row r="75" spans="1:16" x14ac:dyDescent="0.3">
      <c r="A75" s="2">
        <v>74</v>
      </c>
      <c r="B75" t="s">
        <v>1096</v>
      </c>
      <c r="C75" t="s">
        <v>1097</v>
      </c>
      <c r="D75" t="s">
        <v>348</v>
      </c>
      <c r="E75" t="s">
        <v>273</v>
      </c>
      <c r="F75">
        <v>16451</v>
      </c>
      <c r="G75" t="s">
        <v>1098</v>
      </c>
      <c r="H75">
        <v>2015</v>
      </c>
      <c r="I75">
        <v>5</v>
      </c>
      <c r="J75">
        <v>11870</v>
      </c>
      <c r="K75">
        <v>4.8</v>
      </c>
      <c r="L75" t="s">
        <v>20</v>
      </c>
      <c r="M75">
        <v>1568</v>
      </c>
      <c r="N75" t="s">
        <v>840</v>
      </c>
      <c r="O75">
        <v>916815798123</v>
      </c>
      <c r="P75" t="s">
        <v>1099</v>
      </c>
    </row>
    <row r="76" spans="1:16" x14ac:dyDescent="0.3">
      <c r="A76" s="2">
        <v>75</v>
      </c>
      <c r="B76" t="s">
        <v>1100</v>
      </c>
      <c r="C76" t="s">
        <v>1101</v>
      </c>
      <c r="D76" t="s">
        <v>300</v>
      </c>
      <c r="E76" t="s">
        <v>301</v>
      </c>
      <c r="F76">
        <v>555438</v>
      </c>
      <c r="G76" t="s">
        <v>1102</v>
      </c>
      <c r="H76">
        <v>2010</v>
      </c>
      <c r="I76">
        <v>12</v>
      </c>
      <c r="J76">
        <v>1718</v>
      </c>
      <c r="K76">
        <v>3.3</v>
      </c>
      <c r="L76" t="s">
        <v>20</v>
      </c>
      <c r="M76">
        <v>1408</v>
      </c>
      <c r="N76" t="s">
        <v>806</v>
      </c>
      <c r="O76">
        <v>843256216</v>
      </c>
      <c r="P76" t="s">
        <v>1103</v>
      </c>
    </row>
    <row r="77" spans="1:16" x14ac:dyDescent="0.3">
      <c r="A77" s="2">
        <v>76</v>
      </c>
      <c r="B77" t="s">
        <v>1104</v>
      </c>
      <c r="C77" t="s">
        <v>1105</v>
      </c>
      <c r="D77" t="s">
        <v>305</v>
      </c>
      <c r="E77" t="s">
        <v>306</v>
      </c>
      <c r="F77">
        <v>298324</v>
      </c>
      <c r="G77" t="s">
        <v>1106</v>
      </c>
      <c r="H77">
        <v>2002</v>
      </c>
      <c r="I77">
        <v>52</v>
      </c>
      <c r="J77">
        <v>13962</v>
      </c>
      <c r="K77">
        <v>4.2</v>
      </c>
      <c r="L77" t="s">
        <v>21</v>
      </c>
      <c r="M77">
        <v>2972</v>
      </c>
      <c r="N77" t="s">
        <v>840</v>
      </c>
      <c r="O77">
        <v>9251881252</v>
      </c>
      <c r="P77" t="s">
        <v>1107</v>
      </c>
    </row>
    <row r="78" spans="1:16" x14ac:dyDescent="0.3">
      <c r="A78" s="2">
        <v>77</v>
      </c>
      <c r="B78" t="s">
        <v>1108</v>
      </c>
      <c r="C78" t="s">
        <v>1109</v>
      </c>
      <c r="D78" t="s">
        <v>300</v>
      </c>
      <c r="E78" t="s">
        <v>301</v>
      </c>
      <c r="F78">
        <v>209949</v>
      </c>
      <c r="G78" t="s">
        <v>1110</v>
      </c>
      <c r="H78">
        <v>2005</v>
      </c>
      <c r="I78">
        <v>98</v>
      </c>
      <c r="J78">
        <v>15315</v>
      </c>
      <c r="K78">
        <v>4.5999999999999996</v>
      </c>
      <c r="L78" t="s">
        <v>21</v>
      </c>
      <c r="M78">
        <v>3099</v>
      </c>
      <c r="N78" t="s">
        <v>811</v>
      </c>
      <c r="O78">
        <v>517289752</v>
      </c>
      <c r="P78" t="s">
        <v>1111</v>
      </c>
    </row>
    <row r="79" spans="1:16" x14ac:dyDescent="0.3">
      <c r="A79" s="2">
        <v>78</v>
      </c>
      <c r="B79" t="s">
        <v>1112</v>
      </c>
      <c r="C79" t="s">
        <v>1113</v>
      </c>
      <c r="D79" t="s">
        <v>348</v>
      </c>
      <c r="E79" t="s">
        <v>273</v>
      </c>
      <c r="F79">
        <v>633312</v>
      </c>
      <c r="G79" t="s">
        <v>1114</v>
      </c>
      <c r="H79">
        <v>2022</v>
      </c>
      <c r="I79">
        <v>83</v>
      </c>
      <c r="J79">
        <v>12692</v>
      </c>
      <c r="K79">
        <v>3.4</v>
      </c>
      <c r="L79" t="s">
        <v>20</v>
      </c>
      <c r="M79">
        <v>3599</v>
      </c>
      <c r="N79" t="s">
        <v>840</v>
      </c>
      <c r="O79">
        <v>3660965699</v>
      </c>
      <c r="P79" t="s">
        <v>1115</v>
      </c>
    </row>
    <row r="80" spans="1:16" x14ac:dyDescent="0.3">
      <c r="A80" s="2">
        <v>79</v>
      </c>
      <c r="B80" t="s">
        <v>1116</v>
      </c>
      <c r="C80" t="s">
        <v>1117</v>
      </c>
      <c r="D80" t="s">
        <v>321</v>
      </c>
      <c r="E80" t="s">
        <v>322</v>
      </c>
      <c r="F80">
        <v>803476</v>
      </c>
      <c r="G80" t="s">
        <v>1118</v>
      </c>
      <c r="H80">
        <v>2004</v>
      </c>
      <c r="I80">
        <v>27</v>
      </c>
      <c r="J80">
        <v>1058</v>
      </c>
      <c r="K80">
        <v>4.9000000000000004</v>
      </c>
      <c r="L80" t="s">
        <v>21</v>
      </c>
      <c r="M80">
        <v>765</v>
      </c>
      <c r="N80" t="s">
        <v>811</v>
      </c>
      <c r="O80">
        <v>916490827718</v>
      </c>
      <c r="P80" t="s">
        <v>1119</v>
      </c>
    </row>
    <row r="81" spans="1:16" x14ac:dyDescent="0.3">
      <c r="A81" s="2">
        <v>80</v>
      </c>
      <c r="B81" t="s">
        <v>1120</v>
      </c>
      <c r="C81" t="s">
        <v>1121</v>
      </c>
      <c r="D81" t="s">
        <v>292</v>
      </c>
      <c r="E81" t="s">
        <v>293</v>
      </c>
      <c r="F81">
        <v>714521</v>
      </c>
      <c r="G81" t="s">
        <v>1122</v>
      </c>
      <c r="H81">
        <v>2010</v>
      </c>
      <c r="I81">
        <v>83</v>
      </c>
      <c r="J81">
        <v>8238</v>
      </c>
      <c r="K81">
        <v>4.3</v>
      </c>
      <c r="L81" t="s">
        <v>20</v>
      </c>
      <c r="M81">
        <v>4564</v>
      </c>
      <c r="N81" t="s">
        <v>811</v>
      </c>
      <c r="O81">
        <v>5186892686</v>
      </c>
      <c r="P81" t="s">
        <v>1123</v>
      </c>
    </row>
    <row r="82" spans="1:16" x14ac:dyDescent="0.3">
      <c r="A82" s="2">
        <v>81</v>
      </c>
      <c r="B82" t="s">
        <v>1124</v>
      </c>
      <c r="C82" t="s">
        <v>1125</v>
      </c>
      <c r="D82" t="s">
        <v>305</v>
      </c>
      <c r="E82" t="s">
        <v>306</v>
      </c>
      <c r="F82">
        <v>742123</v>
      </c>
      <c r="G82" t="s">
        <v>1126</v>
      </c>
      <c r="H82">
        <v>2002</v>
      </c>
      <c r="I82">
        <v>35</v>
      </c>
      <c r="J82">
        <v>12364</v>
      </c>
      <c r="K82">
        <v>5</v>
      </c>
      <c r="L82" t="s">
        <v>20</v>
      </c>
      <c r="M82">
        <v>1226</v>
      </c>
      <c r="N82" t="s">
        <v>806</v>
      </c>
      <c r="O82">
        <v>7780973397</v>
      </c>
      <c r="P82" t="s">
        <v>1127</v>
      </c>
    </row>
    <row r="83" spans="1:16" x14ac:dyDescent="0.3">
      <c r="A83" s="2">
        <v>82</v>
      </c>
      <c r="B83" t="s">
        <v>1128</v>
      </c>
      <c r="C83" t="s">
        <v>1129</v>
      </c>
      <c r="D83" t="s">
        <v>305</v>
      </c>
      <c r="E83" t="s">
        <v>306</v>
      </c>
      <c r="F83">
        <v>205020</v>
      </c>
      <c r="G83" t="s">
        <v>1130</v>
      </c>
      <c r="H83">
        <v>2014</v>
      </c>
      <c r="I83">
        <v>6</v>
      </c>
      <c r="J83">
        <v>9690</v>
      </c>
      <c r="K83">
        <v>3.4</v>
      </c>
      <c r="L83" t="s">
        <v>20</v>
      </c>
      <c r="M83">
        <v>3371</v>
      </c>
      <c r="N83" t="s">
        <v>840</v>
      </c>
      <c r="O83">
        <v>911622499982</v>
      </c>
      <c r="P83" t="s">
        <v>1131</v>
      </c>
    </row>
    <row r="84" spans="1:16" x14ac:dyDescent="0.3">
      <c r="A84" s="2">
        <v>83</v>
      </c>
      <c r="B84" t="s">
        <v>1132</v>
      </c>
      <c r="C84" t="s">
        <v>1133</v>
      </c>
      <c r="D84" t="s">
        <v>272</v>
      </c>
      <c r="E84" t="s">
        <v>273</v>
      </c>
      <c r="F84">
        <v>472145</v>
      </c>
      <c r="G84" t="s">
        <v>1134</v>
      </c>
      <c r="H84">
        <v>2000</v>
      </c>
      <c r="I84">
        <v>11</v>
      </c>
      <c r="J84">
        <v>13646</v>
      </c>
      <c r="K84">
        <v>3.9</v>
      </c>
      <c r="L84" t="s">
        <v>21</v>
      </c>
      <c r="M84">
        <v>1862</v>
      </c>
      <c r="N84" t="s">
        <v>840</v>
      </c>
      <c r="O84">
        <v>198179469</v>
      </c>
      <c r="P84" t="s">
        <v>1135</v>
      </c>
    </row>
    <row r="85" spans="1:16" x14ac:dyDescent="0.3">
      <c r="A85" s="2">
        <v>84</v>
      </c>
      <c r="B85" t="s">
        <v>1136</v>
      </c>
      <c r="C85" t="s">
        <v>1137</v>
      </c>
      <c r="D85" t="s">
        <v>317</v>
      </c>
      <c r="E85" t="s">
        <v>318</v>
      </c>
      <c r="F85">
        <v>430107</v>
      </c>
      <c r="G85" t="s">
        <v>1138</v>
      </c>
      <c r="H85">
        <v>2012</v>
      </c>
      <c r="I85">
        <v>49</v>
      </c>
      <c r="J85">
        <v>18892</v>
      </c>
      <c r="K85">
        <v>3.8</v>
      </c>
      <c r="L85" t="s">
        <v>21</v>
      </c>
      <c r="M85">
        <v>2347</v>
      </c>
      <c r="N85" t="s">
        <v>811</v>
      </c>
      <c r="O85">
        <v>558303441</v>
      </c>
      <c r="P85" t="s">
        <v>1139</v>
      </c>
    </row>
    <row r="86" spans="1:16" x14ac:dyDescent="0.3">
      <c r="A86" s="2">
        <v>85</v>
      </c>
      <c r="B86" t="s">
        <v>1140</v>
      </c>
      <c r="C86" t="s">
        <v>1141</v>
      </c>
      <c r="D86" t="s">
        <v>317</v>
      </c>
      <c r="E86" t="s">
        <v>318</v>
      </c>
      <c r="F86">
        <v>355770</v>
      </c>
      <c r="G86" t="s">
        <v>1142</v>
      </c>
      <c r="H86">
        <v>2002</v>
      </c>
      <c r="I86">
        <v>9</v>
      </c>
      <c r="J86">
        <v>10663</v>
      </c>
      <c r="K86">
        <v>3</v>
      </c>
      <c r="L86" t="s">
        <v>21</v>
      </c>
      <c r="M86">
        <v>1357</v>
      </c>
      <c r="N86" t="s">
        <v>811</v>
      </c>
      <c r="O86">
        <v>7857608495</v>
      </c>
      <c r="P86" t="s">
        <v>1143</v>
      </c>
    </row>
    <row r="87" spans="1:16" x14ac:dyDescent="0.3">
      <c r="A87" s="2">
        <v>86</v>
      </c>
      <c r="B87" t="s">
        <v>1144</v>
      </c>
      <c r="C87" t="s">
        <v>1145</v>
      </c>
      <c r="D87" t="s">
        <v>305</v>
      </c>
      <c r="E87" t="s">
        <v>306</v>
      </c>
      <c r="F87">
        <v>996291</v>
      </c>
      <c r="G87" t="s">
        <v>1146</v>
      </c>
      <c r="H87">
        <v>2005</v>
      </c>
      <c r="I87">
        <v>53</v>
      </c>
      <c r="J87">
        <v>6272</v>
      </c>
      <c r="K87">
        <v>4.5</v>
      </c>
      <c r="L87" t="s">
        <v>20</v>
      </c>
      <c r="M87">
        <v>3268</v>
      </c>
      <c r="N87" t="s">
        <v>806</v>
      </c>
      <c r="O87">
        <v>6173574384</v>
      </c>
      <c r="P87" t="s">
        <v>1147</v>
      </c>
    </row>
    <row r="88" spans="1:16" x14ac:dyDescent="0.3">
      <c r="A88" s="2">
        <v>87</v>
      </c>
      <c r="B88" t="s">
        <v>1148</v>
      </c>
      <c r="C88" t="s">
        <v>1149</v>
      </c>
      <c r="D88" t="s">
        <v>292</v>
      </c>
      <c r="E88" t="s">
        <v>293</v>
      </c>
      <c r="F88">
        <v>357845</v>
      </c>
      <c r="G88" t="s">
        <v>1150</v>
      </c>
      <c r="H88">
        <v>2015</v>
      </c>
      <c r="I88">
        <v>95</v>
      </c>
      <c r="J88">
        <v>2015</v>
      </c>
      <c r="K88">
        <v>3.9</v>
      </c>
      <c r="L88" t="s">
        <v>20</v>
      </c>
      <c r="M88">
        <v>4056</v>
      </c>
      <c r="N88" t="s">
        <v>811</v>
      </c>
      <c r="O88">
        <v>2307681040</v>
      </c>
      <c r="P88" t="s">
        <v>1151</v>
      </c>
    </row>
    <row r="89" spans="1:16" x14ac:dyDescent="0.3">
      <c r="A89" s="2">
        <v>88</v>
      </c>
      <c r="B89" t="s">
        <v>1152</v>
      </c>
      <c r="C89" t="s">
        <v>1153</v>
      </c>
      <c r="D89" t="s">
        <v>327</v>
      </c>
      <c r="E89" t="s">
        <v>327</v>
      </c>
      <c r="F89">
        <v>533448</v>
      </c>
      <c r="G89" t="s">
        <v>1154</v>
      </c>
      <c r="H89">
        <v>2003</v>
      </c>
      <c r="I89">
        <v>47</v>
      </c>
      <c r="J89">
        <v>7735</v>
      </c>
      <c r="K89">
        <v>4.9000000000000004</v>
      </c>
      <c r="L89" t="s">
        <v>21</v>
      </c>
      <c r="M89">
        <v>4924</v>
      </c>
      <c r="N89" t="s">
        <v>840</v>
      </c>
      <c r="O89">
        <v>2241098813</v>
      </c>
      <c r="P89" t="s">
        <v>1155</v>
      </c>
    </row>
    <row r="90" spans="1:16" x14ac:dyDescent="0.3">
      <c r="A90" s="2">
        <v>89</v>
      </c>
      <c r="B90" t="s">
        <v>1156</v>
      </c>
      <c r="C90" t="s">
        <v>1157</v>
      </c>
      <c r="D90" t="s">
        <v>321</v>
      </c>
      <c r="E90" t="s">
        <v>322</v>
      </c>
      <c r="F90">
        <v>20701</v>
      </c>
      <c r="G90" t="s">
        <v>1158</v>
      </c>
      <c r="H90">
        <v>2009</v>
      </c>
      <c r="I90">
        <v>35</v>
      </c>
      <c r="J90">
        <v>4142</v>
      </c>
      <c r="K90">
        <v>3.1</v>
      </c>
      <c r="L90" t="s">
        <v>21</v>
      </c>
      <c r="M90">
        <v>1758</v>
      </c>
      <c r="N90" t="s">
        <v>811</v>
      </c>
      <c r="O90">
        <v>6299795453</v>
      </c>
      <c r="P90" t="s">
        <v>1159</v>
      </c>
    </row>
    <row r="91" spans="1:16" x14ac:dyDescent="0.3">
      <c r="A91" s="2">
        <v>90</v>
      </c>
      <c r="B91" t="s">
        <v>1160</v>
      </c>
      <c r="C91" t="s">
        <v>1161</v>
      </c>
      <c r="D91" t="s">
        <v>305</v>
      </c>
      <c r="E91" t="s">
        <v>306</v>
      </c>
      <c r="F91">
        <v>329456</v>
      </c>
      <c r="G91" t="s">
        <v>1162</v>
      </c>
      <c r="H91">
        <v>2000</v>
      </c>
      <c r="I91">
        <v>59</v>
      </c>
      <c r="J91">
        <v>3871</v>
      </c>
      <c r="K91">
        <v>3.6</v>
      </c>
      <c r="L91" t="s">
        <v>21</v>
      </c>
      <c r="M91">
        <v>2135</v>
      </c>
      <c r="N91" t="s">
        <v>811</v>
      </c>
      <c r="O91">
        <v>7017157724</v>
      </c>
      <c r="P91" t="s">
        <v>1163</v>
      </c>
    </row>
    <row r="92" spans="1:16" x14ac:dyDescent="0.3">
      <c r="A92" s="2">
        <v>91</v>
      </c>
      <c r="B92" t="s">
        <v>1164</v>
      </c>
      <c r="C92" t="s">
        <v>1165</v>
      </c>
      <c r="D92" t="s">
        <v>327</v>
      </c>
      <c r="E92" t="s">
        <v>327</v>
      </c>
      <c r="F92">
        <v>696393</v>
      </c>
      <c r="G92" t="s">
        <v>1166</v>
      </c>
      <c r="H92">
        <v>2006</v>
      </c>
      <c r="I92">
        <v>26</v>
      </c>
      <c r="J92">
        <v>10562</v>
      </c>
      <c r="K92">
        <v>5</v>
      </c>
      <c r="L92" t="s">
        <v>21</v>
      </c>
      <c r="M92">
        <v>1446</v>
      </c>
      <c r="N92" t="s">
        <v>840</v>
      </c>
      <c r="O92">
        <v>915396695832</v>
      </c>
      <c r="P92" t="s">
        <v>1167</v>
      </c>
    </row>
    <row r="93" spans="1:16" x14ac:dyDescent="0.3">
      <c r="A93" s="2">
        <v>92</v>
      </c>
      <c r="B93" t="s">
        <v>1168</v>
      </c>
      <c r="C93" t="s">
        <v>1169</v>
      </c>
      <c r="D93" t="s">
        <v>310</v>
      </c>
      <c r="E93" t="s">
        <v>311</v>
      </c>
      <c r="F93">
        <v>919657</v>
      </c>
      <c r="G93" t="s">
        <v>1170</v>
      </c>
      <c r="H93">
        <v>2015</v>
      </c>
      <c r="I93">
        <v>67</v>
      </c>
      <c r="J93">
        <v>9683</v>
      </c>
      <c r="K93">
        <v>3.2</v>
      </c>
      <c r="L93" t="s">
        <v>21</v>
      </c>
      <c r="M93">
        <v>2014</v>
      </c>
      <c r="N93" t="s">
        <v>840</v>
      </c>
      <c r="O93">
        <v>919022784699</v>
      </c>
      <c r="P93" t="s">
        <v>1171</v>
      </c>
    </row>
    <row r="94" spans="1:16" x14ac:dyDescent="0.3">
      <c r="A94" s="2">
        <v>93</v>
      </c>
      <c r="B94" t="s">
        <v>1172</v>
      </c>
      <c r="C94" t="s">
        <v>1173</v>
      </c>
      <c r="D94" t="s">
        <v>310</v>
      </c>
      <c r="E94" t="s">
        <v>311</v>
      </c>
      <c r="F94">
        <v>240580</v>
      </c>
      <c r="G94" t="s">
        <v>1174</v>
      </c>
      <c r="H94">
        <v>2011</v>
      </c>
      <c r="I94">
        <v>28</v>
      </c>
      <c r="J94">
        <v>15607</v>
      </c>
      <c r="K94">
        <v>3.1</v>
      </c>
      <c r="L94" t="s">
        <v>21</v>
      </c>
      <c r="M94">
        <v>4309</v>
      </c>
      <c r="N94" t="s">
        <v>840</v>
      </c>
      <c r="O94">
        <v>369656666</v>
      </c>
      <c r="P94" t="s">
        <v>1175</v>
      </c>
    </row>
    <row r="95" spans="1:16" x14ac:dyDescent="0.3">
      <c r="A95" s="2">
        <v>94</v>
      </c>
      <c r="B95" t="s">
        <v>1176</v>
      </c>
      <c r="C95" t="s">
        <v>1177</v>
      </c>
      <c r="D95" t="s">
        <v>285</v>
      </c>
      <c r="E95" t="s">
        <v>286</v>
      </c>
      <c r="F95">
        <v>220102</v>
      </c>
      <c r="G95" t="s">
        <v>1178</v>
      </c>
      <c r="H95">
        <v>2008</v>
      </c>
      <c r="I95">
        <v>77</v>
      </c>
      <c r="J95">
        <v>3019</v>
      </c>
      <c r="K95">
        <v>3.3</v>
      </c>
      <c r="L95" t="s">
        <v>20</v>
      </c>
      <c r="M95">
        <v>1202</v>
      </c>
      <c r="N95" t="s">
        <v>806</v>
      </c>
      <c r="O95">
        <v>912679692786</v>
      </c>
      <c r="P95" t="s">
        <v>1179</v>
      </c>
    </row>
    <row r="96" spans="1:16" x14ac:dyDescent="0.3">
      <c r="A96" s="2">
        <v>95</v>
      </c>
      <c r="B96" t="s">
        <v>1180</v>
      </c>
      <c r="C96" t="s">
        <v>1181</v>
      </c>
      <c r="D96" t="s">
        <v>305</v>
      </c>
      <c r="E96" t="s">
        <v>306</v>
      </c>
      <c r="F96">
        <v>846895</v>
      </c>
      <c r="G96" t="s">
        <v>1182</v>
      </c>
      <c r="H96">
        <v>2017</v>
      </c>
      <c r="I96">
        <v>57</v>
      </c>
      <c r="J96">
        <v>8455</v>
      </c>
      <c r="K96">
        <v>4.0999999999999996</v>
      </c>
      <c r="L96" t="s">
        <v>21</v>
      </c>
      <c r="M96">
        <v>4780</v>
      </c>
      <c r="N96" t="s">
        <v>840</v>
      </c>
      <c r="O96">
        <v>5197128478</v>
      </c>
      <c r="P96" t="s">
        <v>1183</v>
      </c>
    </row>
    <row r="97" spans="1:16" x14ac:dyDescent="0.3">
      <c r="A97" s="2">
        <v>96</v>
      </c>
      <c r="B97" t="s">
        <v>1184</v>
      </c>
      <c r="C97" t="s">
        <v>1185</v>
      </c>
      <c r="D97" t="s">
        <v>348</v>
      </c>
      <c r="E97" t="s">
        <v>273</v>
      </c>
      <c r="F97">
        <v>807787</v>
      </c>
      <c r="G97" t="s">
        <v>1186</v>
      </c>
      <c r="H97">
        <v>2021</v>
      </c>
      <c r="I97">
        <v>65</v>
      </c>
      <c r="J97">
        <v>19766</v>
      </c>
      <c r="K97">
        <v>4.8</v>
      </c>
      <c r="L97" t="s">
        <v>21</v>
      </c>
      <c r="M97">
        <v>2948</v>
      </c>
      <c r="N97" t="s">
        <v>811</v>
      </c>
      <c r="O97">
        <v>4209494079</v>
      </c>
      <c r="P97" t="s">
        <v>1187</v>
      </c>
    </row>
    <row r="98" spans="1:16" x14ac:dyDescent="0.3">
      <c r="A98" s="2">
        <v>97</v>
      </c>
      <c r="B98" t="s">
        <v>1188</v>
      </c>
      <c r="C98" t="s">
        <v>1189</v>
      </c>
      <c r="D98" t="s">
        <v>310</v>
      </c>
      <c r="E98" t="s">
        <v>311</v>
      </c>
      <c r="F98">
        <v>429444</v>
      </c>
      <c r="G98" t="s">
        <v>1190</v>
      </c>
      <c r="H98">
        <v>2022</v>
      </c>
      <c r="I98">
        <v>9</v>
      </c>
      <c r="J98">
        <v>17452</v>
      </c>
      <c r="K98">
        <v>4.0999999999999996</v>
      </c>
      <c r="L98" t="s">
        <v>20</v>
      </c>
      <c r="M98">
        <v>1485</v>
      </c>
      <c r="N98" t="s">
        <v>840</v>
      </c>
      <c r="O98">
        <v>2752437280</v>
      </c>
      <c r="P98" t="s">
        <v>1191</v>
      </c>
    </row>
    <row r="99" spans="1:16" x14ac:dyDescent="0.3">
      <c r="A99" s="2">
        <v>98</v>
      </c>
      <c r="B99" t="s">
        <v>1192</v>
      </c>
      <c r="C99" t="s">
        <v>1193</v>
      </c>
      <c r="D99" t="s">
        <v>300</v>
      </c>
      <c r="E99" t="s">
        <v>301</v>
      </c>
      <c r="F99">
        <v>395041</v>
      </c>
      <c r="G99" t="s">
        <v>1194</v>
      </c>
      <c r="H99">
        <v>2005</v>
      </c>
      <c r="I99">
        <v>32</v>
      </c>
      <c r="J99">
        <v>7315</v>
      </c>
      <c r="K99">
        <v>3.3</v>
      </c>
      <c r="L99" t="s">
        <v>21</v>
      </c>
      <c r="M99">
        <v>1141</v>
      </c>
      <c r="N99" t="s">
        <v>806</v>
      </c>
      <c r="O99">
        <v>7478366742</v>
      </c>
      <c r="P99" t="s">
        <v>1195</v>
      </c>
    </row>
    <row r="100" spans="1:16" x14ac:dyDescent="0.3">
      <c r="A100" s="2">
        <v>99</v>
      </c>
      <c r="B100" t="s">
        <v>1196</v>
      </c>
      <c r="C100" t="s">
        <v>1197</v>
      </c>
      <c r="D100" t="s">
        <v>310</v>
      </c>
      <c r="E100" t="s">
        <v>311</v>
      </c>
      <c r="F100">
        <v>694544</v>
      </c>
      <c r="G100" t="s">
        <v>1198</v>
      </c>
      <c r="H100">
        <v>2006</v>
      </c>
      <c r="I100">
        <v>85</v>
      </c>
      <c r="J100">
        <v>5845</v>
      </c>
      <c r="K100">
        <v>4.7</v>
      </c>
      <c r="L100" t="s">
        <v>21</v>
      </c>
      <c r="M100">
        <v>3119</v>
      </c>
      <c r="N100" t="s">
        <v>806</v>
      </c>
      <c r="O100">
        <v>3938525800</v>
      </c>
      <c r="P100" t="s">
        <v>1199</v>
      </c>
    </row>
    <row r="101" spans="1:16" x14ac:dyDescent="0.3">
      <c r="A101" s="2">
        <v>100</v>
      </c>
      <c r="B101" t="s">
        <v>1200</v>
      </c>
      <c r="C101" t="s">
        <v>1201</v>
      </c>
      <c r="D101" t="s">
        <v>272</v>
      </c>
      <c r="E101" t="s">
        <v>273</v>
      </c>
      <c r="F101">
        <v>300910</v>
      </c>
      <c r="G101" t="s">
        <v>1202</v>
      </c>
      <c r="H101">
        <v>2002</v>
      </c>
      <c r="I101">
        <v>54</v>
      </c>
      <c r="J101">
        <v>19230</v>
      </c>
      <c r="K101">
        <v>3.8</v>
      </c>
      <c r="L101" t="s">
        <v>21</v>
      </c>
      <c r="M101">
        <v>2762</v>
      </c>
      <c r="N101" t="s">
        <v>806</v>
      </c>
      <c r="O101">
        <v>919269212447</v>
      </c>
      <c r="P101" t="s">
        <v>1203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BDDC3-273A-4F53-927E-7A407A8DAEDB}">
  <sheetPr>
    <tabColor theme="1" tint="4.9989318521683403E-2"/>
  </sheetPr>
  <dimension ref="A1:T17"/>
  <sheetViews>
    <sheetView zoomScale="106" workbookViewId="0">
      <selection activeCell="H21" sqref="H21"/>
    </sheetView>
  </sheetViews>
  <sheetFormatPr defaultRowHeight="14.4" x14ac:dyDescent="0.3"/>
  <cols>
    <col min="1" max="1" width="4.5546875" style="2" bestFit="1" customWidth="1"/>
    <col min="2" max="2" width="15.109375" style="2" bestFit="1" customWidth="1"/>
    <col min="3" max="3" width="8.88671875" style="2"/>
    <col min="4" max="4" width="4.5546875" style="2" bestFit="1" customWidth="1"/>
    <col min="5" max="5" width="18.109375" style="2" bestFit="1" customWidth="1"/>
    <col min="6" max="6" width="8.88671875" style="2"/>
    <col min="7" max="7" width="4.5546875" style="2" bestFit="1" customWidth="1"/>
    <col min="8" max="8" width="16.44140625" style="2" bestFit="1" customWidth="1"/>
    <col min="9" max="10" width="8.88671875" style="2"/>
    <col min="11" max="11" width="4.5546875" style="2" bestFit="1" customWidth="1"/>
    <col min="12" max="12" width="14.77734375" style="2" bestFit="1" customWidth="1"/>
    <col min="13" max="16" width="8.88671875" style="2"/>
    <col min="17" max="17" width="15.109375" style="2" bestFit="1" customWidth="1"/>
    <col min="18" max="18" width="18.109375" style="2" bestFit="1" customWidth="1"/>
    <col min="19" max="19" width="16.44140625" style="2" bestFit="1" customWidth="1"/>
    <col min="20" max="20" width="14.77734375" style="2" bestFit="1" customWidth="1"/>
    <col min="21" max="16384" width="8.88671875" style="2"/>
  </cols>
  <sheetData>
    <row r="1" spans="1:20" x14ac:dyDescent="0.3">
      <c r="A1" s="3" t="s">
        <v>254</v>
      </c>
      <c r="B1" s="3" t="s">
        <v>540</v>
      </c>
      <c r="D1" s="4" t="s">
        <v>254</v>
      </c>
      <c r="E1" s="4" t="s">
        <v>541</v>
      </c>
      <c r="G1" s="5" t="s">
        <v>254</v>
      </c>
      <c r="H1" s="5" t="s">
        <v>791</v>
      </c>
      <c r="K1" s="6" t="s">
        <v>254</v>
      </c>
      <c r="L1" s="6" t="s">
        <v>1204</v>
      </c>
      <c r="Q1" s="3" t="s">
        <v>540</v>
      </c>
      <c r="R1" s="4" t="s">
        <v>541</v>
      </c>
      <c r="S1" s="5" t="s">
        <v>791</v>
      </c>
      <c r="T1" s="6" t="s">
        <v>1204</v>
      </c>
    </row>
    <row r="2" spans="1:20" x14ac:dyDescent="0.3">
      <c r="A2" s="2" cm="1">
        <f t="array" ref="A2:A16">_xlfn.SEQUENCE(COUNTA(B:B)-1,1,1,1)</f>
        <v>1</v>
      </c>
      <c r="B2" s="2" t="str" cm="1">
        <f t="array" ref="B2:B16">TRANSPOSE(orders[#Headers])</f>
        <v>OrderID</v>
      </c>
      <c r="D2" s="2" cm="1">
        <f t="array" ref="D2:D16">_xlfn.SEQUENCE(COUNTA(E:E)-1,1,1,1)</f>
        <v>1</v>
      </c>
      <c r="E2" s="2" t="str" cm="1">
        <f t="array" ref="E2:E16">TRANSPOSE(customers[#Headers])</f>
        <v>CustomerID</v>
      </c>
      <c r="G2" s="2" cm="1">
        <f t="array" ref="G2:G17">_xlfn.SEQUENCE(COUNTA(H:H)-1,1,1,1)</f>
        <v>1</v>
      </c>
      <c r="H2" s="2" t="str" cm="1">
        <f t="array" ref="H2:H17">TRANSPOSE(Products[#Headers])</f>
        <v>ProductID</v>
      </c>
      <c r="K2" s="2" cm="1">
        <f t="array" ref="K2:K17">_xlfn.SEQUENCE(COUNTA(L:L)-1,1,1,1)</f>
        <v>1</v>
      </c>
      <c r="L2" s="2" t="str" cm="1">
        <f t="array" ref="L2:L17">TRANSPOSE(stores[#Headers])</f>
        <v>New StoreID</v>
      </c>
      <c r="Q2" s="2" t="s">
        <v>0</v>
      </c>
      <c r="R2" s="2" t="s">
        <v>1</v>
      </c>
      <c r="S2" s="2" t="s">
        <v>2</v>
      </c>
      <c r="T2" s="2" t="s">
        <v>792</v>
      </c>
    </row>
    <row r="3" spans="1:20" x14ac:dyDescent="0.3">
      <c r="A3" s="2">
        <v>2</v>
      </c>
      <c r="B3" s="2" t="str">
        <v>CustomerID</v>
      </c>
      <c r="D3" s="2">
        <v>2</v>
      </c>
      <c r="E3" s="2" t="str">
        <v>CustomerName</v>
      </c>
      <c r="G3" s="2">
        <v>2</v>
      </c>
      <c r="H3" s="2" t="str">
        <v>ProductName</v>
      </c>
      <c r="K3" s="2">
        <v>2</v>
      </c>
      <c r="L3" s="2" t="str">
        <v>StoreID</v>
      </c>
      <c r="Q3" s="6" t="s">
        <v>1</v>
      </c>
      <c r="R3" s="2" t="s">
        <v>255</v>
      </c>
      <c r="S3" s="2" t="s">
        <v>542</v>
      </c>
      <c r="T3" s="2" t="s">
        <v>793</v>
      </c>
    </row>
    <row r="4" spans="1:20" x14ac:dyDescent="0.3">
      <c r="A4" s="2">
        <v>3</v>
      </c>
      <c r="B4" s="2" t="str">
        <v>ProductID</v>
      </c>
      <c r="D4" s="2">
        <v>3</v>
      </c>
      <c r="E4" s="2" t="str">
        <v>Email</v>
      </c>
      <c r="G4" s="2">
        <v>3</v>
      </c>
      <c r="H4" s="2" t="str">
        <v>Category</v>
      </c>
      <c r="K4" s="2">
        <v>3</v>
      </c>
      <c r="L4" s="2" t="str">
        <v>StoreName</v>
      </c>
      <c r="Q4" s="2" t="s">
        <v>2</v>
      </c>
      <c r="R4" s="2" t="s">
        <v>256</v>
      </c>
      <c r="S4" s="2" t="s">
        <v>543</v>
      </c>
      <c r="T4" s="2" t="s">
        <v>258</v>
      </c>
    </row>
    <row r="5" spans="1:20" x14ac:dyDescent="0.3">
      <c r="A5" s="2">
        <v>4</v>
      </c>
      <c r="B5" s="2" t="str">
        <v>OrderDate</v>
      </c>
      <c r="D5" s="2">
        <v>4</v>
      </c>
      <c r="E5" s="2" t="str">
        <v>Phone</v>
      </c>
      <c r="G5" s="2">
        <v>4</v>
      </c>
      <c r="H5" s="2" t="str">
        <v>SubCategory</v>
      </c>
      <c r="K5" s="2">
        <v>4</v>
      </c>
      <c r="L5" s="2" t="str">
        <v>City</v>
      </c>
      <c r="Q5" s="2" t="s">
        <v>3</v>
      </c>
      <c r="R5" s="2" t="s">
        <v>257</v>
      </c>
      <c r="S5" s="2" t="s">
        <v>544</v>
      </c>
      <c r="T5" s="2" t="s">
        <v>259</v>
      </c>
    </row>
    <row r="6" spans="1:20" x14ac:dyDescent="0.3">
      <c r="A6" s="2">
        <v>5</v>
      </c>
      <c r="B6" s="2" t="str">
        <v>Quantity</v>
      </c>
      <c r="D6" s="2">
        <v>5</v>
      </c>
      <c r="E6" s="2" t="str">
        <v>City</v>
      </c>
      <c r="G6" s="2">
        <v>5</v>
      </c>
      <c r="H6" s="2" t="str">
        <v>Brand</v>
      </c>
      <c r="K6" s="2">
        <v>5</v>
      </c>
      <c r="L6" s="2" t="str">
        <v>State</v>
      </c>
      <c r="Q6" s="2" t="s">
        <v>4</v>
      </c>
      <c r="R6" s="2" t="s">
        <v>258</v>
      </c>
      <c r="S6" s="2" t="s">
        <v>545</v>
      </c>
      <c r="T6" s="2" t="s">
        <v>260</v>
      </c>
    </row>
    <row r="7" spans="1:20" x14ac:dyDescent="0.3">
      <c r="A7" s="2">
        <v>6</v>
      </c>
      <c r="B7" s="2" t="str">
        <v>UnitPrice</v>
      </c>
      <c r="D7" s="2">
        <v>6</v>
      </c>
      <c r="E7" s="2" t="str">
        <v>State</v>
      </c>
      <c r="G7" s="2">
        <v>6</v>
      </c>
      <c r="H7" s="2" t="str">
        <v>Price</v>
      </c>
      <c r="K7" s="2">
        <v>6</v>
      </c>
      <c r="L7" s="2" t="str">
        <v>Pincode</v>
      </c>
      <c r="Q7" s="2" t="s">
        <v>5</v>
      </c>
      <c r="R7" s="2" t="s">
        <v>259</v>
      </c>
      <c r="S7" s="2" t="s">
        <v>546</v>
      </c>
      <c r="T7" s="2" t="s">
        <v>794</v>
      </c>
    </row>
    <row r="8" spans="1:20" x14ac:dyDescent="0.3">
      <c r="A8" s="2">
        <v>7</v>
      </c>
      <c r="B8" s="2" t="str">
        <v>TotalAmount</v>
      </c>
      <c r="D8" s="2">
        <v>7</v>
      </c>
      <c r="E8" s="2" t="str">
        <v>Pincode</v>
      </c>
      <c r="G8" s="2">
        <v>7</v>
      </c>
      <c r="H8" s="2" t="str">
        <v>Discount</v>
      </c>
      <c r="K8" s="2">
        <v>7</v>
      </c>
      <c r="L8" s="2" t="str">
        <v>Manager</v>
      </c>
      <c r="Q8" s="2" t="s">
        <v>6</v>
      </c>
      <c r="R8" s="2" t="s">
        <v>260</v>
      </c>
      <c r="S8" s="2" t="s">
        <v>547</v>
      </c>
      <c r="T8" s="2" t="s">
        <v>795</v>
      </c>
    </row>
    <row r="9" spans="1:20" x14ac:dyDescent="0.3">
      <c r="A9" s="2">
        <v>8</v>
      </c>
      <c r="B9" s="2" t="str">
        <v>DiscountApplied</v>
      </c>
      <c r="D9" s="2">
        <v>8</v>
      </c>
      <c r="E9" s="2" t="str">
        <v>Gender</v>
      </c>
      <c r="G9" s="2">
        <v>8</v>
      </c>
      <c r="H9" s="2" t="str">
        <v>StockQty</v>
      </c>
      <c r="K9" s="2">
        <v>8</v>
      </c>
      <c r="L9" s="2" t="str">
        <v>EstablishedYear</v>
      </c>
      <c r="Q9" s="2" t="s">
        <v>7</v>
      </c>
      <c r="R9" s="2" t="s">
        <v>261</v>
      </c>
      <c r="S9" s="2" t="s">
        <v>548</v>
      </c>
      <c r="T9" s="2" t="s">
        <v>796</v>
      </c>
    </row>
    <row r="10" spans="1:20" x14ac:dyDescent="0.3">
      <c r="A10" s="2">
        <v>9</v>
      </c>
      <c r="B10" s="2" t="str">
        <v>PaymentMode</v>
      </c>
      <c r="D10" s="2">
        <v>9</v>
      </c>
      <c r="E10" s="2" t="str">
        <v>DateOfBirth</v>
      </c>
      <c r="G10" s="2">
        <v>9</v>
      </c>
      <c r="H10" s="2" t="str">
        <v>WarrantyMonths</v>
      </c>
      <c r="K10" s="2">
        <v>9</v>
      </c>
      <c r="L10" s="2" t="str">
        <v>Employees</v>
      </c>
      <c r="Q10" s="2" t="s">
        <v>8</v>
      </c>
      <c r="R10" s="2" t="s">
        <v>262</v>
      </c>
      <c r="S10" s="2" t="s">
        <v>549</v>
      </c>
      <c r="T10" s="2" t="s">
        <v>797</v>
      </c>
    </row>
    <row r="11" spans="1:20" x14ac:dyDescent="0.3">
      <c r="A11" s="2">
        <v>10</v>
      </c>
      <c r="B11" s="2" t="str">
        <v>OrderStatus</v>
      </c>
      <c r="D11" s="2">
        <v>10</v>
      </c>
      <c r="E11" s="2" t="str">
        <v>CustomerSince</v>
      </c>
      <c r="G11" s="2">
        <v>10</v>
      </c>
      <c r="H11" s="2" t="str">
        <v>MadeIn</v>
      </c>
      <c r="K11" s="2">
        <v>10</v>
      </c>
      <c r="L11" s="2" t="str">
        <v>MonthlyFootfall</v>
      </c>
      <c r="Q11" s="2" t="s">
        <v>9</v>
      </c>
      <c r="R11" s="2" t="s">
        <v>263</v>
      </c>
      <c r="S11" s="2" t="s">
        <v>550</v>
      </c>
      <c r="T11" s="2" t="s">
        <v>798</v>
      </c>
    </row>
    <row r="12" spans="1:20" x14ac:dyDescent="0.3">
      <c r="A12" s="2">
        <v>11</v>
      </c>
      <c r="B12" s="2" t="str">
        <v>DeliveryDate</v>
      </c>
      <c r="D12" s="2">
        <v>11</v>
      </c>
      <c r="E12" s="2" t="str">
        <v>PreferredCategory</v>
      </c>
      <c r="G12" s="2">
        <v>11</v>
      </c>
      <c r="H12" s="2" t="str">
        <v>IsAvailable</v>
      </c>
      <c r="K12" s="2">
        <v>11</v>
      </c>
      <c r="L12" s="2" t="str">
        <v>StoreRating</v>
      </c>
      <c r="Q12" s="2" t="s">
        <v>10</v>
      </c>
      <c r="R12" s="2" t="s">
        <v>264</v>
      </c>
      <c r="S12" s="2" t="s">
        <v>551</v>
      </c>
      <c r="T12" s="2" t="s">
        <v>799</v>
      </c>
    </row>
    <row r="13" spans="1:20" x14ac:dyDescent="0.3">
      <c r="A13" s="2">
        <v>12</v>
      </c>
      <c r="B13" s="2" t="str">
        <v>IsGift</v>
      </c>
      <c r="D13" s="2">
        <v>12</v>
      </c>
      <c r="E13" s="2" t="str">
        <v>LoyaltyPoints</v>
      </c>
      <c r="G13" s="2">
        <v>12</v>
      </c>
      <c r="H13" s="2" t="str">
        <v>Rating</v>
      </c>
      <c r="K13" s="2">
        <v>12</v>
      </c>
      <c r="L13" s="2" t="str">
        <v>OnlineEnabled</v>
      </c>
      <c r="Q13" s="2" t="s">
        <v>11</v>
      </c>
      <c r="R13" s="2" t="s">
        <v>265</v>
      </c>
      <c r="S13" s="2" t="s">
        <v>552</v>
      </c>
      <c r="T13" s="2" t="s">
        <v>800</v>
      </c>
    </row>
    <row r="14" spans="1:20" x14ac:dyDescent="0.3">
      <c r="A14" s="2">
        <v>13</v>
      </c>
      <c r="B14" s="2" t="str">
        <v>ShippingCharges</v>
      </c>
      <c r="D14" s="2">
        <v>13</v>
      </c>
      <c r="E14" s="2" t="str">
        <v>MaritalStatus</v>
      </c>
      <c r="G14" s="2">
        <v>13</v>
      </c>
      <c r="H14" s="2" t="str">
        <v>LaunchDate</v>
      </c>
      <c r="K14" s="2">
        <v>13</v>
      </c>
      <c r="L14" s="2" t="str">
        <v>AreaSqFt</v>
      </c>
      <c r="Q14" s="2" t="s">
        <v>12</v>
      </c>
      <c r="R14" s="2" t="s">
        <v>266</v>
      </c>
      <c r="S14" s="2" t="s">
        <v>553</v>
      </c>
      <c r="T14" s="2" t="s">
        <v>801</v>
      </c>
    </row>
    <row r="15" spans="1:20" x14ac:dyDescent="0.3">
      <c r="A15" s="2">
        <v>14</v>
      </c>
      <c r="B15" s="2" t="str">
        <v>CouponUsed</v>
      </c>
      <c r="D15" s="2">
        <v>14</v>
      </c>
      <c r="E15" s="2" t="str">
        <v>Occupation</v>
      </c>
      <c r="G15" s="2">
        <v>14</v>
      </c>
      <c r="H15" s="2" t="str">
        <v>Returnable</v>
      </c>
      <c r="K15" s="2">
        <v>14</v>
      </c>
      <c r="L15" s="2" t="str">
        <v>StoreType</v>
      </c>
      <c r="Q15" s="2" t="s">
        <v>13</v>
      </c>
      <c r="R15" s="2" t="s">
        <v>267</v>
      </c>
      <c r="S15" s="2" t="s">
        <v>554</v>
      </c>
      <c r="T15" s="2" t="s">
        <v>802</v>
      </c>
    </row>
    <row r="16" spans="1:20" x14ac:dyDescent="0.3">
      <c r="A16" s="2">
        <v>15</v>
      </c>
      <c r="B16" s="2" t="str">
        <v>ReviewGiven</v>
      </c>
      <c r="D16" s="2">
        <v>15</v>
      </c>
      <c r="E16" s="2" t="str">
        <v>AnnualIncome</v>
      </c>
      <c r="G16" s="2">
        <v>15</v>
      </c>
      <c r="H16" s="2" t="str">
        <v>HSNCode</v>
      </c>
      <c r="K16" s="2">
        <v>15</v>
      </c>
      <c r="L16" s="2" t="str">
        <v>ContactNumber</v>
      </c>
      <c r="Q16" s="2" t="s">
        <v>14</v>
      </c>
      <c r="R16" s="2" t="s">
        <v>268</v>
      </c>
      <c r="S16" s="2" t="s">
        <v>555</v>
      </c>
      <c r="T16" s="2" t="s">
        <v>256</v>
      </c>
    </row>
    <row r="17" spans="7:12" x14ac:dyDescent="0.3">
      <c r="G17" s="2">
        <v>16</v>
      </c>
      <c r="H17" s="2" t="str">
        <v>Store ID</v>
      </c>
      <c r="K17" s="2">
        <v>16</v>
      </c>
      <c r="L17" s="2" t="str">
        <v>Email</v>
      </c>
    </row>
  </sheetData>
  <conditionalFormatting sqref="Q2:T16">
    <cfRule type="duplicateValues" dxfId="202" priority="1"/>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A323-057F-4CB3-B345-FAC31C3D8245}">
  <sheetPr>
    <tabColor rgb="FFFF0000"/>
  </sheetPr>
  <dimension ref="A1:BJ101"/>
  <sheetViews>
    <sheetView zoomScaleNormal="100" workbookViewId="0">
      <selection activeCell="H10" sqref="H10"/>
    </sheetView>
  </sheetViews>
  <sheetFormatPr defaultRowHeight="14.4" x14ac:dyDescent="0.3"/>
  <cols>
    <col min="1" max="1" width="7.44140625" bestFit="1" customWidth="1"/>
    <col min="2" max="2" width="10.6640625" bestFit="1" customWidth="1"/>
    <col min="3" max="3" width="9.109375" bestFit="1" customWidth="1"/>
    <col min="4" max="4" width="9.5546875" bestFit="1" customWidth="1"/>
    <col min="5" max="5" width="8" bestFit="1" customWidth="1"/>
    <col min="6" max="6" width="8.44140625" bestFit="1" customWidth="1"/>
    <col min="7" max="7" width="11.6640625" bestFit="1" customWidth="1"/>
    <col min="8" max="8" width="14.21875" bestFit="1" customWidth="1"/>
    <col min="9" max="9" width="14.5546875" bestFit="1" customWidth="1"/>
    <col min="10" max="10" width="10.6640625" bestFit="1" customWidth="1"/>
    <col min="11" max="11" width="11.44140625" bestFit="1" customWidth="1"/>
    <col min="12" max="12" width="5.33203125" bestFit="1" customWidth="1"/>
    <col min="13" max="13" width="14.21875" bestFit="1" customWidth="1"/>
    <col min="14" max="15" width="11.44140625" bestFit="1" customWidth="1"/>
    <col min="16" max="16" width="10.6640625" bestFit="1" customWidth="1"/>
    <col min="17" max="17" width="20.77734375" bestFit="1" customWidth="1"/>
    <col min="18" max="18" width="31.44140625" bestFit="1" customWidth="1"/>
    <col min="19" max="19" width="12" bestFit="1" customWidth="1"/>
    <col min="20" max="20" width="10.6640625" bestFit="1" customWidth="1"/>
    <col min="21" max="21" width="12.21875" bestFit="1" customWidth="1"/>
    <col min="22" max="22" width="7.44140625" bestFit="1" customWidth="1"/>
    <col min="23" max="23" width="6.88671875" bestFit="1" customWidth="1"/>
    <col min="24" max="24" width="10.77734375" bestFit="1" customWidth="1"/>
    <col min="25" max="25" width="13.21875" bestFit="1" customWidth="1"/>
    <col min="26" max="26" width="16.109375" bestFit="1" customWidth="1"/>
    <col min="27" max="28" width="11.88671875" bestFit="1" customWidth="1"/>
    <col min="29" max="29" width="10.33203125" bestFit="1" customWidth="1"/>
    <col min="30" max="30" width="12.6640625" bestFit="1" customWidth="1"/>
    <col min="31" max="31" width="9.109375" bestFit="1" customWidth="1"/>
    <col min="32" max="32" width="25.77734375" bestFit="1" customWidth="1"/>
    <col min="33" max="33" width="14.33203125" bestFit="1" customWidth="1"/>
    <col min="34" max="34" width="11.21875" bestFit="1" customWidth="1"/>
    <col min="35" max="35" width="32.6640625" bestFit="1" customWidth="1"/>
    <col min="36" max="36" width="6" bestFit="1" customWidth="1"/>
    <col min="37" max="37" width="8.109375" bestFit="1" customWidth="1"/>
    <col min="38" max="38" width="8.33203125" bestFit="1" customWidth="1"/>
    <col min="39" max="39" width="15" bestFit="1" customWidth="1"/>
    <col min="40" max="40" width="7.77734375" bestFit="1" customWidth="1"/>
    <col min="41" max="41" width="9.6640625" bestFit="1" customWidth="1"/>
    <col min="42" max="42" width="6.109375" bestFit="1" customWidth="1"/>
    <col min="43" max="43" width="10.6640625" bestFit="1" customWidth="1"/>
    <col min="44" max="44" width="9.88671875" bestFit="1" customWidth="1"/>
    <col min="45" max="45" width="8.6640625" bestFit="1" customWidth="1"/>
    <col min="46" max="46" width="7.5546875" bestFit="1" customWidth="1"/>
    <col min="47" max="47" width="11.33203125" bestFit="1" customWidth="1"/>
    <col min="48" max="48" width="9.5546875" bestFit="1" customWidth="1"/>
    <col min="49" max="49" width="31.33203125" bestFit="1" customWidth="1"/>
    <col min="50" max="50" width="10.6640625" bestFit="1" customWidth="1"/>
    <col min="51" max="51" width="12.21875" bestFit="1" customWidth="1"/>
    <col min="52" max="52" width="9.5546875" bestFit="1" customWidth="1"/>
    <col min="53" max="53" width="17" bestFit="1" customWidth="1"/>
    <col min="54" max="54" width="13.88671875" bestFit="1" customWidth="1"/>
    <col min="55" max="55" width="9.77734375" bestFit="1" customWidth="1"/>
    <col min="56" max="56" width="14.21875" bestFit="1" customWidth="1"/>
    <col min="57" max="57" width="10.44140625" bestFit="1" customWidth="1"/>
    <col min="58" max="58" width="12.6640625" bestFit="1" customWidth="1"/>
    <col min="59" max="60" width="9.5546875" bestFit="1" customWidth="1"/>
    <col min="61" max="61" width="14.109375" bestFit="1" customWidth="1"/>
    <col min="62" max="62" width="29.6640625" bestFit="1" customWidth="1"/>
  </cols>
  <sheetData>
    <row r="1" spans="1:62" x14ac:dyDescent="0.3">
      <c r="A1" s="7" t="str" cm="1">
        <f t="array" ref="A1:O101">orders[#All]</f>
        <v>OrderID</v>
      </c>
      <c r="B1" s="7" t="str">
        <v>CustomerID</v>
      </c>
      <c r="C1" s="7" t="str">
        <v>ProductID</v>
      </c>
      <c r="D1" s="7" t="str">
        <v>OrderDate</v>
      </c>
      <c r="E1" s="7" t="str">
        <v>Quantity</v>
      </c>
      <c r="F1" s="7" t="str">
        <v>UnitPrice</v>
      </c>
      <c r="G1" s="7" t="str">
        <v>TotalAmount</v>
      </c>
      <c r="H1" s="7" t="str">
        <v>DiscountApplied</v>
      </c>
      <c r="I1" s="7" t="str">
        <v>PaymentMode</v>
      </c>
      <c r="J1" s="7" t="str">
        <v>OrderStatus</v>
      </c>
      <c r="K1" s="7" t="str">
        <v>DeliveryDate</v>
      </c>
      <c r="L1" s="7" t="str">
        <v>IsGift</v>
      </c>
      <c r="M1" s="7" t="str">
        <v>ShippingCharges</v>
      </c>
      <c r="N1" s="7" t="str">
        <v>CouponUsed</v>
      </c>
      <c r="O1" s="7" t="str">
        <v>ReviewGiven</v>
      </c>
      <c r="P1" s="7" t="str" cm="1">
        <f t="array" ref="P1:AD1">customers[#Headers]</f>
        <v>CustomerID</v>
      </c>
      <c r="Q1" s="7" t="str">
        <v>CustomerName</v>
      </c>
      <c r="R1" s="7" t="str">
        <v>Email</v>
      </c>
      <c r="S1" s="7" t="str">
        <v>Phone</v>
      </c>
      <c r="T1" s="7" t="str">
        <v>City</v>
      </c>
      <c r="U1" s="7" t="str">
        <v>State</v>
      </c>
      <c r="V1" s="7" t="str">
        <v>Pincode</v>
      </c>
      <c r="W1" s="7" t="str">
        <v>Gender</v>
      </c>
      <c r="X1" s="7" t="str">
        <v>DateOfBirth</v>
      </c>
      <c r="Y1" s="7" t="str">
        <v>CustomerSince</v>
      </c>
      <c r="Z1" s="7" t="str">
        <v>PreferredCategory</v>
      </c>
      <c r="AA1" s="7" t="str">
        <v>LoyaltyPoints</v>
      </c>
      <c r="AB1" s="7" t="str">
        <v>MaritalStatus</v>
      </c>
      <c r="AC1" s="7" t="str">
        <v>Occupation</v>
      </c>
      <c r="AD1" s="7" t="str">
        <v>AnnualIncome</v>
      </c>
      <c r="AE1" s="7" t="str" cm="1">
        <f t="array" ref="AE1:AT1">Products[#Headers]</f>
        <v>ProductID</v>
      </c>
      <c r="AF1" s="7" t="str">
        <v>ProductName</v>
      </c>
      <c r="AG1" s="7" t="str">
        <v>Category</v>
      </c>
      <c r="AH1" s="7" t="str">
        <v>SubCategory</v>
      </c>
      <c r="AI1" s="7" t="str">
        <v>Brand</v>
      </c>
      <c r="AJ1" s="7" t="str">
        <v>Price</v>
      </c>
      <c r="AK1" s="7" t="str">
        <v>Discount</v>
      </c>
      <c r="AL1" s="7" t="str">
        <v>StockQty</v>
      </c>
      <c r="AM1" s="7" t="str">
        <v>WarrantyMonths</v>
      </c>
      <c r="AN1" s="7" t="str">
        <v>MadeIn</v>
      </c>
      <c r="AO1" s="7" t="str">
        <v>IsAvailable</v>
      </c>
      <c r="AP1" s="7" t="str">
        <v>Rating</v>
      </c>
      <c r="AQ1" s="7" t="str">
        <v>LaunchDate</v>
      </c>
      <c r="AR1" s="7" t="str">
        <v>Returnable</v>
      </c>
      <c r="AS1" s="7" t="str">
        <v>HSNCode</v>
      </c>
      <c r="AT1" s="7" t="str">
        <v>Store ID</v>
      </c>
      <c r="AU1" s="7" t="str" cm="1">
        <f t="array" ref="AU1:BJ1">stores[#Headers]</f>
        <v>New StoreID</v>
      </c>
      <c r="AV1" s="7" t="str">
        <v>StoreID</v>
      </c>
      <c r="AW1" s="7" t="str">
        <v>StoreName</v>
      </c>
      <c r="AX1" s="7" t="str">
        <v>City</v>
      </c>
      <c r="AY1" s="7" t="str">
        <v>State</v>
      </c>
      <c r="AZ1" s="7" t="str">
        <v>Pincode</v>
      </c>
      <c r="BA1" s="7" t="str">
        <v>Manager</v>
      </c>
      <c r="BB1" s="7" t="str">
        <v>EstablishedYear</v>
      </c>
      <c r="BC1" s="7" t="str">
        <v>Employees</v>
      </c>
      <c r="BD1" s="7" t="str">
        <v>MonthlyFootfall</v>
      </c>
      <c r="BE1" s="7" t="str">
        <v>StoreRating</v>
      </c>
      <c r="BF1" s="7" t="str">
        <v>OnlineEnabled</v>
      </c>
      <c r="BG1" s="7" t="str">
        <v>AreaSqFt</v>
      </c>
      <c r="BH1" s="7" t="str">
        <v>StoreType</v>
      </c>
      <c r="BI1" s="7" t="str">
        <v>ContactNumber</v>
      </c>
      <c r="BJ1" s="7" t="str">
        <v>Email</v>
      </c>
    </row>
    <row r="2" spans="1:62" x14ac:dyDescent="0.3">
      <c r="A2" s="8" t="str">
        <v>O1001</v>
      </c>
      <c r="B2" s="8" t="str">
        <v>C085</v>
      </c>
      <c r="C2" s="8" t="str">
        <v>P180</v>
      </c>
      <c r="D2" s="8">
        <v>45687</v>
      </c>
      <c r="E2" s="8">
        <v>5</v>
      </c>
      <c r="F2" s="8">
        <v>31647</v>
      </c>
      <c r="G2" s="8">
        <v>94941</v>
      </c>
      <c r="H2" s="8">
        <v>0.14000000000000001</v>
      </c>
      <c r="I2" s="8" t="str">
        <v>Cash on Delivery</v>
      </c>
      <c r="J2" s="8" t="str">
        <v>Delivered</v>
      </c>
      <c r="K2" s="8">
        <v>45859</v>
      </c>
      <c r="L2" s="8" t="str">
        <v>Yes</v>
      </c>
      <c r="M2" s="8">
        <v>41</v>
      </c>
      <c r="N2" s="8" t="str">
        <v>Yes</v>
      </c>
      <c r="O2" s="8" t="str">
        <v>No</v>
      </c>
      <c r="P2" s="8" t="str">
        <f>B2</f>
        <v>C085</v>
      </c>
      <c r="Q2" s="8" t="str">
        <f>VLOOKUP($B2,customers[],MATCH(Q$1,customers[#Headers],0),0)</f>
        <v>Urishilla Yogi</v>
      </c>
      <c r="R2" s="8" t="str">
        <f>VLOOKUP($B2,customers[],MATCH(R$1,customers[#Headers],0),0)</f>
        <v>yugbumb@example.net</v>
      </c>
      <c r="S2" s="8">
        <f>VLOOKUP($B2,customers[],MATCH(S$1,customers[#Headers],0),0)</f>
        <v>8519108839</v>
      </c>
      <c r="T2" s="8" t="str">
        <f>VLOOKUP($B2,customers[],MATCH(T$1,customers[#Headers],0),0)</f>
        <v>Jaipur</v>
      </c>
      <c r="U2" s="8" t="str">
        <f>VLOOKUP($B2,customers[],MATCH(U$1,customers[#Headers],0),0)</f>
        <v>Rajasthan</v>
      </c>
      <c r="V2" s="8">
        <f>VLOOKUP($B2,customers[],MATCH(V$1,customers[#Headers],0),0)</f>
        <v>258713</v>
      </c>
      <c r="W2" s="8" t="str">
        <f>VLOOKUP($B2,customers[],MATCH(W$1,customers[#Headers],0),0)</f>
        <v>Female</v>
      </c>
      <c r="X2" s="8">
        <f>VLOOKUP($B2,customers[],MATCH(X$1,customers[#Headers],0),0)</f>
        <v>36242</v>
      </c>
      <c r="Y2" s="8">
        <f>VLOOKUP($B2,customers[],MATCH(Y$1,customers[#Headers],0),0)</f>
        <v>45546</v>
      </c>
      <c r="Z2" s="8" t="str">
        <f>VLOOKUP($B2,customers[],MATCH(Z$1,customers[#Headers],0),0)</f>
        <v>Electronics</v>
      </c>
      <c r="AA2" s="8">
        <f>VLOOKUP($B2,customers[],MATCH(AA$1,customers[#Headers],0),0)</f>
        <v>7805</v>
      </c>
      <c r="AB2" s="8" t="str">
        <f>VLOOKUP($B2,customers[],MATCH(AB$1,customers[#Headers],0),0)</f>
        <v>Single</v>
      </c>
      <c r="AC2" s="8" t="str">
        <f>VLOOKUP($B2,customers[],MATCH(AC$1,customers[#Headers],0),0)</f>
        <v>Student</v>
      </c>
      <c r="AD2" s="8">
        <f>VLOOKUP($B2,customers[],MATCH(AD$1,customers[#Headers],0),0)</f>
        <v>309231</v>
      </c>
      <c r="AE2" s="8" t="str">
        <f>C2</f>
        <v>P180</v>
      </c>
      <c r="AF2" s="8" t="str">
        <f>VLOOKUP($AE2,Products[],MATCH(AF$1,Products[#Headers],0),0)</f>
        <v>Accusamus TV</v>
      </c>
      <c r="AG2" s="8" t="str">
        <f>VLOOKUP($AE2,Products[],MATCH(AG$1,Products[#Headers],0),0)</f>
        <v>Grocery</v>
      </c>
      <c r="AH2" s="8" t="str">
        <f>VLOOKUP($AE2,Products[],MATCH(AH$1,Products[#Headers],0),0)</f>
        <v>Cotton</v>
      </c>
      <c r="AI2" s="8" t="str">
        <f>VLOOKUP($AE2,Products[],MATCH(AI$1,Products[#Headers],0),0)</f>
        <v>Oza, Dara and Sami</v>
      </c>
      <c r="AJ2" s="8">
        <f>VLOOKUP($AE2,Products[],MATCH(AJ$1,Products[#Headers],0),0)</f>
        <v>31647</v>
      </c>
      <c r="AK2" s="8">
        <f>VLOOKUP($AE2,Products[],MATCH(AK$1,Products[#Headers],0),0)</f>
        <v>14</v>
      </c>
      <c r="AL2" s="8">
        <f>VLOOKUP($AE2,Products[],MATCH(AL$1,Products[#Headers],0),0)</f>
        <v>124</v>
      </c>
      <c r="AM2" s="8">
        <f>VLOOKUP($AE2,Products[],MATCH(AM$1,Products[#Headers],0),0)</f>
        <v>6</v>
      </c>
      <c r="AN2" s="8" t="str">
        <f>VLOOKUP($AE2,Products[],MATCH(AN$1,Products[#Headers],0),0)</f>
        <v>China</v>
      </c>
      <c r="AO2" s="8" t="str">
        <f>VLOOKUP($AE2,Products[],MATCH(AO$1,Products[#Headers],0),0)</f>
        <v>No</v>
      </c>
      <c r="AP2" s="8">
        <f>VLOOKUP($AE2,Products[],MATCH(AP$1,Products[#Headers],0),0)</f>
        <v>4.0999999999999996</v>
      </c>
      <c r="AQ2" s="8">
        <f>VLOOKUP($AE2,Products[],MATCH(AQ$1,Products[#Headers],0),0)</f>
        <v>45837</v>
      </c>
      <c r="AR2" s="8" t="str">
        <f>VLOOKUP($AE2,Products[],MATCH(AR$1,Products[#Headers],0),0)</f>
        <v>No</v>
      </c>
      <c r="AS2" s="8">
        <f>VLOOKUP($AE2,Products[],MATCH(AS$1,Products[#Headers],0),0)</f>
        <v>2030</v>
      </c>
      <c r="AT2" s="8">
        <f>VLOOKUP($AE2,Products[],MATCH(AT$1,Products[#Headers],0),0)</f>
        <v>161</v>
      </c>
      <c r="AU2" s="8">
        <f>AT2</f>
        <v>161</v>
      </c>
      <c r="AV2" s="8" t="str">
        <f>IFERROR(VLOOKUP($AU2,stores[],MATCH(AV$1,stores[#Headers],0),0),"")</f>
        <v/>
      </c>
      <c r="AW2" s="8" t="str">
        <f>IFERROR(VLOOKUP($AU2,stores[],MATCH(AW$1,stores[#Headers],0),0),"")</f>
        <v/>
      </c>
      <c r="AX2" s="8" t="str">
        <f>IFERROR(VLOOKUP($AU2,stores[],MATCH(AX$1,stores[#Headers],0),0),"")</f>
        <v/>
      </c>
      <c r="AY2" s="8" t="str">
        <f>IFERROR(VLOOKUP($AU2,stores[],MATCH(AY$1,stores[#Headers],0),0),"")</f>
        <v/>
      </c>
      <c r="AZ2" s="8" t="str">
        <f>IFERROR(VLOOKUP($AU2,stores[],MATCH(AZ$1,stores[#Headers],0),0),"")</f>
        <v/>
      </c>
      <c r="BA2" s="8" t="str">
        <f>IFERROR(VLOOKUP($AU2,stores[],MATCH(BA$1,stores[#Headers],0),0),"")</f>
        <v/>
      </c>
      <c r="BB2" s="8" t="str">
        <f>IFERROR(VLOOKUP($AU2,stores[],MATCH(BB$1,stores[#Headers],0),0),"")</f>
        <v/>
      </c>
      <c r="BC2" s="8" t="str">
        <f>IFERROR(VLOOKUP($AU2,stores[],MATCH(BC$1,stores[#Headers],0),0),"")</f>
        <v/>
      </c>
      <c r="BD2" s="8" t="str">
        <f>IFERROR(VLOOKUP($AU2,stores[],MATCH(BD$1,stores[#Headers],0),0),"")</f>
        <v/>
      </c>
      <c r="BE2" s="8" t="str">
        <f>IFERROR(VLOOKUP($AU2,stores[],MATCH(BE$1,stores[#Headers],0),0),"")</f>
        <v/>
      </c>
      <c r="BF2" s="8" t="str">
        <f>IFERROR(VLOOKUP($AU2,stores[],MATCH(BF$1,stores[#Headers],0),0),"")</f>
        <v/>
      </c>
      <c r="BG2" s="8" t="str">
        <f>IFERROR(VLOOKUP($AU2,stores[],MATCH(BG$1,stores[#Headers],0),0),"")</f>
        <v/>
      </c>
      <c r="BH2" s="8" t="str">
        <f>IFERROR(VLOOKUP($AU2,stores[],MATCH(BH$1,stores[#Headers],0),0),"")</f>
        <v/>
      </c>
      <c r="BI2" s="8" t="str">
        <f>IFERROR(VLOOKUP($AU2,stores[],MATCH(BI$1,stores[#Headers],0),0),"")</f>
        <v/>
      </c>
      <c r="BJ2" s="8" t="str">
        <f>IFERROR(VLOOKUP($AU2,stores[],MATCH(BJ$1,stores[#Headers],0),0),"")</f>
        <v/>
      </c>
    </row>
    <row r="3" spans="1:62" x14ac:dyDescent="0.3">
      <c r="A3" s="8" t="str">
        <v>O1002</v>
      </c>
      <c r="B3" s="8" t="str">
        <v>C084</v>
      </c>
      <c r="C3" s="8" t="str">
        <v>P127</v>
      </c>
      <c r="D3" s="8">
        <v>45802</v>
      </c>
      <c r="E3" s="8">
        <v>5</v>
      </c>
      <c r="F3" s="8">
        <v>24100</v>
      </c>
      <c r="G3" s="8">
        <v>96400</v>
      </c>
      <c r="H3" s="8">
        <v>0.1</v>
      </c>
      <c r="I3" s="8" t="str">
        <v>Cash on Delivery</v>
      </c>
      <c r="J3" s="8" t="str">
        <v>Delivered</v>
      </c>
      <c r="K3" s="8">
        <v>45858</v>
      </c>
      <c r="L3" s="8" t="str">
        <v>No</v>
      </c>
      <c r="M3" s="8">
        <v>455</v>
      </c>
      <c r="N3" s="8" t="str">
        <v>No</v>
      </c>
      <c r="O3" s="8" t="str">
        <v>No</v>
      </c>
      <c r="P3" s="8" t="str">
        <f t="shared" ref="P3:P66" si="0">B3</f>
        <v>C084</v>
      </c>
      <c r="Q3" s="8" t="str">
        <f>VLOOKUP($B3,customers[],MATCH(Q$1,customers[#Headers],0),0)</f>
        <v>Amara Narayan</v>
      </c>
      <c r="R3" s="8" t="str">
        <f>VLOOKUP($B3,customers[],MATCH(R$1,customers[#Headers],0),0)</f>
        <v>advay45@example.net</v>
      </c>
      <c r="S3" s="8">
        <f>VLOOKUP($B3,customers[],MATCH(S$1,customers[#Headers],0),0)</f>
        <v>910174268414</v>
      </c>
      <c r="T3" s="8" t="str">
        <f>VLOOKUP($B3,customers[],MATCH(T$1,customers[#Headers],0),0)</f>
        <v>Kolkata</v>
      </c>
      <c r="U3" s="8" t="str">
        <f>VLOOKUP($B3,customers[],MATCH(U$1,customers[#Headers],0),0)</f>
        <v>West Bengal</v>
      </c>
      <c r="V3" s="8">
        <f>VLOOKUP($B3,customers[],MATCH(V$1,customers[#Headers],0),0)</f>
        <v>933272</v>
      </c>
      <c r="W3" s="8" t="str">
        <f>VLOOKUP($B3,customers[],MATCH(W$1,customers[#Headers],0),0)</f>
        <v>Male</v>
      </c>
      <c r="X3" s="8">
        <f>VLOOKUP($B3,customers[],MATCH(X$1,customers[#Headers],0),0)</f>
        <v>33056</v>
      </c>
      <c r="Y3" s="8">
        <f>VLOOKUP($B3,customers[],MATCH(Y$1,customers[#Headers],0),0)</f>
        <v>45188</v>
      </c>
      <c r="Z3" s="8" t="str">
        <f>VLOOKUP($B3,customers[],MATCH(Z$1,customers[#Headers],0),0)</f>
        <v>Grocery</v>
      </c>
      <c r="AA3" s="8">
        <f>VLOOKUP($B3,customers[],MATCH(AA$1,customers[#Headers],0),0)</f>
        <v>5455</v>
      </c>
      <c r="AB3" s="8" t="str">
        <f>VLOOKUP($B3,customers[],MATCH(AB$1,customers[#Headers],0),0)</f>
        <v>Married</v>
      </c>
      <c r="AC3" s="8" t="str">
        <f>VLOOKUP($B3,customers[],MATCH(AC$1,customers[#Headers],0),0)</f>
        <v>Business</v>
      </c>
      <c r="AD3" s="8">
        <f>VLOOKUP($B3,customers[],MATCH(AD$1,customers[#Headers],0),0)</f>
        <v>783546</v>
      </c>
      <c r="AE3" s="8" t="str">
        <f t="shared" ref="AE3:AE66" si="1">C3</f>
        <v>P127</v>
      </c>
      <c r="AF3" s="8" t="str">
        <f>VLOOKUP($AE3,Products[],MATCH(AF$1,Products[#Headers],0),0)</f>
        <v>Odio Rice</v>
      </c>
      <c r="AG3" s="8" t="str">
        <f>VLOOKUP($AE3,Products[],MATCH(AG$1,Products[#Headers],0),0)</f>
        <v>Grocery</v>
      </c>
      <c r="AH3" s="8" t="str">
        <f>VLOOKUP($AE3,Products[],MATCH(AH$1,Products[#Headers],0),0)</f>
        <v>Notebook</v>
      </c>
      <c r="AI3" s="8" t="str">
        <f>VLOOKUP($AE3,Products[],MATCH(AI$1,Products[#Headers],0),0)</f>
        <v>Bhavsar-Mital</v>
      </c>
      <c r="AJ3" s="8">
        <f>VLOOKUP($AE3,Products[],MATCH(AJ$1,Products[#Headers],0),0)</f>
        <v>24100</v>
      </c>
      <c r="AK3" s="8">
        <f>VLOOKUP($AE3,Products[],MATCH(AK$1,Products[#Headers],0),0)</f>
        <v>10</v>
      </c>
      <c r="AL3" s="8">
        <f>VLOOKUP($AE3,Products[],MATCH(AL$1,Products[#Headers],0),0)</f>
        <v>179</v>
      </c>
      <c r="AM3" s="8">
        <f>VLOOKUP($AE3,Products[],MATCH(AM$1,Products[#Headers],0),0)</f>
        <v>6</v>
      </c>
      <c r="AN3" s="8" t="str">
        <f>VLOOKUP($AE3,Products[],MATCH(AN$1,Products[#Headers],0),0)</f>
        <v>Japan</v>
      </c>
      <c r="AO3" s="8" t="str">
        <f>VLOOKUP($AE3,Products[],MATCH(AO$1,Products[#Headers],0),0)</f>
        <v>Yes</v>
      </c>
      <c r="AP3" s="8">
        <f>VLOOKUP($AE3,Products[],MATCH(AP$1,Products[#Headers],0),0)</f>
        <v>3.7</v>
      </c>
      <c r="AQ3" s="8">
        <f>VLOOKUP($AE3,Products[],MATCH(AQ$1,Products[#Headers],0),0)</f>
        <v>44828</v>
      </c>
      <c r="AR3" s="8" t="str">
        <f>VLOOKUP($AE3,Products[],MATCH(AR$1,Products[#Headers],0),0)</f>
        <v>Yes</v>
      </c>
      <c r="AS3" s="8">
        <f>VLOOKUP($AE3,Products[],MATCH(AS$1,Products[#Headers],0),0)</f>
        <v>4805</v>
      </c>
      <c r="AT3" s="8">
        <f>VLOOKUP($AE3,Products[],MATCH(AT$1,Products[#Headers],0),0)</f>
        <v>44</v>
      </c>
      <c r="AU3" s="8">
        <f t="shared" ref="AU3:AU66" si="2">AT3</f>
        <v>44</v>
      </c>
      <c r="AV3" s="8" t="str">
        <f>IFERROR(VLOOKUP($AU3,stores[],MATCH(AV$1,stores[#Headers],0),0),"")</f>
        <v>S044</v>
      </c>
      <c r="AW3" s="8" t="str">
        <f>IFERROR(VLOOKUP($AU3,stores[],MATCH(AW$1,stores[#Headers],0),0),"")</f>
        <v>Edwin Ltd Mart</v>
      </c>
      <c r="AX3" s="8" t="str">
        <f>IFERROR(VLOOKUP($AU3,stores[],MATCH(AX$1,stores[#Headers],0),0),"")</f>
        <v>Pune</v>
      </c>
      <c r="AY3" s="8" t="str">
        <f>IFERROR(VLOOKUP($AU3,stores[],MATCH(AY$1,stores[#Headers],0),0),"")</f>
        <v>Maharashtra</v>
      </c>
      <c r="AZ3" s="8">
        <f>IFERROR(VLOOKUP($AU3,stores[],MATCH(AZ$1,stores[#Headers],0),0),"")</f>
        <v>30299</v>
      </c>
      <c r="BA3" s="8" t="str">
        <f>IFERROR(VLOOKUP($AU3,stores[],MATCH(BA$1,stores[#Headers],0),0),"")</f>
        <v>Krish Vala</v>
      </c>
      <c r="BB3" s="8">
        <f>IFERROR(VLOOKUP($AU3,stores[],MATCH(BB$1,stores[#Headers],0),0),"")</f>
        <v>2021</v>
      </c>
      <c r="BC3" s="8">
        <f>IFERROR(VLOOKUP($AU3,stores[],MATCH(BC$1,stores[#Headers],0),0),"")</f>
        <v>11</v>
      </c>
      <c r="BD3" s="8">
        <f>IFERROR(VLOOKUP($AU3,stores[],MATCH(BD$1,stores[#Headers],0),0),"")</f>
        <v>6876</v>
      </c>
      <c r="BE3" s="8">
        <f>IFERROR(VLOOKUP($AU3,stores[],MATCH(BE$1,stores[#Headers],0),0),"")</f>
        <v>3.4</v>
      </c>
      <c r="BF3" s="8" t="str">
        <f>IFERROR(VLOOKUP($AU3,stores[],MATCH(BF$1,stores[#Headers],0),0),"")</f>
        <v>Yes</v>
      </c>
      <c r="BG3" s="8">
        <f>IFERROR(VLOOKUP($AU3,stores[],MATCH(BG$1,stores[#Headers],0),0),"")</f>
        <v>3784</v>
      </c>
      <c r="BH3" s="8" t="str">
        <f>IFERROR(VLOOKUP($AU3,stores[],MATCH(BH$1,stores[#Headers],0),0),"")</f>
        <v>Retail</v>
      </c>
      <c r="BI3" s="8">
        <f>IFERROR(VLOOKUP($AU3,stores[],MATCH(BI$1,stores[#Headers],0),0),"")</f>
        <v>919202428699</v>
      </c>
      <c r="BJ3" s="8" t="str">
        <f>IFERROR(VLOOKUP($AU3,stores[],MATCH(BJ$1,stores[#Headers],0),0),"")</f>
        <v>manderfrederick@sen.info</v>
      </c>
    </row>
    <row r="4" spans="1:62" x14ac:dyDescent="0.3">
      <c r="A4" s="8" t="str">
        <v>O1003</v>
      </c>
      <c r="B4" s="8" t="str">
        <v>C062</v>
      </c>
      <c r="C4" s="8" t="str">
        <v>P132</v>
      </c>
      <c r="D4" s="8">
        <v>45697</v>
      </c>
      <c r="E4" s="8">
        <v>4</v>
      </c>
      <c r="F4" s="8">
        <v>89335</v>
      </c>
      <c r="G4" s="8">
        <v>268005</v>
      </c>
      <c r="H4" s="8">
        <v>0.28999999999999998</v>
      </c>
      <c r="I4" s="8" t="str">
        <v>Net Banking</v>
      </c>
      <c r="J4" s="8" t="str">
        <v>Delivered</v>
      </c>
      <c r="K4" s="8">
        <v>45862</v>
      </c>
      <c r="L4" s="8" t="str">
        <v>Yes</v>
      </c>
      <c r="M4" s="8">
        <v>80</v>
      </c>
      <c r="N4" s="8" t="str">
        <v>No</v>
      </c>
      <c r="O4" s="8" t="str">
        <v>No</v>
      </c>
      <c r="P4" s="8" t="str">
        <f t="shared" si="0"/>
        <v>C062</v>
      </c>
      <c r="Q4" s="8" t="str">
        <f>VLOOKUP($B4,customers[],MATCH(Q$1,customers[#Headers],0),0)</f>
        <v>Udarsh Bala</v>
      </c>
      <c r="R4" s="8" t="str">
        <f>VLOOKUP($B4,customers[],MATCH(R$1,customers[#Headers],0),0)</f>
        <v>hardik52@example.org</v>
      </c>
      <c r="S4" s="8">
        <f>VLOOKUP($B4,customers[],MATCH(S$1,customers[#Headers],0),0)</f>
        <v>914727790104</v>
      </c>
      <c r="T4" s="8" t="str">
        <f>VLOOKUP($B4,customers[],MATCH(T$1,customers[#Headers],0),0)</f>
        <v>Kolkata</v>
      </c>
      <c r="U4" s="8" t="str">
        <f>VLOOKUP($B4,customers[],MATCH(U$1,customers[#Headers],0),0)</f>
        <v>West Bengal</v>
      </c>
      <c r="V4" s="8">
        <f>VLOOKUP($B4,customers[],MATCH(V$1,customers[#Headers],0),0)</f>
        <v>289861</v>
      </c>
      <c r="W4" s="8" t="str">
        <f>VLOOKUP($B4,customers[],MATCH(W$1,customers[#Headers],0),0)</f>
        <v>Female</v>
      </c>
      <c r="X4" s="8">
        <f>VLOOKUP($B4,customers[],MATCH(X$1,customers[#Headers],0),0)</f>
        <v>28908</v>
      </c>
      <c r="Y4" s="8">
        <f>VLOOKUP($B4,customers[],MATCH(Y$1,customers[#Headers],0),0)</f>
        <v>44766</v>
      </c>
      <c r="Z4" s="8" t="str">
        <f>VLOOKUP($B4,customers[],MATCH(Z$1,customers[#Headers],0),0)</f>
        <v>Electronics</v>
      </c>
      <c r="AA4" s="8">
        <f>VLOOKUP($B4,customers[],MATCH(AA$1,customers[#Headers],0),0)</f>
        <v>5020</v>
      </c>
      <c r="AB4" s="8" t="str">
        <f>VLOOKUP($B4,customers[],MATCH(AB$1,customers[#Headers],0),0)</f>
        <v>Married</v>
      </c>
      <c r="AC4" s="8" t="str">
        <f>VLOOKUP($B4,customers[],MATCH(AC$1,customers[#Headers],0),0)</f>
        <v>Business</v>
      </c>
      <c r="AD4" s="8">
        <f>VLOOKUP($B4,customers[],MATCH(AD$1,customers[#Headers],0),0)</f>
        <v>884055</v>
      </c>
      <c r="AE4" s="8" t="str">
        <f t="shared" si="1"/>
        <v>P132</v>
      </c>
      <c r="AF4" s="8" t="str">
        <f>VLOOKUP($AE4,Products[],MATCH(AF$1,Products[#Headers],0),0)</f>
        <v>Ea Rice</v>
      </c>
      <c r="AG4" s="8" t="str">
        <f>VLOOKUP($AE4,Products[],MATCH(AG$1,Products[#Headers],0),0)</f>
        <v>Home Appliance</v>
      </c>
      <c r="AH4" s="8" t="str">
        <f>VLOOKUP($AE4,Products[],MATCH(AH$1,Products[#Headers],0),0)</f>
        <v>Cotton</v>
      </c>
      <c r="AI4" s="8" t="str">
        <f>VLOOKUP($AE4,Products[],MATCH(AI$1,Products[#Headers],0),0)</f>
        <v>Sankaran, Randhawa and Balakrishnan</v>
      </c>
      <c r="AJ4" s="8">
        <f>VLOOKUP($AE4,Products[],MATCH(AJ$1,Products[#Headers],0),0)</f>
        <v>89335</v>
      </c>
      <c r="AK4" s="8">
        <f>VLOOKUP($AE4,Products[],MATCH(AK$1,Products[#Headers],0),0)</f>
        <v>29</v>
      </c>
      <c r="AL4" s="8">
        <f>VLOOKUP($AE4,Products[],MATCH(AL$1,Products[#Headers],0),0)</f>
        <v>738</v>
      </c>
      <c r="AM4" s="8">
        <f>VLOOKUP($AE4,Products[],MATCH(AM$1,Products[#Headers],0),0)</f>
        <v>12</v>
      </c>
      <c r="AN4" s="8" t="str">
        <f>VLOOKUP($AE4,Products[],MATCH(AN$1,Products[#Headers],0),0)</f>
        <v>India</v>
      </c>
      <c r="AO4" s="8" t="str">
        <f>VLOOKUP($AE4,Products[],MATCH(AO$1,Products[#Headers],0),0)</f>
        <v>Yes</v>
      </c>
      <c r="AP4" s="8">
        <f>VLOOKUP($AE4,Products[],MATCH(AP$1,Products[#Headers],0),0)</f>
        <v>3.3</v>
      </c>
      <c r="AQ4" s="8">
        <f>VLOOKUP($AE4,Products[],MATCH(AQ$1,Products[#Headers],0),0)</f>
        <v>45712</v>
      </c>
      <c r="AR4" s="8" t="str">
        <f>VLOOKUP($AE4,Products[],MATCH(AR$1,Products[#Headers],0),0)</f>
        <v>No</v>
      </c>
      <c r="AS4" s="8">
        <f>VLOOKUP($AE4,Products[],MATCH(AS$1,Products[#Headers],0),0)</f>
        <v>1547</v>
      </c>
      <c r="AT4" s="8">
        <f>VLOOKUP($AE4,Products[],MATCH(AT$1,Products[#Headers],0),0)</f>
        <v>163</v>
      </c>
      <c r="AU4" s="8">
        <f t="shared" si="2"/>
        <v>163</v>
      </c>
      <c r="AV4" s="8" t="str">
        <f>IFERROR(VLOOKUP($AU4,stores[],MATCH(AV$1,stores[#Headers],0),0),"")</f>
        <v/>
      </c>
      <c r="AW4" s="8" t="str">
        <f>IFERROR(VLOOKUP($AU4,stores[],MATCH(AW$1,stores[#Headers],0),0),"")</f>
        <v/>
      </c>
      <c r="AX4" s="8" t="str">
        <f>IFERROR(VLOOKUP($AU4,stores[],MATCH(AX$1,stores[#Headers],0),0),"")</f>
        <v/>
      </c>
      <c r="AY4" s="8" t="str">
        <f>IFERROR(VLOOKUP($AU4,stores[],MATCH(AY$1,stores[#Headers],0),0),"")</f>
        <v/>
      </c>
      <c r="AZ4" s="8" t="str">
        <f>IFERROR(VLOOKUP($AU4,stores[],MATCH(AZ$1,stores[#Headers],0),0),"")</f>
        <v/>
      </c>
      <c r="BA4" s="8" t="str">
        <f>IFERROR(VLOOKUP($AU4,stores[],MATCH(BA$1,stores[#Headers],0),0),"")</f>
        <v/>
      </c>
      <c r="BB4" s="8" t="str">
        <f>IFERROR(VLOOKUP($AU4,stores[],MATCH(BB$1,stores[#Headers],0),0),"")</f>
        <v/>
      </c>
      <c r="BC4" s="8" t="str">
        <f>IFERROR(VLOOKUP($AU4,stores[],MATCH(BC$1,stores[#Headers],0),0),"")</f>
        <v/>
      </c>
      <c r="BD4" s="8" t="str">
        <f>IFERROR(VLOOKUP($AU4,stores[],MATCH(BD$1,stores[#Headers],0),0),"")</f>
        <v/>
      </c>
      <c r="BE4" s="8" t="str">
        <f>IFERROR(VLOOKUP($AU4,stores[],MATCH(BE$1,stores[#Headers],0),0),"")</f>
        <v/>
      </c>
      <c r="BF4" s="8" t="str">
        <f>IFERROR(VLOOKUP($AU4,stores[],MATCH(BF$1,stores[#Headers],0),0),"")</f>
        <v/>
      </c>
      <c r="BG4" s="8" t="str">
        <f>IFERROR(VLOOKUP($AU4,stores[],MATCH(BG$1,stores[#Headers],0),0),"")</f>
        <v/>
      </c>
      <c r="BH4" s="8" t="str">
        <f>IFERROR(VLOOKUP($AU4,stores[],MATCH(BH$1,stores[#Headers],0),0),"")</f>
        <v/>
      </c>
      <c r="BI4" s="8" t="str">
        <f>IFERROR(VLOOKUP($AU4,stores[],MATCH(BI$1,stores[#Headers],0),0),"")</f>
        <v/>
      </c>
      <c r="BJ4" s="8" t="str">
        <f>IFERROR(VLOOKUP($AU4,stores[],MATCH(BJ$1,stores[#Headers],0),0),"")</f>
        <v/>
      </c>
    </row>
    <row r="5" spans="1:62" x14ac:dyDescent="0.3">
      <c r="A5" s="8" t="str">
        <v>O1004</v>
      </c>
      <c r="B5" s="8" t="str">
        <v>C062</v>
      </c>
      <c r="C5" s="8" t="str">
        <v>P160</v>
      </c>
      <c r="D5" s="8">
        <v>45640</v>
      </c>
      <c r="E5" s="8">
        <v>2</v>
      </c>
      <c r="F5" s="8">
        <v>90888</v>
      </c>
      <c r="G5" s="8">
        <v>272664</v>
      </c>
      <c r="H5" s="8">
        <v>0.16</v>
      </c>
      <c r="I5" s="8" t="str">
        <v>Cash on Delivery</v>
      </c>
      <c r="J5" s="8" t="str">
        <v>Shipped</v>
      </c>
      <c r="K5" s="8">
        <v>45869</v>
      </c>
      <c r="L5" s="8" t="str">
        <v>No</v>
      </c>
      <c r="M5" s="8">
        <v>441</v>
      </c>
      <c r="N5" s="8" t="str">
        <v>No</v>
      </c>
      <c r="O5" s="8" t="str">
        <v>No</v>
      </c>
      <c r="P5" s="8" t="str">
        <f t="shared" si="0"/>
        <v>C062</v>
      </c>
      <c r="Q5" s="8" t="str">
        <f>VLOOKUP($B5,customers[],MATCH(Q$1,customers[#Headers],0),0)</f>
        <v>Udarsh Bala</v>
      </c>
      <c r="R5" s="8" t="str">
        <f>VLOOKUP($B5,customers[],MATCH(R$1,customers[#Headers],0),0)</f>
        <v>hardik52@example.org</v>
      </c>
      <c r="S5" s="8">
        <f>VLOOKUP($B5,customers[],MATCH(S$1,customers[#Headers],0),0)</f>
        <v>914727790104</v>
      </c>
      <c r="T5" s="8" t="str">
        <f>VLOOKUP($B5,customers[],MATCH(T$1,customers[#Headers],0),0)</f>
        <v>Kolkata</v>
      </c>
      <c r="U5" s="8" t="str">
        <f>VLOOKUP($B5,customers[],MATCH(U$1,customers[#Headers],0),0)</f>
        <v>West Bengal</v>
      </c>
      <c r="V5" s="8">
        <f>VLOOKUP($B5,customers[],MATCH(V$1,customers[#Headers],0),0)</f>
        <v>289861</v>
      </c>
      <c r="W5" s="8" t="str">
        <f>VLOOKUP($B5,customers[],MATCH(W$1,customers[#Headers],0),0)</f>
        <v>Female</v>
      </c>
      <c r="X5" s="8">
        <f>VLOOKUP($B5,customers[],MATCH(X$1,customers[#Headers],0),0)</f>
        <v>28908</v>
      </c>
      <c r="Y5" s="8">
        <f>VLOOKUP($B5,customers[],MATCH(Y$1,customers[#Headers],0),0)</f>
        <v>44766</v>
      </c>
      <c r="Z5" s="8" t="str">
        <f>VLOOKUP($B5,customers[],MATCH(Z$1,customers[#Headers],0),0)</f>
        <v>Electronics</v>
      </c>
      <c r="AA5" s="8">
        <f>VLOOKUP($B5,customers[],MATCH(AA$1,customers[#Headers],0),0)</f>
        <v>5020</v>
      </c>
      <c r="AB5" s="8" t="str">
        <f>VLOOKUP($B5,customers[],MATCH(AB$1,customers[#Headers],0),0)</f>
        <v>Married</v>
      </c>
      <c r="AC5" s="8" t="str">
        <f>VLOOKUP($B5,customers[],MATCH(AC$1,customers[#Headers],0),0)</f>
        <v>Business</v>
      </c>
      <c r="AD5" s="8">
        <f>VLOOKUP($B5,customers[],MATCH(AD$1,customers[#Headers],0),0)</f>
        <v>884055</v>
      </c>
      <c r="AE5" s="8" t="str">
        <f t="shared" si="1"/>
        <v>P160</v>
      </c>
      <c r="AF5" s="8" t="str">
        <f>VLOOKUP($AE5,Products[],MATCH(AF$1,Products[#Headers],0),0)</f>
        <v>Voluptatibus Rice</v>
      </c>
      <c r="AG5" s="8" t="str">
        <f>VLOOKUP($AE5,Products[],MATCH(AG$1,Products[#Headers],0),0)</f>
        <v>Home Appliance</v>
      </c>
      <c r="AH5" s="8" t="str">
        <f>VLOOKUP($AE5,Products[],MATCH(AH$1,Products[#Headers],0),0)</f>
        <v>Android</v>
      </c>
      <c r="AI5" s="8" t="str">
        <f>VLOOKUP($AE5,Products[],MATCH(AI$1,Products[#Headers],0),0)</f>
        <v>Mann-Loke</v>
      </c>
      <c r="AJ5" s="8">
        <f>VLOOKUP($AE5,Products[],MATCH(AJ$1,Products[#Headers],0),0)</f>
        <v>90888</v>
      </c>
      <c r="AK5" s="8">
        <f>VLOOKUP($AE5,Products[],MATCH(AK$1,Products[#Headers],0),0)</f>
        <v>16</v>
      </c>
      <c r="AL5" s="8">
        <f>VLOOKUP($AE5,Products[],MATCH(AL$1,Products[#Headers],0),0)</f>
        <v>90</v>
      </c>
      <c r="AM5" s="8">
        <f>VLOOKUP($AE5,Products[],MATCH(AM$1,Products[#Headers],0),0)</f>
        <v>36</v>
      </c>
      <c r="AN5" s="8" t="str">
        <f>VLOOKUP($AE5,Products[],MATCH(AN$1,Products[#Headers],0),0)</f>
        <v>India</v>
      </c>
      <c r="AO5" s="8" t="str">
        <f>VLOOKUP($AE5,Products[],MATCH(AO$1,Products[#Headers],0),0)</f>
        <v>Yes</v>
      </c>
      <c r="AP5" s="8">
        <f>VLOOKUP($AE5,Products[],MATCH(AP$1,Products[#Headers],0),0)</f>
        <v>3.6</v>
      </c>
      <c r="AQ5" s="8">
        <f>VLOOKUP($AE5,Products[],MATCH(AQ$1,Products[#Headers],0),0)</f>
        <v>45558</v>
      </c>
      <c r="AR5" s="8" t="str">
        <f>VLOOKUP($AE5,Products[],MATCH(AR$1,Products[#Headers],0),0)</f>
        <v>No</v>
      </c>
      <c r="AS5" s="8">
        <f>VLOOKUP($AE5,Products[],MATCH(AS$1,Products[#Headers],0),0)</f>
        <v>9585</v>
      </c>
      <c r="AT5" s="8">
        <f>VLOOKUP($AE5,Products[],MATCH(AT$1,Products[#Headers],0),0)</f>
        <v>34</v>
      </c>
      <c r="AU5" s="8">
        <f t="shared" si="2"/>
        <v>34</v>
      </c>
      <c r="AV5" s="8" t="str">
        <f>IFERROR(VLOOKUP($AU5,stores[],MATCH(AV$1,stores[#Headers],0),0),"")</f>
        <v>S034</v>
      </c>
      <c r="AW5" s="8" t="str">
        <f>IFERROR(VLOOKUP($AU5,stores[],MATCH(AW$1,stores[#Headers],0),0),"")</f>
        <v>Naidu PLC Mart</v>
      </c>
      <c r="AX5" s="8" t="str">
        <f>IFERROR(VLOOKUP($AU5,stores[],MATCH(AX$1,stores[#Headers],0),0),"")</f>
        <v>Jaipur</v>
      </c>
      <c r="AY5" s="8" t="str">
        <f>IFERROR(VLOOKUP($AU5,stores[],MATCH(AY$1,stores[#Headers],0),0),"")</f>
        <v>Rajasthan</v>
      </c>
      <c r="AZ5" s="8">
        <f>IFERROR(VLOOKUP($AU5,stores[],MATCH(AZ$1,stores[#Headers],0),0),"")</f>
        <v>947985</v>
      </c>
      <c r="BA5" s="8" t="str">
        <f>IFERROR(VLOOKUP($AU5,stores[],MATCH(BA$1,stores[#Headers],0),0),"")</f>
        <v>Eesha Vora</v>
      </c>
      <c r="BB5" s="8">
        <f>IFERROR(VLOOKUP($AU5,stores[],MATCH(BB$1,stores[#Headers],0),0),"")</f>
        <v>2018</v>
      </c>
      <c r="BC5" s="8">
        <f>IFERROR(VLOOKUP($AU5,stores[],MATCH(BC$1,stores[#Headers],0),0),"")</f>
        <v>86</v>
      </c>
      <c r="BD5" s="8">
        <f>IFERROR(VLOOKUP($AU5,stores[],MATCH(BD$1,stores[#Headers],0),0),"")</f>
        <v>3166</v>
      </c>
      <c r="BE5" s="8">
        <f>IFERROR(VLOOKUP($AU5,stores[],MATCH(BE$1,stores[#Headers],0),0),"")</f>
        <v>3.6</v>
      </c>
      <c r="BF5" s="8" t="str">
        <f>IFERROR(VLOOKUP($AU5,stores[],MATCH(BF$1,stores[#Headers],0),0),"")</f>
        <v>No</v>
      </c>
      <c r="BG5" s="8">
        <f>IFERROR(VLOOKUP($AU5,stores[],MATCH(BG$1,stores[#Headers],0),0),"")</f>
        <v>2454</v>
      </c>
      <c r="BH5" s="8" t="str">
        <f>IFERROR(VLOOKUP($AU5,stores[],MATCH(BH$1,stores[#Headers],0),0),"")</f>
        <v>Retail</v>
      </c>
      <c r="BI5" s="8">
        <f>IFERROR(VLOOKUP($AU5,stores[],MATCH(BI$1,stores[#Headers],0),0),"")</f>
        <v>912818268861</v>
      </c>
      <c r="BJ5" s="8" t="str">
        <f>IFERROR(VLOOKUP($AU5,stores[],MATCH(BJ$1,stores[#Headers],0),0),"")</f>
        <v>timothy35@patel-memon.com</v>
      </c>
    </row>
    <row r="6" spans="1:62" x14ac:dyDescent="0.3">
      <c r="A6" s="8" t="str">
        <v>O1005</v>
      </c>
      <c r="B6" s="8" t="str">
        <v>C052</v>
      </c>
      <c r="C6" s="8" t="str">
        <v>P117</v>
      </c>
      <c r="D6" s="8">
        <v>45735</v>
      </c>
      <c r="E6" s="8">
        <v>3</v>
      </c>
      <c r="F6" s="8">
        <v>72884</v>
      </c>
      <c r="G6" s="8">
        <v>364420</v>
      </c>
      <c r="H6" s="8">
        <v>0.18</v>
      </c>
      <c r="I6" s="8" t="str">
        <v>Cash on Delivery</v>
      </c>
      <c r="J6" s="8" t="str">
        <v>Delivered</v>
      </c>
      <c r="K6" s="8">
        <v>45856</v>
      </c>
      <c r="L6" s="8" t="str">
        <v>No</v>
      </c>
      <c r="M6" s="8">
        <v>123</v>
      </c>
      <c r="N6" s="8" t="str">
        <v>No</v>
      </c>
      <c r="O6" s="8" t="str">
        <v>Yes</v>
      </c>
      <c r="P6" s="8" t="str">
        <f t="shared" si="0"/>
        <v>C052</v>
      </c>
      <c r="Q6" s="8" t="str">
        <f>VLOOKUP($B6,customers[],MATCH(Q$1,customers[#Headers],0),0)</f>
        <v>Vedika Sathe</v>
      </c>
      <c r="R6" s="8" t="str">
        <f>VLOOKUP($B6,customers[],MATCH(R$1,customers[#Headers],0),0)</f>
        <v>nmahajan@example.net</v>
      </c>
      <c r="S6" s="8">
        <f>VLOOKUP($B6,customers[],MATCH(S$1,customers[#Headers],0),0)</f>
        <v>915614978403</v>
      </c>
      <c r="T6" s="8" t="str">
        <f>VLOOKUP($B6,customers[],MATCH(T$1,customers[#Headers],0),0)</f>
        <v>Kolkata</v>
      </c>
      <c r="U6" s="8" t="str">
        <f>VLOOKUP($B6,customers[],MATCH(U$1,customers[#Headers],0),0)</f>
        <v>West Bengal</v>
      </c>
      <c r="V6" s="8">
        <f>VLOOKUP($B6,customers[],MATCH(V$1,customers[#Headers],0),0)</f>
        <v>900343</v>
      </c>
      <c r="W6" s="8" t="str">
        <f>VLOOKUP($B6,customers[],MATCH(W$1,customers[#Headers],0),0)</f>
        <v>Male</v>
      </c>
      <c r="X6" s="8">
        <f>VLOOKUP($B6,customers[],MATCH(X$1,customers[#Headers],0),0)</f>
        <v>25158</v>
      </c>
      <c r="Y6" s="8">
        <f>VLOOKUP($B6,customers[],MATCH(Y$1,customers[#Headers],0),0)</f>
        <v>44821</v>
      </c>
      <c r="Z6" s="8" t="str">
        <f>VLOOKUP($B6,customers[],MATCH(Z$1,customers[#Headers],0),0)</f>
        <v>Fashion</v>
      </c>
      <c r="AA6" s="8">
        <f>VLOOKUP($B6,customers[],MATCH(AA$1,customers[#Headers],0),0)</f>
        <v>3541</v>
      </c>
      <c r="AB6" s="8" t="str">
        <f>VLOOKUP($B6,customers[],MATCH(AB$1,customers[#Headers],0),0)</f>
        <v>Single</v>
      </c>
      <c r="AC6" s="8" t="str">
        <f>VLOOKUP($B6,customers[],MATCH(AC$1,customers[#Headers],0),0)</f>
        <v>Engineer</v>
      </c>
      <c r="AD6" s="8">
        <f>VLOOKUP($B6,customers[],MATCH(AD$1,customers[#Headers],0),0)</f>
        <v>941717</v>
      </c>
      <c r="AE6" s="8" t="str">
        <f t="shared" si="1"/>
        <v>P117</v>
      </c>
      <c r="AF6" s="8" t="str">
        <f>VLOOKUP($AE6,Products[],MATCH(AF$1,Products[#Headers],0),0)</f>
        <v>Quidem Rice</v>
      </c>
      <c r="AG6" s="8" t="str">
        <f>VLOOKUP($AE6,Products[],MATCH(AG$1,Products[#Headers],0),0)</f>
        <v>Fashion</v>
      </c>
      <c r="AH6" s="8" t="str">
        <f>VLOOKUP($AE6,Products[],MATCH(AH$1,Products[#Headers],0),0)</f>
        <v>LED</v>
      </c>
      <c r="AI6" s="8" t="str">
        <f>VLOOKUP($AE6,Products[],MATCH(AI$1,Products[#Headers],0),0)</f>
        <v>Chada, Chopra and Kothari</v>
      </c>
      <c r="AJ6" s="8">
        <f>VLOOKUP($AE6,Products[],MATCH(AJ$1,Products[#Headers],0),0)</f>
        <v>72884</v>
      </c>
      <c r="AK6" s="8">
        <f>VLOOKUP($AE6,Products[],MATCH(AK$1,Products[#Headers],0),0)</f>
        <v>18</v>
      </c>
      <c r="AL6" s="8">
        <f>VLOOKUP($AE6,Products[],MATCH(AL$1,Products[#Headers],0),0)</f>
        <v>95</v>
      </c>
      <c r="AM6" s="8">
        <f>VLOOKUP($AE6,Products[],MATCH(AM$1,Products[#Headers],0),0)</f>
        <v>12</v>
      </c>
      <c r="AN6" s="8" t="str">
        <f>VLOOKUP($AE6,Products[],MATCH(AN$1,Products[#Headers],0),0)</f>
        <v>India</v>
      </c>
      <c r="AO6" s="8" t="str">
        <f>VLOOKUP($AE6,Products[],MATCH(AO$1,Products[#Headers],0),0)</f>
        <v>No</v>
      </c>
      <c r="AP6" s="8">
        <f>VLOOKUP($AE6,Products[],MATCH(AP$1,Products[#Headers],0),0)</f>
        <v>4.9000000000000004</v>
      </c>
      <c r="AQ6" s="8">
        <f>VLOOKUP($AE6,Products[],MATCH(AQ$1,Products[#Headers],0),0)</f>
        <v>45780</v>
      </c>
      <c r="AR6" s="8" t="str">
        <f>VLOOKUP($AE6,Products[],MATCH(AR$1,Products[#Headers],0),0)</f>
        <v>Yes</v>
      </c>
      <c r="AS6" s="8">
        <f>VLOOKUP($AE6,Products[],MATCH(AS$1,Products[#Headers],0),0)</f>
        <v>9166</v>
      </c>
      <c r="AT6" s="8">
        <f>VLOOKUP($AE6,Products[],MATCH(AT$1,Products[#Headers],0),0)</f>
        <v>185</v>
      </c>
      <c r="AU6" s="8">
        <f t="shared" si="2"/>
        <v>185</v>
      </c>
      <c r="AV6" s="8" t="str">
        <f>IFERROR(VLOOKUP($AU6,stores[],MATCH(AV$1,stores[#Headers],0),0),"")</f>
        <v/>
      </c>
      <c r="AW6" s="8" t="str">
        <f>IFERROR(VLOOKUP($AU6,stores[],MATCH(AW$1,stores[#Headers],0),0),"")</f>
        <v/>
      </c>
      <c r="AX6" s="8" t="str">
        <f>IFERROR(VLOOKUP($AU6,stores[],MATCH(AX$1,stores[#Headers],0),0),"")</f>
        <v/>
      </c>
      <c r="AY6" s="8" t="str">
        <f>IFERROR(VLOOKUP($AU6,stores[],MATCH(AY$1,stores[#Headers],0),0),"")</f>
        <v/>
      </c>
      <c r="AZ6" s="8" t="str">
        <f>IFERROR(VLOOKUP($AU6,stores[],MATCH(AZ$1,stores[#Headers],0),0),"")</f>
        <v/>
      </c>
      <c r="BA6" s="8" t="str">
        <f>IFERROR(VLOOKUP($AU6,stores[],MATCH(BA$1,stores[#Headers],0),0),"")</f>
        <v/>
      </c>
      <c r="BB6" s="8" t="str">
        <f>IFERROR(VLOOKUP($AU6,stores[],MATCH(BB$1,stores[#Headers],0),0),"")</f>
        <v/>
      </c>
      <c r="BC6" s="8" t="str">
        <f>IFERROR(VLOOKUP($AU6,stores[],MATCH(BC$1,stores[#Headers],0),0),"")</f>
        <v/>
      </c>
      <c r="BD6" s="8" t="str">
        <f>IFERROR(VLOOKUP($AU6,stores[],MATCH(BD$1,stores[#Headers],0),0),"")</f>
        <v/>
      </c>
      <c r="BE6" s="8" t="str">
        <f>IFERROR(VLOOKUP($AU6,stores[],MATCH(BE$1,stores[#Headers],0),0),"")</f>
        <v/>
      </c>
      <c r="BF6" s="8" t="str">
        <f>IFERROR(VLOOKUP($AU6,stores[],MATCH(BF$1,stores[#Headers],0),0),"")</f>
        <v/>
      </c>
      <c r="BG6" s="8" t="str">
        <f>IFERROR(VLOOKUP($AU6,stores[],MATCH(BG$1,stores[#Headers],0),0),"")</f>
        <v/>
      </c>
      <c r="BH6" s="8" t="str">
        <f>IFERROR(VLOOKUP($AU6,stores[],MATCH(BH$1,stores[#Headers],0),0),"")</f>
        <v/>
      </c>
      <c r="BI6" s="8" t="str">
        <f>IFERROR(VLOOKUP($AU6,stores[],MATCH(BI$1,stores[#Headers],0),0),"")</f>
        <v/>
      </c>
      <c r="BJ6" s="8" t="str">
        <f>IFERROR(VLOOKUP($AU6,stores[],MATCH(BJ$1,stores[#Headers],0),0),"")</f>
        <v/>
      </c>
    </row>
    <row r="7" spans="1:62" x14ac:dyDescent="0.3">
      <c r="A7" s="8" t="str">
        <v>O1006</v>
      </c>
      <c r="B7" s="8" t="str">
        <v>C035</v>
      </c>
      <c r="C7" s="8" t="str">
        <v>P158</v>
      </c>
      <c r="D7" s="8">
        <v>45609</v>
      </c>
      <c r="E7" s="8">
        <v>2</v>
      </c>
      <c r="F7" s="8">
        <v>92731</v>
      </c>
      <c r="G7" s="8">
        <v>185462</v>
      </c>
      <c r="H7" s="8">
        <v>0.12</v>
      </c>
      <c r="I7" s="8" t="str">
        <v>Credit Card</v>
      </c>
      <c r="J7" s="8" t="str">
        <v>Delivered</v>
      </c>
      <c r="K7" s="8">
        <v>45865</v>
      </c>
      <c r="L7" s="8" t="str">
        <v>No</v>
      </c>
      <c r="M7" s="8">
        <v>484</v>
      </c>
      <c r="N7" s="8" t="str">
        <v>No</v>
      </c>
      <c r="O7" s="8" t="str">
        <v>No</v>
      </c>
      <c r="P7" s="8" t="str">
        <f t="shared" si="0"/>
        <v>C035</v>
      </c>
      <c r="Q7" s="8" t="str">
        <f>VLOOKUP($B7,customers[],MATCH(Q$1,customers[#Headers],0),0)</f>
        <v>Raksha Sundaram</v>
      </c>
      <c r="R7" s="8" t="str">
        <f>VLOOKUP($B7,customers[],MATCH(R$1,customers[#Headers],0),0)</f>
        <v>balakrishnanwriddhish@example.net</v>
      </c>
      <c r="S7" s="8">
        <f>VLOOKUP($B7,customers[],MATCH(S$1,customers[#Headers],0),0)</f>
        <v>914808613171</v>
      </c>
      <c r="T7" s="8" t="str">
        <f>VLOOKUP($B7,customers[],MATCH(T$1,customers[#Headers],0),0)</f>
        <v>Ahmedabad</v>
      </c>
      <c r="U7" s="8" t="str">
        <f>VLOOKUP($B7,customers[],MATCH(U$1,customers[#Headers],0),0)</f>
        <v>Gujarat</v>
      </c>
      <c r="V7" s="8">
        <f>VLOOKUP($B7,customers[],MATCH(V$1,customers[#Headers],0),0)</f>
        <v>748467</v>
      </c>
      <c r="W7" s="8" t="str">
        <f>VLOOKUP($B7,customers[],MATCH(W$1,customers[#Headers],0),0)</f>
        <v>Male</v>
      </c>
      <c r="X7" s="8">
        <f>VLOOKUP($B7,customers[],MATCH(X$1,customers[#Headers],0),0)</f>
        <v>33485</v>
      </c>
      <c r="Y7" s="8">
        <f>VLOOKUP($B7,customers[],MATCH(Y$1,customers[#Headers],0),0)</f>
        <v>44785</v>
      </c>
      <c r="Z7" s="8" t="str">
        <f>VLOOKUP($B7,customers[],MATCH(Z$1,customers[#Headers],0),0)</f>
        <v>Grocery</v>
      </c>
      <c r="AA7" s="8">
        <f>VLOOKUP($B7,customers[],MATCH(AA$1,customers[#Headers],0),0)</f>
        <v>1060</v>
      </c>
      <c r="AB7" s="8" t="str">
        <f>VLOOKUP($B7,customers[],MATCH(AB$1,customers[#Headers],0),0)</f>
        <v>Single</v>
      </c>
      <c r="AC7" s="8" t="str">
        <f>VLOOKUP($B7,customers[],MATCH(AC$1,customers[#Headers],0),0)</f>
        <v>Business</v>
      </c>
      <c r="AD7" s="8">
        <f>VLOOKUP($B7,customers[],MATCH(AD$1,customers[#Headers],0),0)</f>
        <v>204520</v>
      </c>
      <c r="AE7" s="8" t="str">
        <f t="shared" si="1"/>
        <v>P158</v>
      </c>
      <c r="AF7" s="8" t="str">
        <f>VLOOKUP($AE7,Products[],MATCH(AF$1,Products[#Headers],0),0)</f>
        <v>Deserunt Washing Machine</v>
      </c>
      <c r="AG7" s="8" t="str">
        <f>VLOOKUP($AE7,Products[],MATCH(AG$1,Products[#Headers],0),0)</f>
        <v>Home Appliance</v>
      </c>
      <c r="AH7" s="8" t="str">
        <f>VLOOKUP($AE7,Products[],MATCH(AH$1,Products[#Headers],0),0)</f>
        <v>Organic</v>
      </c>
      <c r="AI7" s="8" t="str">
        <f>VLOOKUP($AE7,Products[],MATCH(AI$1,Products[#Headers],0),0)</f>
        <v>Jhaveri Inc</v>
      </c>
      <c r="AJ7" s="8">
        <f>VLOOKUP($AE7,Products[],MATCH(AJ$1,Products[#Headers],0),0)</f>
        <v>92731</v>
      </c>
      <c r="AK7" s="8">
        <f>VLOOKUP($AE7,Products[],MATCH(AK$1,Products[#Headers],0),0)</f>
        <v>12</v>
      </c>
      <c r="AL7" s="8">
        <f>VLOOKUP($AE7,Products[],MATCH(AL$1,Products[#Headers],0),0)</f>
        <v>512</v>
      </c>
      <c r="AM7" s="8">
        <f>VLOOKUP($AE7,Products[],MATCH(AM$1,Products[#Headers],0),0)</f>
        <v>24</v>
      </c>
      <c r="AN7" s="8" t="str">
        <f>VLOOKUP($AE7,Products[],MATCH(AN$1,Products[#Headers],0),0)</f>
        <v>India</v>
      </c>
      <c r="AO7" s="8" t="str">
        <f>VLOOKUP($AE7,Products[],MATCH(AO$1,Products[#Headers],0),0)</f>
        <v>No</v>
      </c>
      <c r="AP7" s="8">
        <f>VLOOKUP($AE7,Products[],MATCH(AP$1,Products[#Headers],0),0)</f>
        <v>4.7</v>
      </c>
      <c r="AQ7" s="8">
        <f>VLOOKUP($AE7,Products[],MATCH(AQ$1,Products[#Headers],0),0)</f>
        <v>45644</v>
      </c>
      <c r="AR7" s="8" t="str">
        <f>VLOOKUP($AE7,Products[],MATCH(AR$1,Products[#Headers],0),0)</f>
        <v>Yes</v>
      </c>
      <c r="AS7" s="8">
        <f>VLOOKUP($AE7,Products[],MATCH(AS$1,Products[#Headers],0),0)</f>
        <v>8148</v>
      </c>
      <c r="AT7" s="8">
        <f>VLOOKUP($AE7,Products[],MATCH(AT$1,Products[#Headers],0),0)</f>
        <v>8</v>
      </c>
      <c r="AU7" s="8">
        <f t="shared" si="2"/>
        <v>8</v>
      </c>
      <c r="AV7" s="8" t="str">
        <f>IFERROR(VLOOKUP($AU7,stores[],MATCH(AV$1,stores[#Headers],0),0),"")</f>
        <v>S008</v>
      </c>
      <c r="AW7" s="8" t="str">
        <f>IFERROR(VLOOKUP($AU7,stores[],MATCH(AW$1,stores[#Headers],0),0),"")</f>
        <v>Palan LLC Mart</v>
      </c>
      <c r="AX7" s="8" t="str">
        <f>IFERROR(VLOOKUP($AU7,stores[],MATCH(AX$1,stores[#Headers],0),0),"")</f>
        <v>Delhi</v>
      </c>
      <c r="AY7" s="8" t="str">
        <f>IFERROR(VLOOKUP($AU7,stores[],MATCH(AY$1,stores[#Headers],0),0),"")</f>
        <v>Delhi</v>
      </c>
      <c r="AZ7" s="8">
        <f>IFERROR(VLOOKUP($AU7,stores[],MATCH(AZ$1,stores[#Headers],0),0),"")</f>
        <v>157043</v>
      </c>
      <c r="BA7" s="8" t="str">
        <f>IFERROR(VLOOKUP($AU7,stores[],MATCH(BA$1,stores[#Headers],0),0),"")</f>
        <v>Ekansh Palla</v>
      </c>
      <c r="BB7" s="8">
        <f>IFERROR(VLOOKUP($AU7,stores[],MATCH(BB$1,stores[#Headers],0),0),"")</f>
        <v>2018</v>
      </c>
      <c r="BC7" s="8">
        <f>IFERROR(VLOOKUP($AU7,stores[],MATCH(BC$1,stores[#Headers],0),0),"")</f>
        <v>49</v>
      </c>
      <c r="BD7" s="8">
        <f>IFERROR(VLOOKUP($AU7,stores[],MATCH(BD$1,stores[#Headers],0),0),"")</f>
        <v>18441</v>
      </c>
      <c r="BE7" s="8">
        <f>IFERROR(VLOOKUP($AU7,stores[],MATCH(BE$1,stores[#Headers],0),0),"")</f>
        <v>3.6</v>
      </c>
      <c r="BF7" s="8" t="str">
        <f>IFERROR(VLOOKUP($AU7,stores[],MATCH(BF$1,stores[#Headers],0),0),"")</f>
        <v>Yes</v>
      </c>
      <c r="BG7" s="8">
        <f>IFERROR(VLOOKUP($AU7,stores[],MATCH(BG$1,stores[#Headers],0),0),"")</f>
        <v>3151</v>
      </c>
      <c r="BH7" s="8" t="str">
        <f>IFERROR(VLOOKUP($AU7,stores[],MATCH(BH$1,stores[#Headers],0),0),"")</f>
        <v>Outlet</v>
      </c>
      <c r="BI7" s="8">
        <f>IFERROR(VLOOKUP($AU7,stores[],MATCH(BI$1,stores[#Headers],0),0),"")</f>
        <v>1006762676</v>
      </c>
      <c r="BJ7" s="8" t="str">
        <f>IFERROR(VLOOKUP($AU7,stores[],MATCH(BJ$1,stores[#Headers],0),0),"")</f>
        <v>keya17@kar.com</v>
      </c>
    </row>
    <row r="8" spans="1:62" x14ac:dyDescent="0.3">
      <c r="A8" s="8" t="str">
        <v>O1007</v>
      </c>
      <c r="B8" s="8" t="str">
        <v>C032</v>
      </c>
      <c r="C8" s="8" t="str">
        <v>P121</v>
      </c>
      <c r="D8" s="8">
        <v>45772</v>
      </c>
      <c r="E8" s="8">
        <v>3</v>
      </c>
      <c r="F8" s="8">
        <v>25227</v>
      </c>
      <c r="G8" s="8">
        <v>126135</v>
      </c>
      <c r="H8" s="8">
        <v>0.27</v>
      </c>
      <c r="I8" s="8" t="str">
        <v>UPI</v>
      </c>
      <c r="J8" s="8" t="str">
        <v>Shipped</v>
      </c>
      <c r="K8" s="8">
        <v>45860</v>
      </c>
      <c r="L8" s="8" t="str">
        <v>Yes</v>
      </c>
      <c r="M8" s="8">
        <v>255</v>
      </c>
      <c r="N8" s="8" t="str">
        <v>No</v>
      </c>
      <c r="O8" s="8" t="str">
        <v>No</v>
      </c>
      <c r="P8" s="8" t="str">
        <f t="shared" si="0"/>
        <v>C032</v>
      </c>
      <c r="Q8" s="8" t="str">
        <f>VLOOKUP($B8,customers[],MATCH(Q$1,customers[#Headers],0),0)</f>
        <v>Amaira Dhar</v>
      </c>
      <c r="R8" s="8" t="str">
        <f>VLOOKUP($B8,customers[],MATCH(R$1,customers[#Headers],0),0)</f>
        <v>bhasinnoah@example.com</v>
      </c>
      <c r="S8" s="8">
        <f>VLOOKUP($B8,customers[],MATCH(S$1,customers[#Headers],0),0)</f>
        <v>9471746488</v>
      </c>
      <c r="T8" s="8" t="str">
        <f>VLOOKUP($B8,customers[],MATCH(T$1,customers[#Headers],0),0)</f>
        <v>Hyderabad</v>
      </c>
      <c r="U8" s="8" t="str">
        <f>VLOOKUP($B8,customers[],MATCH(U$1,customers[#Headers],0),0)</f>
        <v>Telangana</v>
      </c>
      <c r="V8" s="8">
        <f>VLOOKUP($B8,customers[],MATCH(V$1,customers[#Headers],0),0)</f>
        <v>719065</v>
      </c>
      <c r="W8" s="8" t="str">
        <f>VLOOKUP($B8,customers[],MATCH(W$1,customers[#Headers],0),0)</f>
        <v>Female</v>
      </c>
      <c r="X8" s="8">
        <f>VLOOKUP($B8,customers[],MATCH(X$1,customers[#Headers],0),0)</f>
        <v>36753</v>
      </c>
      <c r="Y8" s="8">
        <f>VLOOKUP($B8,customers[],MATCH(Y$1,customers[#Headers],0),0)</f>
        <v>44805</v>
      </c>
      <c r="Z8" s="8" t="str">
        <f>VLOOKUP($B8,customers[],MATCH(Z$1,customers[#Headers],0),0)</f>
        <v>Home Appliance</v>
      </c>
      <c r="AA8" s="8">
        <f>VLOOKUP($B8,customers[],MATCH(AA$1,customers[#Headers],0),0)</f>
        <v>7012</v>
      </c>
      <c r="AB8" s="8" t="str">
        <f>VLOOKUP($B8,customers[],MATCH(AB$1,customers[#Headers],0),0)</f>
        <v>Single</v>
      </c>
      <c r="AC8" s="8" t="str">
        <f>VLOOKUP($B8,customers[],MATCH(AC$1,customers[#Headers],0),0)</f>
        <v>Teacher</v>
      </c>
      <c r="AD8" s="8">
        <f>VLOOKUP($B8,customers[],MATCH(AD$1,customers[#Headers],0),0)</f>
        <v>1170201</v>
      </c>
      <c r="AE8" s="8" t="str">
        <f t="shared" si="1"/>
        <v>P121</v>
      </c>
      <c r="AF8" s="8" t="str">
        <f>VLOOKUP($AE8,Products[],MATCH(AF$1,Products[#Headers],0),0)</f>
        <v>Quas Washing Machine</v>
      </c>
      <c r="AG8" s="8" t="str">
        <f>VLOOKUP($AE8,Products[],MATCH(AG$1,Products[#Headers],0),0)</f>
        <v>Grocery</v>
      </c>
      <c r="AH8" s="8" t="str">
        <f>VLOOKUP($AE8,Products[],MATCH(AH$1,Products[#Headers],0),0)</f>
        <v>Cotton</v>
      </c>
      <c r="AI8" s="8" t="str">
        <f>VLOOKUP($AE8,Products[],MATCH(AI$1,Products[#Headers],0),0)</f>
        <v>Kant, Sehgal and Prasad</v>
      </c>
      <c r="AJ8" s="8">
        <f>VLOOKUP($AE8,Products[],MATCH(AJ$1,Products[#Headers],0),0)</f>
        <v>25227</v>
      </c>
      <c r="AK8" s="8">
        <f>VLOOKUP($AE8,Products[],MATCH(AK$1,Products[#Headers],0),0)</f>
        <v>27</v>
      </c>
      <c r="AL8" s="8">
        <f>VLOOKUP($AE8,Products[],MATCH(AL$1,Products[#Headers],0),0)</f>
        <v>244</v>
      </c>
      <c r="AM8" s="8">
        <f>VLOOKUP($AE8,Products[],MATCH(AM$1,Products[#Headers],0),0)</f>
        <v>36</v>
      </c>
      <c r="AN8" s="8" t="str">
        <f>VLOOKUP($AE8,Products[],MATCH(AN$1,Products[#Headers],0),0)</f>
        <v>China</v>
      </c>
      <c r="AO8" s="8" t="str">
        <f>VLOOKUP($AE8,Products[],MATCH(AO$1,Products[#Headers],0),0)</f>
        <v>No</v>
      </c>
      <c r="AP8" s="8">
        <f>VLOOKUP($AE8,Products[],MATCH(AP$1,Products[#Headers],0),0)</f>
        <v>2.6</v>
      </c>
      <c r="AQ8" s="8">
        <f>VLOOKUP($AE8,Products[],MATCH(AQ$1,Products[#Headers],0),0)</f>
        <v>45366</v>
      </c>
      <c r="AR8" s="8" t="str">
        <f>VLOOKUP($AE8,Products[],MATCH(AR$1,Products[#Headers],0),0)</f>
        <v>No</v>
      </c>
      <c r="AS8" s="8">
        <f>VLOOKUP($AE8,Products[],MATCH(AS$1,Products[#Headers],0),0)</f>
        <v>7247</v>
      </c>
      <c r="AT8" s="8">
        <f>VLOOKUP($AE8,Products[],MATCH(AT$1,Products[#Headers],0),0)</f>
        <v>147</v>
      </c>
      <c r="AU8" s="8">
        <f t="shared" si="2"/>
        <v>147</v>
      </c>
      <c r="AV8" s="8" t="str">
        <f>IFERROR(VLOOKUP($AU8,stores[],MATCH(AV$1,stores[#Headers],0),0),"")</f>
        <v/>
      </c>
      <c r="AW8" s="8" t="str">
        <f>IFERROR(VLOOKUP($AU8,stores[],MATCH(AW$1,stores[#Headers],0),0),"")</f>
        <v/>
      </c>
      <c r="AX8" s="8" t="str">
        <f>IFERROR(VLOOKUP($AU8,stores[],MATCH(AX$1,stores[#Headers],0),0),"")</f>
        <v/>
      </c>
      <c r="AY8" s="8" t="str">
        <f>IFERROR(VLOOKUP($AU8,stores[],MATCH(AY$1,stores[#Headers],0),0),"")</f>
        <v/>
      </c>
      <c r="AZ8" s="8" t="str">
        <f>IFERROR(VLOOKUP($AU8,stores[],MATCH(AZ$1,stores[#Headers],0),0),"")</f>
        <v/>
      </c>
      <c r="BA8" s="8" t="str">
        <f>IFERROR(VLOOKUP($AU8,stores[],MATCH(BA$1,stores[#Headers],0),0),"")</f>
        <v/>
      </c>
      <c r="BB8" s="8" t="str">
        <f>IFERROR(VLOOKUP($AU8,stores[],MATCH(BB$1,stores[#Headers],0),0),"")</f>
        <v/>
      </c>
      <c r="BC8" s="8" t="str">
        <f>IFERROR(VLOOKUP($AU8,stores[],MATCH(BC$1,stores[#Headers],0),0),"")</f>
        <v/>
      </c>
      <c r="BD8" s="8" t="str">
        <f>IFERROR(VLOOKUP($AU8,stores[],MATCH(BD$1,stores[#Headers],0),0),"")</f>
        <v/>
      </c>
      <c r="BE8" s="8" t="str">
        <f>IFERROR(VLOOKUP($AU8,stores[],MATCH(BE$1,stores[#Headers],0),0),"")</f>
        <v/>
      </c>
      <c r="BF8" s="8" t="str">
        <f>IFERROR(VLOOKUP($AU8,stores[],MATCH(BF$1,stores[#Headers],0),0),"")</f>
        <v/>
      </c>
      <c r="BG8" s="8" t="str">
        <f>IFERROR(VLOOKUP($AU8,stores[],MATCH(BG$1,stores[#Headers],0),0),"")</f>
        <v/>
      </c>
      <c r="BH8" s="8" t="str">
        <f>IFERROR(VLOOKUP($AU8,stores[],MATCH(BH$1,stores[#Headers],0),0),"")</f>
        <v/>
      </c>
      <c r="BI8" s="8" t="str">
        <f>IFERROR(VLOOKUP($AU8,stores[],MATCH(BI$1,stores[#Headers],0),0),"")</f>
        <v/>
      </c>
      <c r="BJ8" s="8" t="str">
        <f>IFERROR(VLOOKUP($AU8,stores[],MATCH(BJ$1,stores[#Headers],0),0),"")</f>
        <v/>
      </c>
    </row>
    <row r="9" spans="1:62" x14ac:dyDescent="0.3">
      <c r="A9" s="8" t="str">
        <v>O1008</v>
      </c>
      <c r="B9" s="8" t="str">
        <v>C040</v>
      </c>
      <c r="C9" s="8" t="str">
        <v>P164</v>
      </c>
      <c r="D9" s="8">
        <v>45511</v>
      </c>
      <c r="E9" s="8">
        <v>1</v>
      </c>
      <c r="F9" s="8">
        <v>61962</v>
      </c>
      <c r="G9" s="8">
        <v>61962</v>
      </c>
      <c r="H9" s="8">
        <v>0.19</v>
      </c>
      <c r="I9" s="8" t="str">
        <v>Net Banking</v>
      </c>
      <c r="J9" s="8" t="str">
        <v>Cancelled</v>
      </c>
      <c r="K9" s="8">
        <v>45860</v>
      </c>
      <c r="L9" s="8" t="str">
        <v>Yes</v>
      </c>
      <c r="M9" s="8">
        <v>110</v>
      </c>
      <c r="N9" s="8" t="str">
        <v>No</v>
      </c>
      <c r="O9" s="8" t="str">
        <v>Yes</v>
      </c>
      <c r="P9" s="8" t="str">
        <f t="shared" si="0"/>
        <v>C040</v>
      </c>
      <c r="Q9" s="8" t="str">
        <f>VLOOKUP($B9,customers[],MATCH(Q$1,customers[#Headers],0),0)</f>
        <v>Aadhya Andra</v>
      </c>
      <c r="R9" s="8" t="str">
        <f>VLOOKUP($B9,customers[],MATCH(R$1,customers[#Headers],0),0)</f>
        <v>rmani@example.net</v>
      </c>
      <c r="S9" s="8">
        <f>VLOOKUP($B9,customers[],MATCH(S$1,customers[#Headers],0),0)</f>
        <v>911759464743</v>
      </c>
      <c r="T9" s="8" t="str">
        <f>VLOOKUP($B9,customers[],MATCH(T$1,customers[#Headers],0),0)</f>
        <v>Lucknow</v>
      </c>
      <c r="U9" s="8" t="str">
        <f>VLOOKUP($B9,customers[],MATCH(U$1,customers[#Headers],0),0)</f>
        <v>Uttar Pradesh</v>
      </c>
      <c r="V9" s="8">
        <f>VLOOKUP($B9,customers[],MATCH(V$1,customers[#Headers],0),0)</f>
        <v>713695</v>
      </c>
      <c r="W9" s="8" t="str">
        <f>VLOOKUP($B9,customers[],MATCH(W$1,customers[#Headers],0),0)</f>
        <v>Male</v>
      </c>
      <c r="X9" s="8">
        <f>VLOOKUP($B9,customers[],MATCH(X$1,customers[#Headers],0),0)</f>
        <v>36035</v>
      </c>
      <c r="Y9" s="8">
        <f>VLOOKUP($B9,customers[],MATCH(Y$1,customers[#Headers],0),0)</f>
        <v>44947</v>
      </c>
      <c r="Z9" s="8" t="str">
        <f>VLOOKUP($B9,customers[],MATCH(Z$1,customers[#Headers],0),0)</f>
        <v>Home Appliance</v>
      </c>
      <c r="AA9" s="8">
        <f>VLOOKUP($B9,customers[],MATCH(AA$1,customers[#Headers],0),0)</f>
        <v>6715</v>
      </c>
      <c r="AB9" s="8" t="str">
        <f>VLOOKUP($B9,customers[],MATCH(AB$1,customers[#Headers],0),0)</f>
        <v>Single</v>
      </c>
      <c r="AC9" s="8" t="str">
        <f>VLOOKUP($B9,customers[],MATCH(AC$1,customers[#Headers],0),0)</f>
        <v>Student</v>
      </c>
      <c r="AD9" s="8">
        <f>VLOOKUP($B9,customers[],MATCH(AD$1,customers[#Headers],0),0)</f>
        <v>716351</v>
      </c>
      <c r="AE9" s="8" t="str">
        <f t="shared" si="1"/>
        <v>P164</v>
      </c>
      <c r="AF9" s="8" t="str">
        <f>VLOOKUP($AE9,Products[],MATCH(AF$1,Products[#Headers],0),0)</f>
        <v>Repellat Washing Machine</v>
      </c>
      <c r="AG9" s="8" t="str">
        <f>VLOOKUP($AE9,Products[],MATCH(AG$1,Products[#Headers],0),0)</f>
        <v>Home Appliance</v>
      </c>
      <c r="AH9" s="8" t="str">
        <f>VLOOKUP($AE9,Products[],MATCH(AH$1,Products[#Headers],0),0)</f>
        <v>LED</v>
      </c>
      <c r="AI9" s="8" t="str">
        <f>VLOOKUP($AE9,Products[],MATCH(AI$1,Products[#Headers],0),0)</f>
        <v>Luthra, Sachdeva and Prashad</v>
      </c>
      <c r="AJ9" s="8">
        <f>VLOOKUP($AE9,Products[],MATCH(AJ$1,Products[#Headers],0),0)</f>
        <v>61962</v>
      </c>
      <c r="AK9" s="8">
        <f>VLOOKUP($AE9,Products[],MATCH(AK$1,Products[#Headers],0),0)</f>
        <v>19</v>
      </c>
      <c r="AL9" s="8">
        <f>VLOOKUP($AE9,Products[],MATCH(AL$1,Products[#Headers],0),0)</f>
        <v>646</v>
      </c>
      <c r="AM9" s="8">
        <f>VLOOKUP($AE9,Products[],MATCH(AM$1,Products[#Headers],0),0)</f>
        <v>24</v>
      </c>
      <c r="AN9" s="8" t="str">
        <f>VLOOKUP($AE9,Products[],MATCH(AN$1,Products[#Headers],0),0)</f>
        <v>Vietnam</v>
      </c>
      <c r="AO9" s="8" t="str">
        <f>VLOOKUP($AE9,Products[],MATCH(AO$1,Products[#Headers],0),0)</f>
        <v>Yes</v>
      </c>
      <c r="AP9" s="8">
        <f>VLOOKUP($AE9,Products[],MATCH(AP$1,Products[#Headers],0),0)</f>
        <v>3.4</v>
      </c>
      <c r="AQ9" s="8">
        <f>VLOOKUP($AE9,Products[],MATCH(AQ$1,Products[#Headers],0),0)</f>
        <v>45461</v>
      </c>
      <c r="AR9" s="8" t="str">
        <f>VLOOKUP($AE9,Products[],MATCH(AR$1,Products[#Headers],0),0)</f>
        <v>Yes</v>
      </c>
      <c r="AS9" s="8">
        <f>VLOOKUP($AE9,Products[],MATCH(AS$1,Products[#Headers],0),0)</f>
        <v>6086</v>
      </c>
      <c r="AT9" s="8">
        <f>VLOOKUP($AE9,Products[],MATCH(AT$1,Products[#Headers],0),0)</f>
        <v>26</v>
      </c>
      <c r="AU9" s="8">
        <f t="shared" si="2"/>
        <v>26</v>
      </c>
      <c r="AV9" s="8" t="str">
        <f>IFERROR(VLOOKUP($AU9,stores[],MATCH(AV$1,stores[#Headers],0),0),"")</f>
        <v>S026</v>
      </c>
      <c r="AW9" s="8" t="str">
        <f>IFERROR(VLOOKUP($AU9,stores[],MATCH(AW$1,stores[#Headers],0),0),"")</f>
        <v>Sarma, Golla and Raghavan Mart</v>
      </c>
      <c r="AX9" s="8" t="str">
        <f>IFERROR(VLOOKUP($AU9,stores[],MATCH(AX$1,stores[#Headers],0),0),"")</f>
        <v>Hyderabad</v>
      </c>
      <c r="AY9" s="8" t="str">
        <f>IFERROR(VLOOKUP($AU9,stores[],MATCH(AY$1,stores[#Headers],0),0),"")</f>
        <v>Telangana</v>
      </c>
      <c r="AZ9" s="8">
        <f>IFERROR(VLOOKUP($AU9,stores[],MATCH(AZ$1,stores[#Headers],0),0),"")</f>
        <v>902771</v>
      </c>
      <c r="BA9" s="8" t="str">
        <f>IFERROR(VLOOKUP($AU9,stores[],MATCH(BA$1,stores[#Headers],0),0),"")</f>
        <v>Ridhi Batra</v>
      </c>
      <c r="BB9" s="8">
        <f>IFERROR(VLOOKUP($AU9,stores[],MATCH(BB$1,stores[#Headers],0),0),"")</f>
        <v>2008</v>
      </c>
      <c r="BC9" s="8">
        <f>IFERROR(VLOOKUP($AU9,stores[],MATCH(BC$1,stores[#Headers],0),0),"")</f>
        <v>87</v>
      </c>
      <c r="BD9" s="8">
        <f>IFERROR(VLOOKUP($AU9,stores[],MATCH(BD$1,stores[#Headers],0),0),"")</f>
        <v>3760</v>
      </c>
      <c r="BE9" s="8">
        <f>IFERROR(VLOOKUP($AU9,stores[],MATCH(BE$1,stores[#Headers],0),0),"")</f>
        <v>3.5</v>
      </c>
      <c r="BF9" s="8" t="str">
        <f>IFERROR(VLOOKUP($AU9,stores[],MATCH(BF$1,stores[#Headers],0),0),"")</f>
        <v>No</v>
      </c>
      <c r="BG9" s="8">
        <f>IFERROR(VLOOKUP($AU9,stores[],MATCH(BG$1,stores[#Headers],0),0),"")</f>
        <v>719</v>
      </c>
      <c r="BH9" s="8" t="str">
        <f>IFERROR(VLOOKUP($AU9,stores[],MATCH(BH$1,stores[#Headers],0),0),"")</f>
        <v>Outlet</v>
      </c>
      <c r="BI9" s="8">
        <f>IFERROR(VLOOKUP($AU9,stores[],MATCH(BI$1,stores[#Headers],0),0),"")</f>
        <v>914508993588</v>
      </c>
      <c r="BJ9" s="8" t="str">
        <f>IFERROR(VLOOKUP($AU9,stores[],MATCH(BJ$1,stores[#Headers],0),0),"")</f>
        <v>santyuvraj@pal-rajan.com</v>
      </c>
    </row>
    <row r="10" spans="1:62" x14ac:dyDescent="0.3">
      <c r="A10" s="8" t="str">
        <v>O1009</v>
      </c>
      <c r="B10" s="8" t="str">
        <v>C007</v>
      </c>
      <c r="C10" s="8" t="str">
        <v>P137</v>
      </c>
      <c r="D10" s="8">
        <v>45522</v>
      </c>
      <c r="E10" s="8">
        <v>4</v>
      </c>
      <c r="F10" s="8">
        <v>6443</v>
      </c>
      <c r="G10" s="8">
        <v>32215</v>
      </c>
      <c r="H10" s="8">
        <v>0.06</v>
      </c>
      <c r="I10" s="8" t="str">
        <v>Net Banking</v>
      </c>
      <c r="J10" s="8" t="str">
        <v>Pending</v>
      </c>
      <c r="K10" s="8">
        <v>45865</v>
      </c>
      <c r="L10" s="8" t="str">
        <v>Yes</v>
      </c>
      <c r="M10" s="8">
        <v>433</v>
      </c>
      <c r="N10" s="8" t="str">
        <v>Yes</v>
      </c>
      <c r="O10" s="8" t="str">
        <v>No</v>
      </c>
      <c r="P10" s="8" t="str">
        <f t="shared" si="0"/>
        <v>C007</v>
      </c>
      <c r="Q10" s="8" t="str">
        <f>VLOOKUP($B10,customers[],MATCH(Q$1,customers[#Headers],0),0)</f>
        <v>Frederick Sunder</v>
      </c>
      <c r="R10" s="8" t="str">
        <f>VLOOKUP($B10,customers[],MATCH(R$1,customers[#Headers],0),0)</f>
        <v>waliajeremiah@example.org</v>
      </c>
      <c r="S10" s="8">
        <f>VLOOKUP($B10,customers[],MATCH(S$1,customers[#Headers],0),0)</f>
        <v>7824896383</v>
      </c>
      <c r="T10" s="8" t="str">
        <f>VLOOKUP($B10,customers[],MATCH(T$1,customers[#Headers],0),0)</f>
        <v>Jaipur</v>
      </c>
      <c r="U10" s="8" t="str">
        <f>VLOOKUP($B10,customers[],MATCH(U$1,customers[#Headers],0),0)</f>
        <v>Rajasthan</v>
      </c>
      <c r="V10" s="8">
        <f>VLOOKUP($B10,customers[],MATCH(V$1,customers[#Headers],0),0)</f>
        <v>657871</v>
      </c>
      <c r="W10" s="8" t="str">
        <f>VLOOKUP($B10,customers[],MATCH(W$1,customers[#Headers],0),0)</f>
        <v>Male</v>
      </c>
      <c r="X10" s="8">
        <f>VLOOKUP($B10,customers[],MATCH(X$1,customers[#Headers],0),0)</f>
        <v>27909</v>
      </c>
      <c r="Y10" s="8">
        <f>VLOOKUP($B10,customers[],MATCH(Y$1,customers[#Headers],0),0)</f>
        <v>44726</v>
      </c>
      <c r="Z10" s="8" t="str">
        <f>VLOOKUP($B10,customers[],MATCH(Z$1,customers[#Headers],0),0)</f>
        <v>Fashion</v>
      </c>
      <c r="AA10" s="8">
        <f>VLOOKUP($B10,customers[],MATCH(AA$1,customers[#Headers],0),0)</f>
        <v>6025</v>
      </c>
      <c r="AB10" s="8" t="str">
        <f>VLOOKUP($B10,customers[],MATCH(AB$1,customers[#Headers],0),0)</f>
        <v>Single</v>
      </c>
      <c r="AC10" s="8" t="str">
        <f>VLOOKUP($B10,customers[],MATCH(AC$1,customers[#Headers],0),0)</f>
        <v>Engineer</v>
      </c>
      <c r="AD10" s="8">
        <f>VLOOKUP($B10,customers[],MATCH(AD$1,customers[#Headers],0),0)</f>
        <v>296100</v>
      </c>
      <c r="AE10" s="8" t="str">
        <f t="shared" si="1"/>
        <v>P137</v>
      </c>
      <c r="AF10" s="8" t="str">
        <f>VLOOKUP($AE10,Products[],MATCH(AF$1,Products[#Headers],0),0)</f>
        <v>Velit TV</v>
      </c>
      <c r="AG10" s="8" t="str">
        <f>VLOOKUP($AE10,Products[],MATCH(AG$1,Products[#Headers],0),0)</f>
        <v>Grocery</v>
      </c>
      <c r="AH10" s="8" t="str">
        <f>VLOOKUP($AE10,Products[],MATCH(AH$1,Products[#Headers],0),0)</f>
        <v>Smart</v>
      </c>
      <c r="AI10" s="8" t="str">
        <f>VLOOKUP($AE10,Products[],MATCH(AI$1,Products[#Headers],0),0)</f>
        <v>Wable-Munshi</v>
      </c>
      <c r="AJ10" s="8">
        <f>VLOOKUP($AE10,Products[],MATCH(AJ$1,Products[#Headers],0),0)</f>
        <v>6443</v>
      </c>
      <c r="AK10" s="8">
        <f>VLOOKUP($AE10,Products[],MATCH(AK$1,Products[#Headers],0),0)</f>
        <v>6</v>
      </c>
      <c r="AL10" s="8">
        <f>VLOOKUP($AE10,Products[],MATCH(AL$1,Products[#Headers],0),0)</f>
        <v>311</v>
      </c>
      <c r="AM10" s="8">
        <f>VLOOKUP($AE10,Products[],MATCH(AM$1,Products[#Headers],0),0)</f>
        <v>36</v>
      </c>
      <c r="AN10" s="8" t="str">
        <f>VLOOKUP($AE10,Products[],MATCH(AN$1,Products[#Headers],0),0)</f>
        <v>India</v>
      </c>
      <c r="AO10" s="8" t="str">
        <f>VLOOKUP($AE10,Products[],MATCH(AO$1,Products[#Headers],0),0)</f>
        <v>Yes</v>
      </c>
      <c r="AP10" s="8">
        <f>VLOOKUP($AE10,Products[],MATCH(AP$1,Products[#Headers],0),0)</f>
        <v>3.1</v>
      </c>
      <c r="AQ10" s="8">
        <f>VLOOKUP($AE10,Products[],MATCH(AQ$1,Products[#Headers],0),0)</f>
        <v>45686</v>
      </c>
      <c r="AR10" s="8" t="str">
        <f>VLOOKUP($AE10,Products[],MATCH(AR$1,Products[#Headers],0),0)</f>
        <v>Yes</v>
      </c>
      <c r="AS10" s="8">
        <f>VLOOKUP($AE10,Products[],MATCH(AS$1,Products[#Headers],0),0)</f>
        <v>7368</v>
      </c>
      <c r="AT10" s="8">
        <f>VLOOKUP($AE10,Products[],MATCH(AT$1,Products[#Headers],0),0)</f>
        <v>156</v>
      </c>
      <c r="AU10" s="8">
        <f t="shared" si="2"/>
        <v>156</v>
      </c>
      <c r="AV10" s="8" t="str">
        <f>IFERROR(VLOOKUP($AU10,stores[],MATCH(AV$1,stores[#Headers],0),0),"")</f>
        <v/>
      </c>
      <c r="AW10" s="8" t="str">
        <f>IFERROR(VLOOKUP($AU10,stores[],MATCH(AW$1,stores[#Headers],0),0),"")</f>
        <v/>
      </c>
      <c r="AX10" s="8" t="str">
        <f>IFERROR(VLOOKUP($AU10,stores[],MATCH(AX$1,stores[#Headers],0),0),"")</f>
        <v/>
      </c>
      <c r="AY10" s="8" t="str">
        <f>IFERROR(VLOOKUP($AU10,stores[],MATCH(AY$1,stores[#Headers],0),0),"")</f>
        <v/>
      </c>
      <c r="AZ10" s="8" t="str">
        <f>IFERROR(VLOOKUP($AU10,stores[],MATCH(AZ$1,stores[#Headers],0),0),"")</f>
        <v/>
      </c>
      <c r="BA10" s="8" t="str">
        <f>IFERROR(VLOOKUP($AU10,stores[],MATCH(BA$1,stores[#Headers],0),0),"")</f>
        <v/>
      </c>
      <c r="BB10" s="8" t="str">
        <f>IFERROR(VLOOKUP($AU10,stores[],MATCH(BB$1,stores[#Headers],0),0),"")</f>
        <v/>
      </c>
      <c r="BC10" s="8" t="str">
        <f>IFERROR(VLOOKUP($AU10,stores[],MATCH(BC$1,stores[#Headers],0),0),"")</f>
        <v/>
      </c>
      <c r="BD10" s="8" t="str">
        <f>IFERROR(VLOOKUP($AU10,stores[],MATCH(BD$1,stores[#Headers],0),0),"")</f>
        <v/>
      </c>
      <c r="BE10" s="8" t="str">
        <f>IFERROR(VLOOKUP($AU10,stores[],MATCH(BE$1,stores[#Headers],0),0),"")</f>
        <v/>
      </c>
      <c r="BF10" s="8" t="str">
        <f>IFERROR(VLOOKUP($AU10,stores[],MATCH(BF$1,stores[#Headers],0),0),"")</f>
        <v/>
      </c>
      <c r="BG10" s="8" t="str">
        <f>IFERROR(VLOOKUP($AU10,stores[],MATCH(BG$1,stores[#Headers],0),0),"")</f>
        <v/>
      </c>
      <c r="BH10" s="8" t="str">
        <f>IFERROR(VLOOKUP($AU10,stores[],MATCH(BH$1,stores[#Headers],0),0),"")</f>
        <v/>
      </c>
      <c r="BI10" s="8" t="str">
        <f>IFERROR(VLOOKUP($AU10,stores[],MATCH(BI$1,stores[#Headers],0),0),"")</f>
        <v/>
      </c>
      <c r="BJ10" s="8" t="str">
        <f>IFERROR(VLOOKUP($AU10,stores[],MATCH(BJ$1,stores[#Headers],0),0),"")</f>
        <v/>
      </c>
    </row>
    <row r="11" spans="1:62" x14ac:dyDescent="0.3">
      <c r="A11" s="8" t="str">
        <v>O1010</v>
      </c>
      <c r="B11" s="8" t="str">
        <v>C018</v>
      </c>
      <c r="C11" s="8" t="str">
        <v>P134</v>
      </c>
      <c r="D11" s="8">
        <v>45534</v>
      </c>
      <c r="E11" s="8">
        <v>3</v>
      </c>
      <c r="F11" s="8">
        <v>63656</v>
      </c>
      <c r="G11" s="8">
        <v>254624</v>
      </c>
      <c r="H11" s="8">
        <v>0.3</v>
      </c>
      <c r="I11" s="8" t="str">
        <v>UPI</v>
      </c>
      <c r="J11" s="8" t="str">
        <v>Delivered</v>
      </c>
      <c r="K11" s="8">
        <v>45866</v>
      </c>
      <c r="L11" s="8" t="str">
        <v>No</v>
      </c>
      <c r="M11" s="8">
        <v>26</v>
      </c>
      <c r="N11" s="8" t="str">
        <v>Yes</v>
      </c>
      <c r="O11" s="8" t="str">
        <v>No</v>
      </c>
      <c r="P11" s="8" t="str">
        <f t="shared" si="0"/>
        <v>C018</v>
      </c>
      <c r="Q11" s="8" t="str">
        <f>VLOOKUP($B11,customers[],MATCH(Q$1,customers[#Headers],0),0)</f>
        <v>Owen Mitra</v>
      </c>
      <c r="R11" s="8" t="str">
        <f>VLOOKUP($B11,customers[],MATCH(R$1,customers[#Headers],0),0)</f>
        <v>tacharya@example.com</v>
      </c>
      <c r="S11" s="8">
        <f>VLOOKUP($B11,customers[],MATCH(S$1,customers[#Headers],0),0)</f>
        <v>916995777387</v>
      </c>
      <c r="T11" s="8" t="str">
        <f>VLOOKUP($B11,customers[],MATCH(T$1,customers[#Headers],0),0)</f>
        <v>Mumbai</v>
      </c>
      <c r="U11" s="8" t="str">
        <f>VLOOKUP($B11,customers[],MATCH(U$1,customers[#Headers],0),0)</f>
        <v>Maharashtra</v>
      </c>
      <c r="V11" s="8">
        <f>VLOOKUP($B11,customers[],MATCH(V$1,customers[#Headers],0),0)</f>
        <v>148951</v>
      </c>
      <c r="W11" s="8" t="str">
        <f>VLOOKUP($B11,customers[],MATCH(W$1,customers[#Headers],0),0)</f>
        <v>Female</v>
      </c>
      <c r="X11" s="8">
        <f>VLOOKUP($B11,customers[],MATCH(X$1,customers[#Headers],0),0)</f>
        <v>27585</v>
      </c>
      <c r="Y11" s="8">
        <f>VLOOKUP($B11,customers[],MATCH(Y$1,customers[#Headers],0),0)</f>
        <v>44992</v>
      </c>
      <c r="Z11" s="8" t="str">
        <f>VLOOKUP($B11,customers[],MATCH(Z$1,customers[#Headers],0),0)</f>
        <v>Fashion</v>
      </c>
      <c r="AA11" s="8">
        <f>VLOOKUP($B11,customers[],MATCH(AA$1,customers[#Headers],0),0)</f>
        <v>1927</v>
      </c>
      <c r="AB11" s="8" t="str">
        <f>VLOOKUP($B11,customers[],MATCH(AB$1,customers[#Headers],0),0)</f>
        <v>Married</v>
      </c>
      <c r="AC11" s="8" t="str">
        <f>VLOOKUP($B11,customers[],MATCH(AC$1,customers[#Headers],0),0)</f>
        <v>Business</v>
      </c>
      <c r="AD11" s="8">
        <f>VLOOKUP($B11,customers[],MATCH(AD$1,customers[#Headers],0),0)</f>
        <v>531680</v>
      </c>
      <c r="AE11" s="8" t="str">
        <f t="shared" si="1"/>
        <v>P134</v>
      </c>
      <c r="AF11" s="8" t="str">
        <f>VLOOKUP($AE11,Products[],MATCH(AF$1,Products[#Headers],0),0)</f>
        <v>Voluptatibus Shirt</v>
      </c>
      <c r="AG11" s="8" t="str">
        <f>VLOOKUP($AE11,Products[],MATCH(AG$1,Products[#Headers],0),0)</f>
        <v>Fashion</v>
      </c>
      <c r="AH11" s="8" t="str">
        <f>VLOOKUP($AE11,Products[],MATCH(AH$1,Products[#Headers],0),0)</f>
        <v>Cotton</v>
      </c>
      <c r="AI11" s="8" t="str">
        <f>VLOOKUP($AE11,Products[],MATCH(AI$1,Products[#Headers],0),0)</f>
        <v>Jha LLC</v>
      </c>
      <c r="AJ11" s="8">
        <f>VLOOKUP($AE11,Products[],MATCH(AJ$1,Products[#Headers],0),0)</f>
        <v>63656</v>
      </c>
      <c r="AK11" s="8">
        <f>VLOOKUP($AE11,Products[],MATCH(AK$1,Products[#Headers],0),0)</f>
        <v>30</v>
      </c>
      <c r="AL11" s="8">
        <f>VLOOKUP($AE11,Products[],MATCH(AL$1,Products[#Headers],0),0)</f>
        <v>302</v>
      </c>
      <c r="AM11" s="8">
        <f>VLOOKUP($AE11,Products[],MATCH(AM$1,Products[#Headers],0),0)</f>
        <v>24</v>
      </c>
      <c r="AN11" s="8" t="str">
        <f>VLOOKUP($AE11,Products[],MATCH(AN$1,Products[#Headers],0),0)</f>
        <v>India</v>
      </c>
      <c r="AO11" s="8" t="str">
        <f>VLOOKUP($AE11,Products[],MATCH(AO$1,Products[#Headers],0),0)</f>
        <v>No</v>
      </c>
      <c r="AP11" s="8">
        <f>VLOOKUP($AE11,Products[],MATCH(AP$1,Products[#Headers],0),0)</f>
        <v>4.9000000000000004</v>
      </c>
      <c r="AQ11" s="8">
        <f>VLOOKUP($AE11,Products[],MATCH(AQ$1,Products[#Headers],0),0)</f>
        <v>45852</v>
      </c>
      <c r="AR11" s="8" t="str">
        <f>VLOOKUP($AE11,Products[],MATCH(AR$1,Products[#Headers],0),0)</f>
        <v>Yes</v>
      </c>
      <c r="AS11" s="8">
        <f>VLOOKUP($AE11,Products[],MATCH(AS$1,Products[#Headers],0),0)</f>
        <v>4697</v>
      </c>
      <c r="AT11" s="8">
        <f>VLOOKUP($AE11,Products[],MATCH(AT$1,Products[#Headers],0),0)</f>
        <v>195</v>
      </c>
      <c r="AU11" s="8">
        <f t="shared" si="2"/>
        <v>195</v>
      </c>
      <c r="AV11" s="8" t="str">
        <f>IFERROR(VLOOKUP($AU11,stores[],MATCH(AV$1,stores[#Headers],0),0),"")</f>
        <v/>
      </c>
      <c r="AW11" s="8" t="str">
        <f>IFERROR(VLOOKUP($AU11,stores[],MATCH(AW$1,stores[#Headers],0),0),"")</f>
        <v/>
      </c>
      <c r="AX11" s="8" t="str">
        <f>IFERROR(VLOOKUP($AU11,stores[],MATCH(AX$1,stores[#Headers],0),0),"")</f>
        <v/>
      </c>
      <c r="AY11" s="8" t="str">
        <f>IFERROR(VLOOKUP($AU11,stores[],MATCH(AY$1,stores[#Headers],0),0),"")</f>
        <v/>
      </c>
      <c r="AZ11" s="8" t="str">
        <f>IFERROR(VLOOKUP($AU11,stores[],MATCH(AZ$1,stores[#Headers],0),0),"")</f>
        <v/>
      </c>
      <c r="BA11" s="8" t="str">
        <f>IFERROR(VLOOKUP($AU11,stores[],MATCH(BA$1,stores[#Headers],0),0),"")</f>
        <v/>
      </c>
      <c r="BB11" s="8" t="str">
        <f>IFERROR(VLOOKUP($AU11,stores[],MATCH(BB$1,stores[#Headers],0),0),"")</f>
        <v/>
      </c>
      <c r="BC11" s="8" t="str">
        <f>IFERROR(VLOOKUP($AU11,stores[],MATCH(BC$1,stores[#Headers],0),0),"")</f>
        <v/>
      </c>
      <c r="BD11" s="8" t="str">
        <f>IFERROR(VLOOKUP($AU11,stores[],MATCH(BD$1,stores[#Headers],0),0),"")</f>
        <v/>
      </c>
      <c r="BE11" s="8" t="str">
        <f>IFERROR(VLOOKUP($AU11,stores[],MATCH(BE$1,stores[#Headers],0),0),"")</f>
        <v/>
      </c>
      <c r="BF11" s="8" t="str">
        <f>IFERROR(VLOOKUP($AU11,stores[],MATCH(BF$1,stores[#Headers],0),0),"")</f>
        <v/>
      </c>
      <c r="BG11" s="8" t="str">
        <f>IFERROR(VLOOKUP($AU11,stores[],MATCH(BG$1,stores[#Headers],0),0),"")</f>
        <v/>
      </c>
      <c r="BH11" s="8" t="str">
        <f>IFERROR(VLOOKUP($AU11,stores[],MATCH(BH$1,stores[#Headers],0),0),"")</f>
        <v/>
      </c>
      <c r="BI11" s="8" t="str">
        <f>IFERROR(VLOOKUP($AU11,stores[],MATCH(BI$1,stores[#Headers],0),0),"")</f>
        <v/>
      </c>
      <c r="BJ11" s="8" t="str">
        <f>IFERROR(VLOOKUP($AU11,stores[],MATCH(BJ$1,stores[#Headers],0),0),"")</f>
        <v/>
      </c>
    </row>
    <row r="12" spans="1:62" x14ac:dyDescent="0.3">
      <c r="A12" s="8" t="str">
        <v>O1011</v>
      </c>
      <c r="B12" s="8" t="str">
        <v>C071</v>
      </c>
      <c r="C12" s="8" t="str">
        <v>P137</v>
      </c>
      <c r="D12" s="8">
        <v>45726</v>
      </c>
      <c r="E12" s="8">
        <v>1</v>
      </c>
      <c r="F12" s="8">
        <v>6443</v>
      </c>
      <c r="G12" s="8">
        <v>25772</v>
      </c>
      <c r="H12" s="8">
        <v>0.06</v>
      </c>
      <c r="I12" s="8" t="str">
        <v>Cash on Delivery</v>
      </c>
      <c r="J12" s="8" t="str">
        <v>Cancelled</v>
      </c>
      <c r="K12" s="8">
        <v>45869</v>
      </c>
      <c r="L12" s="8" t="str">
        <v>No</v>
      </c>
      <c r="M12" s="8">
        <v>422</v>
      </c>
      <c r="N12" s="8" t="str">
        <v>Yes</v>
      </c>
      <c r="O12" s="8" t="str">
        <v>Yes</v>
      </c>
      <c r="P12" s="8" t="str">
        <f t="shared" si="0"/>
        <v>C071</v>
      </c>
      <c r="Q12" s="8" t="str">
        <f>VLOOKUP($B12,customers[],MATCH(Q$1,customers[#Headers],0),0)</f>
        <v>Kai Sant</v>
      </c>
      <c r="R12" s="8" t="str">
        <f>VLOOKUP($B12,customers[],MATCH(R$1,customers[#Headers],0),0)</f>
        <v>dashzarna@example.org</v>
      </c>
      <c r="S12" s="8">
        <f>VLOOKUP($B12,customers[],MATCH(S$1,customers[#Headers],0),0)</f>
        <v>2253584143</v>
      </c>
      <c r="T12" s="8" t="str">
        <f>VLOOKUP($B12,customers[],MATCH(T$1,customers[#Headers],0),0)</f>
        <v>Bangalore</v>
      </c>
      <c r="U12" s="8" t="str">
        <f>VLOOKUP($B12,customers[],MATCH(U$1,customers[#Headers],0),0)</f>
        <v>Karnataka</v>
      </c>
      <c r="V12" s="8">
        <f>VLOOKUP($B12,customers[],MATCH(V$1,customers[#Headers],0),0)</f>
        <v>249818</v>
      </c>
      <c r="W12" s="8" t="str">
        <f>VLOOKUP($B12,customers[],MATCH(W$1,customers[#Headers],0),0)</f>
        <v>Female</v>
      </c>
      <c r="X12" s="8">
        <f>VLOOKUP($B12,customers[],MATCH(X$1,customers[#Headers],0),0)</f>
        <v>37679</v>
      </c>
      <c r="Y12" s="8">
        <f>VLOOKUP($B12,customers[],MATCH(Y$1,customers[#Headers],0),0)</f>
        <v>44551</v>
      </c>
      <c r="Z12" s="8" t="str">
        <f>VLOOKUP($B12,customers[],MATCH(Z$1,customers[#Headers],0),0)</f>
        <v>Electronics</v>
      </c>
      <c r="AA12" s="8">
        <f>VLOOKUP($B12,customers[],MATCH(AA$1,customers[#Headers],0),0)</f>
        <v>9232</v>
      </c>
      <c r="AB12" s="8" t="str">
        <f>VLOOKUP($B12,customers[],MATCH(AB$1,customers[#Headers],0),0)</f>
        <v>Single</v>
      </c>
      <c r="AC12" s="8" t="str">
        <f>VLOOKUP($B12,customers[],MATCH(AC$1,customers[#Headers],0),0)</f>
        <v>Engineer</v>
      </c>
      <c r="AD12" s="8">
        <f>VLOOKUP($B12,customers[],MATCH(AD$1,customers[#Headers],0),0)</f>
        <v>1157269</v>
      </c>
      <c r="AE12" s="8" t="str">
        <f t="shared" si="1"/>
        <v>P137</v>
      </c>
      <c r="AF12" s="8" t="str">
        <f>VLOOKUP($AE12,Products[],MATCH(AF$1,Products[#Headers],0),0)</f>
        <v>Velit TV</v>
      </c>
      <c r="AG12" s="8" t="str">
        <f>VLOOKUP($AE12,Products[],MATCH(AG$1,Products[#Headers],0),0)</f>
        <v>Grocery</v>
      </c>
      <c r="AH12" s="8" t="str">
        <f>VLOOKUP($AE12,Products[],MATCH(AH$1,Products[#Headers],0),0)</f>
        <v>Smart</v>
      </c>
      <c r="AI12" s="8" t="str">
        <f>VLOOKUP($AE12,Products[],MATCH(AI$1,Products[#Headers],0),0)</f>
        <v>Wable-Munshi</v>
      </c>
      <c r="AJ12" s="8">
        <f>VLOOKUP($AE12,Products[],MATCH(AJ$1,Products[#Headers],0),0)</f>
        <v>6443</v>
      </c>
      <c r="AK12" s="8">
        <f>VLOOKUP($AE12,Products[],MATCH(AK$1,Products[#Headers],0),0)</f>
        <v>6</v>
      </c>
      <c r="AL12" s="8">
        <f>VLOOKUP($AE12,Products[],MATCH(AL$1,Products[#Headers],0),0)</f>
        <v>311</v>
      </c>
      <c r="AM12" s="8">
        <f>VLOOKUP($AE12,Products[],MATCH(AM$1,Products[#Headers],0),0)</f>
        <v>36</v>
      </c>
      <c r="AN12" s="8" t="str">
        <f>VLOOKUP($AE12,Products[],MATCH(AN$1,Products[#Headers],0),0)</f>
        <v>India</v>
      </c>
      <c r="AO12" s="8" t="str">
        <f>VLOOKUP($AE12,Products[],MATCH(AO$1,Products[#Headers],0),0)</f>
        <v>Yes</v>
      </c>
      <c r="AP12" s="8">
        <f>VLOOKUP($AE12,Products[],MATCH(AP$1,Products[#Headers],0),0)</f>
        <v>3.1</v>
      </c>
      <c r="AQ12" s="8">
        <f>VLOOKUP($AE12,Products[],MATCH(AQ$1,Products[#Headers],0),0)</f>
        <v>45686</v>
      </c>
      <c r="AR12" s="8" t="str">
        <f>VLOOKUP($AE12,Products[],MATCH(AR$1,Products[#Headers],0),0)</f>
        <v>Yes</v>
      </c>
      <c r="AS12" s="8">
        <f>VLOOKUP($AE12,Products[],MATCH(AS$1,Products[#Headers],0),0)</f>
        <v>7368</v>
      </c>
      <c r="AT12" s="8">
        <f>VLOOKUP($AE12,Products[],MATCH(AT$1,Products[#Headers],0),0)</f>
        <v>156</v>
      </c>
      <c r="AU12" s="8">
        <f t="shared" si="2"/>
        <v>156</v>
      </c>
      <c r="AV12" s="8" t="str">
        <f>IFERROR(VLOOKUP($AU12,stores[],MATCH(AV$1,stores[#Headers],0),0),"")</f>
        <v/>
      </c>
      <c r="AW12" s="8" t="str">
        <f>IFERROR(VLOOKUP($AU12,stores[],MATCH(AW$1,stores[#Headers],0),0),"")</f>
        <v/>
      </c>
      <c r="AX12" s="8" t="str">
        <f>IFERROR(VLOOKUP($AU12,stores[],MATCH(AX$1,stores[#Headers],0),0),"")</f>
        <v/>
      </c>
      <c r="AY12" s="8" t="str">
        <f>IFERROR(VLOOKUP($AU12,stores[],MATCH(AY$1,stores[#Headers],0),0),"")</f>
        <v/>
      </c>
      <c r="AZ12" s="8" t="str">
        <f>IFERROR(VLOOKUP($AU12,stores[],MATCH(AZ$1,stores[#Headers],0),0),"")</f>
        <v/>
      </c>
      <c r="BA12" s="8" t="str">
        <f>IFERROR(VLOOKUP($AU12,stores[],MATCH(BA$1,stores[#Headers],0),0),"")</f>
        <v/>
      </c>
      <c r="BB12" s="8" t="str">
        <f>IFERROR(VLOOKUP($AU12,stores[],MATCH(BB$1,stores[#Headers],0),0),"")</f>
        <v/>
      </c>
      <c r="BC12" s="8" t="str">
        <f>IFERROR(VLOOKUP($AU12,stores[],MATCH(BC$1,stores[#Headers],0),0),"")</f>
        <v/>
      </c>
      <c r="BD12" s="8" t="str">
        <f>IFERROR(VLOOKUP($AU12,stores[],MATCH(BD$1,stores[#Headers],0),0),"")</f>
        <v/>
      </c>
      <c r="BE12" s="8" t="str">
        <f>IFERROR(VLOOKUP($AU12,stores[],MATCH(BE$1,stores[#Headers],0),0),"")</f>
        <v/>
      </c>
      <c r="BF12" s="8" t="str">
        <f>IFERROR(VLOOKUP($AU12,stores[],MATCH(BF$1,stores[#Headers],0),0),"")</f>
        <v/>
      </c>
      <c r="BG12" s="8" t="str">
        <f>IFERROR(VLOOKUP($AU12,stores[],MATCH(BG$1,stores[#Headers],0),0),"")</f>
        <v/>
      </c>
      <c r="BH12" s="8" t="str">
        <f>IFERROR(VLOOKUP($AU12,stores[],MATCH(BH$1,stores[#Headers],0),0),"")</f>
        <v/>
      </c>
      <c r="BI12" s="8" t="str">
        <f>IFERROR(VLOOKUP($AU12,stores[],MATCH(BI$1,stores[#Headers],0),0),"")</f>
        <v/>
      </c>
      <c r="BJ12" s="8" t="str">
        <f>IFERROR(VLOOKUP($AU12,stores[],MATCH(BJ$1,stores[#Headers],0),0),"")</f>
        <v/>
      </c>
    </row>
    <row r="13" spans="1:62" x14ac:dyDescent="0.3">
      <c r="A13" s="8" t="str">
        <v>O1012</v>
      </c>
      <c r="B13" s="8" t="str">
        <v>C013</v>
      </c>
      <c r="C13" s="8" t="str">
        <v>P151</v>
      </c>
      <c r="D13" s="8">
        <v>45510</v>
      </c>
      <c r="E13" s="8">
        <v>3</v>
      </c>
      <c r="F13" s="8">
        <v>46390</v>
      </c>
      <c r="G13" s="8">
        <v>139170</v>
      </c>
      <c r="H13" s="8">
        <v>0.22</v>
      </c>
      <c r="I13" s="8" t="str">
        <v>Cash on Delivery</v>
      </c>
      <c r="J13" s="8" t="str">
        <v>Pending</v>
      </c>
      <c r="K13" s="8">
        <v>45862</v>
      </c>
      <c r="L13" s="8" t="str">
        <v>Yes</v>
      </c>
      <c r="M13" s="8">
        <v>101</v>
      </c>
      <c r="N13" s="8" t="str">
        <v>No</v>
      </c>
      <c r="O13" s="8" t="str">
        <v>Yes</v>
      </c>
      <c r="P13" s="8" t="str">
        <f t="shared" si="0"/>
        <v>C013</v>
      </c>
      <c r="Q13" s="8" t="str">
        <f>VLOOKUP($B13,customers[],MATCH(Q$1,customers[#Headers],0),0)</f>
        <v>Raksha Mittal</v>
      </c>
      <c r="R13" s="8" t="str">
        <f>VLOOKUP($B13,customers[],MATCH(R$1,customers[#Headers],0),0)</f>
        <v>mistryhemang@example.org</v>
      </c>
      <c r="S13" s="8">
        <f>VLOOKUP($B13,customers[],MATCH(S$1,customers[#Headers],0),0)</f>
        <v>1182449353</v>
      </c>
      <c r="T13" s="8" t="str">
        <f>VLOOKUP($B13,customers[],MATCH(T$1,customers[#Headers],0),0)</f>
        <v>Kolkata</v>
      </c>
      <c r="U13" s="8" t="str">
        <f>VLOOKUP($B13,customers[],MATCH(U$1,customers[#Headers],0),0)</f>
        <v>West Bengal</v>
      </c>
      <c r="V13" s="8">
        <f>VLOOKUP($B13,customers[],MATCH(V$1,customers[#Headers],0),0)</f>
        <v>874016</v>
      </c>
      <c r="W13" s="8" t="str">
        <f>VLOOKUP($B13,customers[],MATCH(W$1,customers[#Headers],0),0)</f>
        <v>Male</v>
      </c>
      <c r="X13" s="8">
        <f>VLOOKUP($B13,customers[],MATCH(X$1,customers[#Headers],0),0)</f>
        <v>28624</v>
      </c>
      <c r="Y13" s="8">
        <f>VLOOKUP($B13,customers[],MATCH(Y$1,customers[#Headers],0),0)</f>
        <v>44164</v>
      </c>
      <c r="Z13" s="8" t="str">
        <f>VLOOKUP($B13,customers[],MATCH(Z$1,customers[#Headers],0),0)</f>
        <v>Grocery</v>
      </c>
      <c r="AA13" s="8">
        <f>VLOOKUP($B13,customers[],MATCH(AA$1,customers[#Headers],0),0)</f>
        <v>6582</v>
      </c>
      <c r="AB13" s="8" t="str">
        <f>VLOOKUP($B13,customers[],MATCH(AB$1,customers[#Headers],0),0)</f>
        <v>Married</v>
      </c>
      <c r="AC13" s="8" t="str">
        <f>VLOOKUP($B13,customers[],MATCH(AC$1,customers[#Headers],0),0)</f>
        <v>Doctor</v>
      </c>
      <c r="AD13" s="8">
        <f>VLOOKUP($B13,customers[],MATCH(AD$1,customers[#Headers],0),0)</f>
        <v>755493</v>
      </c>
      <c r="AE13" s="8" t="str">
        <f t="shared" si="1"/>
        <v>P151</v>
      </c>
      <c r="AF13" s="8" t="str">
        <f>VLOOKUP($AE13,Products[],MATCH(AF$1,Products[#Headers],0),0)</f>
        <v>Dolores Shirt</v>
      </c>
      <c r="AG13" s="8" t="str">
        <f>VLOOKUP($AE13,Products[],MATCH(AG$1,Products[#Headers],0),0)</f>
        <v>Grocery</v>
      </c>
      <c r="AH13" s="8" t="str">
        <f>VLOOKUP($AE13,Products[],MATCH(AH$1,Products[#Headers],0),0)</f>
        <v>LED</v>
      </c>
      <c r="AI13" s="8" t="str">
        <f>VLOOKUP($AE13,Products[],MATCH(AI$1,Products[#Headers],0),0)</f>
        <v>Tandon-Vaidya</v>
      </c>
      <c r="AJ13" s="8">
        <f>VLOOKUP($AE13,Products[],MATCH(AJ$1,Products[#Headers],0),0)</f>
        <v>46390</v>
      </c>
      <c r="AK13" s="8">
        <f>VLOOKUP($AE13,Products[],MATCH(AK$1,Products[#Headers],0),0)</f>
        <v>22</v>
      </c>
      <c r="AL13" s="8">
        <f>VLOOKUP($AE13,Products[],MATCH(AL$1,Products[#Headers],0),0)</f>
        <v>376</v>
      </c>
      <c r="AM13" s="8">
        <f>VLOOKUP($AE13,Products[],MATCH(AM$1,Products[#Headers],0),0)</f>
        <v>6</v>
      </c>
      <c r="AN13" s="8" t="str">
        <f>VLOOKUP($AE13,Products[],MATCH(AN$1,Products[#Headers],0),0)</f>
        <v>Vietnam</v>
      </c>
      <c r="AO13" s="8" t="str">
        <f>VLOOKUP($AE13,Products[],MATCH(AO$1,Products[#Headers],0),0)</f>
        <v>Yes</v>
      </c>
      <c r="AP13" s="8">
        <f>VLOOKUP($AE13,Products[],MATCH(AP$1,Products[#Headers],0),0)</f>
        <v>4.5</v>
      </c>
      <c r="AQ13" s="8">
        <f>VLOOKUP($AE13,Products[],MATCH(AQ$1,Products[#Headers],0),0)</f>
        <v>44934</v>
      </c>
      <c r="AR13" s="8" t="str">
        <f>VLOOKUP($AE13,Products[],MATCH(AR$1,Products[#Headers],0),0)</f>
        <v>Yes</v>
      </c>
      <c r="AS13" s="8">
        <f>VLOOKUP($AE13,Products[],MATCH(AS$1,Products[#Headers],0),0)</f>
        <v>5382</v>
      </c>
      <c r="AT13" s="8">
        <f>VLOOKUP($AE13,Products[],MATCH(AT$1,Products[#Headers],0),0)</f>
        <v>117</v>
      </c>
      <c r="AU13" s="8">
        <f t="shared" si="2"/>
        <v>117</v>
      </c>
      <c r="AV13" s="8" t="str">
        <f>IFERROR(VLOOKUP($AU13,stores[],MATCH(AV$1,stores[#Headers],0),0),"")</f>
        <v/>
      </c>
      <c r="AW13" s="8" t="str">
        <f>IFERROR(VLOOKUP($AU13,stores[],MATCH(AW$1,stores[#Headers],0),0),"")</f>
        <v/>
      </c>
      <c r="AX13" s="8" t="str">
        <f>IFERROR(VLOOKUP($AU13,stores[],MATCH(AX$1,stores[#Headers],0),0),"")</f>
        <v/>
      </c>
      <c r="AY13" s="8" t="str">
        <f>IFERROR(VLOOKUP($AU13,stores[],MATCH(AY$1,stores[#Headers],0),0),"")</f>
        <v/>
      </c>
      <c r="AZ13" s="8" t="str">
        <f>IFERROR(VLOOKUP($AU13,stores[],MATCH(AZ$1,stores[#Headers],0),0),"")</f>
        <v/>
      </c>
      <c r="BA13" s="8" t="str">
        <f>IFERROR(VLOOKUP($AU13,stores[],MATCH(BA$1,stores[#Headers],0),0),"")</f>
        <v/>
      </c>
      <c r="BB13" s="8" t="str">
        <f>IFERROR(VLOOKUP($AU13,stores[],MATCH(BB$1,stores[#Headers],0),0),"")</f>
        <v/>
      </c>
      <c r="BC13" s="8" t="str">
        <f>IFERROR(VLOOKUP($AU13,stores[],MATCH(BC$1,stores[#Headers],0),0),"")</f>
        <v/>
      </c>
      <c r="BD13" s="8" t="str">
        <f>IFERROR(VLOOKUP($AU13,stores[],MATCH(BD$1,stores[#Headers],0),0),"")</f>
        <v/>
      </c>
      <c r="BE13" s="8" t="str">
        <f>IFERROR(VLOOKUP($AU13,stores[],MATCH(BE$1,stores[#Headers],0),0),"")</f>
        <v/>
      </c>
      <c r="BF13" s="8" t="str">
        <f>IFERROR(VLOOKUP($AU13,stores[],MATCH(BF$1,stores[#Headers],0),0),"")</f>
        <v/>
      </c>
      <c r="BG13" s="8" t="str">
        <f>IFERROR(VLOOKUP($AU13,stores[],MATCH(BG$1,stores[#Headers],0),0),"")</f>
        <v/>
      </c>
      <c r="BH13" s="8" t="str">
        <f>IFERROR(VLOOKUP($AU13,stores[],MATCH(BH$1,stores[#Headers],0),0),"")</f>
        <v/>
      </c>
      <c r="BI13" s="8" t="str">
        <f>IFERROR(VLOOKUP($AU13,stores[],MATCH(BI$1,stores[#Headers],0),0),"")</f>
        <v/>
      </c>
      <c r="BJ13" s="8" t="str">
        <f>IFERROR(VLOOKUP($AU13,stores[],MATCH(BJ$1,stores[#Headers],0),0),"")</f>
        <v/>
      </c>
    </row>
    <row r="14" spans="1:62" x14ac:dyDescent="0.3">
      <c r="A14" s="8" t="str">
        <v>O1013</v>
      </c>
      <c r="B14" s="8" t="str">
        <v>C006</v>
      </c>
      <c r="C14" s="8" t="str">
        <v>P105</v>
      </c>
      <c r="D14" s="8">
        <v>45747</v>
      </c>
      <c r="E14" s="8">
        <v>2</v>
      </c>
      <c r="F14" s="8">
        <v>24664</v>
      </c>
      <c r="G14" s="8">
        <v>73992</v>
      </c>
      <c r="H14" s="8">
        <v>0.06</v>
      </c>
      <c r="I14" s="8" t="str">
        <v>Net Banking</v>
      </c>
      <c r="J14" s="8" t="str">
        <v>Cancelled</v>
      </c>
      <c r="K14" s="8">
        <v>45859</v>
      </c>
      <c r="L14" s="8" t="str">
        <v>Yes</v>
      </c>
      <c r="M14" s="8">
        <v>310</v>
      </c>
      <c r="N14" s="8" t="str">
        <v>Yes</v>
      </c>
      <c r="O14" s="8" t="str">
        <v>No</v>
      </c>
      <c r="P14" s="8" t="str">
        <f t="shared" si="0"/>
        <v>C006</v>
      </c>
      <c r="Q14" s="8" t="str">
        <f>VLOOKUP($B14,customers[],MATCH(Q$1,customers[#Headers],0),0)</f>
        <v>Adya Tella</v>
      </c>
      <c r="R14" s="8" t="str">
        <f>VLOOKUP($B14,customers[],MATCH(R$1,customers[#Headers],0),0)</f>
        <v>yashicacherian@example.net</v>
      </c>
      <c r="S14" s="8">
        <f>VLOOKUP($B14,customers[],MATCH(S$1,customers[#Headers],0),0)</f>
        <v>8932528809</v>
      </c>
      <c r="T14" s="8" t="str">
        <f>VLOOKUP($B14,customers[],MATCH(T$1,customers[#Headers],0),0)</f>
        <v>Kolkata</v>
      </c>
      <c r="U14" s="8" t="str">
        <f>VLOOKUP($B14,customers[],MATCH(U$1,customers[#Headers],0),0)</f>
        <v>West Bengal</v>
      </c>
      <c r="V14" s="8">
        <f>VLOOKUP($B14,customers[],MATCH(V$1,customers[#Headers],0),0)</f>
        <v>701543</v>
      </c>
      <c r="W14" s="8" t="str">
        <f>VLOOKUP($B14,customers[],MATCH(W$1,customers[#Headers],0),0)</f>
        <v>Female</v>
      </c>
      <c r="X14" s="8">
        <f>VLOOKUP($B14,customers[],MATCH(X$1,customers[#Headers],0),0)</f>
        <v>23187</v>
      </c>
      <c r="Y14" s="8">
        <f>VLOOKUP($B14,customers[],MATCH(Y$1,customers[#Headers],0),0)</f>
        <v>44776</v>
      </c>
      <c r="Z14" s="8" t="str">
        <f>VLOOKUP($B14,customers[],MATCH(Z$1,customers[#Headers],0),0)</f>
        <v>Fashion</v>
      </c>
      <c r="AA14" s="8">
        <f>VLOOKUP($B14,customers[],MATCH(AA$1,customers[#Headers],0),0)</f>
        <v>811</v>
      </c>
      <c r="AB14" s="8" t="str">
        <f>VLOOKUP($B14,customers[],MATCH(AB$1,customers[#Headers],0),0)</f>
        <v>Married</v>
      </c>
      <c r="AC14" s="8" t="str">
        <f>VLOOKUP($B14,customers[],MATCH(AC$1,customers[#Headers],0),0)</f>
        <v>Student</v>
      </c>
      <c r="AD14" s="8">
        <f>VLOOKUP($B14,customers[],MATCH(AD$1,customers[#Headers],0),0)</f>
        <v>461779</v>
      </c>
      <c r="AE14" s="8" t="str">
        <f t="shared" si="1"/>
        <v>P105</v>
      </c>
      <c r="AF14" s="8" t="str">
        <f>VLOOKUP($AE14,Products[],MATCH(AF$1,Products[#Headers],0),0)</f>
        <v>Sit Washing Machine</v>
      </c>
      <c r="AG14" s="8" t="str">
        <f>VLOOKUP($AE14,Products[],MATCH(AG$1,Products[#Headers],0),0)</f>
        <v>Grocery</v>
      </c>
      <c r="AH14" s="8" t="str">
        <f>VLOOKUP($AE14,Products[],MATCH(AH$1,Products[#Headers],0),0)</f>
        <v>Cotton</v>
      </c>
      <c r="AI14" s="8" t="str">
        <f>VLOOKUP($AE14,Products[],MATCH(AI$1,Products[#Headers],0),0)</f>
        <v>Narayan-Sarraf</v>
      </c>
      <c r="AJ14" s="8">
        <f>VLOOKUP($AE14,Products[],MATCH(AJ$1,Products[#Headers],0),0)</f>
        <v>24664</v>
      </c>
      <c r="AK14" s="8">
        <f>VLOOKUP($AE14,Products[],MATCH(AK$1,Products[#Headers],0),0)</f>
        <v>6</v>
      </c>
      <c r="AL14" s="8">
        <f>VLOOKUP($AE14,Products[],MATCH(AL$1,Products[#Headers],0),0)</f>
        <v>258</v>
      </c>
      <c r="AM14" s="8">
        <f>VLOOKUP($AE14,Products[],MATCH(AM$1,Products[#Headers],0),0)</f>
        <v>36</v>
      </c>
      <c r="AN14" s="8" t="str">
        <f>VLOOKUP($AE14,Products[],MATCH(AN$1,Products[#Headers],0),0)</f>
        <v>India</v>
      </c>
      <c r="AO14" s="8" t="str">
        <f>VLOOKUP($AE14,Products[],MATCH(AO$1,Products[#Headers],0),0)</f>
        <v>Yes</v>
      </c>
      <c r="AP14" s="8">
        <f>VLOOKUP($AE14,Products[],MATCH(AP$1,Products[#Headers],0),0)</f>
        <v>3.5</v>
      </c>
      <c r="AQ14" s="8">
        <f>VLOOKUP($AE14,Products[],MATCH(AQ$1,Products[#Headers],0),0)</f>
        <v>45278</v>
      </c>
      <c r="AR14" s="8" t="str">
        <f>VLOOKUP($AE14,Products[],MATCH(AR$1,Products[#Headers],0),0)</f>
        <v>Yes</v>
      </c>
      <c r="AS14" s="8">
        <f>VLOOKUP($AE14,Products[],MATCH(AS$1,Products[#Headers],0),0)</f>
        <v>1879</v>
      </c>
      <c r="AT14" s="8">
        <f>VLOOKUP($AE14,Products[],MATCH(AT$1,Products[#Headers],0),0)</f>
        <v>145</v>
      </c>
      <c r="AU14" s="8">
        <f t="shared" si="2"/>
        <v>145</v>
      </c>
      <c r="AV14" s="8" t="str">
        <f>IFERROR(VLOOKUP($AU14,stores[],MATCH(AV$1,stores[#Headers],0),0),"")</f>
        <v/>
      </c>
      <c r="AW14" s="8" t="str">
        <f>IFERROR(VLOOKUP($AU14,stores[],MATCH(AW$1,stores[#Headers],0),0),"")</f>
        <v/>
      </c>
      <c r="AX14" s="8" t="str">
        <f>IFERROR(VLOOKUP($AU14,stores[],MATCH(AX$1,stores[#Headers],0),0),"")</f>
        <v/>
      </c>
      <c r="AY14" s="8" t="str">
        <f>IFERROR(VLOOKUP($AU14,stores[],MATCH(AY$1,stores[#Headers],0),0),"")</f>
        <v/>
      </c>
      <c r="AZ14" s="8" t="str">
        <f>IFERROR(VLOOKUP($AU14,stores[],MATCH(AZ$1,stores[#Headers],0),0),"")</f>
        <v/>
      </c>
      <c r="BA14" s="8" t="str">
        <f>IFERROR(VLOOKUP($AU14,stores[],MATCH(BA$1,stores[#Headers],0),0),"")</f>
        <v/>
      </c>
      <c r="BB14" s="8" t="str">
        <f>IFERROR(VLOOKUP($AU14,stores[],MATCH(BB$1,stores[#Headers],0),0),"")</f>
        <v/>
      </c>
      <c r="BC14" s="8" t="str">
        <f>IFERROR(VLOOKUP($AU14,stores[],MATCH(BC$1,stores[#Headers],0),0),"")</f>
        <v/>
      </c>
      <c r="BD14" s="8" t="str">
        <f>IFERROR(VLOOKUP($AU14,stores[],MATCH(BD$1,stores[#Headers],0),0),"")</f>
        <v/>
      </c>
      <c r="BE14" s="8" t="str">
        <f>IFERROR(VLOOKUP($AU14,stores[],MATCH(BE$1,stores[#Headers],0),0),"")</f>
        <v/>
      </c>
      <c r="BF14" s="8" t="str">
        <f>IFERROR(VLOOKUP($AU14,stores[],MATCH(BF$1,stores[#Headers],0),0),"")</f>
        <v/>
      </c>
      <c r="BG14" s="8" t="str">
        <f>IFERROR(VLOOKUP($AU14,stores[],MATCH(BG$1,stores[#Headers],0),0),"")</f>
        <v/>
      </c>
      <c r="BH14" s="8" t="str">
        <f>IFERROR(VLOOKUP($AU14,stores[],MATCH(BH$1,stores[#Headers],0),0),"")</f>
        <v/>
      </c>
      <c r="BI14" s="8" t="str">
        <f>IFERROR(VLOOKUP($AU14,stores[],MATCH(BI$1,stores[#Headers],0),0),"")</f>
        <v/>
      </c>
      <c r="BJ14" s="8" t="str">
        <f>IFERROR(VLOOKUP($AU14,stores[],MATCH(BJ$1,stores[#Headers],0),0),"")</f>
        <v/>
      </c>
    </row>
    <row r="15" spans="1:62" x14ac:dyDescent="0.3">
      <c r="A15" s="8" t="str">
        <v>O1014</v>
      </c>
      <c r="B15" s="8" t="str">
        <v>C079</v>
      </c>
      <c r="C15" s="8" t="str">
        <v>P141</v>
      </c>
      <c r="D15" s="8">
        <v>45535</v>
      </c>
      <c r="E15" s="8">
        <v>2</v>
      </c>
      <c r="F15" s="8">
        <v>74500</v>
      </c>
      <c r="G15" s="8">
        <v>298000</v>
      </c>
      <c r="H15" s="8">
        <v>0.11</v>
      </c>
      <c r="I15" s="8" t="str">
        <v>Cash on Delivery</v>
      </c>
      <c r="J15" s="8" t="str">
        <v>Pending</v>
      </c>
      <c r="K15" s="8">
        <v>45855</v>
      </c>
      <c r="L15" s="8" t="str">
        <v>No</v>
      </c>
      <c r="M15" s="8">
        <v>259</v>
      </c>
      <c r="N15" s="8" t="str">
        <v>No</v>
      </c>
      <c r="O15" s="8" t="str">
        <v>No</v>
      </c>
      <c r="P15" s="8" t="str">
        <f t="shared" si="0"/>
        <v>C079</v>
      </c>
      <c r="Q15" s="8" t="str">
        <f>VLOOKUP($B15,customers[],MATCH(Q$1,customers[#Headers],0),0)</f>
        <v>Vanya Vora</v>
      </c>
      <c r="R15" s="8" t="str">
        <f>VLOOKUP($B15,customers[],MATCH(R$1,customers[#Headers],0),0)</f>
        <v>lmurthy@example.com</v>
      </c>
      <c r="S15" s="8">
        <f>VLOOKUP($B15,customers[],MATCH(S$1,customers[#Headers],0),0)</f>
        <v>5854973348</v>
      </c>
      <c r="T15" s="8" t="str">
        <f>VLOOKUP($B15,customers[],MATCH(T$1,customers[#Headers],0),0)</f>
        <v>Ahmedabad</v>
      </c>
      <c r="U15" s="8" t="str">
        <f>VLOOKUP($B15,customers[],MATCH(U$1,customers[#Headers],0),0)</f>
        <v>Gujarat</v>
      </c>
      <c r="V15" s="8">
        <f>VLOOKUP($B15,customers[],MATCH(V$1,customers[#Headers],0),0)</f>
        <v>344375</v>
      </c>
      <c r="W15" s="8" t="str">
        <f>VLOOKUP($B15,customers[],MATCH(W$1,customers[#Headers],0),0)</f>
        <v>Male</v>
      </c>
      <c r="X15" s="8">
        <f>VLOOKUP($B15,customers[],MATCH(X$1,customers[#Headers],0),0)</f>
        <v>33673</v>
      </c>
      <c r="Y15" s="8">
        <f>VLOOKUP($B15,customers[],MATCH(Y$1,customers[#Headers],0),0)</f>
        <v>45111</v>
      </c>
      <c r="Z15" s="8" t="str">
        <f>VLOOKUP($B15,customers[],MATCH(Z$1,customers[#Headers],0),0)</f>
        <v>Fashion</v>
      </c>
      <c r="AA15" s="8">
        <f>VLOOKUP($B15,customers[],MATCH(AA$1,customers[#Headers],0),0)</f>
        <v>4992</v>
      </c>
      <c r="AB15" s="8" t="str">
        <f>VLOOKUP($B15,customers[],MATCH(AB$1,customers[#Headers],0),0)</f>
        <v>Married</v>
      </c>
      <c r="AC15" s="8" t="str">
        <f>VLOOKUP($B15,customers[],MATCH(AC$1,customers[#Headers],0),0)</f>
        <v>Business</v>
      </c>
      <c r="AD15" s="8">
        <f>VLOOKUP($B15,customers[],MATCH(AD$1,customers[#Headers],0),0)</f>
        <v>1328730</v>
      </c>
      <c r="AE15" s="8" t="str">
        <f t="shared" si="1"/>
        <v>P141</v>
      </c>
      <c r="AF15" s="8" t="str">
        <f>VLOOKUP($AE15,Products[],MATCH(AF$1,Products[#Headers],0),0)</f>
        <v>Cum Shirt</v>
      </c>
      <c r="AG15" s="8" t="str">
        <f>VLOOKUP($AE15,Products[],MATCH(AG$1,Products[#Headers],0),0)</f>
        <v>Fashion</v>
      </c>
      <c r="AH15" s="8" t="str">
        <f>VLOOKUP($AE15,Products[],MATCH(AH$1,Products[#Headers],0),0)</f>
        <v>Smart</v>
      </c>
      <c r="AI15" s="8" t="str">
        <f>VLOOKUP($AE15,Products[],MATCH(AI$1,Products[#Headers],0),0)</f>
        <v>Prakash Ltd</v>
      </c>
      <c r="AJ15" s="8">
        <f>VLOOKUP($AE15,Products[],MATCH(AJ$1,Products[#Headers],0),0)</f>
        <v>74500</v>
      </c>
      <c r="AK15" s="8">
        <f>VLOOKUP($AE15,Products[],MATCH(AK$1,Products[#Headers],0),0)</f>
        <v>11</v>
      </c>
      <c r="AL15" s="8">
        <f>VLOOKUP($AE15,Products[],MATCH(AL$1,Products[#Headers],0),0)</f>
        <v>70</v>
      </c>
      <c r="AM15" s="8">
        <f>VLOOKUP($AE15,Products[],MATCH(AM$1,Products[#Headers],0),0)</f>
        <v>12</v>
      </c>
      <c r="AN15" s="8" t="str">
        <f>VLOOKUP($AE15,Products[],MATCH(AN$1,Products[#Headers],0),0)</f>
        <v>China</v>
      </c>
      <c r="AO15" s="8" t="str">
        <f>VLOOKUP($AE15,Products[],MATCH(AO$1,Products[#Headers],0),0)</f>
        <v>Yes</v>
      </c>
      <c r="AP15" s="8">
        <f>VLOOKUP($AE15,Products[],MATCH(AP$1,Products[#Headers],0),0)</f>
        <v>3.3</v>
      </c>
      <c r="AQ15" s="8">
        <f>VLOOKUP($AE15,Products[],MATCH(AQ$1,Products[#Headers],0),0)</f>
        <v>44978</v>
      </c>
      <c r="AR15" s="8" t="str">
        <f>VLOOKUP($AE15,Products[],MATCH(AR$1,Products[#Headers],0),0)</f>
        <v>Yes</v>
      </c>
      <c r="AS15" s="8">
        <f>VLOOKUP($AE15,Products[],MATCH(AS$1,Products[#Headers],0),0)</f>
        <v>1047</v>
      </c>
      <c r="AT15" s="8">
        <f>VLOOKUP($AE15,Products[],MATCH(AT$1,Products[#Headers],0),0)</f>
        <v>87</v>
      </c>
      <c r="AU15" s="8">
        <f t="shared" si="2"/>
        <v>87</v>
      </c>
      <c r="AV15" s="8" t="str">
        <f>IFERROR(VLOOKUP($AU15,stores[],MATCH(AV$1,stores[#Headers],0),0),"")</f>
        <v>S087</v>
      </c>
      <c r="AW15" s="8" t="str">
        <f>IFERROR(VLOOKUP($AU15,stores[],MATCH(AW$1,stores[#Headers],0),0),"")</f>
        <v>Bakshi, Subramanian and Tella Mart</v>
      </c>
      <c r="AX15" s="8" t="str">
        <f>IFERROR(VLOOKUP($AU15,stores[],MATCH(AX$1,stores[#Headers],0),0),"")</f>
        <v>Lucknow</v>
      </c>
      <c r="AY15" s="8" t="str">
        <f>IFERROR(VLOOKUP($AU15,stores[],MATCH(AY$1,stores[#Headers],0),0),"")</f>
        <v>Uttar Pradesh</v>
      </c>
      <c r="AZ15" s="8">
        <f>IFERROR(VLOOKUP($AU15,stores[],MATCH(AZ$1,stores[#Headers],0),0),"")</f>
        <v>357845</v>
      </c>
      <c r="BA15" s="8" t="str">
        <f>IFERROR(VLOOKUP($AU15,stores[],MATCH(BA$1,stores[#Headers],0),0),"")</f>
        <v>Guneet Varty</v>
      </c>
      <c r="BB15" s="8">
        <f>IFERROR(VLOOKUP($AU15,stores[],MATCH(BB$1,stores[#Headers],0),0),"")</f>
        <v>2015</v>
      </c>
      <c r="BC15" s="8">
        <f>IFERROR(VLOOKUP($AU15,stores[],MATCH(BC$1,stores[#Headers],0),0),"")</f>
        <v>95</v>
      </c>
      <c r="BD15" s="8">
        <f>IFERROR(VLOOKUP($AU15,stores[],MATCH(BD$1,stores[#Headers],0),0),"")</f>
        <v>2015</v>
      </c>
      <c r="BE15" s="8">
        <f>IFERROR(VLOOKUP($AU15,stores[],MATCH(BE$1,stores[#Headers],0),0),"")</f>
        <v>3.9</v>
      </c>
      <c r="BF15" s="8" t="str">
        <f>IFERROR(VLOOKUP($AU15,stores[],MATCH(BF$1,stores[#Headers],0),0),"")</f>
        <v>Yes</v>
      </c>
      <c r="BG15" s="8">
        <f>IFERROR(VLOOKUP($AU15,stores[],MATCH(BG$1,stores[#Headers],0),0),"")</f>
        <v>4056</v>
      </c>
      <c r="BH15" s="8" t="str">
        <f>IFERROR(VLOOKUP($AU15,stores[],MATCH(BH$1,stores[#Headers],0),0),"")</f>
        <v>Retail</v>
      </c>
      <c r="BI15" s="8">
        <f>IFERROR(VLOOKUP($AU15,stores[],MATCH(BI$1,stores[#Headers],0),0),"")</f>
        <v>2307681040</v>
      </c>
      <c r="BJ15" s="8" t="str">
        <f>IFERROR(VLOOKUP($AU15,stores[],MATCH(BJ$1,stores[#Headers],0),0),"")</f>
        <v>nathunni@chauhan.com</v>
      </c>
    </row>
    <row r="16" spans="1:62" x14ac:dyDescent="0.3">
      <c r="A16" s="8" t="str">
        <v>O1015</v>
      </c>
      <c r="B16" s="8" t="str">
        <v>C061</v>
      </c>
      <c r="C16" s="8" t="str">
        <v>P103</v>
      </c>
      <c r="D16" s="8">
        <v>45763</v>
      </c>
      <c r="E16" s="8">
        <v>3</v>
      </c>
      <c r="F16" s="8">
        <v>39329</v>
      </c>
      <c r="G16" s="8">
        <v>117987</v>
      </c>
      <c r="H16" s="8">
        <v>0.12</v>
      </c>
      <c r="I16" s="8" t="str">
        <v>Credit Card</v>
      </c>
      <c r="J16" s="8" t="str">
        <v>Cancelled</v>
      </c>
      <c r="K16" s="8">
        <v>45858</v>
      </c>
      <c r="L16" s="8" t="str">
        <v>No</v>
      </c>
      <c r="M16" s="8">
        <v>407</v>
      </c>
      <c r="N16" s="8" t="str">
        <v>Yes</v>
      </c>
      <c r="O16" s="8" t="str">
        <v>No</v>
      </c>
      <c r="P16" s="8" t="str">
        <f t="shared" si="0"/>
        <v>C061</v>
      </c>
      <c r="Q16" s="8" t="str">
        <f>VLOOKUP($B16,customers[],MATCH(Q$1,customers[#Headers],0),0)</f>
        <v>Charles Srivastava</v>
      </c>
      <c r="R16" s="8" t="str">
        <f>VLOOKUP($B16,customers[],MATCH(R$1,customers[#Headers],0),0)</f>
        <v>harshil81@example.com</v>
      </c>
      <c r="S16" s="8">
        <f>VLOOKUP($B16,customers[],MATCH(S$1,customers[#Headers],0),0)</f>
        <v>912478261375</v>
      </c>
      <c r="T16" s="8" t="str">
        <f>VLOOKUP($B16,customers[],MATCH(T$1,customers[#Headers],0),0)</f>
        <v>Jaipur</v>
      </c>
      <c r="U16" s="8" t="str">
        <f>VLOOKUP($B16,customers[],MATCH(U$1,customers[#Headers],0),0)</f>
        <v>Rajasthan</v>
      </c>
      <c r="V16" s="8">
        <f>VLOOKUP($B16,customers[],MATCH(V$1,customers[#Headers],0),0)</f>
        <v>606853</v>
      </c>
      <c r="W16" s="8" t="str">
        <f>VLOOKUP($B16,customers[],MATCH(W$1,customers[#Headers],0),0)</f>
        <v>Male</v>
      </c>
      <c r="X16" s="8">
        <f>VLOOKUP($B16,customers[],MATCH(X$1,customers[#Headers],0),0)</f>
        <v>31346</v>
      </c>
      <c r="Y16" s="8">
        <f>VLOOKUP($B16,customers[],MATCH(Y$1,customers[#Headers],0),0)</f>
        <v>44281</v>
      </c>
      <c r="Z16" s="8" t="str">
        <f>VLOOKUP($B16,customers[],MATCH(Z$1,customers[#Headers],0),0)</f>
        <v>Home Appliance</v>
      </c>
      <c r="AA16" s="8">
        <f>VLOOKUP($B16,customers[],MATCH(AA$1,customers[#Headers],0),0)</f>
        <v>6067</v>
      </c>
      <c r="AB16" s="8" t="str">
        <f>VLOOKUP($B16,customers[],MATCH(AB$1,customers[#Headers],0),0)</f>
        <v>Married</v>
      </c>
      <c r="AC16" s="8" t="str">
        <f>VLOOKUP($B16,customers[],MATCH(AC$1,customers[#Headers],0),0)</f>
        <v>Engineer</v>
      </c>
      <c r="AD16" s="8">
        <f>VLOOKUP($B16,customers[],MATCH(AD$1,customers[#Headers],0),0)</f>
        <v>1593007</v>
      </c>
      <c r="AE16" s="8" t="str">
        <f t="shared" si="1"/>
        <v>P103</v>
      </c>
      <c r="AF16" s="8" t="str">
        <f>VLOOKUP($AE16,Products[],MATCH(AF$1,Products[#Headers],0),0)</f>
        <v>Expedita TV</v>
      </c>
      <c r="AG16" s="8" t="str">
        <f>VLOOKUP($AE16,Products[],MATCH(AG$1,Products[#Headers],0),0)</f>
        <v>Fashion</v>
      </c>
      <c r="AH16" s="8" t="str">
        <f>VLOOKUP($AE16,Products[],MATCH(AH$1,Products[#Headers],0),0)</f>
        <v>Smart</v>
      </c>
      <c r="AI16" s="8" t="str">
        <f>VLOOKUP($AE16,Products[],MATCH(AI$1,Products[#Headers],0),0)</f>
        <v>Tandon, Hayre and Shankar</v>
      </c>
      <c r="AJ16" s="8">
        <f>VLOOKUP($AE16,Products[],MATCH(AJ$1,Products[#Headers],0),0)</f>
        <v>39329</v>
      </c>
      <c r="AK16" s="8">
        <f>VLOOKUP($AE16,Products[],MATCH(AK$1,Products[#Headers],0),0)</f>
        <v>12</v>
      </c>
      <c r="AL16" s="8">
        <f>VLOOKUP($AE16,Products[],MATCH(AL$1,Products[#Headers],0),0)</f>
        <v>369</v>
      </c>
      <c r="AM16" s="8">
        <f>VLOOKUP($AE16,Products[],MATCH(AM$1,Products[#Headers],0),0)</f>
        <v>12</v>
      </c>
      <c r="AN16" s="8" t="str">
        <f>VLOOKUP($AE16,Products[],MATCH(AN$1,Products[#Headers],0),0)</f>
        <v>Vietnam</v>
      </c>
      <c r="AO16" s="8" t="str">
        <f>VLOOKUP($AE16,Products[],MATCH(AO$1,Products[#Headers],0),0)</f>
        <v>Yes</v>
      </c>
      <c r="AP16" s="8">
        <f>VLOOKUP($AE16,Products[],MATCH(AP$1,Products[#Headers],0),0)</f>
        <v>4.3</v>
      </c>
      <c r="AQ16" s="8">
        <f>VLOOKUP($AE16,Products[],MATCH(AQ$1,Products[#Headers],0),0)</f>
        <v>44925</v>
      </c>
      <c r="AR16" s="8" t="str">
        <f>VLOOKUP($AE16,Products[],MATCH(AR$1,Products[#Headers],0),0)</f>
        <v>Yes</v>
      </c>
      <c r="AS16" s="8">
        <f>VLOOKUP($AE16,Products[],MATCH(AS$1,Products[#Headers],0),0)</f>
        <v>5495</v>
      </c>
      <c r="AT16" s="8">
        <f>VLOOKUP($AE16,Products[],MATCH(AT$1,Products[#Headers],0),0)</f>
        <v>42</v>
      </c>
      <c r="AU16" s="8">
        <f t="shared" si="2"/>
        <v>42</v>
      </c>
      <c r="AV16" s="8" t="str">
        <f>IFERROR(VLOOKUP($AU16,stores[],MATCH(AV$1,stores[#Headers],0),0),"")</f>
        <v>S042</v>
      </c>
      <c r="AW16" s="8" t="str">
        <f>IFERROR(VLOOKUP($AU16,stores[],MATCH(AW$1,stores[#Headers],0),0),"")</f>
        <v>Lalla LLC Mart</v>
      </c>
      <c r="AX16" s="8" t="str">
        <f>IFERROR(VLOOKUP($AU16,stores[],MATCH(AX$1,stores[#Headers],0),0),"")</f>
        <v>Bangalore</v>
      </c>
      <c r="AY16" s="8" t="str">
        <f>IFERROR(VLOOKUP($AU16,stores[],MATCH(AY$1,stores[#Headers],0),0),"")</f>
        <v>Karnataka</v>
      </c>
      <c r="AZ16" s="8">
        <f>IFERROR(VLOOKUP($AU16,stores[],MATCH(AZ$1,stores[#Headers],0),0),"")</f>
        <v>38567</v>
      </c>
      <c r="BA16" s="8" t="str">
        <f>IFERROR(VLOOKUP($AU16,stores[],MATCH(BA$1,stores[#Headers],0),0),"")</f>
        <v>Chakradhar Baral</v>
      </c>
      <c r="BB16" s="8">
        <f>IFERROR(VLOOKUP($AU16,stores[],MATCH(BB$1,stores[#Headers],0),0),"")</f>
        <v>2005</v>
      </c>
      <c r="BC16" s="8">
        <f>IFERROR(VLOOKUP($AU16,stores[],MATCH(BC$1,stores[#Headers],0),0),"")</f>
        <v>9</v>
      </c>
      <c r="BD16" s="8">
        <f>IFERROR(VLOOKUP($AU16,stores[],MATCH(BD$1,stores[#Headers],0),0),"")</f>
        <v>19116</v>
      </c>
      <c r="BE16" s="8">
        <f>IFERROR(VLOOKUP($AU16,stores[],MATCH(BE$1,stores[#Headers],0),0),"")</f>
        <v>4.5999999999999996</v>
      </c>
      <c r="BF16" s="8" t="str">
        <f>IFERROR(VLOOKUP($AU16,stores[],MATCH(BF$1,stores[#Headers],0),0),"")</f>
        <v>No</v>
      </c>
      <c r="BG16" s="8">
        <f>IFERROR(VLOOKUP($AU16,stores[],MATCH(BG$1,stores[#Headers],0),0),"")</f>
        <v>2339</v>
      </c>
      <c r="BH16" s="8" t="str">
        <f>IFERROR(VLOOKUP($AU16,stores[],MATCH(BH$1,stores[#Headers],0),0),"")</f>
        <v>Franchise</v>
      </c>
      <c r="BI16" s="8">
        <f>IFERROR(VLOOKUP($AU16,stores[],MATCH(BI$1,stores[#Headers],0),0),"")</f>
        <v>5184498926</v>
      </c>
      <c r="BJ16" s="8" t="str">
        <f>IFERROR(VLOOKUP($AU16,stores[],MATCH(BJ$1,stores[#Headers],0),0),"")</f>
        <v>lpau@brahmbhatt.biz</v>
      </c>
    </row>
    <row r="17" spans="1:62" x14ac:dyDescent="0.3">
      <c r="A17" s="8" t="str">
        <v>O1016</v>
      </c>
      <c r="B17" s="8" t="str">
        <v>C034</v>
      </c>
      <c r="C17" s="8" t="str">
        <v>P184</v>
      </c>
      <c r="D17" s="8">
        <v>45761</v>
      </c>
      <c r="E17" s="8">
        <v>5</v>
      </c>
      <c r="F17" s="8">
        <v>72067</v>
      </c>
      <c r="G17" s="8">
        <v>360335</v>
      </c>
      <c r="H17" s="8">
        <v>0.15</v>
      </c>
      <c r="I17" s="8" t="str">
        <v>Debit Card</v>
      </c>
      <c r="J17" s="8" t="str">
        <v>Delivered</v>
      </c>
      <c r="K17" s="8">
        <v>45855</v>
      </c>
      <c r="L17" s="8" t="str">
        <v>No</v>
      </c>
      <c r="M17" s="8">
        <v>87</v>
      </c>
      <c r="N17" s="8" t="str">
        <v>No</v>
      </c>
      <c r="O17" s="8" t="str">
        <v>Yes</v>
      </c>
      <c r="P17" s="8" t="str">
        <f t="shared" si="0"/>
        <v>C034</v>
      </c>
      <c r="Q17" s="8" t="str">
        <f>VLOOKUP($B17,customers[],MATCH(Q$1,customers[#Headers],0),0)</f>
        <v>Nandini Bansal</v>
      </c>
      <c r="R17" s="8" t="str">
        <f>VLOOKUP($B17,customers[],MATCH(R$1,customers[#Headers],0),0)</f>
        <v>uchakrabarti@example.com</v>
      </c>
      <c r="S17" s="8">
        <f>VLOOKUP($B17,customers[],MATCH(S$1,customers[#Headers],0),0)</f>
        <v>1680876038</v>
      </c>
      <c r="T17" s="8" t="str">
        <f>VLOOKUP($B17,customers[],MATCH(T$1,customers[#Headers],0),0)</f>
        <v>Pune</v>
      </c>
      <c r="U17" s="8" t="str">
        <f>VLOOKUP($B17,customers[],MATCH(U$1,customers[#Headers],0),0)</f>
        <v>Maharashtra</v>
      </c>
      <c r="V17" s="8">
        <f>VLOOKUP($B17,customers[],MATCH(V$1,customers[#Headers],0),0)</f>
        <v>977034</v>
      </c>
      <c r="W17" s="8" t="str">
        <f>VLOOKUP($B17,customers[],MATCH(W$1,customers[#Headers],0),0)</f>
        <v>Male</v>
      </c>
      <c r="X17" s="8">
        <f>VLOOKUP($B17,customers[],MATCH(X$1,customers[#Headers],0),0)</f>
        <v>35398</v>
      </c>
      <c r="Y17" s="8">
        <f>VLOOKUP($B17,customers[],MATCH(Y$1,customers[#Headers],0),0)</f>
        <v>44435</v>
      </c>
      <c r="Z17" s="8" t="str">
        <f>VLOOKUP($B17,customers[],MATCH(Z$1,customers[#Headers],0),0)</f>
        <v>Electronics</v>
      </c>
      <c r="AA17" s="8">
        <f>VLOOKUP($B17,customers[],MATCH(AA$1,customers[#Headers],0),0)</f>
        <v>3972</v>
      </c>
      <c r="AB17" s="8" t="str">
        <f>VLOOKUP($B17,customers[],MATCH(AB$1,customers[#Headers],0),0)</f>
        <v>Single</v>
      </c>
      <c r="AC17" s="8" t="str">
        <f>VLOOKUP($B17,customers[],MATCH(AC$1,customers[#Headers],0),0)</f>
        <v>Business</v>
      </c>
      <c r="AD17" s="8">
        <f>VLOOKUP($B17,customers[],MATCH(AD$1,customers[#Headers],0),0)</f>
        <v>1218463</v>
      </c>
      <c r="AE17" s="8" t="str">
        <f t="shared" si="1"/>
        <v>P184</v>
      </c>
      <c r="AF17" s="8" t="str">
        <f>VLOOKUP($AE17,Products[],MATCH(AF$1,Products[#Headers],0),0)</f>
        <v>Veritatis TV</v>
      </c>
      <c r="AG17" s="8" t="str">
        <f>VLOOKUP($AE17,Products[],MATCH(AG$1,Products[#Headers],0),0)</f>
        <v>Home Appliance</v>
      </c>
      <c r="AH17" s="8" t="str">
        <f>VLOOKUP($AE17,Products[],MATCH(AH$1,Products[#Headers],0),0)</f>
        <v>Cotton</v>
      </c>
      <c r="AI17" s="8" t="str">
        <f>VLOOKUP($AE17,Products[],MATCH(AI$1,Products[#Headers],0),0)</f>
        <v>Biswas PLC</v>
      </c>
      <c r="AJ17" s="8">
        <f>VLOOKUP($AE17,Products[],MATCH(AJ$1,Products[#Headers],0),0)</f>
        <v>72067</v>
      </c>
      <c r="AK17" s="8">
        <f>VLOOKUP($AE17,Products[],MATCH(AK$1,Products[#Headers],0),0)</f>
        <v>15</v>
      </c>
      <c r="AL17" s="8">
        <f>VLOOKUP($AE17,Products[],MATCH(AL$1,Products[#Headers],0),0)</f>
        <v>833</v>
      </c>
      <c r="AM17" s="8">
        <f>VLOOKUP($AE17,Products[],MATCH(AM$1,Products[#Headers],0),0)</f>
        <v>12</v>
      </c>
      <c r="AN17" s="8" t="str">
        <f>VLOOKUP($AE17,Products[],MATCH(AN$1,Products[#Headers],0),0)</f>
        <v>Japan</v>
      </c>
      <c r="AO17" s="8" t="str">
        <f>VLOOKUP($AE17,Products[],MATCH(AO$1,Products[#Headers],0),0)</f>
        <v>No</v>
      </c>
      <c r="AP17" s="8">
        <f>VLOOKUP($AE17,Products[],MATCH(AP$1,Products[#Headers],0),0)</f>
        <v>4.0999999999999996</v>
      </c>
      <c r="AQ17" s="8">
        <f>VLOOKUP($AE17,Products[],MATCH(AQ$1,Products[#Headers],0),0)</f>
        <v>45634</v>
      </c>
      <c r="AR17" s="8" t="str">
        <f>VLOOKUP($AE17,Products[],MATCH(AR$1,Products[#Headers],0),0)</f>
        <v>Yes</v>
      </c>
      <c r="AS17" s="8">
        <f>VLOOKUP($AE17,Products[],MATCH(AS$1,Products[#Headers],0),0)</f>
        <v>2034</v>
      </c>
      <c r="AT17" s="8">
        <f>VLOOKUP($AE17,Products[],MATCH(AT$1,Products[#Headers],0),0)</f>
        <v>171</v>
      </c>
      <c r="AU17" s="8">
        <f t="shared" si="2"/>
        <v>171</v>
      </c>
      <c r="AV17" s="8" t="str">
        <f>IFERROR(VLOOKUP($AU17,stores[],MATCH(AV$1,stores[#Headers],0),0),"")</f>
        <v/>
      </c>
      <c r="AW17" s="8" t="str">
        <f>IFERROR(VLOOKUP($AU17,stores[],MATCH(AW$1,stores[#Headers],0),0),"")</f>
        <v/>
      </c>
      <c r="AX17" s="8" t="str">
        <f>IFERROR(VLOOKUP($AU17,stores[],MATCH(AX$1,stores[#Headers],0),0),"")</f>
        <v/>
      </c>
      <c r="AY17" s="8" t="str">
        <f>IFERROR(VLOOKUP($AU17,stores[],MATCH(AY$1,stores[#Headers],0),0),"")</f>
        <v/>
      </c>
      <c r="AZ17" s="8" t="str">
        <f>IFERROR(VLOOKUP($AU17,stores[],MATCH(AZ$1,stores[#Headers],0),0),"")</f>
        <v/>
      </c>
      <c r="BA17" s="8" t="str">
        <f>IFERROR(VLOOKUP($AU17,stores[],MATCH(BA$1,stores[#Headers],0),0),"")</f>
        <v/>
      </c>
      <c r="BB17" s="8" t="str">
        <f>IFERROR(VLOOKUP($AU17,stores[],MATCH(BB$1,stores[#Headers],0),0),"")</f>
        <v/>
      </c>
      <c r="BC17" s="8" t="str">
        <f>IFERROR(VLOOKUP($AU17,stores[],MATCH(BC$1,stores[#Headers],0),0),"")</f>
        <v/>
      </c>
      <c r="BD17" s="8" t="str">
        <f>IFERROR(VLOOKUP($AU17,stores[],MATCH(BD$1,stores[#Headers],0),0),"")</f>
        <v/>
      </c>
      <c r="BE17" s="8" t="str">
        <f>IFERROR(VLOOKUP($AU17,stores[],MATCH(BE$1,stores[#Headers],0),0),"")</f>
        <v/>
      </c>
      <c r="BF17" s="8" t="str">
        <f>IFERROR(VLOOKUP($AU17,stores[],MATCH(BF$1,stores[#Headers],0),0),"")</f>
        <v/>
      </c>
      <c r="BG17" s="8" t="str">
        <f>IFERROR(VLOOKUP($AU17,stores[],MATCH(BG$1,stores[#Headers],0),0),"")</f>
        <v/>
      </c>
      <c r="BH17" s="8" t="str">
        <f>IFERROR(VLOOKUP($AU17,stores[],MATCH(BH$1,stores[#Headers],0),0),"")</f>
        <v/>
      </c>
      <c r="BI17" s="8" t="str">
        <f>IFERROR(VLOOKUP($AU17,stores[],MATCH(BI$1,stores[#Headers],0),0),"")</f>
        <v/>
      </c>
      <c r="BJ17" s="8" t="str">
        <f>IFERROR(VLOOKUP($AU17,stores[],MATCH(BJ$1,stores[#Headers],0),0),"")</f>
        <v/>
      </c>
    </row>
    <row r="18" spans="1:62" x14ac:dyDescent="0.3">
      <c r="A18" s="8" t="str">
        <v>O1017</v>
      </c>
      <c r="B18" s="8" t="str">
        <v>C088</v>
      </c>
      <c r="C18" s="8" t="str">
        <v>P132</v>
      </c>
      <c r="D18" s="8">
        <v>45552</v>
      </c>
      <c r="E18" s="8">
        <v>1</v>
      </c>
      <c r="F18" s="8">
        <v>89335</v>
      </c>
      <c r="G18" s="8">
        <v>446675</v>
      </c>
      <c r="H18" s="8">
        <v>0.28999999999999998</v>
      </c>
      <c r="I18" s="8" t="str">
        <v>Credit Card</v>
      </c>
      <c r="J18" s="8" t="str">
        <v>Shipped</v>
      </c>
      <c r="K18" s="8">
        <v>45867</v>
      </c>
      <c r="L18" s="8" t="str">
        <v>Yes</v>
      </c>
      <c r="M18" s="8">
        <v>225</v>
      </c>
      <c r="N18" s="8" t="str">
        <v>No</v>
      </c>
      <c r="O18" s="8" t="str">
        <v>No</v>
      </c>
      <c r="P18" s="8" t="str">
        <f t="shared" si="0"/>
        <v>C088</v>
      </c>
      <c r="Q18" s="8" t="str">
        <f>VLOOKUP($B18,customers[],MATCH(Q$1,customers[#Headers],0),0)</f>
        <v>Ubika Samra</v>
      </c>
      <c r="R18" s="8" t="str">
        <f>VLOOKUP($B18,customers[],MATCH(R$1,customers[#Headers],0),0)</f>
        <v>pkarpe@example.com</v>
      </c>
      <c r="S18" s="8">
        <f>VLOOKUP($B18,customers[],MATCH(S$1,customers[#Headers],0),0)</f>
        <v>2431069033</v>
      </c>
      <c r="T18" s="8" t="str">
        <f>VLOOKUP($B18,customers[],MATCH(T$1,customers[#Headers],0),0)</f>
        <v>Hyderabad</v>
      </c>
      <c r="U18" s="8" t="str">
        <f>VLOOKUP($B18,customers[],MATCH(U$1,customers[#Headers],0),0)</f>
        <v>Telangana</v>
      </c>
      <c r="V18" s="8">
        <f>VLOOKUP($B18,customers[],MATCH(V$1,customers[#Headers],0),0)</f>
        <v>190790</v>
      </c>
      <c r="W18" s="8" t="str">
        <f>VLOOKUP($B18,customers[],MATCH(W$1,customers[#Headers],0),0)</f>
        <v>Female</v>
      </c>
      <c r="X18" s="8">
        <f>VLOOKUP($B18,customers[],MATCH(X$1,customers[#Headers],0),0)</f>
        <v>27830</v>
      </c>
      <c r="Y18" s="8">
        <f>VLOOKUP($B18,customers[],MATCH(Y$1,customers[#Headers],0),0)</f>
        <v>44165</v>
      </c>
      <c r="Z18" s="8" t="str">
        <f>VLOOKUP($B18,customers[],MATCH(Z$1,customers[#Headers],0),0)</f>
        <v>Fashion</v>
      </c>
      <c r="AA18" s="8">
        <f>VLOOKUP($B18,customers[],MATCH(AA$1,customers[#Headers],0),0)</f>
        <v>6143</v>
      </c>
      <c r="AB18" s="8" t="str">
        <f>VLOOKUP($B18,customers[],MATCH(AB$1,customers[#Headers],0),0)</f>
        <v>Single</v>
      </c>
      <c r="AC18" s="8" t="str">
        <f>VLOOKUP($B18,customers[],MATCH(AC$1,customers[#Headers],0),0)</f>
        <v>Student</v>
      </c>
      <c r="AD18" s="8">
        <f>VLOOKUP($B18,customers[],MATCH(AD$1,customers[#Headers],0),0)</f>
        <v>1473490</v>
      </c>
      <c r="AE18" s="8" t="str">
        <f t="shared" si="1"/>
        <v>P132</v>
      </c>
      <c r="AF18" s="8" t="str">
        <f>VLOOKUP($AE18,Products[],MATCH(AF$1,Products[#Headers],0),0)</f>
        <v>Ea Rice</v>
      </c>
      <c r="AG18" s="8" t="str">
        <f>VLOOKUP($AE18,Products[],MATCH(AG$1,Products[#Headers],0),0)</f>
        <v>Home Appliance</v>
      </c>
      <c r="AH18" s="8" t="str">
        <f>VLOOKUP($AE18,Products[],MATCH(AH$1,Products[#Headers],0),0)</f>
        <v>Cotton</v>
      </c>
      <c r="AI18" s="8" t="str">
        <f>VLOOKUP($AE18,Products[],MATCH(AI$1,Products[#Headers],0),0)</f>
        <v>Sankaran, Randhawa and Balakrishnan</v>
      </c>
      <c r="AJ18" s="8">
        <f>VLOOKUP($AE18,Products[],MATCH(AJ$1,Products[#Headers],0),0)</f>
        <v>89335</v>
      </c>
      <c r="AK18" s="8">
        <f>VLOOKUP($AE18,Products[],MATCH(AK$1,Products[#Headers],0),0)</f>
        <v>29</v>
      </c>
      <c r="AL18" s="8">
        <f>VLOOKUP($AE18,Products[],MATCH(AL$1,Products[#Headers],0),0)</f>
        <v>738</v>
      </c>
      <c r="AM18" s="8">
        <f>VLOOKUP($AE18,Products[],MATCH(AM$1,Products[#Headers],0),0)</f>
        <v>12</v>
      </c>
      <c r="AN18" s="8" t="str">
        <f>VLOOKUP($AE18,Products[],MATCH(AN$1,Products[#Headers],0),0)</f>
        <v>India</v>
      </c>
      <c r="AO18" s="8" t="str">
        <f>VLOOKUP($AE18,Products[],MATCH(AO$1,Products[#Headers],0),0)</f>
        <v>Yes</v>
      </c>
      <c r="AP18" s="8">
        <f>VLOOKUP($AE18,Products[],MATCH(AP$1,Products[#Headers],0),0)</f>
        <v>3.3</v>
      </c>
      <c r="AQ18" s="8">
        <f>VLOOKUP($AE18,Products[],MATCH(AQ$1,Products[#Headers],0),0)</f>
        <v>45712</v>
      </c>
      <c r="AR18" s="8" t="str">
        <f>VLOOKUP($AE18,Products[],MATCH(AR$1,Products[#Headers],0),0)</f>
        <v>No</v>
      </c>
      <c r="AS18" s="8">
        <f>VLOOKUP($AE18,Products[],MATCH(AS$1,Products[#Headers],0),0)</f>
        <v>1547</v>
      </c>
      <c r="AT18" s="8">
        <f>VLOOKUP($AE18,Products[],MATCH(AT$1,Products[#Headers],0),0)</f>
        <v>163</v>
      </c>
      <c r="AU18" s="8">
        <f t="shared" si="2"/>
        <v>163</v>
      </c>
      <c r="AV18" s="8" t="str">
        <f>IFERROR(VLOOKUP($AU18,stores[],MATCH(AV$1,stores[#Headers],0),0),"")</f>
        <v/>
      </c>
      <c r="AW18" s="8" t="str">
        <f>IFERROR(VLOOKUP($AU18,stores[],MATCH(AW$1,stores[#Headers],0),0),"")</f>
        <v/>
      </c>
      <c r="AX18" s="8" t="str">
        <f>IFERROR(VLOOKUP($AU18,stores[],MATCH(AX$1,stores[#Headers],0),0),"")</f>
        <v/>
      </c>
      <c r="AY18" s="8" t="str">
        <f>IFERROR(VLOOKUP($AU18,stores[],MATCH(AY$1,stores[#Headers],0),0),"")</f>
        <v/>
      </c>
      <c r="AZ18" s="8" t="str">
        <f>IFERROR(VLOOKUP($AU18,stores[],MATCH(AZ$1,stores[#Headers],0),0),"")</f>
        <v/>
      </c>
      <c r="BA18" s="8" t="str">
        <f>IFERROR(VLOOKUP($AU18,stores[],MATCH(BA$1,stores[#Headers],0),0),"")</f>
        <v/>
      </c>
      <c r="BB18" s="8" t="str">
        <f>IFERROR(VLOOKUP($AU18,stores[],MATCH(BB$1,stores[#Headers],0),0),"")</f>
        <v/>
      </c>
      <c r="BC18" s="8" t="str">
        <f>IFERROR(VLOOKUP($AU18,stores[],MATCH(BC$1,stores[#Headers],0),0),"")</f>
        <v/>
      </c>
      <c r="BD18" s="8" t="str">
        <f>IFERROR(VLOOKUP($AU18,stores[],MATCH(BD$1,stores[#Headers],0),0),"")</f>
        <v/>
      </c>
      <c r="BE18" s="8" t="str">
        <f>IFERROR(VLOOKUP($AU18,stores[],MATCH(BE$1,stores[#Headers],0),0),"")</f>
        <v/>
      </c>
      <c r="BF18" s="8" t="str">
        <f>IFERROR(VLOOKUP($AU18,stores[],MATCH(BF$1,stores[#Headers],0),0),"")</f>
        <v/>
      </c>
      <c r="BG18" s="8" t="str">
        <f>IFERROR(VLOOKUP($AU18,stores[],MATCH(BG$1,stores[#Headers],0),0),"")</f>
        <v/>
      </c>
      <c r="BH18" s="8" t="str">
        <f>IFERROR(VLOOKUP($AU18,stores[],MATCH(BH$1,stores[#Headers],0),0),"")</f>
        <v/>
      </c>
      <c r="BI18" s="8" t="str">
        <f>IFERROR(VLOOKUP($AU18,stores[],MATCH(BI$1,stores[#Headers],0),0),"")</f>
        <v/>
      </c>
      <c r="BJ18" s="8" t="str">
        <f>IFERROR(VLOOKUP($AU18,stores[],MATCH(BJ$1,stores[#Headers],0),0),"")</f>
        <v/>
      </c>
    </row>
    <row r="19" spans="1:62" x14ac:dyDescent="0.3">
      <c r="A19" s="8" t="str">
        <v>O1018</v>
      </c>
      <c r="B19" s="8" t="str">
        <v>C020</v>
      </c>
      <c r="C19" s="8" t="str">
        <v>P153</v>
      </c>
      <c r="D19" s="8">
        <v>45623</v>
      </c>
      <c r="E19" s="8">
        <v>2</v>
      </c>
      <c r="F19" s="8">
        <v>83491</v>
      </c>
      <c r="G19" s="8">
        <v>333964</v>
      </c>
      <c r="H19" s="8">
        <v>0.05</v>
      </c>
      <c r="I19" s="8" t="str">
        <v>Cash on Delivery</v>
      </c>
      <c r="J19" s="8" t="str">
        <v>Cancelled</v>
      </c>
      <c r="K19" s="8">
        <v>45867</v>
      </c>
      <c r="L19" s="8" t="str">
        <v>Yes</v>
      </c>
      <c r="M19" s="8">
        <v>361</v>
      </c>
      <c r="N19" s="8" t="str">
        <v>Yes</v>
      </c>
      <c r="O19" s="8" t="str">
        <v>Yes</v>
      </c>
      <c r="P19" s="8" t="str">
        <f t="shared" si="0"/>
        <v>C020</v>
      </c>
      <c r="Q19" s="8" t="str">
        <f>VLOOKUP($B19,customers[],MATCH(Q$1,customers[#Headers],0),0)</f>
        <v>Jairaj Shan</v>
      </c>
      <c r="R19" s="8" t="str">
        <f>VLOOKUP($B19,customers[],MATCH(R$1,customers[#Headers],0),0)</f>
        <v>ucchalwali@example.net</v>
      </c>
      <c r="S19" s="8">
        <f>VLOOKUP($B19,customers[],MATCH(S$1,customers[#Headers],0),0)</f>
        <v>5798687277</v>
      </c>
      <c r="T19" s="8" t="str">
        <f>VLOOKUP($B19,customers[],MATCH(T$1,customers[#Headers],0),0)</f>
        <v>Chennai</v>
      </c>
      <c r="U19" s="8" t="str">
        <f>VLOOKUP($B19,customers[],MATCH(U$1,customers[#Headers],0),0)</f>
        <v>Tamil Nadu</v>
      </c>
      <c r="V19" s="8">
        <f>VLOOKUP($B19,customers[],MATCH(V$1,customers[#Headers],0),0)</f>
        <v>348734</v>
      </c>
      <c r="W19" s="8" t="str">
        <f>VLOOKUP($B19,customers[],MATCH(W$1,customers[#Headers],0),0)</f>
        <v>Male</v>
      </c>
      <c r="X19" s="8">
        <f>VLOOKUP($B19,customers[],MATCH(X$1,customers[#Headers],0),0)</f>
        <v>32681</v>
      </c>
      <c r="Y19" s="8">
        <f>VLOOKUP($B19,customers[],MATCH(Y$1,customers[#Headers],0),0)</f>
        <v>44268</v>
      </c>
      <c r="Z19" s="8" t="str">
        <f>VLOOKUP($B19,customers[],MATCH(Z$1,customers[#Headers],0),0)</f>
        <v>Home Appliance</v>
      </c>
      <c r="AA19" s="8">
        <f>VLOOKUP($B19,customers[],MATCH(AA$1,customers[#Headers],0),0)</f>
        <v>6226</v>
      </c>
      <c r="AB19" s="8" t="str">
        <f>VLOOKUP($B19,customers[],MATCH(AB$1,customers[#Headers],0),0)</f>
        <v>Single</v>
      </c>
      <c r="AC19" s="8" t="str">
        <f>VLOOKUP($B19,customers[],MATCH(AC$1,customers[#Headers],0),0)</f>
        <v>Student</v>
      </c>
      <c r="AD19" s="8">
        <f>VLOOKUP($B19,customers[],MATCH(AD$1,customers[#Headers],0),0)</f>
        <v>1832898</v>
      </c>
      <c r="AE19" s="8" t="str">
        <f t="shared" si="1"/>
        <v>P153</v>
      </c>
      <c r="AF19" s="8" t="str">
        <f>VLOOKUP($AE19,Products[],MATCH(AF$1,Products[#Headers],0),0)</f>
        <v>Quis Shirt</v>
      </c>
      <c r="AG19" s="8" t="str">
        <f>VLOOKUP($AE19,Products[],MATCH(AG$1,Products[#Headers],0),0)</f>
        <v>Electronics</v>
      </c>
      <c r="AH19" s="8" t="str">
        <f>VLOOKUP($AE19,Products[],MATCH(AH$1,Products[#Headers],0),0)</f>
        <v>Notebook</v>
      </c>
      <c r="AI19" s="8" t="str">
        <f>VLOOKUP($AE19,Products[],MATCH(AI$1,Products[#Headers],0),0)</f>
        <v>Sastry PLC</v>
      </c>
      <c r="AJ19" s="8">
        <f>VLOOKUP($AE19,Products[],MATCH(AJ$1,Products[#Headers],0),0)</f>
        <v>83491</v>
      </c>
      <c r="AK19" s="8">
        <f>VLOOKUP($AE19,Products[],MATCH(AK$1,Products[#Headers],0),0)</f>
        <v>5</v>
      </c>
      <c r="AL19" s="8">
        <f>VLOOKUP($AE19,Products[],MATCH(AL$1,Products[#Headers],0),0)</f>
        <v>93</v>
      </c>
      <c r="AM19" s="8">
        <f>VLOOKUP($AE19,Products[],MATCH(AM$1,Products[#Headers],0),0)</f>
        <v>12</v>
      </c>
      <c r="AN19" s="8" t="str">
        <f>VLOOKUP($AE19,Products[],MATCH(AN$1,Products[#Headers],0),0)</f>
        <v>Japan</v>
      </c>
      <c r="AO19" s="8" t="str">
        <f>VLOOKUP($AE19,Products[],MATCH(AO$1,Products[#Headers],0),0)</f>
        <v>No</v>
      </c>
      <c r="AP19" s="8">
        <f>VLOOKUP($AE19,Products[],MATCH(AP$1,Products[#Headers],0),0)</f>
        <v>3.6</v>
      </c>
      <c r="AQ19" s="8">
        <f>VLOOKUP($AE19,Products[],MATCH(AQ$1,Products[#Headers],0),0)</f>
        <v>45098</v>
      </c>
      <c r="AR19" s="8" t="str">
        <f>VLOOKUP($AE19,Products[],MATCH(AR$1,Products[#Headers],0),0)</f>
        <v>Yes</v>
      </c>
      <c r="AS19" s="8">
        <f>VLOOKUP($AE19,Products[],MATCH(AS$1,Products[#Headers],0),0)</f>
        <v>7063</v>
      </c>
      <c r="AT19" s="8">
        <f>VLOOKUP($AE19,Products[],MATCH(AT$1,Products[#Headers],0),0)</f>
        <v>79</v>
      </c>
      <c r="AU19" s="8">
        <f t="shared" si="2"/>
        <v>79</v>
      </c>
      <c r="AV19" s="8" t="str">
        <f>IFERROR(VLOOKUP($AU19,stores[],MATCH(AV$1,stores[#Headers],0),0),"")</f>
        <v>S079</v>
      </c>
      <c r="AW19" s="8" t="str">
        <f>IFERROR(VLOOKUP($AU19,stores[],MATCH(AW$1,stores[#Headers],0),0),"")</f>
        <v>Yogi, Randhawa and Baral Mart</v>
      </c>
      <c r="AX19" s="8" t="str">
        <f>IFERROR(VLOOKUP($AU19,stores[],MATCH(AX$1,stores[#Headers],0),0),"")</f>
        <v>Chennai</v>
      </c>
      <c r="AY19" s="8" t="str">
        <f>IFERROR(VLOOKUP($AU19,stores[],MATCH(AY$1,stores[#Headers],0),0),"")</f>
        <v>Tamil Nadu</v>
      </c>
      <c r="AZ19" s="8">
        <f>IFERROR(VLOOKUP($AU19,stores[],MATCH(AZ$1,stores[#Headers],0),0),"")</f>
        <v>803476</v>
      </c>
      <c r="BA19" s="8" t="str">
        <f>IFERROR(VLOOKUP($AU19,stores[],MATCH(BA$1,stores[#Headers],0),0),"")</f>
        <v>Bhavika Shenoy</v>
      </c>
      <c r="BB19" s="8">
        <f>IFERROR(VLOOKUP($AU19,stores[],MATCH(BB$1,stores[#Headers],0),0),"")</f>
        <v>2004</v>
      </c>
      <c r="BC19" s="8">
        <f>IFERROR(VLOOKUP($AU19,stores[],MATCH(BC$1,stores[#Headers],0),0),"")</f>
        <v>27</v>
      </c>
      <c r="BD19" s="8">
        <f>IFERROR(VLOOKUP($AU19,stores[],MATCH(BD$1,stores[#Headers],0),0),"")</f>
        <v>1058</v>
      </c>
      <c r="BE19" s="8">
        <f>IFERROR(VLOOKUP($AU19,stores[],MATCH(BE$1,stores[#Headers],0),0),"")</f>
        <v>4.9000000000000004</v>
      </c>
      <c r="BF19" s="8" t="str">
        <f>IFERROR(VLOOKUP($AU19,stores[],MATCH(BF$1,stores[#Headers],0),0),"")</f>
        <v>No</v>
      </c>
      <c r="BG19" s="8">
        <f>IFERROR(VLOOKUP($AU19,stores[],MATCH(BG$1,stores[#Headers],0),0),"")</f>
        <v>765</v>
      </c>
      <c r="BH19" s="8" t="str">
        <f>IFERROR(VLOOKUP($AU19,stores[],MATCH(BH$1,stores[#Headers],0),0),"")</f>
        <v>Retail</v>
      </c>
      <c r="BI19" s="8">
        <f>IFERROR(VLOOKUP($AU19,stores[],MATCH(BI$1,stores[#Headers],0),0),"")</f>
        <v>916490827718</v>
      </c>
      <c r="BJ19" s="8" t="str">
        <f>IFERROR(VLOOKUP($AU19,stores[],MATCH(BJ$1,stores[#Headers],0),0),"")</f>
        <v>golekrishna@sachdev-naik.info</v>
      </c>
    </row>
    <row r="20" spans="1:62" x14ac:dyDescent="0.3">
      <c r="A20" s="8" t="str">
        <v>O1019</v>
      </c>
      <c r="B20" s="8" t="str">
        <v>C072</v>
      </c>
      <c r="C20" s="8" t="str">
        <v>P142</v>
      </c>
      <c r="D20" s="8">
        <v>45689</v>
      </c>
      <c r="E20" s="8">
        <v>4</v>
      </c>
      <c r="F20" s="8">
        <v>71307</v>
      </c>
      <c r="G20" s="8">
        <v>356535</v>
      </c>
      <c r="H20" s="8">
        <v>0.13</v>
      </c>
      <c r="I20" s="8" t="str">
        <v>Net Banking</v>
      </c>
      <c r="J20" s="8" t="str">
        <v>Pending</v>
      </c>
      <c r="K20" s="8">
        <v>45861</v>
      </c>
      <c r="L20" s="8" t="str">
        <v>Yes</v>
      </c>
      <c r="M20" s="8">
        <v>235</v>
      </c>
      <c r="N20" s="8" t="str">
        <v>No</v>
      </c>
      <c r="O20" s="8" t="str">
        <v>No</v>
      </c>
      <c r="P20" s="8" t="str">
        <f t="shared" si="0"/>
        <v>C072</v>
      </c>
      <c r="Q20" s="8" t="str">
        <f>VLOOKUP($B20,customers[],MATCH(Q$1,customers[#Headers],0),0)</f>
        <v>Onveer Nazareth</v>
      </c>
      <c r="R20" s="8" t="str">
        <f>VLOOKUP($B20,customers[],MATCH(R$1,customers[#Headers],0),0)</f>
        <v>balakrishnanfinn@example.org</v>
      </c>
      <c r="S20" s="8">
        <f>VLOOKUP($B20,customers[],MATCH(S$1,customers[#Headers],0),0)</f>
        <v>9439690784</v>
      </c>
      <c r="T20" s="8" t="str">
        <f>VLOOKUP($B20,customers[],MATCH(T$1,customers[#Headers],0),0)</f>
        <v>Bangalore</v>
      </c>
      <c r="U20" s="8" t="str">
        <f>VLOOKUP($B20,customers[],MATCH(U$1,customers[#Headers],0),0)</f>
        <v>Karnataka</v>
      </c>
      <c r="V20" s="8">
        <f>VLOOKUP($B20,customers[],MATCH(V$1,customers[#Headers],0),0)</f>
        <v>736471</v>
      </c>
      <c r="W20" s="8" t="str">
        <f>VLOOKUP($B20,customers[],MATCH(W$1,customers[#Headers],0),0)</f>
        <v>Female</v>
      </c>
      <c r="X20" s="8">
        <f>VLOOKUP($B20,customers[],MATCH(X$1,customers[#Headers],0),0)</f>
        <v>38863</v>
      </c>
      <c r="Y20" s="8">
        <f>VLOOKUP($B20,customers[],MATCH(Y$1,customers[#Headers],0),0)</f>
        <v>44214</v>
      </c>
      <c r="Z20" s="8" t="str">
        <f>VLOOKUP($B20,customers[],MATCH(Z$1,customers[#Headers],0),0)</f>
        <v>Fashion</v>
      </c>
      <c r="AA20" s="8">
        <f>VLOOKUP($B20,customers[],MATCH(AA$1,customers[#Headers],0),0)</f>
        <v>7351</v>
      </c>
      <c r="AB20" s="8" t="str">
        <f>VLOOKUP($B20,customers[],MATCH(AB$1,customers[#Headers],0),0)</f>
        <v>Married</v>
      </c>
      <c r="AC20" s="8" t="str">
        <f>VLOOKUP($B20,customers[],MATCH(AC$1,customers[#Headers],0),0)</f>
        <v>Student</v>
      </c>
      <c r="AD20" s="8">
        <f>VLOOKUP($B20,customers[],MATCH(AD$1,customers[#Headers],0),0)</f>
        <v>1135148</v>
      </c>
      <c r="AE20" s="8" t="str">
        <f t="shared" si="1"/>
        <v>P142</v>
      </c>
      <c r="AF20" s="8" t="str">
        <f>VLOOKUP($AE20,Products[],MATCH(AF$1,Products[#Headers],0),0)</f>
        <v>Quaerat Shirt</v>
      </c>
      <c r="AG20" s="8" t="str">
        <f>VLOOKUP($AE20,Products[],MATCH(AG$1,Products[#Headers],0),0)</f>
        <v>Fashion</v>
      </c>
      <c r="AH20" s="8" t="str">
        <f>VLOOKUP($AE20,Products[],MATCH(AH$1,Products[#Headers],0),0)</f>
        <v>Smart</v>
      </c>
      <c r="AI20" s="8" t="str">
        <f>VLOOKUP($AE20,Products[],MATCH(AI$1,Products[#Headers],0),0)</f>
        <v>Sahota-Devi</v>
      </c>
      <c r="AJ20" s="8">
        <f>VLOOKUP($AE20,Products[],MATCH(AJ$1,Products[#Headers],0),0)</f>
        <v>71307</v>
      </c>
      <c r="AK20" s="8">
        <f>VLOOKUP($AE20,Products[],MATCH(AK$1,Products[#Headers],0),0)</f>
        <v>13</v>
      </c>
      <c r="AL20" s="8">
        <f>VLOOKUP($AE20,Products[],MATCH(AL$1,Products[#Headers],0),0)</f>
        <v>817</v>
      </c>
      <c r="AM20" s="8">
        <f>VLOOKUP($AE20,Products[],MATCH(AM$1,Products[#Headers],0),0)</f>
        <v>12</v>
      </c>
      <c r="AN20" s="8" t="str">
        <f>VLOOKUP($AE20,Products[],MATCH(AN$1,Products[#Headers],0),0)</f>
        <v>India</v>
      </c>
      <c r="AO20" s="8" t="str">
        <f>VLOOKUP($AE20,Products[],MATCH(AO$1,Products[#Headers],0),0)</f>
        <v>Yes</v>
      </c>
      <c r="AP20" s="8">
        <f>VLOOKUP($AE20,Products[],MATCH(AP$1,Products[#Headers],0),0)</f>
        <v>2.8</v>
      </c>
      <c r="AQ20" s="8">
        <f>VLOOKUP($AE20,Products[],MATCH(AQ$1,Products[#Headers],0),0)</f>
        <v>45651</v>
      </c>
      <c r="AR20" s="8" t="str">
        <f>VLOOKUP($AE20,Products[],MATCH(AR$1,Products[#Headers],0),0)</f>
        <v>No</v>
      </c>
      <c r="AS20" s="8">
        <f>VLOOKUP($AE20,Products[],MATCH(AS$1,Products[#Headers],0),0)</f>
        <v>4899</v>
      </c>
      <c r="AT20" s="8">
        <f>VLOOKUP($AE20,Products[],MATCH(AT$1,Products[#Headers],0),0)</f>
        <v>59</v>
      </c>
      <c r="AU20" s="8">
        <f t="shared" si="2"/>
        <v>59</v>
      </c>
      <c r="AV20" s="8" t="str">
        <f>IFERROR(VLOOKUP($AU20,stores[],MATCH(AV$1,stores[#Headers],0),0),"")</f>
        <v>S059</v>
      </c>
      <c r="AW20" s="8" t="str">
        <f>IFERROR(VLOOKUP($AU20,stores[],MATCH(AW$1,stores[#Headers],0),0),"")</f>
        <v>Walla, Mukherjee and Palan Mart</v>
      </c>
      <c r="AX20" s="8" t="str">
        <f>IFERROR(VLOOKUP($AU20,stores[],MATCH(AX$1,stores[#Headers],0),0),"")</f>
        <v>Ahmedabad</v>
      </c>
      <c r="AY20" s="8" t="str">
        <f>IFERROR(VLOOKUP($AU20,stores[],MATCH(AY$1,stores[#Headers],0),0),"")</f>
        <v>Gujarat</v>
      </c>
      <c r="AZ20" s="8">
        <f>IFERROR(VLOOKUP($AU20,stores[],MATCH(AZ$1,stores[#Headers],0),0),"")</f>
        <v>831745</v>
      </c>
      <c r="BA20" s="8" t="str">
        <f>IFERROR(VLOOKUP($AU20,stores[],MATCH(BA$1,stores[#Headers],0),0),"")</f>
        <v>Abha Dugal</v>
      </c>
      <c r="BB20" s="8">
        <f>IFERROR(VLOOKUP($AU20,stores[],MATCH(BB$1,stores[#Headers],0),0),"")</f>
        <v>2003</v>
      </c>
      <c r="BC20" s="8">
        <f>IFERROR(VLOOKUP($AU20,stores[],MATCH(BC$1,stores[#Headers],0),0),"")</f>
        <v>22</v>
      </c>
      <c r="BD20" s="8">
        <f>IFERROR(VLOOKUP($AU20,stores[],MATCH(BD$1,stores[#Headers],0),0),"")</f>
        <v>4979</v>
      </c>
      <c r="BE20" s="8">
        <f>IFERROR(VLOOKUP($AU20,stores[],MATCH(BE$1,stores[#Headers],0),0),"")</f>
        <v>3</v>
      </c>
      <c r="BF20" s="8" t="str">
        <f>IFERROR(VLOOKUP($AU20,stores[],MATCH(BF$1,stores[#Headers],0),0),"")</f>
        <v>Yes</v>
      </c>
      <c r="BG20" s="8">
        <f>IFERROR(VLOOKUP($AU20,stores[],MATCH(BG$1,stores[#Headers],0),0),"")</f>
        <v>1570</v>
      </c>
      <c r="BH20" s="8" t="str">
        <f>IFERROR(VLOOKUP($AU20,stores[],MATCH(BH$1,stores[#Headers],0),0),"")</f>
        <v>Retail</v>
      </c>
      <c r="BI20" s="8">
        <f>IFERROR(VLOOKUP($AU20,stores[],MATCH(BI$1,stores[#Headers],0),0),"")</f>
        <v>82547807</v>
      </c>
      <c r="BJ20" s="8" t="str">
        <f>IFERROR(VLOOKUP($AU20,stores[],MATCH(BJ$1,stores[#Headers],0),0),"")</f>
        <v>amistry@master-kashyap.com</v>
      </c>
    </row>
    <row r="21" spans="1:62" x14ac:dyDescent="0.3">
      <c r="A21" s="8" t="str">
        <v>O1020</v>
      </c>
      <c r="B21" s="8" t="str">
        <v>C087</v>
      </c>
      <c r="C21" s="8" t="str">
        <v>P199</v>
      </c>
      <c r="D21" s="8">
        <v>45553</v>
      </c>
      <c r="E21" s="8">
        <v>3</v>
      </c>
      <c r="F21" s="8">
        <v>20556</v>
      </c>
      <c r="G21" s="8">
        <v>102780</v>
      </c>
      <c r="H21" s="8">
        <v>0.14000000000000001</v>
      </c>
      <c r="I21" s="8" t="str">
        <v>Net Banking</v>
      </c>
      <c r="J21" s="8" t="str">
        <v>Shipped</v>
      </c>
      <c r="K21" s="8">
        <v>45864</v>
      </c>
      <c r="L21" s="8" t="str">
        <v>Yes</v>
      </c>
      <c r="M21" s="8">
        <v>142</v>
      </c>
      <c r="N21" s="8" t="str">
        <v>No</v>
      </c>
      <c r="O21" s="8" t="str">
        <v>Yes</v>
      </c>
      <c r="P21" s="8" t="str">
        <f t="shared" si="0"/>
        <v>C087</v>
      </c>
      <c r="Q21" s="8" t="str">
        <f>VLOOKUP($B21,customers[],MATCH(Q$1,customers[#Headers],0),0)</f>
        <v>Urmi Balay</v>
      </c>
      <c r="R21" s="8" t="str">
        <f>VLOOKUP($B21,customers[],MATCH(R$1,customers[#Headers],0),0)</f>
        <v>nilima22@example.net</v>
      </c>
      <c r="S21" s="8">
        <f>VLOOKUP($B21,customers[],MATCH(S$1,customers[#Headers],0),0)</f>
        <v>6567661825</v>
      </c>
      <c r="T21" s="8" t="str">
        <f>VLOOKUP($B21,customers[],MATCH(T$1,customers[#Headers],0),0)</f>
        <v>Delhi</v>
      </c>
      <c r="U21" s="8" t="str">
        <f>VLOOKUP($B21,customers[],MATCH(U$1,customers[#Headers],0),0)</f>
        <v>Delhi</v>
      </c>
      <c r="V21" s="8">
        <f>VLOOKUP($B21,customers[],MATCH(V$1,customers[#Headers],0),0)</f>
        <v>286823</v>
      </c>
      <c r="W21" s="8" t="str">
        <f>VLOOKUP($B21,customers[],MATCH(W$1,customers[#Headers],0),0)</f>
        <v>Male</v>
      </c>
      <c r="X21" s="8">
        <f>VLOOKUP($B21,customers[],MATCH(X$1,customers[#Headers],0),0)</f>
        <v>21834</v>
      </c>
      <c r="Y21" s="8">
        <f>VLOOKUP($B21,customers[],MATCH(Y$1,customers[#Headers],0),0)</f>
        <v>44098</v>
      </c>
      <c r="Z21" s="8" t="str">
        <f>VLOOKUP($B21,customers[],MATCH(Z$1,customers[#Headers],0),0)</f>
        <v>Home Appliance</v>
      </c>
      <c r="AA21" s="8">
        <f>VLOOKUP($B21,customers[],MATCH(AA$1,customers[#Headers],0),0)</f>
        <v>2168</v>
      </c>
      <c r="AB21" s="8" t="str">
        <f>VLOOKUP($B21,customers[],MATCH(AB$1,customers[#Headers],0),0)</f>
        <v>Married</v>
      </c>
      <c r="AC21" s="8" t="str">
        <f>VLOOKUP($B21,customers[],MATCH(AC$1,customers[#Headers],0),0)</f>
        <v>Engineer</v>
      </c>
      <c r="AD21" s="8">
        <f>VLOOKUP($B21,customers[],MATCH(AD$1,customers[#Headers],0),0)</f>
        <v>1382729</v>
      </c>
      <c r="AE21" s="8" t="str">
        <f t="shared" si="1"/>
        <v>P199</v>
      </c>
      <c r="AF21" s="8" t="str">
        <f>VLOOKUP($AE21,Products[],MATCH(AF$1,Products[#Headers],0),0)</f>
        <v>Natus TV</v>
      </c>
      <c r="AG21" s="8" t="str">
        <f>VLOOKUP($AE21,Products[],MATCH(AG$1,Products[#Headers],0),0)</f>
        <v>Electronics</v>
      </c>
      <c r="AH21" s="8" t="str">
        <f>VLOOKUP($AE21,Products[],MATCH(AH$1,Products[#Headers],0),0)</f>
        <v>Organic</v>
      </c>
      <c r="AI21" s="8" t="str">
        <f>VLOOKUP($AE21,Products[],MATCH(AI$1,Products[#Headers],0),0)</f>
        <v>Yadav PLC</v>
      </c>
      <c r="AJ21" s="8">
        <f>VLOOKUP($AE21,Products[],MATCH(AJ$1,Products[#Headers],0),0)</f>
        <v>20556</v>
      </c>
      <c r="AK21" s="8">
        <f>VLOOKUP($AE21,Products[],MATCH(AK$1,Products[#Headers],0),0)</f>
        <v>14</v>
      </c>
      <c r="AL21" s="8">
        <f>VLOOKUP($AE21,Products[],MATCH(AL$1,Products[#Headers],0),0)</f>
        <v>168</v>
      </c>
      <c r="AM21" s="8">
        <f>VLOOKUP($AE21,Products[],MATCH(AM$1,Products[#Headers],0),0)</f>
        <v>12</v>
      </c>
      <c r="AN21" s="8" t="str">
        <f>VLOOKUP($AE21,Products[],MATCH(AN$1,Products[#Headers],0),0)</f>
        <v>Vietnam</v>
      </c>
      <c r="AO21" s="8" t="str">
        <f>VLOOKUP($AE21,Products[],MATCH(AO$1,Products[#Headers],0),0)</f>
        <v>Yes</v>
      </c>
      <c r="AP21" s="8">
        <f>VLOOKUP($AE21,Products[],MATCH(AP$1,Products[#Headers],0),0)</f>
        <v>3.4</v>
      </c>
      <c r="AQ21" s="8">
        <f>VLOOKUP($AE21,Products[],MATCH(AQ$1,Products[#Headers],0),0)</f>
        <v>45715</v>
      </c>
      <c r="AR21" s="8" t="str">
        <f>VLOOKUP($AE21,Products[],MATCH(AR$1,Products[#Headers],0),0)</f>
        <v>No</v>
      </c>
      <c r="AS21" s="8">
        <f>VLOOKUP($AE21,Products[],MATCH(AS$1,Products[#Headers],0),0)</f>
        <v>2293</v>
      </c>
      <c r="AT21" s="8">
        <f>VLOOKUP($AE21,Products[],MATCH(AT$1,Products[#Headers],0),0)</f>
        <v>129</v>
      </c>
      <c r="AU21" s="8">
        <f t="shared" si="2"/>
        <v>129</v>
      </c>
      <c r="AV21" s="8" t="str">
        <f>IFERROR(VLOOKUP($AU21,stores[],MATCH(AV$1,stores[#Headers],0),0),"")</f>
        <v/>
      </c>
      <c r="AW21" s="8" t="str">
        <f>IFERROR(VLOOKUP($AU21,stores[],MATCH(AW$1,stores[#Headers],0),0),"")</f>
        <v/>
      </c>
      <c r="AX21" s="8" t="str">
        <f>IFERROR(VLOOKUP($AU21,stores[],MATCH(AX$1,stores[#Headers],0),0),"")</f>
        <v/>
      </c>
      <c r="AY21" s="8" t="str">
        <f>IFERROR(VLOOKUP($AU21,stores[],MATCH(AY$1,stores[#Headers],0),0),"")</f>
        <v/>
      </c>
      <c r="AZ21" s="8" t="str">
        <f>IFERROR(VLOOKUP($AU21,stores[],MATCH(AZ$1,stores[#Headers],0),0),"")</f>
        <v/>
      </c>
      <c r="BA21" s="8" t="str">
        <f>IFERROR(VLOOKUP($AU21,stores[],MATCH(BA$1,stores[#Headers],0),0),"")</f>
        <v/>
      </c>
      <c r="BB21" s="8" t="str">
        <f>IFERROR(VLOOKUP($AU21,stores[],MATCH(BB$1,stores[#Headers],0),0),"")</f>
        <v/>
      </c>
      <c r="BC21" s="8" t="str">
        <f>IFERROR(VLOOKUP($AU21,stores[],MATCH(BC$1,stores[#Headers],0),0),"")</f>
        <v/>
      </c>
      <c r="BD21" s="8" t="str">
        <f>IFERROR(VLOOKUP($AU21,stores[],MATCH(BD$1,stores[#Headers],0),0),"")</f>
        <v/>
      </c>
      <c r="BE21" s="8" t="str">
        <f>IFERROR(VLOOKUP($AU21,stores[],MATCH(BE$1,stores[#Headers],0),0),"")</f>
        <v/>
      </c>
      <c r="BF21" s="8" t="str">
        <f>IFERROR(VLOOKUP($AU21,stores[],MATCH(BF$1,stores[#Headers],0),0),"")</f>
        <v/>
      </c>
      <c r="BG21" s="8" t="str">
        <f>IFERROR(VLOOKUP($AU21,stores[],MATCH(BG$1,stores[#Headers],0),0),"")</f>
        <v/>
      </c>
      <c r="BH21" s="8" t="str">
        <f>IFERROR(VLOOKUP($AU21,stores[],MATCH(BH$1,stores[#Headers],0),0),"")</f>
        <v/>
      </c>
      <c r="BI21" s="8" t="str">
        <f>IFERROR(VLOOKUP($AU21,stores[],MATCH(BI$1,stores[#Headers],0),0),"")</f>
        <v/>
      </c>
      <c r="BJ21" s="8" t="str">
        <f>IFERROR(VLOOKUP($AU21,stores[],MATCH(BJ$1,stores[#Headers],0),0),"")</f>
        <v/>
      </c>
    </row>
    <row r="22" spans="1:62" x14ac:dyDescent="0.3">
      <c r="A22" s="8" t="str">
        <v>O1021</v>
      </c>
      <c r="B22" s="8" t="str">
        <v>C039</v>
      </c>
      <c r="C22" s="8" t="str">
        <v>P199</v>
      </c>
      <c r="D22" s="8">
        <v>45538</v>
      </c>
      <c r="E22" s="8">
        <v>3</v>
      </c>
      <c r="F22" s="8">
        <v>20556</v>
      </c>
      <c r="G22" s="8">
        <v>41112</v>
      </c>
      <c r="H22" s="8">
        <v>0.14000000000000001</v>
      </c>
      <c r="I22" s="8" t="str">
        <v>Net Banking</v>
      </c>
      <c r="J22" s="8" t="str">
        <v>Pending</v>
      </c>
      <c r="K22" s="8">
        <v>45861</v>
      </c>
      <c r="L22" s="8" t="str">
        <v>No</v>
      </c>
      <c r="M22" s="8">
        <v>178</v>
      </c>
      <c r="N22" s="8" t="str">
        <v>No</v>
      </c>
      <c r="O22" s="8" t="str">
        <v>No</v>
      </c>
      <c r="P22" s="8" t="str">
        <f t="shared" si="0"/>
        <v>C039</v>
      </c>
      <c r="Q22" s="8" t="str">
        <f>VLOOKUP($B22,customers[],MATCH(Q$1,customers[#Headers],0),0)</f>
        <v>Chakradhar Nair</v>
      </c>
      <c r="R22" s="8" t="str">
        <f>VLOOKUP($B22,customers[],MATCH(R$1,customers[#Headers],0),0)</f>
        <v>memonjagrati@example.com</v>
      </c>
      <c r="S22" s="8">
        <f>VLOOKUP($B22,customers[],MATCH(S$1,customers[#Headers],0),0)</f>
        <v>2386922219</v>
      </c>
      <c r="T22" s="8" t="str">
        <f>VLOOKUP($B22,customers[],MATCH(T$1,customers[#Headers],0),0)</f>
        <v>Pune</v>
      </c>
      <c r="U22" s="8" t="str">
        <f>VLOOKUP($B22,customers[],MATCH(U$1,customers[#Headers],0),0)</f>
        <v>Maharashtra</v>
      </c>
      <c r="V22" s="8">
        <f>VLOOKUP($B22,customers[],MATCH(V$1,customers[#Headers],0),0)</f>
        <v>937923</v>
      </c>
      <c r="W22" s="8" t="str">
        <f>VLOOKUP($B22,customers[],MATCH(W$1,customers[#Headers],0),0)</f>
        <v>Male</v>
      </c>
      <c r="X22" s="8">
        <f>VLOOKUP($B22,customers[],MATCH(X$1,customers[#Headers],0),0)</f>
        <v>33209</v>
      </c>
      <c r="Y22" s="8">
        <f>VLOOKUP($B22,customers[],MATCH(Y$1,customers[#Headers],0),0)</f>
        <v>44817</v>
      </c>
      <c r="Z22" s="8" t="str">
        <f>VLOOKUP($B22,customers[],MATCH(Z$1,customers[#Headers],0),0)</f>
        <v>Electronics</v>
      </c>
      <c r="AA22" s="8">
        <f>VLOOKUP($B22,customers[],MATCH(AA$1,customers[#Headers],0),0)</f>
        <v>8420</v>
      </c>
      <c r="AB22" s="8" t="str">
        <f>VLOOKUP($B22,customers[],MATCH(AB$1,customers[#Headers],0),0)</f>
        <v>Single</v>
      </c>
      <c r="AC22" s="8" t="str">
        <f>VLOOKUP($B22,customers[],MATCH(AC$1,customers[#Headers],0),0)</f>
        <v>Doctor</v>
      </c>
      <c r="AD22" s="8">
        <f>VLOOKUP($B22,customers[],MATCH(AD$1,customers[#Headers],0),0)</f>
        <v>343699</v>
      </c>
      <c r="AE22" s="8" t="str">
        <f t="shared" si="1"/>
        <v>P199</v>
      </c>
      <c r="AF22" s="8" t="str">
        <f>VLOOKUP($AE22,Products[],MATCH(AF$1,Products[#Headers],0),0)</f>
        <v>Natus TV</v>
      </c>
      <c r="AG22" s="8" t="str">
        <f>VLOOKUP($AE22,Products[],MATCH(AG$1,Products[#Headers],0),0)</f>
        <v>Electronics</v>
      </c>
      <c r="AH22" s="8" t="str">
        <f>VLOOKUP($AE22,Products[],MATCH(AH$1,Products[#Headers],0),0)</f>
        <v>Organic</v>
      </c>
      <c r="AI22" s="8" t="str">
        <f>VLOOKUP($AE22,Products[],MATCH(AI$1,Products[#Headers],0),0)</f>
        <v>Yadav PLC</v>
      </c>
      <c r="AJ22" s="8">
        <f>VLOOKUP($AE22,Products[],MATCH(AJ$1,Products[#Headers],0),0)</f>
        <v>20556</v>
      </c>
      <c r="AK22" s="8">
        <f>VLOOKUP($AE22,Products[],MATCH(AK$1,Products[#Headers],0),0)</f>
        <v>14</v>
      </c>
      <c r="AL22" s="8">
        <f>VLOOKUP($AE22,Products[],MATCH(AL$1,Products[#Headers],0),0)</f>
        <v>168</v>
      </c>
      <c r="AM22" s="8">
        <f>VLOOKUP($AE22,Products[],MATCH(AM$1,Products[#Headers],0),0)</f>
        <v>12</v>
      </c>
      <c r="AN22" s="8" t="str">
        <f>VLOOKUP($AE22,Products[],MATCH(AN$1,Products[#Headers],0),0)</f>
        <v>Vietnam</v>
      </c>
      <c r="AO22" s="8" t="str">
        <f>VLOOKUP($AE22,Products[],MATCH(AO$1,Products[#Headers],0),0)</f>
        <v>Yes</v>
      </c>
      <c r="AP22" s="8">
        <f>VLOOKUP($AE22,Products[],MATCH(AP$1,Products[#Headers],0),0)</f>
        <v>3.4</v>
      </c>
      <c r="AQ22" s="8">
        <f>VLOOKUP($AE22,Products[],MATCH(AQ$1,Products[#Headers],0),0)</f>
        <v>45715</v>
      </c>
      <c r="AR22" s="8" t="str">
        <f>VLOOKUP($AE22,Products[],MATCH(AR$1,Products[#Headers],0),0)</f>
        <v>No</v>
      </c>
      <c r="AS22" s="8">
        <f>VLOOKUP($AE22,Products[],MATCH(AS$1,Products[#Headers],0),0)</f>
        <v>2293</v>
      </c>
      <c r="AT22" s="8">
        <f>VLOOKUP($AE22,Products[],MATCH(AT$1,Products[#Headers],0),0)</f>
        <v>129</v>
      </c>
      <c r="AU22" s="8">
        <f t="shared" si="2"/>
        <v>129</v>
      </c>
      <c r="AV22" s="8" t="str">
        <f>IFERROR(VLOOKUP($AU22,stores[],MATCH(AV$1,stores[#Headers],0),0),"")</f>
        <v/>
      </c>
      <c r="AW22" s="8" t="str">
        <f>IFERROR(VLOOKUP($AU22,stores[],MATCH(AW$1,stores[#Headers],0),0),"")</f>
        <v/>
      </c>
      <c r="AX22" s="8" t="str">
        <f>IFERROR(VLOOKUP($AU22,stores[],MATCH(AX$1,stores[#Headers],0),0),"")</f>
        <v/>
      </c>
      <c r="AY22" s="8" t="str">
        <f>IFERROR(VLOOKUP($AU22,stores[],MATCH(AY$1,stores[#Headers],0),0),"")</f>
        <v/>
      </c>
      <c r="AZ22" s="8" t="str">
        <f>IFERROR(VLOOKUP($AU22,stores[],MATCH(AZ$1,stores[#Headers],0),0),"")</f>
        <v/>
      </c>
      <c r="BA22" s="8" t="str">
        <f>IFERROR(VLOOKUP($AU22,stores[],MATCH(BA$1,stores[#Headers],0),0),"")</f>
        <v/>
      </c>
      <c r="BB22" s="8" t="str">
        <f>IFERROR(VLOOKUP($AU22,stores[],MATCH(BB$1,stores[#Headers],0),0),"")</f>
        <v/>
      </c>
      <c r="BC22" s="8" t="str">
        <f>IFERROR(VLOOKUP($AU22,stores[],MATCH(BC$1,stores[#Headers],0),0),"")</f>
        <v/>
      </c>
      <c r="BD22" s="8" t="str">
        <f>IFERROR(VLOOKUP($AU22,stores[],MATCH(BD$1,stores[#Headers],0),0),"")</f>
        <v/>
      </c>
      <c r="BE22" s="8" t="str">
        <f>IFERROR(VLOOKUP($AU22,stores[],MATCH(BE$1,stores[#Headers],0),0),"")</f>
        <v/>
      </c>
      <c r="BF22" s="8" t="str">
        <f>IFERROR(VLOOKUP($AU22,stores[],MATCH(BF$1,stores[#Headers],0),0),"")</f>
        <v/>
      </c>
      <c r="BG22" s="8" t="str">
        <f>IFERROR(VLOOKUP($AU22,stores[],MATCH(BG$1,stores[#Headers],0),0),"")</f>
        <v/>
      </c>
      <c r="BH22" s="8" t="str">
        <f>IFERROR(VLOOKUP($AU22,stores[],MATCH(BH$1,stores[#Headers],0),0),"")</f>
        <v/>
      </c>
      <c r="BI22" s="8" t="str">
        <f>IFERROR(VLOOKUP($AU22,stores[],MATCH(BI$1,stores[#Headers],0),0),"")</f>
        <v/>
      </c>
      <c r="BJ22" s="8" t="str">
        <f>IFERROR(VLOOKUP($AU22,stores[],MATCH(BJ$1,stores[#Headers],0),0),"")</f>
        <v/>
      </c>
    </row>
    <row r="23" spans="1:62" x14ac:dyDescent="0.3">
      <c r="A23" s="8" t="str">
        <v>O1022</v>
      </c>
      <c r="B23" s="8" t="str">
        <v>C016</v>
      </c>
      <c r="C23" s="8" t="str">
        <v>P174</v>
      </c>
      <c r="D23" s="8">
        <v>45773</v>
      </c>
      <c r="E23" s="8">
        <v>5</v>
      </c>
      <c r="F23" s="8">
        <v>31171</v>
      </c>
      <c r="G23" s="8">
        <v>124684</v>
      </c>
      <c r="H23" s="8">
        <v>0.22</v>
      </c>
      <c r="I23" s="8" t="str">
        <v>Net Banking</v>
      </c>
      <c r="J23" s="8" t="str">
        <v>Pending</v>
      </c>
      <c r="K23" s="8">
        <v>45857</v>
      </c>
      <c r="L23" s="8" t="str">
        <v>Yes</v>
      </c>
      <c r="M23" s="8">
        <v>148</v>
      </c>
      <c r="N23" s="8" t="str">
        <v>Yes</v>
      </c>
      <c r="O23" s="8" t="str">
        <v>No</v>
      </c>
      <c r="P23" s="8" t="str">
        <f t="shared" si="0"/>
        <v>C016</v>
      </c>
      <c r="Q23" s="8" t="str">
        <f>VLOOKUP($B23,customers[],MATCH(Q$1,customers[#Headers],0),0)</f>
        <v>Reyansh Rastogi</v>
      </c>
      <c r="R23" s="8" t="str">
        <f>VLOOKUP($B23,customers[],MATCH(R$1,customers[#Headers],0),0)</f>
        <v>arya14@example.com</v>
      </c>
      <c r="S23" s="8">
        <f>VLOOKUP($B23,customers[],MATCH(S$1,customers[#Headers],0),0)</f>
        <v>8685014294</v>
      </c>
      <c r="T23" s="8" t="str">
        <f>VLOOKUP($B23,customers[],MATCH(T$1,customers[#Headers],0),0)</f>
        <v>Delhi</v>
      </c>
      <c r="U23" s="8" t="str">
        <f>VLOOKUP($B23,customers[],MATCH(U$1,customers[#Headers],0),0)</f>
        <v>Delhi</v>
      </c>
      <c r="V23" s="8">
        <f>VLOOKUP($B23,customers[],MATCH(V$1,customers[#Headers],0),0)</f>
        <v>196556</v>
      </c>
      <c r="W23" s="8" t="str">
        <f>VLOOKUP($B23,customers[],MATCH(W$1,customers[#Headers],0),0)</f>
        <v>Male</v>
      </c>
      <c r="X23" s="8">
        <f>VLOOKUP($B23,customers[],MATCH(X$1,customers[#Headers],0),0)</f>
        <v>36815</v>
      </c>
      <c r="Y23" s="8">
        <f>VLOOKUP($B23,customers[],MATCH(Y$1,customers[#Headers],0),0)</f>
        <v>45616</v>
      </c>
      <c r="Z23" s="8" t="str">
        <f>VLOOKUP($B23,customers[],MATCH(Z$1,customers[#Headers],0),0)</f>
        <v>Home Appliance</v>
      </c>
      <c r="AA23" s="8">
        <f>VLOOKUP($B23,customers[],MATCH(AA$1,customers[#Headers],0),0)</f>
        <v>2721</v>
      </c>
      <c r="AB23" s="8" t="str">
        <f>VLOOKUP($B23,customers[],MATCH(AB$1,customers[#Headers],0),0)</f>
        <v>Married</v>
      </c>
      <c r="AC23" s="8" t="str">
        <f>VLOOKUP($B23,customers[],MATCH(AC$1,customers[#Headers],0),0)</f>
        <v>Student</v>
      </c>
      <c r="AD23" s="8">
        <f>VLOOKUP($B23,customers[],MATCH(AD$1,customers[#Headers],0),0)</f>
        <v>333227</v>
      </c>
      <c r="AE23" s="8" t="str">
        <f t="shared" si="1"/>
        <v>P174</v>
      </c>
      <c r="AF23" s="8" t="str">
        <f>VLOOKUP($AE23,Products[],MATCH(AF$1,Products[#Headers],0),0)</f>
        <v>Voluptas Laptop</v>
      </c>
      <c r="AG23" s="8" t="str">
        <f>VLOOKUP($AE23,Products[],MATCH(AG$1,Products[#Headers],0),0)</f>
        <v>Fashion</v>
      </c>
      <c r="AH23" s="8" t="str">
        <f>VLOOKUP($AE23,Products[],MATCH(AH$1,Products[#Headers],0),0)</f>
        <v>Android</v>
      </c>
      <c r="AI23" s="8" t="str">
        <f>VLOOKUP($AE23,Products[],MATCH(AI$1,Products[#Headers],0),0)</f>
        <v>Mittal and Sons</v>
      </c>
      <c r="AJ23" s="8">
        <f>VLOOKUP($AE23,Products[],MATCH(AJ$1,Products[#Headers],0),0)</f>
        <v>31171</v>
      </c>
      <c r="AK23" s="8">
        <f>VLOOKUP($AE23,Products[],MATCH(AK$1,Products[#Headers],0),0)</f>
        <v>22</v>
      </c>
      <c r="AL23" s="8">
        <f>VLOOKUP($AE23,Products[],MATCH(AL$1,Products[#Headers],0),0)</f>
        <v>244</v>
      </c>
      <c r="AM23" s="8">
        <f>VLOOKUP($AE23,Products[],MATCH(AM$1,Products[#Headers],0),0)</f>
        <v>24</v>
      </c>
      <c r="AN23" s="8" t="str">
        <f>VLOOKUP($AE23,Products[],MATCH(AN$1,Products[#Headers],0),0)</f>
        <v>Japan</v>
      </c>
      <c r="AO23" s="8" t="str">
        <f>VLOOKUP($AE23,Products[],MATCH(AO$1,Products[#Headers],0),0)</f>
        <v>Yes</v>
      </c>
      <c r="AP23" s="8">
        <f>VLOOKUP($AE23,Products[],MATCH(AP$1,Products[#Headers],0),0)</f>
        <v>3.4</v>
      </c>
      <c r="AQ23" s="8">
        <f>VLOOKUP($AE23,Products[],MATCH(AQ$1,Products[#Headers],0),0)</f>
        <v>45184</v>
      </c>
      <c r="AR23" s="8" t="str">
        <f>VLOOKUP($AE23,Products[],MATCH(AR$1,Products[#Headers],0),0)</f>
        <v>No</v>
      </c>
      <c r="AS23" s="8">
        <f>VLOOKUP($AE23,Products[],MATCH(AS$1,Products[#Headers],0),0)</f>
        <v>8565</v>
      </c>
      <c r="AT23" s="8">
        <f>VLOOKUP($AE23,Products[],MATCH(AT$1,Products[#Headers],0),0)</f>
        <v>112</v>
      </c>
      <c r="AU23" s="8">
        <f t="shared" si="2"/>
        <v>112</v>
      </c>
      <c r="AV23" s="8" t="str">
        <f>IFERROR(VLOOKUP($AU23,stores[],MATCH(AV$1,stores[#Headers],0),0),"")</f>
        <v/>
      </c>
      <c r="AW23" s="8" t="str">
        <f>IFERROR(VLOOKUP($AU23,stores[],MATCH(AW$1,stores[#Headers],0),0),"")</f>
        <v/>
      </c>
      <c r="AX23" s="8" t="str">
        <f>IFERROR(VLOOKUP($AU23,stores[],MATCH(AX$1,stores[#Headers],0),0),"")</f>
        <v/>
      </c>
      <c r="AY23" s="8" t="str">
        <f>IFERROR(VLOOKUP($AU23,stores[],MATCH(AY$1,stores[#Headers],0),0),"")</f>
        <v/>
      </c>
      <c r="AZ23" s="8" t="str">
        <f>IFERROR(VLOOKUP($AU23,stores[],MATCH(AZ$1,stores[#Headers],0),0),"")</f>
        <v/>
      </c>
      <c r="BA23" s="8" t="str">
        <f>IFERROR(VLOOKUP($AU23,stores[],MATCH(BA$1,stores[#Headers],0),0),"")</f>
        <v/>
      </c>
      <c r="BB23" s="8" t="str">
        <f>IFERROR(VLOOKUP($AU23,stores[],MATCH(BB$1,stores[#Headers],0),0),"")</f>
        <v/>
      </c>
      <c r="BC23" s="8" t="str">
        <f>IFERROR(VLOOKUP($AU23,stores[],MATCH(BC$1,stores[#Headers],0),0),"")</f>
        <v/>
      </c>
      <c r="BD23" s="8" t="str">
        <f>IFERROR(VLOOKUP($AU23,stores[],MATCH(BD$1,stores[#Headers],0),0),"")</f>
        <v/>
      </c>
      <c r="BE23" s="8" t="str">
        <f>IFERROR(VLOOKUP($AU23,stores[],MATCH(BE$1,stores[#Headers],0),0),"")</f>
        <v/>
      </c>
      <c r="BF23" s="8" t="str">
        <f>IFERROR(VLOOKUP($AU23,stores[],MATCH(BF$1,stores[#Headers],0),0),"")</f>
        <v/>
      </c>
      <c r="BG23" s="8" t="str">
        <f>IFERROR(VLOOKUP($AU23,stores[],MATCH(BG$1,stores[#Headers],0),0),"")</f>
        <v/>
      </c>
      <c r="BH23" s="8" t="str">
        <f>IFERROR(VLOOKUP($AU23,stores[],MATCH(BH$1,stores[#Headers],0),0),"")</f>
        <v/>
      </c>
      <c r="BI23" s="8" t="str">
        <f>IFERROR(VLOOKUP($AU23,stores[],MATCH(BI$1,stores[#Headers],0),0),"")</f>
        <v/>
      </c>
      <c r="BJ23" s="8" t="str">
        <f>IFERROR(VLOOKUP($AU23,stores[],MATCH(BJ$1,stores[#Headers],0),0),"")</f>
        <v/>
      </c>
    </row>
    <row r="24" spans="1:62" x14ac:dyDescent="0.3">
      <c r="A24" s="8" t="str">
        <v>O1023</v>
      </c>
      <c r="B24" s="8" t="str">
        <v>C092</v>
      </c>
      <c r="C24" s="8" t="str">
        <v>P111</v>
      </c>
      <c r="D24" s="8">
        <v>45788</v>
      </c>
      <c r="E24" s="8">
        <v>3</v>
      </c>
      <c r="F24" s="8">
        <v>90766</v>
      </c>
      <c r="G24" s="8">
        <v>363064</v>
      </c>
      <c r="H24" s="8">
        <v>0.14000000000000001</v>
      </c>
      <c r="I24" s="8" t="str">
        <v>UPI</v>
      </c>
      <c r="J24" s="8" t="str">
        <v>Cancelled</v>
      </c>
      <c r="K24" s="8">
        <v>45855</v>
      </c>
      <c r="L24" s="8" t="str">
        <v>Yes</v>
      </c>
      <c r="M24" s="8">
        <v>103</v>
      </c>
      <c r="N24" s="8" t="str">
        <v>No</v>
      </c>
      <c r="O24" s="8" t="str">
        <v>No</v>
      </c>
      <c r="P24" s="8" t="str">
        <f t="shared" si="0"/>
        <v>C092</v>
      </c>
      <c r="Q24" s="8" t="str">
        <f>VLOOKUP($B24,customers[],MATCH(Q$1,customers[#Headers],0),0)</f>
        <v>Ranveer Dalal</v>
      </c>
      <c r="R24" s="8" t="str">
        <f>VLOOKUP($B24,customers[],MATCH(R$1,customers[#Headers],0),0)</f>
        <v>skibe@example.net</v>
      </c>
      <c r="S24" s="8">
        <f>VLOOKUP($B24,customers[],MATCH(S$1,customers[#Headers],0),0)</f>
        <v>3638546785</v>
      </c>
      <c r="T24" s="8" t="str">
        <f>VLOOKUP($B24,customers[],MATCH(T$1,customers[#Headers],0),0)</f>
        <v>Pune</v>
      </c>
      <c r="U24" s="8" t="str">
        <f>VLOOKUP($B24,customers[],MATCH(U$1,customers[#Headers],0),0)</f>
        <v>Maharashtra</v>
      </c>
      <c r="V24" s="8">
        <f>VLOOKUP($B24,customers[],MATCH(V$1,customers[#Headers],0),0)</f>
        <v>458771</v>
      </c>
      <c r="W24" s="8" t="str">
        <f>VLOOKUP($B24,customers[],MATCH(W$1,customers[#Headers],0),0)</f>
        <v>Female</v>
      </c>
      <c r="X24" s="8">
        <f>VLOOKUP($B24,customers[],MATCH(X$1,customers[#Headers],0),0)</f>
        <v>33417</v>
      </c>
      <c r="Y24" s="8">
        <f>VLOOKUP($B24,customers[],MATCH(Y$1,customers[#Headers],0),0)</f>
        <v>45022</v>
      </c>
      <c r="Z24" s="8" t="str">
        <f>VLOOKUP($B24,customers[],MATCH(Z$1,customers[#Headers],0),0)</f>
        <v>Electronics</v>
      </c>
      <c r="AA24" s="8">
        <f>VLOOKUP($B24,customers[],MATCH(AA$1,customers[#Headers],0),0)</f>
        <v>6982</v>
      </c>
      <c r="AB24" s="8" t="str">
        <f>VLOOKUP($B24,customers[],MATCH(AB$1,customers[#Headers],0),0)</f>
        <v>Married</v>
      </c>
      <c r="AC24" s="8" t="str">
        <f>VLOOKUP($B24,customers[],MATCH(AC$1,customers[#Headers],0),0)</f>
        <v>Engineer</v>
      </c>
      <c r="AD24" s="8">
        <f>VLOOKUP($B24,customers[],MATCH(AD$1,customers[#Headers],0),0)</f>
        <v>1109164</v>
      </c>
      <c r="AE24" s="8" t="str">
        <f t="shared" si="1"/>
        <v>P111</v>
      </c>
      <c r="AF24" s="8" t="str">
        <f>VLOOKUP($AE24,Products[],MATCH(AF$1,Products[#Headers],0),0)</f>
        <v>Ducimus TV</v>
      </c>
      <c r="AG24" s="8" t="str">
        <f>VLOOKUP($AE24,Products[],MATCH(AG$1,Products[#Headers],0),0)</f>
        <v>Grocery</v>
      </c>
      <c r="AH24" s="8" t="str">
        <f>VLOOKUP($AE24,Products[],MATCH(AH$1,Products[#Headers],0),0)</f>
        <v>Android</v>
      </c>
      <c r="AI24" s="8" t="str">
        <f>VLOOKUP($AE24,Products[],MATCH(AI$1,Products[#Headers],0),0)</f>
        <v>Bala, Shenoy and Kadakia</v>
      </c>
      <c r="AJ24" s="8">
        <f>VLOOKUP($AE24,Products[],MATCH(AJ$1,Products[#Headers],0),0)</f>
        <v>90766</v>
      </c>
      <c r="AK24" s="8">
        <f>VLOOKUP($AE24,Products[],MATCH(AK$1,Products[#Headers],0),0)</f>
        <v>14</v>
      </c>
      <c r="AL24" s="8">
        <f>VLOOKUP($AE24,Products[],MATCH(AL$1,Products[#Headers],0),0)</f>
        <v>716</v>
      </c>
      <c r="AM24" s="8">
        <f>VLOOKUP($AE24,Products[],MATCH(AM$1,Products[#Headers],0),0)</f>
        <v>36</v>
      </c>
      <c r="AN24" s="8" t="str">
        <f>VLOOKUP($AE24,Products[],MATCH(AN$1,Products[#Headers],0),0)</f>
        <v>Vietnam</v>
      </c>
      <c r="AO24" s="8" t="str">
        <f>VLOOKUP($AE24,Products[],MATCH(AO$1,Products[#Headers],0),0)</f>
        <v>No</v>
      </c>
      <c r="AP24" s="8">
        <f>VLOOKUP($AE24,Products[],MATCH(AP$1,Products[#Headers],0),0)</f>
        <v>3.6</v>
      </c>
      <c r="AQ24" s="8">
        <f>VLOOKUP($AE24,Products[],MATCH(AQ$1,Products[#Headers],0),0)</f>
        <v>45440</v>
      </c>
      <c r="AR24" s="8" t="str">
        <f>VLOOKUP($AE24,Products[],MATCH(AR$1,Products[#Headers],0),0)</f>
        <v>Yes</v>
      </c>
      <c r="AS24" s="8">
        <f>VLOOKUP($AE24,Products[],MATCH(AS$1,Products[#Headers],0),0)</f>
        <v>8079</v>
      </c>
      <c r="AT24" s="8">
        <f>VLOOKUP($AE24,Products[],MATCH(AT$1,Products[#Headers],0),0)</f>
        <v>71</v>
      </c>
      <c r="AU24" s="8">
        <f t="shared" si="2"/>
        <v>71</v>
      </c>
      <c r="AV24" s="8" t="str">
        <f>IFERROR(VLOOKUP($AU24,stores[],MATCH(AV$1,stores[#Headers],0),0),"")</f>
        <v>S071</v>
      </c>
      <c r="AW24" s="8" t="str">
        <f>IFERROR(VLOOKUP($AU24,stores[],MATCH(AW$1,stores[#Headers],0),0),"")</f>
        <v>Thaman-Chana Mart</v>
      </c>
      <c r="AX24" s="8" t="str">
        <f>IFERROR(VLOOKUP($AU24,stores[],MATCH(AX$1,stores[#Headers],0),0),"")</f>
        <v>Bangalore</v>
      </c>
      <c r="AY24" s="8" t="str">
        <f>IFERROR(VLOOKUP($AU24,stores[],MATCH(AY$1,stores[#Headers],0),0),"")</f>
        <v>Karnataka</v>
      </c>
      <c r="AZ24" s="8">
        <f>IFERROR(VLOOKUP($AU24,stores[],MATCH(AZ$1,stores[#Headers],0),0),"")</f>
        <v>646225</v>
      </c>
      <c r="BA24" s="8" t="str">
        <f>IFERROR(VLOOKUP($AU24,stores[],MATCH(BA$1,stores[#Headers],0),0),"")</f>
        <v>Vamakshi Bawa</v>
      </c>
      <c r="BB24" s="8">
        <f>IFERROR(VLOOKUP($AU24,stores[],MATCH(BB$1,stores[#Headers],0),0),"")</f>
        <v>2005</v>
      </c>
      <c r="BC24" s="8">
        <f>IFERROR(VLOOKUP($AU24,stores[],MATCH(BC$1,stores[#Headers],0),0),"")</f>
        <v>35</v>
      </c>
      <c r="BD24" s="8">
        <f>IFERROR(VLOOKUP($AU24,stores[],MATCH(BD$1,stores[#Headers],0),0),"")</f>
        <v>11420</v>
      </c>
      <c r="BE24" s="8">
        <f>IFERROR(VLOOKUP($AU24,stores[],MATCH(BE$1,stores[#Headers],0),0),"")</f>
        <v>4.5999999999999996</v>
      </c>
      <c r="BF24" s="8" t="str">
        <f>IFERROR(VLOOKUP($AU24,stores[],MATCH(BF$1,stores[#Headers],0),0),"")</f>
        <v>No</v>
      </c>
      <c r="BG24" s="8">
        <f>IFERROR(VLOOKUP($AU24,stores[],MATCH(BG$1,stores[#Headers],0),0),"")</f>
        <v>731</v>
      </c>
      <c r="BH24" s="8" t="str">
        <f>IFERROR(VLOOKUP($AU24,stores[],MATCH(BH$1,stores[#Headers],0),0),"")</f>
        <v>Outlet</v>
      </c>
      <c r="BI24" s="8">
        <f>IFERROR(VLOOKUP($AU24,stores[],MATCH(BI$1,stores[#Headers],0),0),"")</f>
        <v>6416862278</v>
      </c>
      <c r="BJ24" s="8" t="str">
        <f>IFERROR(VLOOKUP($AU24,stores[],MATCH(BJ$1,stores[#Headers],0),0),"")</f>
        <v>vinayarana@hayre.com</v>
      </c>
    </row>
    <row r="25" spans="1:62" x14ac:dyDescent="0.3">
      <c r="A25" s="8" t="str">
        <v>O1024</v>
      </c>
      <c r="B25" s="8" t="str">
        <v>C018</v>
      </c>
      <c r="C25" s="8" t="str">
        <v>P114</v>
      </c>
      <c r="D25" s="8">
        <v>45619</v>
      </c>
      <c r="E25" s="8">
        <v>5</v>
      </c>
      <c r="F25" s="8">
        <v>54455</v>
      </c>
      <c r="G25" s="8">
        <v>272275</v>
      </c>
      <c r="H25" s="8">
        <v>0.27</v>
      </c>
      <c r="I25" s="8" t="str">
        <v>Debit Card</v>
      </c>
      <c r="J25" s="8" t="str">
        <v>Shipped</v>
      </c>
      <c r="K25" s="8">
        <v>45865</v>
      </c>
      <c r="L25" s="8" t="str">
        <v>Yes</v>
      </c>
      <c r="M25" s="8">
        <v>342</v>
      </c>
      <c r="N25" s="8" t="str">
        <v>Yes</v>
      </c>
      <c r="O25" s="8" t="str">
        <v>Yes</v>
      </c>
      <c r="P25" s="8" t="str">
        <f t="shared" si="0"/>
        <v>C018</v>
      </c>
      <c r="Q25" s="8" t="str">
        <f>VLOOKUP($B25,customers[],MATCH(Q$1,customers[#Headers],0),0)</f>
        <v>Owen Mitra</v>
      </c>
      <c r="R25" s="8" t="str">
        <f>VLOOKUP($B25,customers[],MATCH(R$1,customers[#Headers],0),0)</f>
        <v>tacharya@example.com</v>
      </c>
      <c r="S25" s="8">
        <f>VLOOKUP($B25,customers[],MATCH(S$1,customers[#Headers],0),0)</f>
        <v>916995777387</v>
      </c>
      <c r="T25" s="8" t="str">
        <f>VLOOKUP($B25,customers[],MATCH(T$1,customers[#Headers],0),0)</f>
        <v>Mumbai</v>
      </c>
      <c r="U25" s="8" t="str">
        <f>VLOOKUP($B25,customers[],MATCH(U$1,customers[#Headers],0),0)</f>
        <v>Maharashtra</v>
      </c>
      <c r="V25" s="8">
        <f>VLOOKUP($B25,customers[],MATCH(V$1,customers[#Headers],0),0)</f>
        <v>148951</v>
      </c>
      <c r="W25" s="8" t="str">
        <f>VLOOKUP($B25,customers[],MATCH(W$1,customers[#Headers],0),0)</f>
        <v>Female</v>
      </c>
      <c r="X25" s="8">
        <f>VLOOKUP($B25,customers[],MATCH(X$1,customers[#Headers],0),0)</f>
        <v>27585</v>
      </c>
      <c r="Y25" s="8">
        <f>VLOOKUP($B25,customers[],MATCH(Y$1,customers[#Headers],0),0)</f>
        <v>44992</v>
      </c>
      <c r="Z25" s="8" t="str">
        <f>VLOOKUP($B25,customers[],MATCH(Z$1,customers[#Headers],0),0)</f>
        <v>Fashion</v>
      </c>
      <c r="AA25" s="8">
        <f>VLOOKUP($B25,customers[],MATCH(AA$1,customers[#Headers],0),0)</f>
        <v>1927</v>
      </c>
      <c r="AB25" s="8" t="str">
        <f>VLOOKUP($B25,customers[],MATCH(AB$1,customers[#Headers],0),0)</f>
        <v>Married</v>
      </c>
      <c r="AC25" s="8" t="str">
        <f>VLOOKUP($B25,customers[],MATCH(AC$1,customers[#Headers],0),0)</f>
        <v>Business</v>
      </c>
      <c r="AD25" s="8">
        <f>VLOOKUP($B25,customers[],MATCH(AD$1,customers[#Headers],0),0)</f>
        <v>531680</v>
      </c>
      <c r="AE25" s="8" t="str">
        <f t="shared" si="1"/>
        <v>P114</v>
      </c>
      <c r="AF25" s="8" t="str">
        <f>VLOOKUP($AE25,Products[],MATCH(AF$1,Products[#Headers],0),0)</f>
        <v>Dolor Shirt</v>
      </c>
      <c r="AG25" s="8" t="str">
        <f>VLOOKUP($AE25,Products[],MATCH(AG$1,Products[#Headers],0),0)</f>
        <v>Electronics</v>
      </c>
      <c r="AH25" s="8" t="str">
        <f>VLOOKUP($AE25,Products[],MATCH(AH$1,Products[#Headers],0),0)</f>
        <v>Cotton</v>
      </c>
      <c r="AI25" s="8" t="str">
        <f>VLOOKUP($AE25,Products[],MATCH(AI$1,Products[#Headers],0),0)</f>
        <v>Sampath, Purohit and Borah</v>
      </c>
      <c r="AJ25" s="8">
        <f>VLOOKUP($AE25,Products[],MATCH(AJ$1,Products[#Headers],0),0)</f>
        <v>54455</v>
      </c>
      <c r="AK25" s="8">
        <f>VLOOKUP($AE25,Products[],MATCH(AK$1,Products[#Headers],0),0)</f>
        <v>27</v>
      </c>
      <c r="AL25" s="8">
        <f>VLOOKUP($AE25,Products[],MATCH(AL$1,Products[#Headers],0),0)</f>
        <v>507</v>
      </c>
      <c r="AM25" s="8">
        <f>VLOOKUP($AE25,Products[],MATCH(AM$1,Products[#Headers],0),0)</f>
        <v>24</v>
      </c>
      <c r="AN25" s="8" t="str">
        <f>VLOOKUP($AE25,Products[],MATCH(AN$1,Products[#Headers],0),0)</f>
        <v>Japan</v>
      </c>
      <c r="AO25" s="8" t="str">
        <f>VLOOKUP($AE25,Products[],MATCH(AO$1,Products[#Headers],0),0)</f>
        <v>Yes</v>
      </c>
      <c r="AP25" s="8">
        <f>VLOOKUP($AE25,Products[],MATCH(AP$1,Products[#Headers],0),0)</f>
        <v>3.6</v>
      </c>
      <c r="AQ25" s="8">
        <f>VLOOKUP($AE25,Products[],MATCH(AQ$1,Products[#Headers],0),0)</f>
        <v>45456</v>
      </c>
      <c r="AR25" s="8" t="str">
        <f>VLOOKUP($AE25,Products[],MATCH(AR$1,Products[#Headers],0),0)</f>
        <v>No</v>
      </c>
      <c r="AS25" s="8">
        <f>VLOOKUP($AE25,Products[],MATCH(AS$1,Products[#Headers],0),0)</f>
        <v>5136</v>
      </c>
      <c r="AT25" s="8">
        <f>VLOOKUP($AE25,Products[],MATCH(AT$1,Products[#Headers],0),0)</f>
        <v>50</v>
      </c>
      <c r="AU25" s="8">
        <f t="shared" si="2"/>
        <v>50</v>
      </c>
      <c r="AV25" s="8" t="str">
        <f>IFERROR(VLOOKUP($AU25,stores[],MATCH(AV$1,stores[#Headers],0),0),"")</f>
        <v>S050</v>
      </c>
      <c r="AW25" s="8" t="str">
        <f>IFERROR(VLOOKUP($AU25,stores[],MATCH(AW$1,stores[#Headers],0),0),"")</f>
        <v>Iyer-Vasa Mart</v>
      </c>
      <c r="AX25" s="8" t="str">
        <f>IFERROR(VLOOKUP($AU25,stores[],MATCH(AX$1,stores[#Headers],0),0),"")</f>
        <v>Delhi</v>
      </c>
      <c r="AY25" s="8" t="str">
        <f>IFERROR(VLOOKUP($AU25,stores[],MATCH(AY$1,stores[#Headers],0),0),"")</f>
        <v>Delhi</v>
      </c>
      <c r="AZ25" s="8">
        <f>IFERROR(VLOOKUP($AU25,stores[],MATCH(AZ$1,stores[#Headers],0),0),"")</f>
        <v>118489</v>
      </c>
      <c r="BA25" s="8" t="str">
        <f>IFERROR(VLOOKUP($AU25,stores[],MATCH(BA$1,stores[#Headers],0),0),"")</f>
        <v>Idika Malhotra</v>
      </c>
      <c r="BB25" s="8">
        <f>IFERROR(VLOOKUP($AU25,stores[],MATCH(BB$1,stores[#Headers],0),0),"")</f>
        <v>2004</v>
      </c>
      <c r="BC25" s="8">
        <f>IFERROR(VLOOKUP($AU25,stores[],MATCH(BC$1,stores[#Headers],0),0),"")</f>
        <v>96</v>
      </c>
      <c r="BD25" s="8">
        <f>IFERROR(VLOOKUP($AU25,stores[],MATCH(BD$1,stores[#Headers],0),0),"")</f>
        <v>10169</v>
      </c>
      <c r="BE25" s="8">
        <f>IFERROR(VLOOKUP($AU25,stores[],MATCH(BE$1,stores[#Headers],0),0),"")</f>
        <v>3.2</v>
      </c>
      <c r="BF25" s="8" t="str">
        <f>IFERROR(VLOOKUP($AU25,stores[],MATCH(BF$1,stores[#Headers],0),0),"")</f>
        <v>Yes</v>
      </c>
      <c r="BG25" s="8">
        <f>IFERROR(VLOOKUP($AU25,stores[],MATCH(BG$1,stores[#Headers],0),0),"")</f>
        <v>4757</v>
      </c>
      <c r="BH25" s="8" t="str">
        <f>IFERROR(VLOOKUP($AU25,stores[],MATCH(BH$1,stores[#Headers],0),0),"")</f>
        <v>Franchise</v>
      </c>
      <c r="BI25" s="8">
        <f>IFERROR(VLOOKUP($AU25,stores[],MATCH(BI$1,stores[#Headers],0),0),"")</f>
        <v>919376904268</v>
      </c>
      <c r="BJ25" s="8" t="str">
        <f>IFERROR(VLOOKUP($AU25,stores[],MATCH(BJ$1,stores[#Headers],0),0),"")</f>
        <v>borayahvi@oak-dada.net</v>
      </c>
    </row>
    <row r="26" spans="1:62" x14ac:dyDescent="0.3">
      <c r="A26" s="8" t="str">
        <v>O1025</v>
      </c>
      <c r="B26" s="8" t="str">
        <v>C007</v>
      </c>
      <c r="C26" s="8" t="str">
        <v>P113</v>
      </c>
      <c r="D26" s="8">
        <v>45594</v>
      </c>
      <c r="E26" s="8">
        <v>4</v>
      </c>
      <c r="F26" s="8">
        <v>77220</v>
      </c>
      <c r="G26" s="8">
        <v>231660</v>
      </c>
      <c r="H26" s="8">
        <v>0.18</v>
      </c>
      <c r="I26" s="8" t="str">
        <v>Net Banking</v>
      </c>
      <c r="J26" s="8" t="str">
        <v>Delivered</v>
      </c>
      <c r="K26" s="8">
        <v>45867</v>
      </c>
      <c r="L26" s="8" t="str">
        <v>Yes</v>
      </c>
      <c r="M26" s="8">
        <v>2</v>
      </c>
      <c r="N26" s="8" t="str">
        <v>Yes</v>
      </c>
      <c r="O26" s="8" t="str">
        <v>No</v>
      </c>
      <c r="P26" s="8" t="str">
        <f t="shared" si="0"/>
        <v>C007</v>
      </c>
      <c r="Q26" s="8" t="str">
        <f>VLOOKUP($B26,customers[],MATCH(Q$1,customers[#Headers],0),0)</f>
        <v>Frederick Sunder</v>
      </c>
      <c r="R26" s="8" t="str">
        <f>VLOOKUP($B26,customers[],MATCH(R$1,customers[#Headers],0),0)</f>
        <v>waliajeremiah@example.org</v>
      </c>
      <c r="S26" s="8">
        <f>VLOOKUP($B26,customers[],MATCH(S$1,customers[#Headers],0),0)</f>
        <v>7824896383</v>
      </c>
      <c r="T26" s="8" t="str">
        <f>VLOOKUP($B26,customers[],MATCH(T$1,customers[#Headers],0),0)</f>
        <v>Jaipur</v>
      </c>
      <c r="U26" s="8" t="str">
        <f>VLOOKUP($B26,customers[],MATCH(U$1,customers[#Headers],0),0)</f>
        <v>Rajasthan</v>
      </c>
      <c r="V26" s="8">
        <f>VLOOKUP($B26,customers[],MATCH(V$1,customers[#Headers],0),0)</f>
        <v>657871</v>
      </c>
      <c r="W26" s="8" t="str">
        <f>VLOOKUP($B26,customers[],MATCH(W$1,customers[#Headers],0),0)</f>
        <v>Male</v>
      </c>
      <c r="X26" s="8">
        <f>VLOOKUP($B26,customers[],MATCH(X$1,customers[#Headers],0),0)</f>
        <v>27909</v>
      </c>
      <c r="Y26" s="8">
        <f>VLOOKUP($B26,customers[],MATCH(Y$1,customers[#Headers],0),0)</f>
        <v>44726</v>
      </c>
      <c r="Z26" s="8" t="str">
        <f>VLOOKUP($B26,customers[],MATCH(Z$1,customers[#Headers],0),0)</f>
        <v>Fashion</v>
      </c>
      <c r="AA26" s="8">
        <f>VLOOKUP($B26,customers[],MATCH(AA$1,customers[#Headers],0),0)</f>
        <v>6025</v>
      </c>
      <c r="AB26" s="8" t="str">
        <f>VLOOKUP($B26,customers[],MATCH(AB$1,customers[#Headers],0),0)</f>
        <v>Single</v>
      </c>
      <c r="AC26" s="8" t="str">
        <f>VLOOKUP($B26,customers[],MATCH(AC$1,customers[#Headers],0),0)</f>
        <v>Engineer</v>
      </c>
      <c r="AD26" s="8">
        <f>VLOOKUP($B26,customers[],MATCH(AD$1,customers[#Headers],0),0)</f>
        <v>296100</v>
      </c>
      <c r="AE26" s="8" t="str">
        <f t="shared" si="1"/>
        <v>P113</v>
      </c>
      <c r="AF26" s="8" t="str">
        <f>VLOOKUP($AE26,Products[],MATCH(AF$1,Products[#Headers],0),0)</f>
        <v>Tempora Phone</v>
      </c>
      <c r="AG26" s="8" t="str">
        <f>VLOOKUP($AE26,Products[],MATCH(AG$1,Products[#Headers],0),0)</f>
        <v>Grocery</v>
      </c>
      <c r="AH26" s="8" t="str">
        <f>VLOOKUP($AE26,Products[],MATCH(AH$1,Products[#Headers],0),0)</f>
        <v>Smart</v>
      </c>
      <c r="AI26" s="8" t="str">
        <f>VLOOKUP($AE26,Products[],MATCH(AI$1,Products[#Headers],0),0)</f>
        <v>Khurana-Krishnan</v>
      </c>
      <c r="AJ26" s="8">
        <f>VLOOKUP($AE26,Products[],MATCH(AJ$1,Products[#Headers],0),0)</f>
        <v>77220</v>
      </c>
      <c r="AK26" s="8">
        <f>VLOOKUP($AE26,Products[],MATCH(AK$1,Products[#Headers],0),0)</f>
        <v>18</v>
      </c>
      <c r="AL26" s="8">
        <f>VLOOKUP($AE26,Products[],MATCH(AL$1,Products[#Headers],0),0)</f>
        <v>650</v>
      </c>
      <c r="AM26" s="8">
        <f>VLOOKUP($AE26,Products[],MATCH(AM$1,Products[#Headers],0),0)</f>
        <v>36</v>
      </c>
      <c r="AN26" s="8" t="str">
        <f>VLOOKUP($AE26,Products[],MATCH(AN$1,Products[#Headers],0),0)</f>
        <v>India</v>
      </c>
      <c r="AO26" s="8" t="str">
        <f>VLOOKUP($AE26,Products[],MATCH(AO$1,Products[#Headers],0),0)</f>
        <v>No</v>
      </c>
      <c r="AP26" s="8">
        <f>VLOOKUP($AE26,Products[],MATCH(AP$1,Products[#Headers],0),0)</f>
        <v>3.4</v>
      </c>
      <c r="AQ26" s="8">
        <f>VLOOKUP($AE26,Products[],MATCH(AQ$1,Products[#Headers],0),0)</f>
        <v>45782</v>
      </c>
      <c r="AR26" s="8" t="str">
        <f>VLOOKUP($AE26,Products[],MATCH(AR$1,Products[#Headers],0),0)</f>
        <v>No</v>
      </c>
      <c r="AS26" s="8">
        <f>VLOOKUP($AE26,Products[],MATCH(AS$1,Products[#Headers],0),0)</f>
        <v>6261</v>
      </c>
      <c r="AT26" s="8">
        <f>VLOOKUP($AE26,Products[],MATCH(AT$1,Products[#Headers],0),0)</f>
        <v>138</v>
      </c>
      <c r="AU26" s="8">
        <f t="shared" si="2"/>
        <v>138</v>
      </c>
      <c r="AV26" s="8" t="str">
        <f>IFERROR(VLOOKUP($AU26,stores[],MATCH(AV$1,stores[#Headers],0),0),"")</f>
        <v/>
      </c>
      <c r="AW26" s="8" t="str">
        <f>IFERROR(VLOOKUP($AU26,stores[],MATCH(AW$1,stores[#Headers],0),0),"")</f>
        <v/>
      </c>
      <c r="AX26" s="8" t="str">
        <f>IFERROR(VLOOKUP($AU26,stores[],MATCH(AX$1,stores[#Headers],0),0),"")</f>
        <v/>
      </c>
      <c r="AY26" s="8" t="str">
        <f>IFERROR(VLOOKUP($AU26,stores[],MATCH(AY$1,stores[#Headers],0),0),"")</f>
        <v/>
      </c>
      <c r="AZ26" s="8" t="str">
        <f>IFERROR(VLOOKUP($AU26,stores[],MATCH(AZ$1,stores[#Headers],0),0),"")</f>
        <v/>
      </c>
      <c r="BA26" s="8" t="str">
        <f>IFERROR(VLOOKUP($AU26,stores[],MATCH(BA$1,stores[#Headers],0),0),"")</f>
        <v/>
      </c>
      <c r="BB26" s="8" t="str">
        <f>IFERROR(VLOOKUP($AU26,stores[],MATCH(BB$1,stores[#Headers],0),0),"")</f>
        <v/>
      </c>
      <c r="BC26" s="8" t="str">
        <f>IFERROR(VLOOKUP($AU26,stores[],MATCH(BC$1,stores[#Headers],0),0),"")</f>
        <v/>
      </c>
      <c r="BD26" s="8" t="str">
        <f>IFERROR(VLOOKUP($AU26,stores[],MATCH(BD$1,stores[#Headers],0),0),"")</f>
        <v/>
      </c>
      <c r="BE26" s="8" t="str">
        <f>IFERROR(VLOOKUP($AU26,stores[],MATCH(BE$1,stores[#Headers],0),0),"")</f>
        <v/>
      </c>
      <c r="BF26" s="8" t="str">
        <f>IFERROR(VLOOKUP($AU26,stores[],MATCH(BF$1,stores[#Headers],0),0),"")</f>
        <v/>
      </c>
      <c r="BG26" s="8" t="str">
        <f>IFERROR(VLOOKUP($AU26,stores[],MATCH(BG$1,stores[#Headers],0),0),"")</f>
        <v/>
      </c>
      <c r="BH26" s="8" t="str">
        <f>IFERROR(VLOOKUP($AU26,stores[],MATCH(BH$1,stores[#Headers],0),0),"")</f>
        <v/>
      </c>
      <c r="BI26" s="8" t="str">
        <f>IFERROR(VLOOKUP($AU26,stores[],MATCH(BI$1,stores[#Headers],0),0),"")</f>
        <v/>
      </c>
      <c r="BJ26" s="8" t="str">
        <f>IFERROR(VLOOKUP($AU26,stores[],MATCH(BJ$1,stores[#Headers],0),0),"")</f>
        <v/>
      </c>
    </row>
    <row r="27" spans="1:62" x14ac:dyDescent="0.3">
      <c r="A27" s="8" t="str">
        <v>O1026</v>
      </c>
      <c r="B27" s="8" t="str">
        <v>C084</v>
      </c>
      <c r="C27" s="8" t="str">
        <v>P161</v>
      </c>
      <c r="D27" s="8">
        <v>45513</v>
      </c>
      <c r="E27" s="8">
        <v>4</v>
      </c>
      <c r="F27" s="8">
        <v>98254</v>
      </c>
      <c r="G27" s="8">
        <v>196508</v>
      </c>
      <c r="H27" s="8">
        <v>0.15</v>
      </c>
      <c r="I27" s="8" t="str">
        <v>UPI</v>
      </c>
      <c r="J27" s="8" t="str">
        <v>Pending</v>
      </c>
      <c r="K27" s="8">
        <v>45861</v>
      </c>
      <c r="L27" s="8" t="str">
        <v>No</v>
      </c>
      <c r="M27" s="8">
        <v>330</v>
      </c>
      <c r="N27" s="8" t="str">
        <v>Yes</v>
      </c>
      <c r="O27" s="8" t="str">
        <v>Yes</v>
      </c>
      <c r="P27" s="8" t="str">
        <f t="shared" si="0"/>
        <v>C084</v>
      </c>
      <c r="Q27" s="8" t="str">
        <f>VLOOKUP($B27,customers[],MATCH(Q$1,customers[#Headers],0),0)</f>
        <v>Amara Narayan</v>
      </c>
      <c r="R27" s="8" t="str">
        <f>VLOOKUP($B27,customers[],MATCH(R$1,customers[#Headers],0),0)</f>
        <v>advay45@example.net</v>
      </c>
      <c r="S27" s="8">
        <f>VLOOKUP($B27,customers[],MATCH(S$1,customers[#Headers],0),0)</f>
        <v>910174268414</v>
      </c>
      <c r="T27" s="8" t="str">
        <f>VLOOKUP($B27,customers[],MATCH(T$1,customers[#Headers],0),0)</f>
        <v>Kolkata</v>
      </c>
      <c r="U27" s="8" t="str">
        <f>VLOOKUP($B27,customers[],MATCH(U$1,customers[#Headers],0),0)</f>
        <v>West Bengal</v>
      </c>
      <c r="V27" s="8">
        <f>VLOOKUP($B27,customers[],MATCH(V$1,customers[#Headers],0),0)</f>
        <v>933272</v>
      </c>
      <c r="W27" s="8" t="str">
        <f>VLOOKUP($B27,customers[],MATCH(W$1,customers[#Headers],0),0)</f>
        <v>Male</v>
      </c>
      <c r="X27" s="8">
        <f>VLOOKUP($B27,customers[],MATCH(X$1,customers[#Headers],0),0)</f>
        <v>33056</v>
      </c>
      <c r="Y27" s="8">
        <f>VLOOKUP($B27,customers[],MATCH(Y$1,customers[#Headers],0),0)</f>
        <v>45188</v>
      </c>
      <c r="Z27" s="8" t="str">
        <f>VLOOKUP($B27,customers[],MATCH(Z$1,customers[#Headers],0),0)</f>
        <v>Grocery</v>
      </c>
      <c r="AA27" s="8">
        <f>VLOOKUP($B27,customers[],MATCH(AA$1,customers[#Headers],0),0)</f>
        <v>5455</v>
      </c>
      <c r="AB27" s="8" t="str">
        <f>VLOOKUP($B27,customers[],MATCH(AB$1,customers[#Headers],0),0)</f>
        <v>Married</v>
      </c>
      <c r="AC27" s="8" t="str">
        <f>VLOOKUP($B27,customers[],MATCH(AC$1,customers[#Headers],0),0)</f>
        <v>Business</v>
      </c>
      <c r="AD27" s="8">
        <f>VLOOKUP($B27,customers[],MATCH(AD$1,customers[#Headers],0),0)</f>
        <v>783546</v>
      </c>
      <c r="AE27" s="8" t="str">
        <f t="shared" si="1"/>
        <v>P161</v>
      </c>
      <c r="AF27" s="8" t="str">
        <f>VLOOKUP($AE27,Products[],MATCH(AF$1,Products[#Headers],0),0)</f>
        <v>Veritatis Washing Machine</v>
      </c>
      <c r="AG27" s="8" t="str">
        <f>VLOOKUP($AE27,Products[],MATCH(AG$1,Products[#Headers],0),0)</f>
        <v>Electronics</v>
      </c>
      <c r="AH27" s="8" t="str">
        <f>VLOOKUP($AE27,Products[],MATCH(AH$1,Products[#Headers],0),0)</f>
        <v>Cotton</v>
      </c>
      <c r="AI27" s="8" t="str">
        <f>VLOOKUP($AE27,Products[],MATCH(AI$1,Products[#Headers],0),0)</f>
        <v>Deshmukh Group</v>
      </c>
      <c r="AJ27" s="8">
        <f>VLOOKUP($AE27,Products[],MATCH(AJ$1,Products[#Headers],0),0)</f>
        <v>98254</v>
      </c>
      <c r="AK27" s="8">
        <f>VLOOKUP($AE27,Products[],MATCH(AK$1,Products[#Headers],0),0)</f>
        <v>15</v>
      </c>
      <c r="AL27" s="8">
        <f>VLOOKUP($AE27,Products[],MATCH(AL$1,Products[#Headers],0),0)</f>
        <v>226</v>
      </c>
      <c r="AM27" s="8">
        <f>VLOOKUP($AE27,Products[],MATCH(AM$1,Products[#Headers],0),0)</f>
        <v>24</v>
      </c>
      <c r="AN27" s="8" t="str">
        <f>VLOOKUP($AE27,Products[],MATCH(AN$1,Products[#Headers],0),0)</f>
        <v>China</v>
      </c>
      <c r="AO27" s="8" t="str">
        <f>VLOOKUP($AE27,Products[],MATCH(AO$1,Products[#Headers],0),0)</f>
        <v>Yes</v>
      </c>
      <c r="AP27" s="8">
        <f>VLOOKUP($AE27,Products[],MATCH(AP$1,Products[#Headers],0),0)</f>
        <v>3.8</v>
      </c>
      <c r="AQ27" s="8">
        <f>VLOOKUP($AE27,Products[],MATCH(AQ$1,Products[#Headers],0),0)</f>
        <v>44851</v>
      </c>
      <c r="AR27" s="8" t="str">
        <f>VLOOKUP($AE27,Products[],MATCH(AR$1,Products[#Headers],0),0)</f>
        <v>Yes</v>
      </c>
      <c r="AS27" s="8">
        <f>VLOOKUP($AE27,Products[],MATCH(AS$1,Products[#Headers],0),0)</f>
        <v>9694</v>
      </c>
      <c r="AT27" s="8">
        <f>VLOOKUP($AE27,Products[],MATCH(AT$1,Products[#Headers],0),0)</f>
        <v>54</v>
      </c>
      <c r="AU27" s="8">
        <f t="shared" si="2"/>
        <v>54</v>
      </c>
      <c r="AV27" s="8" t="str">
        <f>IFERROR(VLOOKUP($AU27,stores[],MATCH(AV$1,stores[#Headers],0),0),"")</f>
        <v>S054</v>
      </c>
      <c r="AW27" s="8" t="str">
        <f>IFERROR(VLOOKUP($AU27,stores[],MATCH(AW$1,stores[#Headers],0),0),"")</f>
        <v>Chaudhuri-Nanda Mart</v>
      </c>
      <c r="AX27" s="8" t="str">
        <f>IFERROR(VLOOKUP($AU27,stores[],MATCH(AX$1,stores[#Headers],0),0),"")</f>
        <v>Hyderabad</v>
      </c>
      <c r="AY27" s="8" t="str">
        <f>IFERROR(VLOOKUP($AU27,stores[],MATCH(AY$1,stores[#Headers],0),0),"")</f>
        <v>Telangana</v>
      </c>
      <c r="AZ27" s="8">
        <f>IFERROR(VLOOKUP($AU27,stores[],MATCH(AZ$1,stores[#Headers],0),0),"")</f>
        <v>942843</v>
      </c>
      <c r="BA27" s="8" t="str">
        <f>IFERROR(VLOOKUP($AU27,stores[],MATCH(BA$1,stores[#Headers],0),0),"")</f>
        <v>Urishilla Oza</v>
      </c>
      <c r="BB27" s="8">
        <f>IFERROR(VLOOKUP($AU27,stores[],MATCH(BB$1,stores[#Headers],0),0),"")</f>
        <v>2004</v>
      </c>
      <c r="BC27" s="8">
        <f>IFERROR(VLOOKUP($AU27,stores[],MATCH(BC$1,stores[#Headers],0),0),"")</f>
        <v>79</v>
      </c>
      <c r="BD27" s="8">
        <f>IFERROR(VLOOKUP($AU27,stores[],MATCH(BD$1,stores[#Headers],0),0),"")</f>
        <v>4570</v>
      </c>
      <c r="BE27" s="8">
        <f>IFERROR(VLOOKUP($AU27,stores[],MATCH(BE$1,stores[#Headers],0),0),"")</f>
        <v>3.3</v>
      </c>
      <c r="BF27" s="8" t="str">
        <f>IFERROR(VLOOKUP($AU27,stores[],MATCH(BF$1,stores[#Headers],0),0),"")</f>
        <v>Yes</v>
      </c>
      <c r="BG27" s="8">
        <f>IFERROR(VLOOKUP($AU27,stores[],MATCH(BG$1,stores[#Headers],0),0),"")</f>
        <v>4182</v>
      </c>
      <c r="BH27" s="8" t="str">
        <f>IFERROR(VLOOKUP($AU27,stores[],MATCH(BH$1,stores[#Headers],0),0),"")</f>
        <v>Franchise</v>
      </c>
      <c r="BI27" s="8">
        <f>IFERROR(VLOOKUP($AU27,stores[],MATCH(BI$1,stores[#Headers],0),0),"")</f>
        <v>2763655647</v>
      </c>
      <c r="BJ27" s="8" t="str">
        <f>IFERROR(VLOOKUP($AU27,stores[],MATCH(BJ$1,stores[#Headers],0),0),"")</f>
        <v>karankarnik@madan.net</v>
      </c>
    </row>
    <row r="28" spans="1:62" x14ac:dyDescent="0.3">
      <c r="A28" s="8" t="str">
        <v>O1027</v>
      </c>
      <c r="B28" s="8" t="str">
        <v>C084</v>
      </c>
      <c r="C28" s="8" t="str">
        <v>P174</v>
      </c>
      <c r="D28" s="8">
        <v>45765</v>
      </c>
      <c r="E28" s="8">
        <v>2</v>
      </c>
      <c r="F28" s="8">
        <v>31171</v>
      </c>
      <c r="G28" s="8">
        <v>155855</v>
      </c>
      <c r="H28" s="8">
        <v>0.22</v>
      </c>
      <c r="I28" s="8" t="str">
        <v>Credit Card</v>
      </c>
      <c r="J28" s="8" t="str">
        <v>Shipped</v>
      </c>
      <c r="K28" s="8">
        <v>45868</v>
      </c>
      <c r="L28" s="8" t="str">
        <v>No</v>
      </c>
      <c r="M28" s="8">
        <v>451</v>
      </c>
      <c r="N28" s="8" t="str">
        <v>Yes</v>
      </c>
      <c r="O28" s="8" t="str">
        <v>Yes</v>
      </c>
      <c r="P28" s="8" t="str">
        <f t="shared" si="0"/>
        <v>C084</v>
      </c>
      <c r="Q28" s="8" t="str">
        <f>VLOOKUP($B28,customers[],MATCH(Q$1,customers[#Headers],0),0)</f>
        <v>Amara Narayan</v>
      </c>
      <c r="R28" s="8" t="str">
        <f>VLOOKUP($B28,customers[],MATCH(R$1,customers[#Headers],0),0)</f>
        <v>advay45@example.net</v>
      </c>
      <c r="S28" s="8">
        <f>VLOOKUP($B28,customers[],MATCH(S$1,customers[#Headers],0),0)</f>
        <v>910174268414</v>
      </c>
      <c r="T28" s="8" t="str">
        <f>VLOOKUP($B28,customers[],MATCH(T$1,customers[#Headers],0),0)</f>
        <v>Kolkata</v>
      </c>
      <c r="U28" s="8" t="str">
        <f>VLOOKUP($B28,customers[],MATCH(U$1,customers[#Headers],0),0)</f>
        <v>West Bengal</v>
      </c>
      <c r="V28" s="8">
        <f>VLOOKUP($B28,customers[],MATCH(V$1,customers[#Headers],0),0)</f>
        <v>933272</v>
      </c>
      <c r="W28" s="8" t="str">
        <f>VLOOKUP($B28,customers[],MATCH(W$1,customers[#Headers],0),0)</f>
        <v>Male</v>
      </c>
      <c r="X28" s="8">
        <f>VLOOKUP($B28,customers[],MATCH(X$1,customers[#Headers],0),0)</f>
        <v>33056</v>
      </c>
      <c r="Y28" s="8">
        <f>VLOOKUP($B28,customers[],MATCH(Y$1,customers[#Headers],0),0)</f>
        <v>45188</v>
      </c>
      <c r="Z28" s="8" t="str">
        <f>VLOOKUP($B28,customers[],MATCH(Z$1,customers[#Headers],0),0)</f>
        <v>Grocery</v>
      </c>
      <c r="AA28" s="8">
        <f>VLOOKUP($B28,customers[],MATCH(AA$1,customers[#Headers],0),0)</f>
        <v>5455</v>
      </c>
      <c r="AB28" s="8" t="str">
        <f>VLOOKUP($B28,customers[],MATCH(AB$1,customers[#Headers],0),0)</f>
        <v>Married</v>
      </c>
      <c r="AC28" s="8" t="str">
        <f>VLOOKUP($B28,customers[],MATCH(AC$1,customers[#Headers],0),0)</f>
        <v>Business</v>
      </c>
      <c r="AD28" s="8">
        <f>VLOOKUP($B28,customers[],MATCH(AD$1,customers[#Headers],0),0)</f>
        <v>783546</v>
      </c>
      <c r="AE28" s="8" t="str">
        <f t="shared" si="1"/>
        <v>P174</v>
      </c>
      <c r="AF28" s="8" t="str">
        <f>VLOOKUP($AE28,Products[],MATCH(AF$1,Products[#Headers],0),0)</f>
        <v>Voluptas Laptop</v>
      </c>
      <c r="AG28" s="8" t="str">
        <f>VLOOKUP($AE28,Products[],MATCH(AG$1,Products[#Headers],0),0)</f>
        <v>Fashion</v>
      </c>
      <c r="AH28" s="8" t="str">
        <f>VLOOKUP($AE28,Products[],MATCH(AH$1,Products[#Headers],0),0)</f>
        <v>Android</v>
      </c>
      <c r="AI28" s="8" t="str">
        <f>VLOOKUP($AE28,Products[],MATCH(AI$1,Products[#Headers],0),0)</f>
        <v>Mittal and Sons</v>
      </c>
      <c r="AJ28" s="8">
        <f>VLOOKUP($AE28,Products[],MATCH(AJ$1,Products[#Headers],0),0)</f>
        <v>31171</v>
      </c>
      <c r="AK28" s="8">
        <f>VLOOKUP($AE28,Products[],MATCH(AK$1,Products[#Headers],0),0)</f>
        <v>22</v>
      </c>
      <c r="AL28" s="8">
        <f>VLOOKUP($AE28,Products[],MATCH(AL$1,Products[#Headers],0),0)</f>
        <v>244</v>
      </c>
      <c r="AM28" s="8">
        <f>VLOOKUP($AE28,Products[],MATCH(AM$1,Products[#Headers],0),0)</f>
        <v>24</v>
      </c>
      <c r="AN28" s="8" t="str">
        <f>VLOOKUP($AE28,Products[],MATCH(AN$1,Products[#Headers],0),0)</f>
        <v>Japan</v>
      </c>
      <c r="AO28" s="8" t="str">
        <f>VLOOKUP($AE28,Products[],MATCH(AO$1,Products[#Headers],0),0)</f>
        <v>Yes</v>
      </c>
      <c r="AP28" s="8">
        <f>VLOOKUP($AE28,Products[],MATCH(AP$1,Products[#Headers],0),0)</f>
        <v>3.4</v>
      </c>
      <c r="AQ28" s="8">
        <f>VLOOKUP($AE28,Products[],MATCH(AQ$1,Products[#Headers],0),0)</f>
        <v>45184</v>
      </c>
      <c r="AR28" s="8" t="str">
        <f>VLOOKUP($AE28,Products[],MATCH(AR$1,Products[#Headers],0),0)</f>
        <v>No</v>
      </c>
      <c r="AS28" s="8">
        <f>VLOOKUP($AE28,Products[],MATCH(AS$1,Products[#Headers],0),0)</f>
        <v>8565</v>
      </c>
      <c r="AT28" s="8">
        <f>VLOOKUP($AE28,Products[],MATCH(AT$1,Products[#Headers],0),0)</f>
        <v>112</v>
      </c>
      <c r="AU28" s="8">
        <f t="shared" si="2"/>
        <v>112</v>
      </c>
      <c r="AV28" s="8" t="str">
        <f>IFERROR(VLOOKUP($AU28,stores[],MATCH(AV$1,stores[#Headers],0),0),"")</f>
        <v/>
      </c>
      <c r="AW28" s="8" t="str">
        <f>IFERROR(VLOOKUP($AU28,stores[],MATCH(AW$1,stores[#Headers],0),0),"")</f>
        <v/>
      </c>
      <c r="AX28" s="8" t="str">
        <f>IFERROR(VLOOKUP($AU28,stores[],MATCH(AX$1,stores[#Headers],0),0),"")</f>
        <v/>
      </c>
      <c r="AY28" s="8" t="str">
        <f>IFERROR(VLOOKUP($AU28,stores[],MATCH(AY$1,stores[#Headers],0),0),"")</f>
        <v/>
      </c>
      <c r="AZ28" s="8" t="str">
        <f>IFERROR(VLOOKUP($AU28,stores[],MATCH(AZ$1,stores[#Headers],0),0),"")</f>
        <v/>
      </c>
      <c r="BA28" s="8" t="str">
        <f>IFERROR(VLOOKUP($AU28,stores[],MATCH(BA$1,stores[#Headers],0),0),"")</f>
        <v/>
      </c>
      <c r="BB28" s="8" t="str">
        <f>IFERROR(VLOOKUP($AU28,stores[],MATCH(BB$1,stores[#Headers],0),0),"")</f>
        <v/>
      </c>
      <c r="BC28" s="8" t="str">
        <f>IFERROR(VLOOKUP($AU28,stores[],MATCH(BC$1,stores[#Headers],0),0),"")</f>
        <v/>
      </c>
      <c r="BD28" s="8" t="str">
        <f>IFERROR(VLOOKUP($AU28,stores[],MATCH(BD$1,stores[#Headers],0),0),"")</f>
        <v/>
      </c>
      <c r="BE28" s="8" t="str">
        <f>IFERROR(VLOOKUP($AU28,stores[],MATCH(BE$1,stores[#Headers],0),0),"")</f>
        <v/>
      </c>
      <c r="BF28" s="8" t="str">
        <f>IFERROR(VLOOKUP($AU28,stores[],MATCH(BF$1,stores[#Headers],0),0),"")</f>
        <v/>
      </c>
      <c r="BG28" s="8" t="str">
        <f>IFERROR(VLOOKUP($AU28,stores[],MATCH(BG$1,stores[#Headers],0),0),"")</f>
        <v/>
      </c>
      <c r="BH28" s="8" t="str">
        <f>IFERROR(VLOOKUP($AU28,stores[],MATCH(BH$1,stores[#Headers],0),0),"")</f>
        <v/>
      </c>
      <c r="BI28" s="8" t="str">
        <f>IFERROR(VLOOKUP($AU28,stores[],MATCH(BI$1,stores[#Headers],0),0),"")</f>
        <v/>
      </c>
      <c r="BJ28" s="8" t="str">
        <f>IFERROR(VLOOKUP($AU28,stores[],MATCH(BJ$1,stores[#Headers],0),0),"")</f>
        <v/>
      </c>
    </row>
    <row r="29" spans="1:62" x14ac:dyDescent="0.3">
      <c r="A29" s="8" t="str">
        <v>O1028</v>
      </c>
      <c r="B29" s="8" t="str">
        <v>C051</v>
      </c>
      <c r="C29" s="8" t="str">
        <v>P164</v>
      </c>
      <c r="D29" s="8">
        <v>45732</v>
      </c>
      <c r="E29" s="8">
        <v>2</v>
      </c>
      <c r="F29" s="8">
        <v>61962</v>
      </c>
      <c r="G29" s="8">
        <v>185886</v>
      </c>
      <c r="H29" s="8">
        <v>0.19</v>
      </c>
      <c r="I29" s="8" t="str">
        <v>Credit Card</v>
      </c>
      <c r="J29" s="8" t="str">
        <v>Delivered</v>
      </c>
      <c r="K29" s="8">
        <v>45856</v>
      </c>
      <c r="L29" s="8" t="str">
        <v>No</v>
      </c>
      <c r="M29" s="8">
        <v>290</v>
      </c>
      <c r="N29" s="8" t="str">
        <v>Yes</v>
      </c>
      <c r="O29" s="8" t="str">
        <v>No</v>
      </c>
      <c r="P29" s="8" t="str">
        <f t="shared" si="0"/>
        <v>C051</v>
      </c>
      <c r="Q29" s="8" t="str">
        <f>VLOOKUP($B29,customers[],MATCH(Q$1,customers[#Headers],0),0)</f>
        <v>Nandini Boase</v>
      </c>
      <c r="R29" s="8" t="str">
        <f>VLOOKUP($B29,customers[],MATCH(R$1,customers[#Headers],0),0)</f>
        <v>azaanchand@example.net</v>
      </c>
      <c r="S29" s="8">
        <f>VLOOKUP($B29,customers[],MATCH(S$1,customers[#Headers],0),0)</f>
        <v>3667525459</v>
      </c>
      <c r="T29" s="8" t="str">
        <f>VLOOKUP($B29,customers[],MATCH(T$1,customers[#Headers],0),0)</f>
        <v>Delhi</v>
      </c>
      <c r="U29" s="8" t="str">
        <f>VLOOKUP($B29,customers[],MATCH(U$1,customers[#Headers],0),0)</f>
        <v>Delhi</v>
      </c>
      <c r="V29" s="8">
        <f>VLOOKUP($B29,customers[],MATCH(V$1,customers[#Headers],0),0)</f>
        <v>22901</v>
      </c>
      <c r="W29" s="8" t="str">
        <f>VLOOKUP($B29,customers[],MATCH(W$1,customers[#Headers],0),0)</f>
        <v>Female</v>
      </c>
      <c r="X29" s="8">
        <f>VLOOKUP($B29,customers[],MATCH(X$1,customers[#Headers],0),0)</f>
        <v>28511</v>
      </c>
      <c r="Y29" s="8">
        <f>VLOOKUP($B29,customers[],MATCH(Y$1,customers[#Headers],0),0)</f>
        <v>45404</v>
      </c>
      <c r="Z29" s="8" t="str">
        <f>VLOOKUP($B29,customers[],MATCH(Z$1,customers[#Headers],0),0)</f>
        <v>Home Appliance</v>
      </c>
      <c r="AA29" s="8">
        <f>VLOOKUP($B29,customers[],MATCH(AA$1,customers[#Headers],0),0)</f>
        <v>7141</v>
      </c>
      <c r="AB29" s="8" t="str">
        <f>VLOOKUP($B29,customers[],MATCH(AB$1,customers[#Headers],0),0)</f>
        <v>Single</v>
      </c>
      <c r="AC29" s="8" t="str">
        <f>VLOOKUP($B29,customers[],MATCH(AC$1,customers[#Headers],0),0)</f>
        <v>Engineer</v>
      </c>
      <c r="AD29" s="8">
        <f>VLOOKUP($B29,customers[],MATCH(AD$1,customers[#Headers],0),0)</f>
        <v>846464</v>
      </c>
      <c r="AE29" s="8" t="str">
        <f t="shared" si="1"/>
        <v>P164</v>
      </c>
      <c r="AF29" s="8" t="str">
        <f>VLOOKUP($AE29,Products[],MATCH(AF$1,Products[#Headers],0),0)</f>
        <v>Repellat Washing Machine</v>
      </c>
      <c r="AG29" s="8" t="str">
        <f>VLOOKUP($AE29,Products[],MATCH(AG$1,Products[#Headers],0),0)</f>
        <v>Home Appliance</v>
      </c>
      <c r="AH29" s="8" t="str">
        <f>VLOOKUP($AE29,Products[],MATCH(AH$1,Products[#Headers],0),0)</f>
        <v>LED</v>
      </c>
      <c r="AI29" s="8" t="str">
        <f>VLOOKUP($AE29,Products[],MATCH(AI$1,Products[#Headers],0),0)</f>
        <v>Luthra, Sachdeva and Prashad</v>
      </c>
      <c r="AJ29" s="8">
        <f>VLOOKUP($AE29,Products[],MATCH(AJ$1,Products[#Headers],0),0)</f>
        <v>61962</v>
      </c>
      <c r="AK29" s="8">
        <f>VLOOKUP($AE29,Products[],MATCH(AK$1,Products[#Headers],0),0)</f>
        <v>19</v>
      </c>
      <c r="AL29" s="8">
        <f>VLOOKUP($AE29,Products[],MATCH(AL$1,Products[#Headers],0),0)</f>
        <v>646</v>
      </c>
      <c r="AM29" s="8">
        <f>VLOOKUP($AE29,Products[],MATCH(AM$1,Products[#Headers],0),0)</f>
        <v>24</v>
      </c>
      <c r="AN29" s="8" t="str">
        <f>VLOOKUP($AE29,Products[],MATCH(AN$1,Products[#Headers],0),0)</f>
        <v>Vietnam</v>
      </c>
      <c r="AO29" s="8" t="str">
        <f>VLOOKUP($AE29,Products[],MATCH(AO$1,Products[#Headers],0),0)</f>
        <v>Yes</v>
      </c>
      <c r="AP29" s="8">
        <f>VLOOKUP($AE29,Products[],MATCH(AP$1,Products[#Headers],0),0)</f>
        <v>3.4</v>
      </c>
      <c r="AQ29" s="8">
        <f>VLOOKUP($AE29,Products[],MATCH(AQ$1,Products[#Headers],0),0)</f>
        <v>45461</v>
      </c>
      <c r="AR29" s="8" t="str">
        <f>VLOOKUP($AE29,Products[],MATCH(AR$1,Products[#Headers],0),0)</f>
        <v>Yes</v>
      </c>
      <c r="AS29" s="8">
        <f>VLOOKUP($AE29,Products[],MATCH(AS$1,Products[#Headers],0),0)</f>
        <v>6086</v>
      </c>
      <c r="AT29" s="8">
        <f>VLOOKUP($AE29,Products[],MATCH(AT$1,Products[#Headers],0),0)</f>
        <v>26</v>
      </c>
      <c r="AU29" s="8">
        <f t="shared" si="2"/>
        <v>26</v>
      </c>
      <c r="AV29" s="8" t="str">
        <f>IFERROR(VLOOKUP($AU29,stores[],MATCH(AV$1,stores[#Headers],0),0),"")</f>
        <v>S026</v>
      </c>
      <c r="AW29" s="8" t="str">
        <f>IFERROR(VLOOKUP($AU29,stores[],MATCH(AW$1,stores[#Headers],0),0),"")</f>
        <v>Sarma, Golla and Raghavan Mart</v>
      </c>
      <c r="AX29" s="8" t="str">
        <f>IFERROR(VLOOKUP($AU29,stores[],MATCH(AX$1,stores[#Headers],0),0),"")</f>
        <v>Hyderabad</v>
      </c>
      <c r="AY29" s="8" t="str">
        <f>IFERROR(VLOOKUP($AU29,stores[],MATCH(AY$1,stores[#Headers],0),0),"")</f>
        <v>Telangana</v>
      </c>
      <c r="AZ29" s="8">
        <f>IFERROR(VLOOKUP($AU29,stores[],MATCH(AZ$1,stores[#Headers],0),0),"")</f>
        <v>902771</v>
      </c>
      <c r="BA29" s="8" t="str">
        <f>IFERROR(VLOOKUP($AU29,stores[],MATCH(BA$1,stores[#Headers],0),0),"")</f>
        <v>Ridhi Batra</v>
      </c>
      <c r="BB29" s="8">
        <f>IFERROR(VLOOKUP($AU29,stores[],MATCH(BB$1,stores[#Headers],0),0),"")</f>
        <v>2008</v>
      </c>
      <c r="BC29" s="8">
        <f>IFERROR(VLOOKUP($AU29,stores[],MATCH(BC$1,stores[#Headers],0),0),"")</f>
        <v>87</v>
      </c>
      <c r="BD29" s="8">
        <f>IFERROR(VLOOKUP($AU29,stores[],MATCH(BD$1,stores[#Headers],0),0),"")</f>
        <v>3760</v>
      </c>
      <c r="BE29" s="8">
        <f>IFERROR(VLOOKUP($AU29,stores[],MATCH(BE$1,stores[#Headers],0),0),"")</f>
        <v>3.5</v>
      </c>
      <c r="BF29" s="8" t="str">
        <f>IFERROR(VLOOKUP($AU29,stores[],MATCH(BF$1,stores[#Headers],0),0),"")</f>
        <v>No</v>
      </c>
      <c r="BG29" s="8">
        <f>IFERROR(VLOOKUP($AU29,stores[],MATCH(BG$1,stores[#Headers],0),0),"")</f>
        <v>719</v>
      </c>
      <c r="BH29" s="8" t="str">
        <f>IFERROR(VLOOKUP($AU29,stores[],MATCH(BH$1,stores[#Headers],0),0),"")</f>
        <v>Outlet</v>
      </c>
      <c r="BI29" s="8">
        <f>IFERROR(VLOOKUP($AU29,stores[],MATCH(BI$1,stores[#Headers],0),0),"")</f>
        <v>914508993588</v>
      </c>
      <c r="BJ29" s="8" t="str">
        <f>IFERROR(VLOOKUP($AU29,stores[],MATCH(BJ$1,stores[#Headers],0),0),"")</f>
        <v>santyuvraj@pal-rajan.com</v>
      </c>
    </row>
    <row r="30" spans="1:62" x14ac:dyDescent="0.3">
      <c r="A30" s="8" t="str">
        <v>O1029</v>
      </c>
      <c r="B30" s="8" t="str">
        <v>C037</v>
      </c>
      <c r="C30" s="8" t="str">
        <v>P159</v>
      </c>
      <c r="D30" s="8">
        <v>45681</v>
      </c>
      <c r="E30" s="8">
        <v>5</v>
      </c>
      <c r="F30" s="8">
        <v>41533</v>
      </c>
      <c r="G30" s="8">
        <v>207665</v>
      </c>
      <c r="H30" s="8">
        <v>0.23</v>
      </c>
      <c r="I30" s="8" t="str">
        <v>Net Banking</v>
      </c>
      <c r="J30" s="8" t="str">
        <v>Shipped</v>
      </c>
      <c r="K30" s="8">
        <v>45866</v>
      </c>
      <c r="L30" s="8" t="str">
        <v>No</v>
      </c>
      <c r="M30" s="8">
        <v>139</v>
      </c>
      <c r="N30" s="8" t="str">
        <v>Yes</v>
      </c>
      <c r="O30" s="8" t="str">
        <v>Yes</v>
      </c>
      <c r="P30" s="8" t="str">
        <f t="shared" si="0"/>
        <v>C037</v>
      </c>
      <c r="Q30" s="8" t="str">
        <f>VLOOKUP($B30,customers[],MATCH(Q$1,customers[#Headers],0),0)</f>
        <v>Ekanta Gulati</v>
      </c>
      <c r="R30" s="8" t="str">
        <f>VLOOKUP($B30,customers[],MATCH(R$1,customers[#Headers],0),0)</f>
        <v>leelakaur@example.com</v>
      </c>
      <c r="S30" s="8">
        <f>VLOOKUP($B30,customers[],MATCH(S$1,customers[#Headers],0),0)</f>
        <v>915766270289</v>
      </c>
      <c r="T30" s="8" t="str">
        <f>VLOOKUP($B30,customers[],MATCH(T$1,customers[#Headers],0),0)</f>
        <v>Ahmedabad</v>
      </c>
      <c r="U30" s="8" t="str">
        <f>VLOOKUP($B30,customers[],MATCH(U$1,customers[#Headers],0),0)</f>
        <v>Gujarat</v>
      </c>
      <c r="V30" s="8">
        <f>VLOOKUP($B30,customers[],MATCH(V$1,customers[#Headers],0),0)</f>
        <v>171870</v>
      </c>
      <c r="W30" s="8" t="str">
        <f>VLOOKUP($B30,customers[],MATCH(W$1,customers[#Headers],0),0)</f>
        <v>Male</v>
      </c>
      <c r="X30" s="8">
        <f>VLOOKUP($B30,customers[],MATCH(X$1,customers[#Headers],0),0)</f>
        <v>25331</v>
      </c>
      <c r="Y30" s="8">
        <f>VLOOKUP($B30,customers[],MATCH(Y$1,customers[#Headers],0),0)</f>
        <v>45301</v>
      </c>
      <c r="Z30" s="8" t="str">
        <f>VLOOKUP($B30,customers[],MATCH(Z$1,customers[#Headers],0),0)</f>
        <v>Home Appliance</v>
      </c>
      <c r="AA30" s="8">
        <f>VLOOKUP($B30,customers[],MATCH(AA$1,customers[#Headers],0),0)</f>
        <v>4961</v>
      </c>
      <c r="AB30" s="8" t="str">
        <f>VLOOKUP($B30,customers[],MATCH(AB$1,customers[#Headers],0),0)</f>
        <v>Single</v>
      </c>
      <c r="AC30" s="8" t="str">
        <f>VLOOKUP($B30,customers[],MATCH(AC$1,customers[#Headers],0),0)</f>
        <v>Engineer</v>
      </c>
      <c r="AD30" s="8">
        <f>VLOOKUP($B30,customers[],MATCH(AD$1,customers[#Headers],0),0)</f>
        <v>1414629</v>
      </c>
      <c r="AE30" s="8" t="str">
        <f t="shared" si="1"/>
        <v>P159</v>
      </c>
      <c r="AF30" s="8" t="str">
        <f>VLOOKUP($AE30,Products[],MATCH(AF$1,Products[#Headers],0),0)</f>
        <v>Laudantium Washing Machine</v>
      </c>
      <c r="AG30" s="8" t="str">
        <f>VLOOKUP($AE30,Products[],MATCH(AG$1,Products[#Headers],0),0)</f>
        <v>Electronics</v>
      </c>
      <c r="AH30" s="8" t="str">
        <f>VLOOKUP($AE30,Products[],MATCH(AH$1,Products[#Headers],0),0)</f>
        <v>LED</v>
      </c>
      <c r="AI30" s="8" t="str">
        <f>VLOOKUP($AE30,Products[],MATCH(AI$1,Products[#Headers],0),0)</f>
        <v>Mand, Yohannan and Ganguly</v>
      </c>
      <c r="AJ30" s="8">
        <f>VLOOKUP($AE30,Products[],MATCH(AJ$1,Products[#Headers],0),0)</f>
        <v>41533</v>
      </c>
      <c r="AK30" s="8">
        <f>VLOOKUP($AE30,Products[],MATCH(AK$1,Products[#Headers],0),0)</f>
        <v>23</v>
      </c>
      <c r="AL30" s="8">
        <f>VLOOKUP($AE30,Products[],MATCH(AL$1,Products[#Headers],0),0)</f>
        <v>439</v>
      </c>
      <c r="AM30" s="8">
        <f>VLOOKUP($AE30,Products[],MATCH(AM$1,Products[#Headers],0),0)</f>
        <v>36</v>
      </c>
      <c r="AN30" s="8" t="str">
        <f>VLOOKUP($AE30,Products[],MATCH(AN$1,Products[#Headers],0),0)</f>
        <v>Japan</v>
      </c>
      <c r="AO30" s="8" t="str">
        <f>VLOOKUP($AE30,Products[],MATCH(AO$1,Products[#Headers],0),0)</f>
        <v>No</v>
      </c>
      <c r="AP30" s="8">
        <f>VLOOKUP($AE30,Products[],MATCH(AP$1,Products[#Headers],0),0)</f>
        <v>2.8</v>
      </c>
      <c r="AQ30" s="8">
        <f>VLOOKUP($AE30,Products[],MATCH(AQ$1,Products[#Headers],0),0)</f>
        <v>45261</v>
      </c>
      <c r="AR30" s="8" t="str">
        <f>VLOOKUP($AE30,Products[],MATCH(AR$1,Products[#Headers],0),0)</f>
        <v>Yes</v>
      </c>
      <c r="AS30" s="8">
        <f>VLOOKUP($AE30,Products[],MATCH(AS$1,Products[#Headers],0),0)</f>
        <v>6322</v>
      </c>
      <c r="AT30" s="8">
        <f>VLOOKUP($AE30,Products[],MATCH(AT$1,Products[#Headers],0),0)</f>
        <v>195</v>
      </c>
      <c r="AU30" s="8">
        <f t="shared" si="2"/>
        <v>195</v>
      </c>
      <c r="AV30" s="8" t="str">
        <f>IFERROR(VLOOKUP($AU30,stores[],MATCH(AV$1,stores[#Headers],0),0),"")</f>
        <v/>
      </c>
      <c r="AW30" s="8" t="str">
        <f>IFERROR(VLOOKUP($AU30,stores[],MATCH(AW$1,stores[#Headers],0),0),"")</f>
        <v/>
      </c>
      <c r="AX30" s="8" t="str">
        <f>IFERROR(VLOOKUP($AU30,stores[],MATCH(AX$1,stores[#Headers],0),0),"")</f>
        <v/>
      </c>
      <c r="AY30" s="8" t="str">
        <f>IFERROR(VLOOKUP($AU30,stores[],MATCH(AY$1,stores[#Headers],0),0),"")</f>
        <v/>
      </c>
      <c r="AZ30" s="8" t="str">
        <f>IFERROR(VLOOKUP($AU30,stores[],MATCH(AZ$1,stores[#Headers],0),0),"")</f>
        <v/>
      </c>
      <c r="BA30" s="8" t="str">
        <f>IFERROR(VLOOKUP($AU30,stores[],MATCH(BA$1,stores[#Headers],0),0),"")</f>
        <v/>
      </c>
      <c r="BB30" s="8" t="str">
        <f>IFERROR(VLOOKUP($AU30,stores[],MATCH(BB$1,stores[#Headers],0),0),"")</f>
        <v/>
      </c>
      <c r="BC30" s="8" t="str">
        <f>IFERROR(VLOOKUP($AU30,stores[],MATCH(BC$1,stores[#Headers],0),0),"")</f>
        <v/>
      </c>
      <c r="BD30" s="8" t="str">
        <f>IFERROR(VLOOKUP($AU30,stores[],MATCH(BD$1,stores[#Headers],0),0),"")</f>
        <v/>
      </c>
      <c r="BE30" s="8" t="str">
        <f>IFERROR(VLOOKUP($AU30,stores[],MATCH(BE$1,stores[#Headers],0),0),"")</f>
        <v/>
      </c>
      <c r="BF30" s="8" t="str">
        <f>IFERROR(VLOOKUP($AU30,stores[],MATCH(BF$1,stores[#Headers],0),0),"")</f>
        <v/>
      </c>
      <c r="BG30" s="8" t="str">
        <f>IFERROR(VLOOKUP($AU30,stores[],MATCH(BG$1,stores[#Headers],0),0),"")</f>
        <v/>
      </c>
      <c r="BH30" s="8" t="str">
        <f>IFERROR(VLOOKUP($AU30,stores[],MATCH(BH$1,stores[#Headers],0),0),"")</f>
        <v/>
      </c>
      <c r="BI30" s="8" t="str">
        <f>IFERROR(VLOOKUP($AU30,stores[],MATCH(BI$1,stores[#Headers],0),0),"")</f>
        <v/>
      </c>
      <c r="BJ30" s="8" t="str">
        <f>IFERROR(VLOOKUP($AU30,stores[],MATCH(BJ$1,stores[#Headers],0),0),"")</f>
        <v/>
      </c>
    </row>
    <row r="31" spans="1:62" x14ac:dyDescent="0.3">
      <c r="A31" s="8" t="str">
        <v>O1030</v>
      </c>
      <c r="B31" s="8" t="str">
        <v>C043</v>
      </c>
      <c r="C31" s="8" t="str">
        <v>P121</v>
      </c>
      <c r="D31" s="8">
        <v>45687</v>
      </c>
      <c r="E31" s="8">
        <v>4</v>
      </c>
      <c r="F31" s="8">
        <v>25227</v>
      </c>
      <c r="G31" s="8">
        <v>75681</v>
      </c>
      <c r="H31" s="8">
        <v>0.27</v>
      </c>
      <c r="I31" s="8" t="str">
        <v>Debit Card</v>
      </c>
      <c r="J31" s="8" t="str">
        <v>Delivered</v>
      </c>
      <c r="K31" s="8">
        <v>45863</v>
      </c>
      <c r="L31" s="8" t="str">
        <v>No</v>
      </c>
      <c r="M31" s="8">
        <v>404</v>
      </c>
      <c r="N31" s="8" t="str">
        <v>No</v>
      </c>
      <c r="O31" s="8" t="str">
        <v>Yes</v>
      </c>
      <c r="P31" s="8" t="str">
        <f t="shared" si="0"/>
        <v>C043</v>
      </c>
      <c r="Q31" s="8" t="str">
        <f>VLOOKUP($B31,customers[],MATCH(Q$1,customers[#Headers],0),0)</f>
        <v>Jatin Sha</v>
      </c>
      <c r="R31" s="8" t="str">
        <f>VLOOKUP($B31,customers[],MATCH(R$1,customers[#Headers],0),0)</f>
        <v>adweta96@example.net</v>
      </c>
      <c r="S31" s="8">
        <f>VLOOKUP($B31,customers[],MATCH(S$1,customers[#Headers],0),0)</f>
        <v>1370985931</v>
      </c>
      <c r="T31" s="8" t="str">
        <f>VLOOKUP($B31,customers[],MATCH(T$1,customers[#Headers],0),0)</f>
        <v>Kolkata</v>
      </c>
      <c r="U31" s="8" t="str">
        <f>VLOOKUP($B31,customers[],MATCH(U$1,customers[#Headers],0),0)</f>
        <v>West Bengal</v>
      </c>
      <c r="V31" s="8">
        <f>VLOOKUP($B31,customers[],MATCH(V$1,customers[#Headers],0),0)</f>
        <v>461200</v>
      </c>
      <c r="W31" s="8" t="str">
        <f>VLOOKUP($B31,customers[],MATCH(W$1,customers[#Headers],0),0)</f>
        <v>Male</v>
      </c>
      <c r="X31" s="8">
        <f>VLOOKUP($B31,customers[],MATCH(X$1,customers[#Headers],0),0)</f>
        <v>29313</v>
      </c>
      <c r="Y31" s="8">
        <f>VLOOKUP($B31,customers[],MATCH(Y$1,customers[#Headers],0),0)</f>
        <v>45558</v>
      </c>
      <c r="Z31" s="8" t="str">
        <f>VLOOKUP($B31,customers[],MATCH(Z$1,customers[#Headers],0),0)</f>
        <v>Electronics</v>
      </c>
      <c r="AA31" s="8">
        <f>VLOOKUP($B31,customers[],MATCH(AA$1,customers[#Headers],0),0)</f>
        <v>7608</v>
      </c>
      <c r="AB31" s="8" t="str">
        <f>VLOOKUP($B31,customers[],MATCH(AB$1,customers[#Headers],0),0)</f>
        <v>Single</v>
      </c>
      <c r="AC31" s="8" t="str">
        <f>VLOOKUP($B31,customers[],MATCH(AC$1,customers[#Headers],0),0)</f>
        <v>Engineer</v>
      </c>
      <c r="AD31" s="8">
        <f>VLOOKUP($B31,customers[],MATCH(AD$1,customers[#Headers],0),0)</f>
        <v>1327501</v>
      </c>
      <c r="AE31" s="8" t="str">
        <f t="shared" si="1"/>
        <v>P121</v>
      </c>
      <c r="AF31" s="8" t="str">
        <f>VLOOKUP($AE31,Products[],MATCH(AF$1,Products[#Headers],0),0)</f>
        <v>Quas Washing Machine</v>
      </c>
      <c r="AG31" s="8" t="str">
        <f>VLOOKUP($AE31,Products[],MATCH(AG$1,Products[#Headers],0),0)</f>
        <v>Grocery</v>
      </c>
      <c r="AH31" s="8" t="str">
        <f>VLOOKUP($AE31,Products[],MATCH(AH$1,Products[#Headers],0),0)</f>
        <v>Cotton</v>
      </c>
      <c r="AI31" s="8" t="str">
        <f>VLOOKUP($AE31,Products[],MATCH(AI$1,Products[#Headers],0),0)</f>
        <v>Kant, Sehgal and Prasad</v>
      </c>
      <c r="AJ31" s="8">
        <f>VLOOKUP($AE31,Products[],MATCH(AJ$1,Products[#Headers],0),0)</f>
        <v>25227</v>
      </c>
      <c r="AK31" s="8">
        <f>VLOOKUP($AE31,Products[],MATCH(AK$1,Products[#Headers],0),0)</f>
        <v>27</v>
      </c>
      <c r="AL31" s="8">
        <f>VLOOKUP($AE31,Products[],MATCH(AL$1,Products[#Headers],0),0)</f>
        <v>244</v>
      </c>
      <c r="AM31" s="8">
        <f>VLOOKUP($AE31,Products[],MATCH(AM$1,Products[#Headers],0),0)</f>
        <v>36</v>
      </c>
      <c r="AN31" s="8" t="str">
        <f>VLOOKUP($AE31,Products[],MATCH(AN$1,Products[#Headers],0),0)</f>
        <v>China</v>
      </c>
      <c r="AO31" s="8" t="str">
        <f>VLOOKUP($AE31,Products[],MATCH(AO$1,Products[#Headers],0),0)</f>
        <v>No</v>
      </c>
      <c r="AP31" s="8">
        <f>VLOOKUP($AE31,Products[],MATCH(AP$1,Products[#Headers],0),0)</f>
        <v>2.6</v>
      </c>
      <c r="AQ31" s="8">
        <f>VLOOKUP($AE31,Products[],MATCH(AQ$1,Products[#Headers],0),0)</f>
        <v>45366</v>
      </c>
      <c r="AR31" s="8" t="str">
        <f>VLOOKUP($AE31,Products[],MATCH(AR$1,Products[#Headers],0),0)</f>
        <v>No</v>
      </c>
      <c r="AS31" s="8">
        <f>VLOOKUP($AE31,Products[],MATCH(AS$1,Products[#Headers],0),0)</f>
        <v>7247</v>
      </c>
      <c r="AT31" s="8">
        <f>VLOOKUP($AE31,Products[],MATCH(AT$1,Products[#Headers],0),0)</f>
        <v>147</v>
      </c>
      <c r="AU31" s="8">
        <f t="shared" si="2"/>
        <v>147</v>
      </c>
      <c r="AV31" s="8" t="str">
        <f>IFERROR(VLOOKUP($AU31,stores[],MATCH(AV$1,stores[#Headers],0),0),"")</f>
        <v/>
      </c>
      <c r="AW31" s="8" t="str">
        <f>IFERROR(VLOOKUP($AU31,stores[],MATCH(AW$1,stores[#Headers],0),0),"")</f>
        <v/>
      </c>
      <c r="AX31" s="8" t="str">
        <f>IFERROR(VLOOKUP($AU31,stores[],MATCH(AX$1,stores[#Headers],0),0),"")</f>
        <v/>
      </c>
      <c r="AY31" s="8" t="str">
        <f>IFERROR(VLOOKUP($AU31,stores[],MATCH(AY$1,stores[#Headers],0),0),"")</f>
        <v/>
      </c>
      <c r="AZ31" s="8" t="str">
        <f>IFERROR(VLOOKUP($AU31,stores[],MATCH(AZ$1,stores[#Headers],0),0),"")</f>
        <v/>
      </c>
      <c r="BA31" s="8" t="str">
        <f>IFERROR(VLOOKUP($AU31,stores[],MATCH(BA$1,stores[#Headers],0),0),"")</f>
        <v/>
      </c>
      <c r="BB31" s="8" t="str">
        <f>IFERROR(VLOOKUP($AU31,stores[],MATCH(BB$1,stores[#Headers],0),0),"")</f>
        <v/>
      </c>
      <c r="BC31" s="8" t="str">
        <f>IFERROR(VLOOKUP($AU31,stores[],MATCH(BC$1,stores[#Headers],0),0),"")</f>
        <v/>
      </c>
      <c r="BD31" s="8" t="str">
        <f>IFERROR(VLOOKUP($AU31,stores[],MATCH(BD$1,stores[#Headers],0),0),"")</f>
        <v/>
      </c>
      <c r="BE31" s="8" t="str">
        <f>IFERROR(VLOOKUP($AU31,stores[],MATCH(BE$1,stores[#Headers],0),0),"")</f>
        <v/>
      </c>
      <c r="BF31" s="8" t="str">
        <f>IFERROR(VLOOKUP($AU31,stores[],MATCH(BF$1,stores[#Headers],0),0),"")</f>
        <v/>
      </c>
      <c r="BG31" s="8" t="str">
        <f>IFERROR(VLOOKUP($AU31,stores[],MATCH(BG$1,stores[#Headers],0),0),"")</f>
        <v/>
      </c>
      <c r="BH31" s="8" t="str">
        <f>IFERROR(VLOOKUP($AU31,stores[],MATCH(BH$1,stores[#Headers],0),0),"")</f>
        <v/>
      </c>
      <c r="BI31" s="8" t="str">
        <f>IFERROR(VLOOKUP($AU31,stores[],MATCH(BI$1,stores[#Headers],0),0),"")</f>
        <v/>
      </c>
      <c r="BJ31" s="8" t="str">
        <f>IFERROR(VLOOKUP($AU31,stores[],MATCH(BJ$1,stores[#Headers],0),0),"")</f>
        <v/>
      </c>
    </row>
    <row r="32" spans="1:62" x14ac:dyDescent="0.3">
      <c r="A32" s="8" t="str">
        <v>O1031</v>
      </c>
      <c r="B32" s="8" t="str">
        <v>C023</v>
      </c>
      <c r="C32" s="8" t="str">
        <v>P179</v>
      </c>
      <c r="D32" s="8">
        <v>45510</v>
      </c>
      <c r="E32" s="8">
        <v>4</v>
      </c>
      <c r="F32" s="8">
        <v>59299</v>
      </c>
      <c r="G32" s="8">
        <v>237196</v>
      </c>
      <c r="H32" s="8">
        <v>0.24</v>
      </c>
      <c r="I32" s="8" t="str">
        <v>Cash on Delivery</v>
      </c>
      <c r="J32" s="8" t="str">
        <v>Pending</v>
      </c>
      <c r="K32" s="8">
        <v>45867</v>
      </c>
      <c r="L32" s="8" t="str">
        <v>Yes</v>
      </c>
      <c r="M32" s="8">
        <v>205</v>
      </c>
      <c r="N32" s="8" t="str">
        <v>Yes</v>
      </c>
      <c r="O32" s="8" t="str">
        <v>Yes</v>
      </c>
      <c r="P32" s="8" t="str">
        <f t="shared" si="0"/>
        <v>C023</v>
      </c>
      <c r="Q32" s="8" t="str">
        <f>VLOOKUP($B32,customers[],MATCH(Q$1,customers[#Headers],0),0)</f>
        <v>Fiyaz Sangha</v>
      </c>
      <c r="R32" s="8" t="str">
        <f>VLOOKUP($B32,customers[],MATCH(R$1,customers[#Headers],0),0)</f>
        <v>triyagopal@example.org</v>
      </c>
      <c r="S32" s="8">
        <f>VLOOKUP($B32,customers[],MATCH(S$1,customers[#Headers],0),0)</f>
        <v>6537556464</v>
      </c>
      <c r="T32" s="8" t="str">
        <f>VLOOKUP($B32,customers[],MATCH(T$1,customers[#Headers],0),0)</f>
        <v>Ahmedabad</v>
      </c>
      <c r="U32" s="8" t="str">
        <f>VLOOKUP($B32,customers[],MATCH(U$1,customers[#Headers],0),0)</f>
        <v>Gujarat</v>
      </c>
      <c r="V32" s="8">
        <f>VLOOKUP($B32,customers[],MATCH(V$1,customers[#Headers],0),0)</f>
        <v>708053</v>
      </c>
      <c r="W32" s="8" t="str">
        <f>VLOOKUP($B32,customers[],MATCH(W$1,customers[#Headers],0),0)</f>
        <v>Male</v>
      </c>
      <c r="X32" s="8">
        <f>VLOOKUP($B32,customers[],MATCH(X$1,customers[#Headers],0),0)</f>
        <v>37907</v>
      </c>
      <c r="Y32" s="8">
        <f>VLOOKUP($B32,customers[],MATCH(Y$1,customers[#Headers],0),0)</f>
        <v>44241</v>
      </c>
      <c r="Z32" s="8" t="str">
        <f>VLOOKUP($B32,customers[],MATCH(Z$1,customers[#Headers],0),0)</f>
        <v>Home Appliance</v>
      </c>
      <c r="AA32" s="8">
        <f>VLOOKUP($B32,customers[],MATCH(AA$1,customers[#Headers],0),0)</f>
        <v>2203</v>
      </c>
      <c r="AB32" s="8" t="str">
        <f>VLOOKUP($B32,customers[],MATCH(AB$1,customers[#Headers],0),0)</f>
        <v>Married</v>
      </c>
      <c r="AC32" s="8" t="str">
        <f>VLOOKUP($B32,customers[],MATCH(AC$1,customers[#Headers],0),0)</f>
        <v>Student</v>
      </c>
      <c r="AD32" s="8">
        <f>VLOOKUP($B32,customers[],MATCH(AD$1,customers[#Headers],0),0)</f>
        <v>546296</v>
      </c>
      <c r="AE32" s="8" t="str">
        <f t="shared" si="1"/>
        <v>P179</v>
      </c>
      <c r="AF32" s="8" t="str">
        <f>VLOOKUP($AE32,Products[],MATCH(AF$1,Products[#Headers],0),0)</f>
        <v>Delectus Laptop</v>
      </c>
      <c r="AG32" s="8" t="str">
        <f>VLOOKUP($AE32,Products[],MATCH(AG$1,Products[#Headers],0),0)</f>
        <v>Home Appliance</v>
      </c>
      <c r="AH32" s="8" t="str">
        <f>VLOOKUP($AE32,Products[],MATCH(AH$1,Products[#Headers],0),0)</f>
        <v>Android</v>
      </c>
      <c r="AI32" s="8" t="str">
        <f>VLOOKUP($AE32,Products[],MATCH(AI$1,Products[#Headers],0),0)</f>
        <v>Kara, Venkataraman and Saxena</v>
      </c>
      <c r="AJ32" s="8">
        <f>VLOOKUP($AE32,Products[],MATCH(AJ$1,Products[#Headers],0),0)</f>
        <v>59299</v>
      </c>
      <c r="AK32" s="8">
        <f>VLOOKUP($AE32,Products[],MATCH(AK$1,Products[#Headers],0),0)</f>
        <v>24</v>
      </c>
      <c r="AL32" s="8">
        <f>VLOOKUP($AE32,Products[],MATCH(AL$1,Products[#Headers],0),0)</f>
        <v>5</v>
      </c>
      <c r="AM32" s="8">
        <f>VLOOKUP($AE32,Products[],MATCH(AM$1,Products[#Headers],0),0)</f>
        <v>6</v>
      </c>
      <c r="AN32" s="8" t="str">
        <f>VLOOKUP($AE32,Products[],MATCH(AN$1,Products[#Headers],0),0)</f>
        <v>India</v>
      </c>
      <c r="AO32" s="8" t="str">
        <f>VLOOKUP($AE32,Products[],MATCH(AO$1,Products[#Headers],0),0)</f>
        <v>No</v>
      </c>
      <c r="AP32" s="8">
        <f>VLOOKUP($AE32,Products[],MATCH(AP$1,Products[#Headers],0),0)</f>
        <v>3</v>
      </c>
      <c r="AQ32" s="8">
        <f>VLOOKUP($AE32,Products[],MATCH(AQ$1,Products[#Headers],0),0)</f>
        <v>44773</v>
      </c>
      <c r="AR32" s="8" t="str">
        <f>VLOOKUP($AE32,Products[],MATCH(AR$1,Products[#Headers],0),0)</f>
        <v>Yes</v>
      </c>
      <c r="AS32" s="8">
        <f>VLOOKUP($AE32,Products[],MATCH(AS$1,Products[#Headers],0),0)</f>
        <v>9992</v>
      </c>
      <c r="AT32" s="8">
        <f>VLOOKUP($AE32,Products[],MATCH(AT$1,Products[#Headers],0),0)</f>
        <v>88</v>
      </c>
      <c r="AU32" s="8">
        <f t="shared" si="2"/>
        <v>88</v>
      </c>
      <c r="AV32" s="8" t="str">
        <f>IFERROR(VLOOKUP($AU32,stores[],MATCH(AV$1,stores[#Headers],0),0),"")</f>
        <v>S088</v>
      </c>
      <c r="AW32" s="8" t="str">
        <f>IFERROR(VLOOKUP($AU32,stores[],MATCH(AW$1,stores[#Headers],0),0),"")</f>
        <v>Muni Ltd Mart</v>
      </c>
      <c r="AX32" s="8" t="str">
        <f>IFERROR(VLOOKUP($AU32,stores[],MATCH(AX$1,stores[#Headers],0),0),"")</f>
        <v>Delhi</v>
      </c>
      <c r="AY32" s="8" t="str">
        <f>IFERROR(VLOOKUP($AU32,stores[],MATCH(AY$1,stores[#Headers],0),0),"")</f>
        <v>Delhi</v>
      </c>
      <c r="AZ32" s="8">
        <f>IFERROR(VLOOKUP($AU32,stores[],MATCH(AZ$1,stores[#Headers],0),0),"")</f>
        <v>533448</v>
      </c>
      <c r="BA32" s="8" t="str">
        <f>IFERROR(VLOOKUP($AU32,stores[],MATCH(BA$1,stores[#Headers],0),0),"")</f>
        <v>Ridhi Dalal</v>
      </c>
      <c r="BB32" s="8">
        <f>IFERROR(VLOOKUP($AU32,stores[],MATCH(BB$1,stores[#Headers],0),0),"")</f>
        <v>2003</v>
      </c>
      <c r="BC32" s="8">
        <f>IFERROR(VLOOKUP($AU32,stores[],MATCH(BC$1,stores[#Headers],0),0),"")</f>
        <v>47</v>
      </c>
      <c r="BD32" s="8">
        <f>IFERROR(VLOOKUP($AU32,stores[],MATCH(BD$1,stores[#Headers],0),0),"")</f>
        <v>7735</v>
      </c>
      <c r="BE32" s="8">
        <f>IFERROR(VLOOKUP($AU32,stores[],MATCH(BE$1,stores[#Headers],0),0),"")</f>
        <v>4.9000000000000004</v>
      </c>
      <c r="BF32" s="8" t="str">
        <f>IFERROR(VLOOKUP($AU32,stores[],MATCH(BF$1,stores[#Headers],0),0),"")</f>
        <v>No</v>
      </c>
      <c r="BG32" s="8">
        <f>IFERROR(VLOOKUP($AU32,stores[],MATCH(BG$1,stores[#Headers],0),0),"")</f>
        <v>4924</v>
      </c>
      <c r="BH32" s="8" t="str">
        <f>IFERROR(VLOOKUP($AU32,stores[],MATCH(BH$1,stores[#Headers],0),0),"")</f>
        <v>Franchise</v>
      </c>
      <c r="BI32" s="8">
        <f>IFERROR(VLOOKUP($AU32,stores[],MATCH(BI$1,stores[#Headers],0),0),"")</f>
        <v>2241098813</v>
      </c>
      <c r="BJ32" s="8" t="str">
        <f>IFERROR(VLOOKUP($AU32,stores[],MATCH(BJ$1,stores[#Headers],0),0),"")</f>
        <v>eiravati42@mander.com</v>
      </c>
    </row>
    <row r="33" spans="1:62" x14ac:dyDescent="0.3">
      <c r="A33" s="8" t="str">
        <v>O1032</v>
      </c>
      <c r="B33" s="8" t="str">
        <v>C018</v>
      </c>
      <c r="C33" s="8" t="str">
        <v>P162</v>
      </c>
      <c r="D33" s="8">
        <v>45822</v>
      </c>
      <c r="E33" s="8">
        <v>3</v>
      </c>
      <c r="F33" s="8">
        <v>95839</v>
      </c>
      <c r="G33" s="8">
        <v>191678</v>
      </c>
      <c r="H33" s="8">
        <v>0.25</v>
      </c>
      <c r="I33" s="8" t="str">
        <v>Credit Card</v>
      </c>
      <c r="J33" s="8" t="str">
        <v>Pending</v>
      </c>
      <c r="K33" s="8">
        <v>45868</v>
      </c>
      <c r="L33" s="8" t="str">
        <v>No</v>
      </c>
      <c r="M33" s="8">
        <v>120</v>
      </c>
      <c r="N33" s="8" t="str">
        <v>No</v>
      </c>
      <c r="O33" s="8" t="str">
        <v>No</v>
      </c>
      <c r="P33" s="8" t="str">
        <f t="shared" si="0"/>
        <v>C018</v>
      </c>
      <c r="Q33" s="8" t="str">
        <f>VLOOKUP($B33,customers[],MATCH(Q$1,customers[#Headers],0),0)</f>
        <v>Owen Mitra</v>
      </c>
      <c r="R33" s="8" t="str">
        <f>VLOOKUP($B33,customers[],MATCH(R$1,customers[#Headers],0),0)</f>
        <v>tacharya@example.com</v>
      </c>
      <c r="S33" s="8">
        <f>VLOOKUP($B33,customers[],MATCH(S$1,customers[#Headers],0),0)</f>
        <v>916995777387</v>
      </c>
      <c r="T33" s="8" t="str">
        <f>VLOOKUP($B33,customers[],MATCH(T$1,customers[#Headers],0),0)</f>
        <v>Mumbai</v>
      </c>
      <c r="U33" s="8" t="str">
        <f>VLOOKUP($B33,customers[],MATCH(U$1,customers[#Headers],0),0)</f>
        <v>Maharashtra</v>
      </c>
      <c r="V33" s="8">
        <f>VLOOKUP($B33,customers[],MATCH(V$1,customers[#Headers],0),0)</f>
        <v>148951</v>
      </c>
      <c r="W33" s="8" t="str">
        <f>VLOOKUP($B33,customers[],MATCH(W$1,customers[#Headers],0),0)</f>
        <v>Female</v>
      </c>
      <c r="X33" s="8">
        <f>VLOOKUP($B33,customers[],MATCH(X$1,customers[#Headers],0),0)</f>
        <v>27585</v>
      </c>
      <c r="Y33" s="8">
        <f>VLOOKUP($B33,customers[],MATCH(Y$1,customers[#Headers],0),0)</f>
        <v>44992</v>
      </c>
      <c r="Z33" s="8" t="str">
        <f>VLOOKUP($B33,customers[],MATCH(Z$1,customers[#Headers],0),0)</f>
        <v>Fashion</v>
      </c>
      <c r="AA33" s="8">
        <f>VLOOKUP($B33,customers[],MATCH(AA$1,customers[#Headers],0),0)</f>
        <v>1927</v>
      </c>
      <c r="AB33" s="8" t="str">
        <f>VLOOKUP($B33,customers[],MATCH(AB$1,customers[#Headers],0),0)</f>
        <v>Married</v>
      </c>
      <c r="AC33" s="8" t="str">
        <f>VLOOKUP($B33,customers[],MATCH(AC$1,customers[#Headers],0),0)</f>
        <v>Business</v>
      </c>
      <c r="AD33" s="8">
        <f>VLOOKUP($B33,customers[],MATCH(AD$1,customers[#Headers],0),0)</f>
        <v>531680</v>
      </c>
      <c r="AE33" s="8" t="str">
        <f t="shared" si="1"/>
        <v>P162</v>
      </c>
      <c r="AF33" s="8" t="str">
        <f>VLOOKUP($AE33,Products[],MATCH(AF$1,Products[#Headers],0),0)</f>
        <v>Harum Phone</v>
      </c>
      <c r="AG33" s="8" t="str">
        <f>VLOOKUP($AE33,Products[],MATCH(AG$1,Products[#Headers],0),0)</f>
        <v>Home Appliance</v>
      </c>
      <c r="AH33" s="8" t="str">
        <f>VLOOKUP($AE33,Products[],MATCH(AH$1,Products[#Headers],0),0)</f>
        <v>Cotton</v>
      </c>
      <c r="AI33" s="8" t="str">
        <f>VLOOKUP($AE33,Products[],MATCH(AI$1,Products[#Headers],0),0)</f>
        <v>Date, Deo and Krish</v>
      </c>
      <c r="AJ33" s="8">
        <f>VLOOKUP($AE33,Products[],MATCH(AJ$1,Products[#Headers],0),0)</f>
        <v>95839</v>
      </c>
      <c r="AK33" s="8">
        <f>VLOOKUP($AE33,Products[],MATCH(AK$1,Products[#Headers],0),0)</f>
        <v>25</v>
      </c>
      <c r="AL33" s="8">
        <f>VLOOKUP($AE33,Products[],MATCH(AL$1,Products[#Headers],0),0)</f>
        <v>834</v>
      </c>
      <c r="AM33" s="8">
        <f>VLOOKUP($AE33,Products[],MATCH(AM$1,Products[#Headers],0),0)</f>
        <v>12</v>
      </c>
      <c r="AN33" s="8" t="str">
        <f>VLOOKUP($AE33,Products[],MATCH(AN$1,Products[#Headers],0),0)</f>
        <v>China</v>
      </c>
      <c r="AO33" s="8" t="str">
        <f>VLOOKUP($AE33,Products[],MATCH(AO$1,Products[#Headers],0),0)</f>
        <v>Yes</v>
      </c>
      <c r="AP33" s="8">
        <f>VLOOKUP($AE33,Products[],MATCH(AP$1,Products[#Headers],0),0)</f>
        <v>2.9</v>
      </c>
      <c r="AQ33" s="8">
        <f>VLOOKUP($AE33,Products[],MATCH(AQ$1,Products[#Headers],0),0)</f>
        <v>44986</v>
      </c>
      <c r="AR33" s="8" t="str">
        <f>VLOOKUP($AE33,Products[],MATCH(AR$1,Products[#Headers],0),0)</f>
        <v>Yes</v>
      </c>
      <c r="AS33" s="8">
        <f>VLOOKUP($AE33,Products[],MATCH(AS$1,Products[#Headers],0),0)</f>
        <v>3843</v>
      </c>
      <c r="AT33" s="8">
        <f>VLOOKUP($AE33,Products[],MATCH(AT$1,Products[#Headers],0),0)</f>
        <v>26</v>
      </c>
      <c r="AU33" s="8">
        <f t="shared" si="2"/>
        <v>26</v>
      </c>
      <c r="AV33" s="8" t="str">
        <f>IFERROR(VLOOKUP($AU33,stores[],MATCH(AV$1,stores[#Headers],0),0),"")</f>
        <v>S026</v>
      </c>
      <c r="AW33" s="8" t="str">
        <f>IFERROR(VLOOKUP($AU33,stores[],MATCH(AW$1,stores[#Headers],0),0),"")</f>
        <v>Sarma, Golla and Raghavan Mart</v>
      </c>
      <c r="AX33" s="8" t="str">
        <f>IFERROR(VLOOKUP($AU33,stores[],MATCH(AX$1,stores[#Headers],0),0),"")</f>
        <v>Hyderabad</v>
      </c>
      <c r="AY33" s="8" t="str">
        <f>IFERROR(VLOOKUP($AU33,stores[],MATCH(AY$1,stores[#Headers],0),0),"")</f>
        <v>Telangana</v>
      </c>
      <c r="AZ33" s="8">
        <f>IFERROR(VLOOKUP($AU33,stores[],MATCH(AZ$1,stores[#Headers],0),0),"")</f>
        <v>902771</v>
      </c>
      <c r="BA33" s="8" t="str">
        <f>IFERROR(VLOOKUP($AU33,stores[],MATCH(BA$1,stores[#Headers],0),0),"")</f>
        <v>Ridhi Batra</v>
      </c>
      <c r="BB33" s="8">
        <f>IFERROR(VLOOKUP($AU33,stores[],MATCH(BB$1,stores[#Headers],0),0),"")</f>
        <v>2008</v>
      </c>
      <c r="BC33" s="8">
        <f>IFERROR(VLOOKUP($AU33,stores[],MATCH(BC$1,stores[#Headers],0),0),"")</f>
        <v>87</v>
      </c>
      <c r="BD33" s="8">
        <f>IFERROR(VLOOKUP($AU33,stores[],MATCH(BD$1,stores[#Headers],0),0),"")</f>
        <v>3760</v>
      </c>
      <c r="BE33" s="8">
        <f>IFERROR(VLOOKUP($AU33,stores[],MATCH(BE$1,stores[#Headers],0),0),"")</f>
        <v>3.5</v>
      </c>
      <c r="BF33" s="8" t="str">
        <f>IFERROR(VLOOKUP($AU33,stores[],MATCH(BF$1,stores[#Headers],0),0),"")</f>
        <v>No</v>
      </c>
      <c r="BG33" s="8">
        <f>IFERROR(VLOOKUP($AU33,stores[],MATCH(BG$1,stores[#Headers],0),0),"")</f>
        <v>719</v>
      </c>
      <c r="BH33" s="8" t="str">
        <f>IFERROR(VLOOKUP($AU33,stores[],MATCH(BH$1,stores[#Headers],0),0),"")</f>
        <v>Outlet</v>
      </c>
      <c r="BI33" s="8">
        <f>IFERROR(VLOOKUP($AU33,stores[],MATCH(BI$1,stores[#Headers],0),0),"")</f>
        <v>914508993588</v>
      </c>
      <c r="BJ33" s="8" t="str">
        <f>IFERROR(VLOOKUP($AU33,stores[],MATCH(BJ$1,stores[#Headers],0),0),"")</f>
        <v>santyuvraj@pal-rajan.com</v>
      </c>
    </row>
    <row r="34" spans="1:62" x14ac:dyDescent="0.3">
      <c r="A34" s="8" t="str">
        <v>O1033</v>
      </c>
      <c r="B34" s="8" t="str">
        <v>C043</v>
      </c>
      <c r="C34" s="8" t="str">
        <v>P139</v>
      </c>
      <c r="D34" s="8">
        <v>45553</v>
      </c>
      <c r="E34" s="8">
        <v>5</v>
      </c>
      <c r="F34" s="8">
        <v>49066</v>
      </c>
      <c r="G34" s="8">
        <v>245330</v>
      </c>
      <c r="H34" s="8">
        <v>0.11</v>
      </c>
      <c r="I34" s="8" t="str">
        <v>Credit Card</v>
      </c>
      <c r="J34" s="8" t="str">
        <v>Pending</v>
      </c>
      <c r="K34" s="8">
        <v>45863</v>
      </c>
      <c r="L34" s="8" t="str">
        <v>No</v>
      </c>
      <c r="M34" s="8">
        <v>354</v>
      </c>
      <c r="N34" s="8" t="str">
        <v>Yes</v>
      </c>
      <c r="O34" s="8" t="str">
        <v>Yes</v>
      </c>
      <c r="P34" s="8" t="str">
        <f t="shared" si="0"/>
        <v>C043</v>
      </c>
      <c r="Q34" s="8" t="str">
        <f>VLOOKUP($B34,customers[],MATCH(Q$1,customers[#Headers],0),0)</f>
        <v>Jatin Sha</v>
      </c>
      <c r="R34" s="8" t="str">
        <f>VLOOKUP($B34,customers[],MATCH(R$1,customers[#Headers],0),0)</f>
        <v>adweta96@example.net</v>
      </c>
      <c r="S34" s="8">
        <f>VLOOKUP($B34,customers[],MATCH(S$1,customers[#Headers],0),0)</f>
        <v>1370985931</v>
      </c>
      <c r="T34" s="8" t="str">
        <f>VLOOKUP($B34,customers[],MATCH(T$1,customers[#Headers],0),0)</f>
        <v>Kolkata</v>
      </c>
      <c r="U34" s="8" t="str">
        <f>VLOOKUP($B34,customers[],MATCH(U$1,customers[#Headers],0),0)</f>
        <v>West Bengal</v>
      </c>
      <c r="V34" s="8">
        <f>VLOOKUP($B34,customers[],MATCH(V$1,customers[#Headers],0),0)</f>
        <v>461200</v>
      </c>
      <c r="W34" s="8" t="str">
        <f>VLOOKUP($B34,customers[],MATCH(W$1,customers[#Headers],0),0)</f>
        <v>Male</v>
      </c>
      <c r="X34" s="8">
        <f>VLOOKUP($B34,customers[],MATCH(X$1,customers[#Headers],0),0)</f>
        <v>29313</v>
      </c>
      <c r="Y34" s="8">
        <f>VLOOKUP($B34,customers[],MATCH(Y$1,customers[#Headers],0),0)</f>
        <v>45558</v>
      </c>
      <c r="Z34" s="8" t="str">
        <f>VLOOKUP($B34,customers[],MATCH(Z$1,customers[#Headers],0),0)</f>
        <v>Electronics</v>
      </c>
      <c r="AA34" s="8">
        <f>VLOOKUP($B34,customers[],MATCH(AA$1,customers[#Headers],0),0)</f>
        <v>7608</v>
      </c>
      <c r="AB34" s="8" t="str">
        <f>VLOOKUP($B34,customers[],MATCH(AB$1,customers[#Headers],0),0)</f>
        <v>Single</v>
      </c>
      <c r="AC34" s="8" t="str">
        <f>VLOOKUP($B34,customers[],MATCH(AC$1,customers[#Headers],0),0)</f>
        <v>Engineer</v>
      </c>
      <c r="AD34" s="8">
        <f>VLOOKUP($B34,customers[],MATCH(AD$1,customers[#Headers],0),0)</f>
        <v>1327501</v>
      </c>
      <c r="AE34" s="8" t="str">
        <f t="shared" si="1"/>
        <v>P139</v>
      </c>
      <c r="AF34" s="8" t="str">
        <f>VLOOKUP($AE34,Products[],MATCH(AF$1,Products[#Headers],0),0)</f>
        <v>Officia TV</v>
      </c>
      <c r="AG34" s="8" t="str">
        <f>VLOOKUP($AE34,Products[],MATCH(AG$1,Products[#Headers],0),0)</f>
        <v>Fashion</v>
      </c>
      <c r="AH34" s="8" t="str">
        <f>VLOOKUP($AE34,Products[],MATCH(AH$1,Products[#Headers],0),0)</f>
        <v>Notebook</v>
      </c>
      <c r="AI34" s="8" t="str">
        <f>VLOOKUP($AE34,Products[],MATCH(AI$1,Products[#Headers],0),0)</f>
        <v>Gera, Mishra and Chad</v>
      </c>
      <c r="AJ34" s="8">
        <f>VLOOKUP($AE34,Products[],MATCH(AJ$1,Products[#Headers],0),0)</f>
        <v>49066</v>
      </c>
      <c r="AK34" s="8">
        <f>VLOOKUP($AE34,Products[],MATCH(AK$1,Products[#Headers],0),0)</f>
        <v>11</v>
      </c>
      <c r="AL34" s="8">
        <f>VLOOKUP($AE34,Products[],MATCH(AL$1,Products[#Headers],0),0)</f>
        <v>454</v>
      </c>
      <c r="AM34" s="8">
        <f>VLOOKUP($AE34,Products[],MATCH(AM$1,Products[#Headers],0),0)</f>
        <v>36</v>
      </c>
      <c r="AN34" s="8" t="str">
        <f>VLOOKUP($AE34,Products[],MATCH(AN$1,Products[#Headers],0),0)</f>
        <v>China</v>
      </c>
      <c r="AO34" s="8" t="str">
        <f>VLOOKUP($AE34,Products[],MATCH(AO$1,Products[#Headers],0),0)</f>
        <v>No</v>
      </c>
      <c r="AP34" s="8">
        <f>VLOOKUP($AE34,Products[],MATCH(AP$1,Products[#Headers],0),0)</f>
        <v>2.7</v>
      </c>
      <c r="AQ34" s="8">
        <f>VLOOKUP($AE34,Products[],MATCH(AQ$1,Products[#Headers],0),0)</f>
        <v>45803</v>
      </c>
      <c r="AR34" s="8" t="str">
        <f>VLOOKUP($AE34,Products[],MATCH(AR$1,Products[#Headers],0),0)</f>
        <v>No</v>
      </c>
      <c r="AS34" s="8">
        <f>VLOOKUP($AE34,Products[],MATCH(AS$1,Products[#Headers],0),0)</f>
        <v>9921</v>
      </c>
      <c r="AT34" s="8">
        <f>VLOOKUP($AE34,Products[],MATCH(AT$1,Products[#Headers],0),0)</f>
        <v>131</v>
      </c>
      <c r="AU34" s="8">
        <f t="shared" si="2"/>
        <v>131</v>
      </c>
      <c r="AV34" s="8" t="str">
        <f>IFERROR(VLOOKUP($AU34,stores[],MATCH(AV$1,stores[#Headers],0),0),"")</f>
        <v/>
      </c>
      <c r="AW34" s="8" t="str">
        <f>IFERROR(VLOOKUP($AU34,stores[],MATCH(AW$1,stores[#Headers],0),0),"")</f>
        <v/>
      </c>
      <c r="AX34" s="8" t="str">
        <f>IFERROR(VLOOKUP($AU34,stores[],MATCH(AX$1,stores[#Headers],0),0),"")</f>
        <v/>
      </c>
      <c r="AY34" s="8" t="str">
        <f>IFERROR(VLOOKUP($AU34,stores[],MATCH(AY$1,stores[#Headers],0),0),"")</f>
        <v/>
      </c>
      <c r="AZ34" s="8" t="str">
        <f>IFERROR(VLOOKUP($AU34,stores[],MATCH(AZ$1,stores[#Headers],0),0),"")</f>
        <v/>
      </c>
      <c r="BA34" s="8" t="str">
        <f>IFERROR(VLOOKUP($AU34,stores[],MATCH(BA$1,stores[#Headers],0),0),"")</f>
        <v/>
      </c>
      <c r="BB34" s="8" t="str">
        <f>IFERROR(VLOOKUP($AU34,stores[],MATCH(BB$1,stores[#Headers],0),0),"")</f>
        <v/>
      </c>
      <c r="BC34" s="8" t="str">
        <f>IFERROR(VLOOKUP($AU34,stores[],MATCH(BC$1,stores[#Headers],0),0),"")</f>
        <v/>
      </c>
      <c r="BD34" s="8" t="str">
        <f>IFERROR(VLOOKUP($AU34,stores[],MATCH(BD$1,stores[#Headers],0),0),"")</f>
        <v/>
      </c>
      <c r="BE34" s="8" t="str">
        <f>IFERROR(VLOOKUP($AU34,stores[],MATCH(BE$1,stores[#Headers],0),0),"")</f>
        <v/>
      </c>
      <c r="BF34" s="8" t="str">
        <f>IFERROR(VLOOKUP($AU34,stores[],MATCH(BF$1,stores[#Headers],0),0),"")</f>
        <v/>
      </c>
      <c r="BG34" s="8" t="str">
        <f>IFERROR(VLOOKUP($AU34,stores[],MATCH(BG$1,stores[#Headers],0),0),"")</f>
        <v/>
      </c>
      <c r="BH34" s="8" t="str">
        <f>IFERROR(VLOOKUP($AU34,stores[],MATCH(BH$1,stores[#Headers],0),0),"")</f>
        <v/>
      </c>
      <c r="BI34" s="8" t="str">
        <f>IFERROR(VLOOKUP($AU34,stores[],MATCH(BI$1,stores[#Headers],0),0),"")</f>
        <v/>
      </c>
      <c r="BJ34" s="8" t="str">
        <f>IFERROR(VLOOKUP($AU34,stores[],MATCH(BJ$1,stores[#Headers],0),0),"")</f>
        <v/>
      </c>
    </row>
    <row r="35" spans="1:62" x14ac:dyDescent="0.3">
      <c r="A35" s="8" t="str">
        <v>O1034</v>
      </c>
      <c r="B35" s="8" t="str">
        <v>C086</v>
      </c>
      <c r="C35" s="8" t="str">
        <v>P116</v>
      </c>
      <c r="D35" s="8">
        <v>45550</v>
      </c>
      <c r="E35" s="8">
        <v>4</v>
      </c>
      <c r="F35" s="8">
        <v>35503</v>
      </c>
      <c r="G35" s="8">
        <v>106509</v>
      </c>
      <c r="H35" s="8">
        <v>0.22</v>
      </c>
      <c r="I35" s="8" t="str">
        <v>Debit Card</v>
      </c>
      <c r="J35" s="8" t="str">
        <v>Cancelled</v>
      </c>
      <c r="K35" s="8">
        <v>45861</v>
      </c>
      <c r="L35" s="8" t="str">
        <v>No</v>
      </c>
      <c r="M35" s="8">
        <v>353</v>
      </c>
      <c r="N35" s="8" t="str">
        <v>Yes</v>
      </c>
      <c r="O35" s="8" t="str">
        <v>No</v>
      </c>
      <c r="P35" s="8" t="str">
        <f t="shared" si="0"/>
        <v>C086</v>
      </c>
      <c r="Q35" s="8" t="str">
        <f>VLOOKUP($B35,customers[],MATCH(Q$1,customers[#Headers],0),0)</f>
        <v>Yashvi Sehgal</v>
      </c>
      <c r="R35" s="8" t="str">
        <f>VLOOKUP($B35,customers[],MATCH(R$1,customers[#Headers],0),0)</f>
        <v>settykevin@example.net</v>
      </c>
      <c r="S35" s="8">
        <f>VLOOKUP($B35,customers[],MATCH(S$1,customers[#Headers],0),0)</f>
        <v>7908740640</v>
      </c>
      <c r="T35" s="8" t="str">
        <f>VLOOKUP($B35,customers[],MATCH(T$1,customers[#Headers],0),0)</f>
        <v>Kolkata</v>
      </c>
      <c r="U35" s="8" t="str">
        <f>VLOOKUP($B35,customers[],MATCH(U$1,customers[#Headers],0),0)</f>
        <v>West Bengal</v>
      </c>
      <c r="V35" s="8">
        <f>VLOOKUP($B35,customers[],MATCH(V$1,customers[#Headers],0),0)</f>
        <v>910651</v>
      </c>
      <c r="W35" s="8" t="str">
        <f>VLOOKUP($B35,customers[],MATCH(W$1,customers[#Headers],0),0)</f>
        <v>Male</v>
      </c>
      <c r="X35" s="8">
        <f>VLOOKUP($B35,customers[],MATCH(X$1,customers[#Headers],0),0)</f>
        <v>35198</v>
      </c>
      <c r="Y35" s="8">
        <f>VLOOKUP($B35,customers[],MATCH(Y$1,customers[#Headers],0),0)</f>
        <v>44215</v>
      </c>
      <c r="Z35" s="8" t="str">
        <f>VLOOKUP($B35,customers[],MATCH(Z$1,customers[#Headers],0),0)</f>
        <v>Electronics</v>
      </c>
      <c r="AA35" s="8">
        <f>VLOOKUP($B35,customers[],MATCH(AA$1,customers[#Headers],0),0)</f>
        <v>759</v>
      </c>
      <c r="AB35" s="8" t="str">
        <f>VLOOKUP($B35,customers[],MATCH(AB$1,customers[#Headers],0),0)</f>
        <v>Single</v>
      </c>
      <c r="AC35" s="8" t="str">
        <f>VLOOKUP($B35,customers[],MATCH(AC$1,customers[#Headers],0),0)</f>
        <v>Doctor</v>
      </c>
      <c r="AD35" s="8">
        <f>VLOOKUP($B35,customers[],MATCH(AD$1,customers[#Headers],0),0)</f>
        <v>618089</v>
      </c>
      <c r="AE35" s="8" t="str">
        <f t="shared" si="1"/>
        <v>P116</v>
      </c>
      <c r="AF35" s="8" t="str">
        <f>VLOOKUP($AE35,Products[],MATCH(AF$1,Products[#Headers],0),0)</f>
        <v>Voluptate TV</v>
      </c>
      <c r="AG35" s="8" t="str">
        <f>VLOOKUP($AE35,Products[],MATCH(AG$1,Products[#Headers],0),0)</f>
        <v>Grocery</v>
      </c>
      <c r="AH35" s="8" t="str">
        <f>VLOOKUP($AE35,Products[],MATCH(AH$1,Products[#Headers],0),0)</f>
        <v>Smart</v>
      </c>
      <c r="AI35" s="8" t="str">
        <f>VLOOKUP($AE35,Products[],MATCH(AI$1,Products[#Headers],0),0)</f>
        <v>Bansal-Parsa</v>
      </c>
      <c r="AJ35" s="8">
        <f>VLOOKUP($AE35,Products[],MATCH(AJ$1,Products[#Headers],0),0)</f>
        <v>35503</v>
      </c>
      <c r="AK35" s="8">
        <f>VLOOKUP($AE35,Products[],MATCH(AK$1,Products[#Headers],0),0)</f>
        <v>22</v>
      </c>
      <c r="AL35" s="8">
        <f>VLOOKUP($AE35,Products[],MATCH(AL$1,Products[#Headers],0),0)</f>
        <v>134</v>
      </c>
      <c r="AM35" s="8">
        <f>VLOOKUP($AE35,Products[],MATCH(AM$1,Products[#Headers],0),0)</f>
        <v>24</v>
      </c>
      <c r="AN35" s="8" t="str">
        <f>VLOOKUP($AE35,Products[],MATCH(AN$1,Products[#Headers],0),0)</f>
        <v>Japan</v>
      </c>
      <c r="AO35" s="8" t="str">
        <f>VLOOKUP($AE35,Products[],MATCH(AO$1,Products[#Headers],0),0)</f>
        <v>No</v>
      </c>
      <c r="AP35" s="8">
        <f>VLOOKUP($AE35,Products[],MATCH(AP$1,Products[#Headers],0),0)</f>
        <v>2.8</v>
      </c>
      <c r="AQ35" s="8">
        <f>VLOOKUP($AE35,Products[],MATCH(AQ$1,Products[#Headers],0),0)</f>
        <v>45848</v>
      </c>
      <c r="AR35" s="8" t="str">
        <f>VLOOKUP($AE35,Products[],MATCH(AR$1,Products[#Headers],0),0)</f>
        <v>Yes</v>
      </c>
      <c r="AS35" s="8">
        <f>VLOOKUP($AE35,Products[],MATCH(AS$1,Products[#Headers],0),0)</f>
        <v>3595</v>
      </c>
      <c r="AT35" s="8">
        <f>VLOOKUP($AE35,Products[],MATCH(AT$1,Products[#Headers],0),0)</f>
        <v>179</v>
      </c>
      <c r="AU35" s="8">
        <f t="shared" si="2"/>
        <v>179</v>
      </c>
      <c r="AV35" s="8" t="str">
        <f>IFERROR(VLOOKUP($AU35,stores[],MATCH(AV$1,stores[#Headers],0),0),"")</f>
        <v/>
      </c>
      <c r="AW35" s="8" t="str">
        <f>IFERROR(VLOOKUP($AU35,stores[],MATCH(AW$1,stores[#Headers],0),0),"")</f>
        <v/>
      </c>
      <c r="AX35" s="8" t="str">
        <f>IFERROR(VLOOKUP($AU35,stores[],MATCH(AX$1,stores[#Headers],0),0),"")</f>
        <v/>
      </c>
      <c r="AY35" s="8" t="str">
        <f>IFERROR(VLOOKUP($AU35,stores[],MATCH(AY$1,stores[#Headers],0),0),"")</f>
        <v/>
      </c>
      <c r="AZ35" s="8" t="str">
        <f>IFERROR(VLOOKUP($AU35,stores[],MATCH(AZ$1,stores[#Headers],0),0),"")</f>
        <v/>
      </c>
      <c r="BA35" s="8" t="str">
        <f>IFERROR(VLOOKUP($AU35,stores[],MATCH(BA$1,stores[#Headers],0),0),"")</f>
        <v/>
      </c>
      <c r="BB35" s="8" t="str">
        <f>IFERROR(VLOOKUP($AU35,stores[],MATCH(BB$1,stores[#Headers],0),0),"")</f>
        <v/>
      </c>
      <c r="BC35" s="8" t="str">
        <f>IFERROR(VLOOKUP($AU35,stores[],MATCH(BC$1,stores[#Headers],0),0),"")</f>
        <v/>
      </c>
      <c r="BD35" s="8" t="str">
        <f>IFERROR(VLOOKUP($AU35,stores[],MATCH(BD$1,stores[#Headers],0),0),"")</f>
        <v/>
      </c>
      <c r="BE35" s="8" t="str">
        <f>IFERROR(VLOOKUP($AU35,stores[],MATCH(BE$1,stores[#Headers],0),0),"")</f>
        <v/>
      </c>
      <c r="BF35" s="8" t="str">
        <f>IFERROR(VLOOKUP($AU35,stores[],MATCH(BF$1,stores[#Headers],0),0),"")</f>
        <v/>
      </c>
      <c r="BG35" s="8" t="str">
        <f>IFERROR(VLOOKUP($AU35,stores[],MATCH(BG$1,stores[#Headers],0),0),"")</f>
        <v/>
      </c>
      <c r="BH35" s="8" t="str">
        <f>IFERROR(VLOOKUP($AU35,stores[],MATCH(BH$1,stores[#Headers],0),0),"")</f>
        <v/>
      </c>
      <c r="BI35" s="8" t="str">
        <f>IFERROR(VLOOKUP($AU35,stores[],MATCH(BI$1,stores[#Headers],0),0),"")</f>
        <v/>
      </c>
      <c r="BJ35" s="8" t="str">
        <f>IFERROR(VLOOKUP($AU35,stores[],MATCH(BJ$1,stores[#Headers],0),0),"")</f>
        <v/>
      </c>
    </row>
    <row r="36" spans="1:62" x14ac:dyDescent="0.3">
      <c r="A36" s="8" t="str">
        <v>O1035</v>
      </c>
      <c r="B36" s="8" t="str">
        <v>C048</v>
      </c>
      <c r="C36" s="8" t="str">
        <v>P179</v>
      </c>
      <c r="D36" s="8">
        <v>45789</v>
      </c>
      <c r="E36" s="8">
        <v>2</v>
      </c>
      <c r="F36" s="8">
        <v>59299</v>
      </c>
      <c r="G36" s="8">
        <v>118598</v>
      </c>
      <c r="H36" s="8">
        <v>0.24</v>
      </c>
      <c r="I36" s="8" t="str">
        <v>Debit Card</v>
      </c>
      <c r="J36" s="8" t="str">
        <v>Cancelled</v>
      </c>
      <c r="K36" s="8">
        <v>45857</v>
      </c>
      <c r="L36" s="8" t="str">
        <v>Yes</v>
      </c>
      <c r="M36" s="8">
        <v>232</v>
      </c>
      <c r="N36" s="8" t="str">
        <v>No</v>
      </c>
      <c r="O36" s="8" t="str">
        <v>No</v>
      </c>
      <c r="P36" s="8" t="str">
        <f t="shared" si="0"/>
        <v>C048</v>
      </c>
      <c r="Q36" s="8" t="str">
        <f>VLOOKUP($B36,customers[],MATCH(Q$1,customers[#Headers],0),0)</f>
        <v>Sudiksha Tiwari</v>
      </c>
      <c r="R36" s="8" t="str">
        <f>VLOOKUP($B36,customers[],MATCH(R$1,customers[#Headers],0),0)</f>
        <v>ychaudhary@example.net</v>
      </c>
      <c r="S36" s="8">
        <f>VLOOKUP($B36,customers[],MATCH(S$1,customers[#Headers],0),0)</f>
        <v>918367365766</v>
      </c>
      <c r="T36" s="8" t="str">
        <f>VLOOKUP($B36,customers[],MATCH(T$1,customers[#Headers],0),0)</f>
        <v>Chennai</v>
      </c>
      <c r="U36" s="8" t="str">
        <f>VLOOKUP($B36,customers[],MATCH(U$1,customers[#Headers],0),0)</f>
        <v>Tamil Nadu</v>
      </c>
      <c r="V36" s="8">
        <f>VLOOKUP($B36,customers[],MATCH(V$1,customers[#Headers],0),0)</f>
        <v>565452</v>
      </c>
      <c r="W36" s="8" t="str">
        <f>VLOOKUP($B36,customers[],MATCH(W$1,customers[#Headers],0),0)</f>
        <v>Female</v>
      </c>
      <c r="X36" s="8">
        <f>VLOOKUP($B36,customers[],MATCH(X$1,customers[#Headers],0),0)</f>
        <v>38819</v>
      </c>
      <c r="Y36" s="8">
        <f>VLOOKUP($B36,customers[],MATCH(Y$1,customers[#Headers],0),0)</f>
        <v>45501</v>
      </c>
      <c r="Z36" s="8" t="str">
        <f>VLOOKUP($B36,customers[],MATCH(Z$1,customers[#Headers],0),0)</f>
        <v>Fashion</v>
      </c>
      <c r="AA36" s="8">
        <f>VLOOKUP($B36,customers[],MATCH(AA$1,customers[#Headers],0),0)</f>
        <v>932</v>
      </c>
      <c r="AB36" s="8" t="str">
        <f>VLOOKUP($B36,customers[],MATCH(AB$1,customers[#Headers],0),0)</f>
        <v>Single</v>
      </c>
      <c r="AC36" s="8" t="str">
        <f>VLOOKUP($B36,customers[],MATCH(AC$1,customers[#Headers],0),0)</f>
        <v>Business</v>
      </c>
      <c r="AD36" s="8">
        <f>VLOOKUP($B36,customers[],MATCH(AD$1,customers[#Headers],0),0)</f>
        <v>1939269</v>
      </c>
      <c r="AE36" s="8" t="str">
        <f t="shared" si="1"/>
        <v>P179</v>
      </c>
      <c r="AF36" s="8" t="str">
        <f>VLOOKUP($AE36,Products[],MATCH(AF$1,Products[#Headers],0),0)</f>
        <v>Delectus Laptop</v>
      </c>
      <c r="AG36" s="8" t="str">
        <f>VLOOKUP($AE36,Products[],MATCH(AG$1,Products[#Headers],0),0)</f>
        <v>Home Appliance</v>
      </c>
      <c r="AH36" s="8" t="str">
        <f>VLOOKUP($AE36,Products[],MATCH(AH$1,Products[#Headers],0),0)</f>
        <v>Android</v>
      </c>
      <c r="AI36" s="8" t="str">
        <f>VLOOKUP($AE36,Products[],MATCH(AI$1,Products[#Headers],0),0)</f>
        <v>Kara, Venkataraman and Saxena</v>
      </c>
      <c r="AJ36" s="8">
        <f>VLOOKUP($AE36,Products[],MATCH(AJ$1,Products[#Headers],0),0)</f>
        <v>59299</v>
      </c>
      <c r="AK36" s="8">
        <f>VLOOKUP($AE36,Products[],MATCH(AK$1,Products[#Headers],0),0)</f>
        <v>24</v>
      </c>
      <c r="AL36" s="8">
        <f>VLOOKUP($AE36,Products[],MATCH(AL$1,Products[#Headers],0),0)</f>
        <v>5</v>
      </c>
      <c r="AM36" s="8">
        <f>VLOOKUP($AE36,Products[],MATCH(AM$1,Products[#Headers],0),0)</f>
        <v>6</v>
      </c>
      <c r="AN36" s="8" t="str">
        <f>VLOOKUP($AE36,Products[],MATCH(AN$1,Products[#Headers],0),0)</f>
        <v>India</v>
      </c>
      <c r="AO36" s="8" t="str">
        <f>VLOOKUP($AE36,Products[],MATCH(AO$1,Products[#Headers],0),0)</f>
        <v>No</v>
      </c>
      <c r="AP36" s="8">
        <f>VLOOKUP($AE36,Products[],MATCH(AP$1,Products[#Headers],0),0)</f>
        <v>3</v>
      </c>
      <c r="AQ36" s="8">
        <f>VLOOKUP($AE36,Products[],MATCH(AQ$1,Products[#Headers],0),0)</f>
        <v>44773</v>
      </c>
      <c r="AR36" s="8" t="str">
        <f>VLOOKUP($AE36,Products[],MATCH(AR$1,Products[#Headers],0),0)</f>
        <v>Yes</v>
      </c>
      <c r="AS36" s="8">
        <f>VLOOKUP($AE36,Products[],MATCH(AS$1,Products[#Headers],0),0)</f>
        <v>9992</v>
      </c>
      <c r="AT36" s="8">
        <f>VLOOKUP($AE36,Products[],MATCH(AT$1,Products[#Headers],0),0)</f>
        <v>88</v>
      </c>
      <c r="AU36" s="8">
        <f t="shared" si="2"/>
        <v>88</v>
      </c>
      <c r="AV36" s="8" t="str">
        <f>IFERROR(VLOOKUP($AU36,stores[],MATCH(AV$1,stores[#Headers],0),0),"")</f>
        <v>S088</v>
      </c>
      <c r="AW36" s="8" t="str">
        <f>IFERROR(VLOOKUP($AU36,stores[],MATCH(AW$1,stores[#Headers],0),0),"")</f>
        <v>Muni Ltd Mart</v>
      </c>
      <c r="AX36" s="8" t="str">
        <f>IFERROR(VLOOKUP($AU36,stores[],MATCH(AX$1,stores[#Headers],0),0),"")</f>
        <v>Delhi</v>
      </c>
      <c r="AY36" s="8" t="str">
        <f>IFERROR(VLOOKUP($AU36,stores[],MATCH(AY$1,stores[#Headers],0),0),"")</f>
        <v>Delhi</v>
      </c>
      <c r="AZ36" s="8">
        <f>IFERROR(VLOOKUP($AU36,stores[],MATCH(AZ$1,stores[#Headers],0),0),"")</f>
        <v>533448</v>
      </c>
      <c r="BA36" s="8" t="str">
        <f>IFERROR(VLOOKUP($AU36,stores[],MATCH(BA$1,stores[#Headers],0),0),"")</f>
        <v>Ridhi Dalal</v>
      </c>
      <c r="BB36" s="8">
        <f>IFERROR(VLOOKUP($AU36,stores[],MATCH(BB$1,stores[#Headers],0),0),"")</f>
        <v>2003</v>
      </c>
      <c r="BC36" s="8">
        <f>IFERROR(VLOOKUP($AU36,stores[],MATCH(BC$1,stores[#Headers],0),0),"")</f>
        <v>47</v>
      </c>
      <c r="BD36" s="8">
        <f>IFERROR(VLOOKUP($AU36,stores[],MATCH(BD$1,stores[#Headers],0),0),"")</f>
        <v>7735</v>
      </c>
      <c r="BE36" s="8">
        <f>IFERROR(VLOOKUP($AU36,stores[],MATCH(BE$1,stores[#Headers],0),0),"")</f>
        <v>4.9000000000000004</v>
      </c>
      <c r="BF36" s="8" t="str">
        <f>IFERROR(VLOOKUP($AU36,stores[],MATCH(BF$1,stores[#Headers],0),0),"")</f>
        <v>No</v>
      </c>
      <c r="BG36" s="8">
        <f>IFERROR(VLOOKUP($AU36,stores[],MATCH(BG$1,stores[#Headers],0),0),"")</f>
        <v>4924</v>
      </c>
      <c r="BH36" s="8" t="str">
        <f>IFERROR(VLOOKUP($AU36,stores[],MATCH(BH$1,stores[#Headers],0),0),"")</f>
        <v>Franchise</v>
      </c>
      <c r="BI36" s="8">
        <f>IFERROR(VLOOKUP($AU36,stores[],MATCH(BI$1,stores[#Headers],0),0),"")</f>
        <v>2241098813</v>
      </c>
      <c r="BJ36" s="8" t="str">
        <f>IFERROR(VLOOKUP($AU36,stores[],MATCH(BJ$1,stores[#Headers],0),0),"")</f>
        <v>eiravati42@mander.com</v>
      </c>
    </row>
    <row r="37" spans="1:62" x14ac:dyDescent="0.3">
      <c r="A37" s="8" t="str">
        <v>O1036</v>
      </c>
      <c r="B37" s="8" t="str">
        <v>C090</v>
      </c>
      <c r="C37" s="8" t="str">
        <v>P171</v>
      </c>
      <c r="D37" s="8">
        <v>45836</v>
      </c>
      <c r="E37" s="8">
        <v>4</v>
      </c>
      <c r="F37" s="8">
        <v>40983</v>
      </c>
      <c r="G37" s="8">
        <v>204915</v>
      </c>
      <c r="H37" s="8">
        <v>0.1</v>
      </c>
      <c r="I37" s="8" t="str">
        <v>Debit Card</v>
      </c>
      <c r="J37" s="8" t="str">
        <v>Shipped</v>
      </c>
      <c r="K37" s="8">
        <v>45868</v>
      </c>
      <c r="L37" s="8" t="str">
        <v>Yes</v>
      </c>
      <c r="M37" s="8">
        <v>269</v>
      </c>
      <c r="N37" s="8" t="str">
        <v>No</v>
      </c>
      <c r="O37" s="8" t="str">
        <v>No</v>
      </c>
      <c r="P37" s="8" t="str">
        <f t="shared" si="0"/>
        <v>C090</v>
      </c>
      <c r="Q37" s="8" t="str">
        <f>VLOOKUP($B37,customers[],MATCH(Q$1,customers[#Headers],0),0)</f>
        <v>Champak Padmanabhan</v>
      </c>
      <c r="R37" s="8" t="str">
        <f>VLOOKUP($B37,customers[],MATCH(R$1,customers[#Headers],0),0)</f>
        <v>uvohra@example.net</v>
      </c>
      <c r="S37" s="8">
        <f>VLOOKUP($B37,customers[],MATCH(S$1,customers[#Headers],0),0)</f>
        <v>6246287334</v>
      </c>
      <c r="T37" s="8" t="str">
        <f>VLOOKUP($B37,customers[],MATCH(T$1,customers[#Headers],0),0)</f>
        <v>Jaipur</v>
      </c>
      <c r="U37" s="8" t="str">
        <f>VLOOKUP($B37,customers[],MATCH(U$1,customers[#Headers],0),0)</f>
        <v>Rajasthan</v>
      </c>
      <c r="V37" s="8">
        <f>VLOOKUP($B37,customers[],MATCH(V$1,customers[#Headers],0),0)</f>
        <v>708668</v>
      </c>
      <c r="W37" s="8" t="str">
        <f>VLOOKUP($B37,customers[],MATCH(W$1,customers[#Headers],0),0)</f>
        <v>Female</v>
      </c>
      <c r="X37" s="8">
        <f>VLOOKUP($B37,customers[],MATCH(X$1,customers[#Headers],0),0)</f>
        <v>34921</v>
      </c>
      <c r="Y37" s="8">
        <f>VLOOKUP($B37,customers[],MATCH(Y$1,customers[#Headers],0),0)</f>
        <v>44444</v>
      </c>
      <c r="Z37" s="8" t="str">
        <f>VLOOKUP($B37,customers[],MATCH(Z$1,customers[#Headers],0),0)</f>
        <v>Home Appliance</v>
      </c>
      <c r="AA37" s="8">
        <f>VLOOKUP($B37,customers[],MATCH(AA$1,customers[#Headers],0),0)</f>
        <v>1345</v>
      </c>
      <c r="AB37" s="8" t="str">
        <f>VLOOKUP($B37,customers[],MATCH(AB$1,customers[#Headers],0),0)</f>
        <v>Single</v>
      </c>
      <c r="AC37" s="8" t="str">
        <f>VLOOKUP($B37,customers[],MATCH(AC$1,customers[#Headers],0),0)</f>
        <v>Engineer</v>
      </c>
      <c r="AD37" s="8">
        <f>VLOOKUP($B37,customers[],MATCH(AD$1,customers[#Headers],0),0)</f>
        <v>1662119</v>
      </c>
      <c r="AE37" s="8" t="str">
        <f t="shared" si="1"/>
        <v>P171</v>
      </c>
      <c r="AF37" s="8" t="str">
        <f>VLOOKUP($AE37,Products[],MATCH(AF$1,Products[#Headers],0),0)</f>
        <v>Placeat TV</v>
      </c>
      <c r="AG37" s="8" t="str">
        <f>VLOOKUP($AE37,Products[],MATCH(AG$1,Products[#Headers],0),0)</f>
        <v>Fashion</v>
      </c>
      <c r="AH37" s="8" t="str">
        <f>VLOOKUP($AE37,Products[],MATCH(AH$1,Products[#Headers],0),0)</f>
        <v>Cotton</v>
      </c>
      <c r="AI37" s="8" t="str">
        <f>VLOOKUP($AE37,Products[],MATCH(AI$1,Products[#Headers],0),0)</f>
        <v>Bava-Batra</v>
      </c>
      <c r="AJ37" s="8">
        <f>VLOOKUP($AE37,Products[],MATCH(AJ$1,Products[#Headers],0),0)</f>
        <v>40983</v>
      </c>
      <c r="AK37" s="8">
        <f>VLOOKUP($AE37,Products[],MATCH(AK$1,Products[#Headers],0),0)</f>
        <v>10</v>
      </c>
      <c r="AL37" s="8">
        <f>VLOOKUP($AE37,Products[],MATCH(AL$1,Products[#Headers],0),0)</f>
        <v>973</v>
      </c>
      <c r="AM37" s="8">
        <f>VLOOKUP($AE37,Products[],MATCH(AM$1,Products[#Headers],0),0)</f>
        <v>12</v>
      </c>
      <c r="AN37" s="8" t="str">
        <f>VLOOKUP($AE37,Products[],MATCH(AN$1,Products[#Headers],0),0)</f>
        <v>Vietnam</v>
      </c>
      <c r="AO37" s="8" t="str">
        <f>VLOOKUP($AE37,Products[],MATCH(AO$1,Products[#Headers],0),0)</f>
        <v>No</v>
      </c>
      <c r="AP37" s="8">
        <f>VLOOKUP($AE37,Products[],MATCH(AP$1,Products[#Headers],0),0)</f>
        <v>3</v>
      </c>
      <c r="AQ37" s="8">
        <f>VLOOKUP($AE37,Products[],MATCH(AQ$1,Products[#Headers],0),0)</f>
        <v>44913</v>
      </c>
      <c r="AR37" s="8" t="str">
        <f>VLOOKUP($AE37,Products[],MATCH(AR$1,Products[#Headers],0),0)</f>
        <v>Yes</v>
      </c>
      <c r="AS37" s="8">
        <f>VLOOKUP($AE37,Products[],MATCH(AS$1,Products[#Headers],0),0)</f>
        <v>3539</v>
      </c>
      <c r="AT37" s="8">
        <f>VLOOKUP($AE37,Products[],MATCH(AT$1,Products[#Headers],0),0)</f>
        <v>84</v>
      </c>
      <c r="AU37" s="8">
        <f t="shared" si="2"/>
        <v>84</v>
      </c>
      <c r="AV37" s="8" t="str">
        <f>IFERROR(VLOOKUP($AU37,stores[],MATCH(AV$1,stores[#Headers],0),0),"")</f>
        <v>S084</v>
      </c>
      <c r="AW37" s="8" t="str">
        <f>IFERROR(VLOOKUP($AU37,stores[],MATCH(AW$1,stores[#Headers],0),0),"")</f>
        <v>Tank, Tailor and Gole Mart</v>
      </c>
      <c r="AX37" s="8" t="str">
        <f>IFERROR(VLOOKUP($AU37,stores[],MATCH(AX$1,stores[#Headers],0),0),"")</f>
        <v>Ahmedabad</v>
      </c>
      <c r="AY37" s="8" t="str">
        <f>IFERROR(VLOOKUP($AU37,stores[],MATCH(AY$1,stores[#Headers],0),0),"")</f>
        <v>Gujarat</v>
      </c>
      <c r="AZ37" s="8">
        <f>IFERROR(VLOOKUP($AU37,stores[],MATCH(AZ$1,stores[#Headers],0),0),"")</f>
        <v>430107</v>
      </c>
      <c r="BA37" s="8" t="str">
        <f>IFERROR(VLOOKUP($AU37,stores[],MATCH(BA$1,stores[#Headers],0),0),"")</f>
        <v>Sarthak Sachdeva</v>
      </c>
      <c r="BB37" s="8">
        <f>IFERROR(VLOOKUP($AU37,stores[],MATCH(BB$1,stores[#Headers],0),0),"")</f>
        <v>2012</v>
      </c>
      <c r="BC37" s="8">
        <f>IFERROR(VLOOKUP($AU37,stores[],MATCH(BC$1,stores[#Headers],0),0),"")</f>
        <v>49</v>
      </c>
      <c r="BD37" s="8">
        <f>IFERROR(VLOOKUP($AU37,stores[],MATCH(BD$1,stores[#Headers],0),0),"")</f>
        <v>18892</v>
      </c>
      <c r="BE37" s="8">
        <f>IFERROR(VLOOKUP($AU37,stores[],MATCH(BE$1,stores[#Headers],0),0),"")</f>
        <v>3.8</v>
      </c>
      <c r="BF37" s="8" t="str">
        <f>IFERROR(VLOOKUP($AU37,stores[],MATCH(BF$1,stores[#Headers],0),0),"")</f>
        <v>No</v>
      </c>
      <c r="BG37" s="8">
        <f>IFERROR(VLOOKUP($AU37,stores[],MATCH(BG$1,stores[#Headers],0),0),"")</f>
        <v>2347</v>
      </c>
      <c r="BH37" s="8" t="str">
        <f>IFERROR(VLOOKUP($AU37,stores[],MATCH(BH$1,stores[#Headers],0),0),"")</f>
        <v>Retail</v>
      </c>
      <c r="BI37" s="8">
        <f>IFERROR(VLOOKUP($AU37,stores[],MATCH(BI$1,stores[#Headers],0),0),"")</f>
        <v>558303441</v>
      </c>
      <c r="BJ37" s="8" t="str">
        <f>IFERROR(VLOOKUP($AU37,stores[],MATCH(BJ$1,stores[#Headers],0),0),"")</f>
        <v>charita88@ahuja-comar.com</v>
      </c>
    </row>
    <row r="38" spans="1:62" x14ac:dyDescent="0.3">
      <c r="A38" s="8" t="str">
        <v>O1037</v>
      </c>
      <c r="B38" s="8" t="str">
        <v>C010</v>
      </c>
      <c r="C38" s="8" t="str">
        <v>P173</v>
      </c>
      <c r="D38" s="8">
        <v>45750</v>
      </c>
      <c r="E38" s="8">
        <v>1</v>
      </c>
      <c r="F38" s="8">
        <v>22197</v>
      </c>
      <c r="G38" s="8">
        <v>22197</v>
      </c>
      <c r="H38" s="8">
        <v>0.28000000000000003</v>
      </c>
      <c r="I38" s="8" t="str">
        <v>Cash on Delivery</v>
      </c>
      <c r="J38" s="8" t="str">
        <v>Shipped</v>
      </c>
      <c r="K38" s="8">
        <v>45857</v>
      </c>
      <c r="L38" s="8" t="str">
        <v>Yes</v>
      </c>
      <c r="M38" s="8">
        <v>84</v>
      </c>
      <c r="N38" s="8" t="str">
        <v>No</v>
      </c>
      <c r="O38" s="8" t="str">
        <v>No</v>
      </c>
      <c r="P38" s="8" t="str">
        <f t="shared" si="0"/>
        <v>C010</v>
      </c>
      <c r="Q38" s="8" t="str">
        <f>VLOOKUP($B38,customers[],MATCH(Q$1,customers[#Headers],0),0)</f>
        <v>Chandresh Zachariah</v>
      </c>
      <c r="R38" s="8" t="str">
        <f>VLOOKUP($B38,customers[],MATCH(R$1,customers[#Headers],0),0)</f>
        <v>chanderwarjas@example.org</v>
      </c>
      <c r="S38" s="8">
        <f>VLOOKUP($B38,customers[],MATCH(S$1,customers[#Headers],0),0)</f>
        <v>7736026064</v>
      </c>
      <c r="T38" s="8" t="str">
        <f>VLOOKUP($B38,customers[],MATCH(T$1,customers[#Headers],0),0)</f>
        <v>Chennai</v>
      </c>
      <c r="U38" s="8" t="str">
        <f>VLOOKUP($B38,customers[],MATCH(U$1,customers[#Headers],0),0)</f>
        <v>Tamil Nadu</v>
      </c>
      <c r="V38" s="8">
        <f>VLOOKUP($B38,customers[],MATCH(V$1,customers[#Headers],0),0)</f>
        <v>468723</v>
      </c>
      <c r="W38" s="8" t="str">
        <f>VLOOKUP($B38,customers[],MATCH(W$1,customers[#Headers],0),0)</f>
        <v>Male</v>
      </c>
      <c r="X38" s="8">
        <f>VLOOKUP($B38,customers[],MATCH(X$1,customers[#Headers],0),0)</f>
        <v>29122</v>
      </c>
      <c r="Y38" s="8">
        <f>VLOOKUP($B38,customers[],MATCH(Y$1,customers[#Headers],0),0)</f>
        <v>44704</v>
      </c>
      <c r="Z38" s="8" t="str">
        <f>VLOOKUP($B38,customers[],MATCH(Z$1,customers[#Headers],0),0)</f>
        <v>Home Appliance</v>
      </c>
      <c r="AA38" s="8">
        <f>VLOOKUP($B38,customers[],MATCH(AA$1,customers[#Headers],0),0)</f>
        <v>8851</v>
      </c>
      <c r="AB38" s="8" t="str">
        <f>VLOOKUP($B38,customers[],MATCH(AB$1,customers[#Headers],0),0)</f>
        <v>Single</v>
      </c>
      <c r="AC38" s="8" t="str">
        <f>VLOOKUP($B38,customers[],MATCH(AC$1,customers[#Headers],0),0)</f>
        <v>Doctor</v>
      </c>
      <c r="AD38" s="8">
        <f>VLOOKUP($B38,customers[],MATCH(AD$1,customers[#Headers],0),0)</f>
        <v>1169429</v>
      </c>
      <c r="AE38" s="8" t="str">
        <f t="shared" si="1"/>
        <v>P173</v>
      </c>
      <c r="AF38" s="8" t="str">
        <f>VLOOKUP($AE38,Products[],MATCH(AF$1,Products[#Headers],0),0)</f>
        <v>Nulla Laptop</v>
      </c>
      <c r="AG38" s="8" t="str">
        <f>VLOOKUP($AE38,Products[],MATCH(AG$1,Products[#Headers],0),0)</f>
        <v>Home Appliance</v>
      </c>
      <c r="AH38" s="8" t="str">
        <f>VLOOKUP($AE38,Products[],MATCH(AH$1,Products[#Headers],0),0)</f>
        <v>Organic</v>
      </c>
      <c r="AI38" s="8" t="str">
        <f>VLOOKUP($AE38,Products[],MATCH(AI$1,Products[#Headers],0),0)</f>
        <v>Acharya-Sangha</v>
      </c>
      <c r="AJ38" s="8">
        <f>VLOOKUP($AE38,Products[],MATCH(AJ$1,Products[#Headers],0),0)</f>
        <v>22197</v>
      </c>
      <c r="AK38" s="8">
        <f>VLOOKUP($AE38,Products[],MATCH(AK$1,Products[#Headers],0),0)</f>
        <v>28</v>
      </c>
      <c r="AL38" s="8">
        <f>VLOOKUP($AE38,Products[],MATCH(AL$1,Products[#Headers],0),0)</f>
        <v>448</v>
      </c>
      <c r="AM38" s="8">
        <f>VLOOKUP($AE38,Products[],MATCH(AM$1,Products[#Headers],0),0)</f>
        <v>6</v>
      </c>
      <c r="AN38" s="8" t="str">
        <f>VLOOKUP($AE38,Products[],MATCH(AN$1,Products[#Headers],0),0)</f>
        <v>Japan</v>
      </c>
      <c r="AO38" s="8" t="str">
        <f>VLOOKUP($AE38,Products[],MATCH(AO$1,Products[#Headers],0),0)</f>
        <v>No</v>
      </c>
      <c r="AP38" s="8">
        <f>VLOOKUP($AE38,Products[],MATCH(AP$1,Products[#Headers],0),0)</f>
        <v>4.2</v>
      </c>
      <c r="AQ38" s="8">
        <f>VLOOKUP($AE38,Products[],MATCH(AQ$1,Products[#Headers],0),0)</f>
        <v>45073</v>
      </c>
      <c r="AR38" s="8" t="str">
        <f>VLOOKUP($AE38,Products[],MATCH(AR$1,Products[#Headers],0),0)</f>
        <v>Yes</v>
      </c>
      <c r="AS38" s="8">
        <f>VLOOKUP($AE38,Products[],MATCH(AS$1,Products[#Headers],0),0)</f>
        <v>8278</v>
      </c>
      <c r="AT38" s="8">
        <f>VLOOKUP($AE38,Products[],MATCH(AT$1,Products[#Headers],0),0)</f>
        <v>199</v>
      </c>
      <c r="AU38" s="8">
        <f t="shared" si="2"/>
        <v>199</v>
      </c>
      <c r="AV38" s="8" t="str">
        <f>IFERROR(VLOOKUP($AU38,stores[],MATCH(AV$1,stores[#Headers],0),0),"")</f>
        <v/>
      </c>
      <c r="AW38" s="8" t="str">
        <f>IFERROR(VLOOKUP($AU38,stores[],MATCH(AW$1,stores[#Headers],0),0),"")</f>
        <v/>
      </c>
      <c r="AX38" s="8" t="str">
        <f>IFERROR(VLOOKUP($AU38,stores[],MATCH(AX$1,stores[#Headers],0),0),"")</f>
        <v/>
      </c>
      <c r="AY38" s="8" t="str">
        <f>IFERROR(VLOOKUP($AU38,stores[],MATCH(AY$1,stores[#Headers],0),0),"")</f>
        <v/>
      </c>
      <c r="AZ38" s="8" t="str">
        <f>IFERROR(VLOOKUP($AU38,stores[],MATCH(AZ$1,stores[#Headers],0),0),"")</f>
        <v/>
      </c>
      <c r="BA38" s="8" t="str">
        <f>IFERROR(VLOOKUP($AU38,stores[],MATCH(BA$1,stores[#Headers],0),0),"")</f>
        <v/>
      </c>
      <c r="BB38" s="8" t="str">
        <f>IFERROR(VLOOKUP($AU38,stores[],MATCH(BB$1,stores[#Headers],0),0),"")</f>
        <v/>
      </c>
      <c r="BC38" s="8" t="str">
        <f>IFERROR(VLOOKUP($AU38,stores[],MATCH(BC$1,stores[#Headers],0),0),"")</f>
        <v/>
      </c>
      <c r="BD38" s="8" t="str">
        <f>IFERROR(VLOOKUP($AU38,stores[],MATCH(BD$1,stores[#Headers],0),0),"")</f>
        <v/>
      </c>
      <c r="BE38" s="8" t="str">
        <f>IFERROR(VLOOKUP($AU38,stores[],MATCH(BE$1,stores[#Headers],0),0),"")</f>
        <v/>
      </c>
      <c r="BF38" s="8" t="str">
        <f>IFERROR(VLOOKUP($AU38,stores[],MATCH(BF$1,stores[#Headers],0),0),"")</f>
        <v/>
      </c>
      <c r="BG38" s="8" t="str">
        <f>IFERROR(VLOOKUP($AU38,stores[],MATCH(BG$1,stores[#Headers],0),0),"")</f>
        <v/>
      </c>
      <c r="BH38" s="8" t="str">
        <f>IFERROR(VLOOKUP($AU38,stores[],MATCH(BH$1,stores[#Headers],0),0),"")</f>
        <v/>
      </c>
      <c r="BI38" s="8" t="str">
        <f>IFERROR(VLOOKUP($AU38,stores[],MATCH(BI$1,stores[#Headers],0),0),"")</f>
        <v/>
      </c>
      <c r="BJ38" s="8" t="str">
        <f>IFERROR(VLOOKUP($AU38,stores[],MATCH(BJ$1,stores[#Headers],0),0),"")</f>
        <v/>
      </c>
    </row>
    <row r="39" spans="1:62" x14ac:dyDescent="0.3">
      <c r="A39" s="8" t="str">
        <v>O1038</v>
      </c>
      <c r="B39" s="8" t="str">
        <v>C015</v>
      </c>
      <c r="C39" s="8" t="str">
        <v>P188</v>
      </c>
      <c r="D39" s="8">
        <v>45577</v>
      </c>
      <c r="E39" s="8">
        <v>2</v>
      </c>
      <c r="F39" s="8">
        <v>56140</v>
      </c>
      <c r="G39" s="8">
        <v>280700</v>
      </c>
      <c r="H39" s="8">
        <v>7.0000000000000007E-2</v>
      </c>
      <c r="I39" s="8" t="str">
        <v>Net Banking</v>
      </c>
      <c r="J39" s="8" t="str">
        <v>Delivered</v>
      </c>
      <c r="K39" s="8">
        <v>45867</v>
      </c>
      <c r="L39" s="8" t="str">
        <v>No</v>
      </c>
      <c r="M39" s="8">
        <v>414</v>
      </c>
      <c r="N39" s="8" t="str">
        <v>Yes</v>
      </c>
      <c r="O39" s="8" t="str">
        <v>No</v>
      </c>
      <c r="P39" s="8" t="str">
        <f t="shared" si="0"/>
        <v>C015</v>
      </c>
      <c r="Q39" s="8" t="str">
        <f>VLOOKUP($B39,customers[],MATCH(Q$1,customers[#Headers],0),0)</f>
        <v>Harshil Pandya</v>
      </c>
      <c r="R39" s="8" t="str">
        <f>VLOOKUP($B39,customers[],MATCH(R$1,customers[#Headers],0),0)</f>
        <v>pdubey@example.org</v>
      </c>
      <c r="S39" s="8">
        <f>VLOOKUP($B39,customers[],MATCH(S$1,customers[#Headers],0),0)</f>
        <v>916025634216</v>
      </c>
      <c r="T39" s="8" t="str">
        <f>VLOOKUP($B39,customers[],MATCH(T$1,customers[#Headers],0),0)</f>
        <v>Kolkata</v>
      </c>
      <c r="U39" s="8" t="str">
        <f>VLOOKUP($B39,customers[],MATCH(U$1,customers[#Headers],0),0)</f>
        <v>West Bengal</v>
      </c>
      <c r="V39" s="8">
        <f>VLOOKUP($B39,customers[],MATCH(V$1,customers[#Headers],0),0)</f>
        <v>733754</v>
      </c>
      <c r="W39" s="8" t="str">
        <f>VLOOKUP($B39,customers[],MATCH(W$1,customers[#Headers],0),0)</f>
        <v>Male</v>
      </c>
      <c r="X39" s="8">
        <f>VLOOKUP($B39,customers[],MATCH(X$1,customers[#Headers],0),0)</f>
        <v>27404</v>
      </c>
      <c r="Y39" s="8">
        <f>VLOOKUP($B39,customers[],MATCH(Y$1,customers[#Headers],0),0)</f>
        <v>44720</v>
      </c>
      <c r="Z39" s="8" t="str">
        <f>VLOOKUP($B39,customers[],MATCH(Z$1,customers[#Headers],0),0)</f>
        <v>Home Appliance</v>
      </c>
      <c r="AA39" s="8">
        <f>VLOOKUP($B39,customers[],MATCH(AA$1,customers[#Headers],0),0)</f>
        <v>8448</v>
      </c>
      <c r="AB39" s="8" t="str">
        <f>VLOOKUP($B39,customers[],MATCH(AB$1,customers[#Headers],0),0)</f>
        <v>Married</v>
      </c>
      <c r="AC39" s="8" t="str">
        <f>VLOOKUP($B39,customers[],MATCH(AC$1,customers[#Headers],0),0)</f>
        <v>Engineer</v>
      </c>
      <c r="AD39" s="8">
        <f>VLOOKUP($B39,customers[],MATCH(AD$1,customers[#Headers],0),0)</f>
        <v>1784990</v>
      </c>
      <c r="AE39" s="8" t="str">
        <f t="shared" si="1"/>
        <v>P188</v>
      </c>
      <c r="AF39" s="8" t="str">
        <f>VLOOKUP($AE39,Products[],MATCH(AF$1,Products[#Headers],0),0)</f>
        <v>Molestiae TV</v>
      </c>
      <c r="AG39" s="8" t="str">
        <f>VLOOKUP($AE39,Products[],MATCH(AG$1,Products[#Headers],0),0)</f>
        <v>Fashion</v>
      </c>
      <c r="AH39" s="8" t="str">
        <f>VLOOKUP($AE39,Products[],MATCH(AH$1,Products[#Headers],0),0)</f>
        <v>Notebook</v>
      </c>
      <c r="AI39" s="8" t="str">
        <f>VLOOKUP($AE39,Products[],MATCH(AI$1,Products[#Headers],0),0)</f>
        <v>Sanghvi-Murty</v>
      </c>
      <c r="AJ39" s="8">
        <f>VLOOKUP($AE39,Products[],MATCH(AJ$1,Products[#Headers],0),0)</f>
        <v>56140</v>
      </c>
      <c r="AK39" s="8">
        <f>VLOOKUP($AE39,Products[],MATCH(AK$1,Products[#Headers],0),0)</f>
        <v>7</v>
      </c>
      <c r="AL39" s="8">
        <f>VLOOKUP($AE39,Products[],MATCH(AL$1,Products[#Headers],0),0)</f>
        <v>440</v>
      </c>
      <c r="AM39" s="8">
        <f>VLOOKUP($AE39,Products[],MATCH(AM$1,Products[#Headers],0),0)</f>
        <v>12</v>
      </c>
      <c r="AN39" s="8" t="str">
        <f>VLOOKUP($AE39,Products[],MATCH(AN$1,Products[#Headers],0),0)</f>
        <v>Vietnam</v>
      </c>
      <c r="AO39" s="8" t="str">
        <f>VLOOKUP($AE39,Products[],MATCH(AO$1,Products[#Headers],0),0)</f>
        <v>No</v>
      </c>
      <c r="AP39" s="8">
        <f>VLOOKUP($AE39,Products[],MATCH(AP$1,Products[#Headers],0),0)</f>
        <v>2.8</v>
      </c>
      <c r="AQ39" s="8">
        <f>VLOOKUP($AE39,Products[],MATCH(AQ$1,Products[#Headers],0),0)</f>
        <v>44976</v>
      </c>
      <c r="AR39" s="8" t="str">
        <f>VLOOKUP($AE39,Products[],MATCH(AR$1,Products[#Headers],0),0)</f>
        <v>No</v>
      </c>
      <c r="AS39" s="8">
        <f>VLOOKUP($AE39,Products[],MATCH(AS$1,Products[#Headers],0),0)</f>
        <v>5844</v>
      </c>
      <c r="AT39" s="8">
        <f>VLOOKUP($AE39,Products[],MATCH(AT$1,Products[#Headers],0),0)</f>
        <v>155</v>
      </c>
      <c r="AU39" s="8">
        <f t="shared" si="2"/>
        <v>155</v>
      </c>
      <c r="AV39" s="8" t="str">
        <f>IFERROR(VLOOKUP($AU39,stores[],MATCH(AV$1,stores[#Headers],0),0),"")</f>
        <v/>
      </c>
      <c r="AW39" s="8" t="str">
        <f>IFERROR(VLOOKUP($AU39,stores[],MATCH(AW$1,stores[#Headers],0),0),"")</f>
        <v/>
      </c>
      <c r="AX39" s="8" t="str">
        <f>IFERROR(VLOOKUP($AU39,stores[],MATCH(AX$1,stores[#Headers],0),0),"")</f>
        <v/>
      </c>
      <c r="AY39" s="8" t="str">
        <f>IFERROR(VLOOKUP($AU39,stores[],MATCH(AY$1,stores[#Headers],0),0),"")</f>
        <v/>
      </c>
      <c r="AZ39" s="8" t="str">
        <f>IFERROR(VLOOKUP($AU39,stores[],MATCH(AZ$1,stores[#Headers],0),0),"")</f>
        <v/>
      </c>
      <c r="BA39" s="8" t="str">
        <f>IFERROR(VLOOKUP($AU39,stores[],MATCH(BA$1,stores[#Headers],0),0),"")</f>
        <v/>
      </c>
      <c r="BB39" s="8" t="str">
        <f>IFERROR(VLOOKUP($AU39,stores[],MATCH(BB$1,stores[#Headers],0),0),"")</f>
        <v/>
      </c>
      <c r="BC39" s="8" t="str">
        <f>IFERROR(VLOOKUP($AU39,stores[],MATCH(BC$1,stores[#Headers],0),0),"")</f>
        <v/>
      </c>
      <c r="BD39" s="8" t="str">
        <f>IFERROR(VLOOKUP($AU39,stores[],MATCH(BD$1,stores[#Headers],0),0),"")</f>
        <v/>
      </c>
      <c r="BE39" s="8" t="str">
        <f>IFERROR(VLOOKUP($AU39,stores[],MATCH(BE$1,stores[#Headers],0),0),"")</f>
        <v/>
      </c>
      <c r="BF39" s="8" t="str">
        <f>IFERROR(VLOOKUP($AU39,stores[],MATCH(BF$1,stores[#Headers],0),0),"")</f>
        <v/>
      </c>
      <c r="BG39" s="8" t="str">
        <f>IFERROR(VLOOKUP($AU39,stores[],MATCH(BG$1,stores[#Headers],0),0),"")</f>
        <v/>
      </c>
      <c r="BH39" s="8" t="str">
        <f>IFERROR(VLOOKUP($AU39,stores[],MATCH(BH$1,stores[#Headers],0),0),"")</f>
        <v/>
      </c>
      <c r="BI39" s="8" t="str">
        <f>IFERROR(VLOOKUP($AU39,stores[],MATCH(BI$1,stores[#Headers],0),0),"")</f>
        <v/>
      </c>
      <c r="BJ39" s="8" t="str">
        <f>IFERROR(VLOOKUP($AU39,stores[],MATCH(BJ$1,stores[#Headers],0),0),"")</f>
        <v/>
      </c>
    </row>
    <row r="40" spans="1:62" x14ac:dyDescent="0.3">
      <c r="A40" s="8" t="str">
        <v>O1039</v>
      </c>
      <c r="B40" s="8" t="str">
        <v>C017</v>
      </c>
      <c r="C40" s="8" t="str">
        <v>P166</v>
      </c>
      <c r="D40" s="8">
        <v>45489</v>
      </c>
      <c r="E40" s="8">
        <v>4</v>
      </c>
      <c r="F40" s="8">
        <v>85937</v>
      </c>
      <c r="G40" s="8">
        <v>343748</v>
      </c>
      <c r="H40" s="8">
        <v>0.11</v>
      </c>
      <c r="I40" s="8" t="str">
        <v>Cash on Delivery</v>
      </c>
      <c r="J40" s="8" t="str">
        <v>Delivered</v>
      </c>
      <c r="K40" s="8">
        <v>45856</v>
      </c>
      <c r="L40" s="8" t="str">
        <v>No</v>
      </c>
      <c r="M40" s="8">
        <v>344</v>
      </c>
      <c r="N40" s="8" t="str">
        <v>No</v>
      </c>
      <c r="O40" s="8" t="str">
        <v>Yes</v>
      </c>
      <c r="P40" s="8" t="str">
        <f t="shared" si="0"/>
        <v>C017</v>
      </c>
      <c r="Q40" s="8" t="str">
        <f>VLOOKUP($B40,customers[],MATCH(Q$1,customers[#Headers],0),0)</f>
        <v>Lekha Gupta</v>
      </c>
      <c r="R40" s="8" t="str">
        <f>VLOOKUP($B40,customers[],MATCH(R$1,customers[#Headers],0),0)</f>
        <v>chaitanya60@example.net</v>
      </c>
      <c r="S40" s="8">
        <f>VLOOKUP($B40,customers[],MATCH(S$1,customers[#Headers],0),0)</f>
        <v>3561595148</v>
      </c>
      <c r="T40" s="8" t="str">
        <f>VLOOKUP($B40,customers[],MATCH(T$1,customers[#Headers],0),0)</f>
        <v>Jaipur</v>
      </c>
      <c r="U40" s="8" t="str">
        <f>VLOOKUP($B40,customers[],MATCH(U$1,customers[#Headers],0),0)</f>
        <v>Rajasthan</v>
      </c>
      <c r="V40" s="8">
        <f>VLOOKUP($B40,customers[],MATCH(V$1,customers[#Headers],0),0)</f>
        <v>656482</v>
      </c>
      <c r="W40" s="8" t="str">
        <f>VLOOKUP($B40,customers[],MATCH(W$1,customers[#Headers],0),0)</f>
        <v>Female</v>
      </c>
      <c r="X40" s="8">
        <f>VLOOKUP($B40,customers[],MATCH(X$1,customers[#Headers],0),0)</f>
        <v>26516</v>
      </c>
      <c r="Y40" s="8">
        <f>VLOOKUP($B40,customers[],MATCH(Y$1,customers[#Headers],0),0)</f>
        <v>45334</v>
      </c>
      <c r="Z40" s="8" t="str">
        <f>VLOOKUP($B40,customers[],MATCH(Z$1,customers[#Headers],0),0)</f>
        <v>Grocery</v>
      </c>
      <c r="AA40" s="8">
        <f>VLOOKUP($B40,customers[],MATCH(AA$1,customers[#Headers],0),0)</f>
        <v>8769</v>
      </c>
      <c r="AB40" s="8" t="str">
        <f>VLOOKUP($B40,customers[],MATCH(AB$1,customers[#Headers],0),0)</f>
        <v>Married</v>
      </c>
      <c r="AC40" s="8" t="str">
        <f>VLOOKUP($B40,customers[],MATCH(AC$1,customers[#Headers],0),0)</f>
        <v>Student</v>
      </c>
      <c r="AD40" s="8">
        <f>VLOOKUP($B40,customers[],MATCH(AD$1,customers[#Headers],0),0)</f>
        <v>224077</v>
      </c>
      <c r="AE40" s="8" t="str">
        <f t="shared" si="1"/>
        <v>P166</v>
      </c>
      <c r="AF40" s="8" t="str">
        <f>VLOOKUP($AE40,Products[],MATCH(AF$1,Products[#Headers],0),0)</f>
        <v>Voluptate Washing Machine</v>
      </c>
      <c r="AG40" s="8" t="str">
        <f>VLOOKUP($AE40,Products[],MATCH(AG$1,Products[#Headers],0),0)</f>
        <v>Electronics</v>
      </c>
      <c r="AH40" s="8" t="str">
        <f>VLOOKUP($AE40,Products[],MATCH(AH$1,Products[#Headers],0),0)</f>
        <v>Organic</v>
      </c>
      <c r="AI40" s="8" t="str">
        <f>VLOOKUP($AE40,Products[],MATCH(AI$1,Products[#Headers],0),0)</f>
        <v>Sha-Sura</v>
      </c>
      <c r="AJ40" s="8">
        <f>VLOOKUP($AE40,Products[],MATCH(AJ$1,Products[#Headers],0),0)</f>
        <v>85937</v>
      </c>
      <c r="AK40" s="8">
        <f>VLOOKUP($AE40,Products[],MATCH(AK$1,Products[#Headers],0),0)</f>
        <v>11</v>
      </c>
      <c r="AL40" s="8">
        <f>VLOOKUP($AE40,Products[],MATCH(AL$1,Products[#Headers],0),0)</f>
        <v>329</v>
      </c>
      <c r="AM40" s="8">
        <f>VLOOKUP($AE40,Products[],MATCH(AM$1,Products[#Headers],0),0)</f>
        <v>36</v>
      </c>
      <c r="AN40" s="8" t="str">
        <f>VLOOKUP($AE40,Products[],MATCH(AN$1,Products[#Headers],0),0)</f>
        <v>China</v>
      </c>
      <c r="AO40" s="8" t="str">
        <f>VLOOKUP($AE40,Products[],MATCH(AO$1,Products[#Headers],0),0)</f>
        <v>Yes</v>
      </c>
      <c r="AP40" s="8">
        <f>VLOOKUP($AE40,Products[],MATCH(AP$1,Products[#Headers],0),0)</f>
        <v>3.6</v>
      </c>
      <c r="AQ40" s="8">
        <f>VLOOKUP($AE40,Products[],MATCH(AQ$1,Products[#Headers],0),0)</f>
        <v>45267</v>
      </c>
      <c r="AR40" s="8" t="str">
        <f>VLOOKUP($AE40,Products[],MATCH(AR$1,Products[#Headers],0),0)</f>
        <v>No</v>
      </c>
      <c r="AS40" s="8">
        <f>VLOOKUP($AE40,Products[],MATCH(AS$1,Products[#Headers],0),0)</f>
        <v>2382</v>
      </c>
      <c r="AT40" s="8">
        <f>VLOOKUP($AE40,Products[],MATCH(AT$1,Products[#Headers],0),0)</f>
        <v>41</v>
      </c>
      <c r="AU40" s="8">
        <f t="shared" si="2"/>
        <v>41</v>
      </c>
      <c r="AV40" s="8" t="str">
        <f>IFERROR(VLOOKUP($AU40,stores[],MATCH(AV$1,stores[#Headers],0),0),"")</f>
        <v>S041</v>
      </c>
      <c r="AW40" s="8" t="str">
        <f>IFERROR(VLOOKUP($AU40,stores[],MATCH(AW$1,stores[#Headers],0),0),"")</f>
        <v>Dixit-Pau Mart</v>
      </c>
      <c r="AX40" s="8" t="str">
        <f>IFERROR(VLOOKUP($AU40,stores[],MATCH(AX$1,stores[#Headers],0),0),"")</f>
        <v>Pune</v>
      </c>
      <c r="AY40" s="8" t="str">
        <f>IFERROR(VLOOKUP($AU40,stores[],MATCH(AY$1,stores[#Headers],0),0),"")</f>
        <v>Maharashtra</v>
      </c>
      <c r="AZ40" s="8">
        <f>IFERROR(VLOOKUP($AU40,stores[],MATCH(AZ$1,stores[#Headers],0),0),"")</f>
        <v>394278</v>
      </c>
      <c r="BA40" s="8" t="str">
        <f>IFERROR(VLOOKUP($AU40,stores[],MATCH(BA$1,stores[#Headers],0),0),"")</f>
        <v>Mekhala Patla</v>
      </c>
      <c r="BB40" s="8">
        <f>IFERROR(VLOOKUP($AU40,stores[],MATCH(BB$1,stores[#Headers],0),0),"")</f>
        <v>2000</v>
      </c>
      <c r="BC40" s="8">
        <f>IFERROR(VLOOKUP($AU40,stores[],MATCH(BC$1,stores[#Headers],0),0),"")</f>
        <v>10</v>
      </c>
      <c r="BD40" s="8">
        <f>IFERROR(VLOOKUP($AU40,stores[],MATCH(BD$1,stores[#Headers],0),0),"")</f>
        <v>1402</v>
      </c>
      <c r="BE40" s="8">
        <f>IFERROR(VLOOKUP($AU40,stores[],MATCH(BE$1,stores[#Headers],0),0),"")</f>
        <v>3.5</v>
      </c>
      <c r="BF40" s="8" t="str">
        <f>IFERROR(VLOOKUP($AU40,stores[],MATCH(BF$1,stores[#Headers],0),0),"")</f>
        <v>No</v>
      </c>
      <c r="BG40" s="8">
        <f>IFERROR(VLOOKUP($AU40,stores[],MATCH(BG$1,stores[#Headers],0),0),"")</f>
        <v>3481</v>
      </c>
      <c r="BH40" s="8" t="str">
        <f>IFERROR(VLOOKUP($AU40,stores[],MATCH(BH$1,stores[#Headers],0),0),"")</f>
        <v>Franchise</v>
      </c>
      <c r="BI40" s="8">
        <f>IFERROR(VLOOKUP($AU40,stores[],MATCH(BI$1,stores[#Headers],0),0),"")</f>
        <v>392827229</v>
      </c>
      <c r="BJ40" s="8" t="str">
        <f>IFERROR(VLOOKUP($AU40,stores[],MATCH(BJ$1,stores[#Headers],0),0),"")</f>
        <v>vedaparmer@kanda.com</v>
      </c>
    </row>
    <row r="41" spans="1:62" x14ac:dyDescent="0.3">
      <c r="A41" s="8" t="str">
        <v>O1040</v>
      </c>
      <c r="B41" s="8" t="str">
        <v>C051</v>
      </c>
      <c r="C41" s="8" t="str">
        <v>P133</v>
      </c>
      <c r="D41" s="8">
        <v>45822</v>
      </c>
      <c r="E41" s="8">
        <v>1</v>
      </c>
      <c r="F41" s="8">
        <v>12313</v>
      </c>
      <c r="G41" s="8">
        <v>24626</v>
      </c>
      <c r="H41" s="8">
        <v>0.14000000000000001</v>
      </c>
      <c r="I41" s="8" t="str">
        <v>Cash on Delivery</v>
      </c>
      <c r="J41" s="8" t="str">
        <v>Delivered</v>
      </c>
      <c r="K41" s="8">
        <v>45855</v>
      </c>
      <c r="L41" s="8" t="str">
        <v>Yes</v>
      </c>
      <c r="M41" s="8">
        <v>216</v>
      </c>
      <c r="N41" s="8" t="str">
        <v>No</v>
      </c>
      <c r="O41" s="8" t="str">
        <v>Yes</v>
      </c>
      <c r="P41" s="8" t="str">
        <f t="shared" si="0"/>
        <v>C051</v>
      </c>
      <c r="Q41" s="8" t="str">
        <f>VLOOKUP($B41,customers[],MATCH(Q$1,customers[#Headers],0),0)</f>
        <v>Nandini Boase</v>
      </c>
      <c r="R41" s="8" t="str">
        <f>VLOOKUP($B41,customers[],MATCH(R$1,customers[#Headers],0),0)</f>
        <v>azaanchand@example.net</v>
      </c>
      <c r="S41" s="8">
        <f>VLOOKUP($B41,customers[],MATCH(S$1,customers[#Headers],0),0)</f>
        <v>3667525459</v>
      </c>
      <c r="T41" s="8" t="str">
        <f>VLOOKUP($B41,customers[],MATCH(T$1,customers[#Headers],0),0)</f>
        <v>Delhi</v>
      </c>
      <c r="U41" s="8" t="str">
        <f>VLOOKUP($B41,customers[],MATCH(U$1,customers[#Headers],0),0)</f>
        <v>Delhi</v>
      </c>
      <c r="V41" s="8">
        <f>VLOOKUP($B41,customers[],MATCH(V$1,customers[#Headers],0),0)</f>
        <v>22901</v>
      </c>
      <c r="W41" s="8" t="str">
        <f>VLOOKUP($B41,customers[],MATCH(W$1,customers[#Headers],0),0)</f>
        <v>Female</v>
      </c>
      <c r="X41" s="8">
        <f>VLOOKUP($B41,customers[],MATCH(X$1,customers[#Headers],0),0)</f>
        <v>28511</v>
      </c>
      <c r="Y41" s="8">
        <f>VLOOKUP($B41,customers[],MATCH(Y$1,customers[#Headers],0),0)</f>
        <v>45404</v>
      </c>
      <c r="Z41" s="8" t="str">
        <f>VLOOKUP($B41,customers[],MATCH(Z$1,customers[#Headers],0),0)</f>
        <v>Home Appliance</v>
      </c>
      <c r="AA41" s="8">
        <f>VLOOKUP($B41,customers[],MATCH(AA$1,customers[#Headers],0),0)</f>
        <v>7141</v>
      </c>
      <c r="AB41" s="8" t="str">
        <f>VLOOKUP($B41,customers[],MATCH(AB$1,customers[#Headers],0),0)</f>
        <v>Single</v>
      </c>
      <c r="AC41" s="8" t="str">
        <f>VLOOKUP($B41,customers[],MATCH(AC$1,customers[#Headers],0),0)</f>
        <v>Engineer</v>
      </c>
      <c r="AD41" s="8">
        <f>VLOOKUP($B41,customers[],MATCH(AD$1,customers[#Headers],0),0)</f>
        <v>846464</v>
      </c>
      <c r="AE41" s="8" t="str">
        <f t="shared" si="1"/>
        <v>P133</v>
      </c>
      <c r="AF41" s="8" t="str">
        <f>VLOOKUP($AE41,Products[],MATCH(AF$1,Products[#Headers],0),0)</f>
        <v>Eius Laptop</v>
      </c>
      <c r="AG41" s="8" t="str">
        <f>VLOOKUP($AE41,Products[],MATCH(AG$1,Products[#Headers],0),0)</f>
        <v>Fashion</v>
      </c>
      <c r="AH41" s="8" t="str">
        <f>VLOOKUP($AE41,Products[],MATCH(AH$1,Products[#Headers],0),0)</f>
        <v>Smart</v>
      </c>
      <c r="AI41" s="8" t="str">
        <f>VLOOKUP($AE41,Products[],MATCH(AI$1,Products[#Headers],0),0)</f>
        <v>Sanghvi-Ramachandran</v>
      </c>
      <c r="AJ41" s="8">
        <f>VLOOKUP($AE41,Products[],MATCH(AJ$1,Products[#Headers],0),0)</f>
        <v>12313</v>
      </c>
      <c r="AK41" s="8">
        <f>VLOOKUP($AE41,Products[],MATCH(AK$1,Products[#Headers],0),0)</f>
        <v>14</v>
      </c>
      <c r="AL41" s="8">
        <f>VLOOKUP($AE41,Products[],MATCH(AL$1,Products[#Headers],0),0)</f>
        <v>334</v>
      </c>
      <c r="AM41" s="8">
        <f>VLOOKUP($AE41,Products[],MATCH(AM$1,Products[#Headers],0),0)</f>
        <v>36</v>
      </c>
      <c r="AN41" s="8" t="str">
        <f>VLOOKUP($AE41,Products[],MATCH(AN$1,Products[#Headers],0),0)</f>
        <v>China</v>
      </c>
      <c r="AO41" s="8" t="str">
        <f>VLOOKUP($AE41,Products[],MATCH(AO$1,Products[#Headers],0),0)</f>
        <v>Yes</v>
      </c>
      <c r="AP41" s="8">
        <f>VLOOKUP($AE41,Products[],MATCH(AP$1,Products[#Headers],0),0)</f>
        <v>2.8</v>
      </c>
      <c r="AQ41" s="8">
        <f>VLOOKUP($AE41,Products[],MATCH(AQ$1,Products[#Headers],0),0)</f>
        <v>44765</v>
      </c>
      <c r="AR41" s="8" t="str">
        <f>VLOOKUP($AE41,Products[],MATCH(AR$1,Products[#Headers],0),0)</f>
        <v>No</v>
      </c>
      <c r="AS41" s="8">
        <f>VLOOKUP($AE41,Products[],MATCH(AS$1,Products[#Headers],0),0)</f>
        <v>9698</v>
      </c>
      <c r="AT41" s="8">
        <f>VLOOKUP($AE41,Products[],MATCH(AT$1,Products[#Headers],0),0)</f>
        <v>176</v>
      </c>
      <c r="AU41" s="8">
        <f t="shared" si="2"/>
        <v>176</v>
      </c>
      <c r="AV41" s="8" t="str">
        <f>IFERROR(VLOOKUP($AU41,stores[],MATCH(AV$1,stores[#Headers],0),0),"")</f>
        <v/>
      </c>
      <c r="AW41" s="8" t="str">
        <f>IFERROR(VLOOKUP($AU41,stores[],MATCH(AW$1,stores[#Headers],0),0),"")</f>
        <v/>
      </c>
      <c r="AX41" s="8" t="str">
        <f>IFERROR(VLOOKUP($AU41,stores[],MATCH(AX$1,stores[#Headers],0),0),"")</f>
        <v/>
      </c>
      <c r="AY41" s="8" t="str">
        <f>IFERROR(VLOOKUP($AU41,stores[],MATCH(AY$1,stores[#Headers],0),0),"")</f>
        <v/>
      </c>
      <c r="AZ41" s="8" t="str">
        <f>IFERROR(VLOOKUP($AU41,stores[],MATCH(AZ$1,stores[#Headers],0),0),"")</f>
        <v/>
      </c>
      <c r="BA41" s="8" t="str">
        <f>IFERROR(VLOOKUP($AU41,stores[],MATCH(BA$1,stores[#Headers],0),0),"")</f>
        <v/>
      </c>
      <c r="BB41" s="8" t="str">
        <f>IFERROR(VLOOKUP($AU41,stores[],MATCH(BB$1,stores[#Headers],0),0),"")</f>
        <v/>
      </c>
      <c r="BC41" s="8" t="str">
        <f>IFERROR(VLOOKUP($AU41,stores[],MATCH(BC$1,stores[#Headers],0),0),"")</f>
        <v/>
      </c>
      <c r="BD41" s="8" t="str">
        <f>IFERROR(VLOOKUP($AU41,stores[],MATCH(BD$1,stores[#Headers],0),0),"")</f>
        <v/>
      </c>
      <c r="BE41" s="8" t="str">
        <f>IFERROR(VLOOKUP($AU41,stores[],MATCH(BE$1,stores[#Headers],0),0),"")</f>
        <v/>
      </c>
      <c r="BF41" s="8" t="str">
        <f>IFERROR(VLOOKUP($AU41,stores[],MATCH(BF$1,stores[#Headers],0),0),"")</f>
        <v/>
      </c>
      <c r="BG41" s="8" t="str">
        <f>IFERROR(VLOOKUP($AU41,stores[],MATCH(BG$1,stores[#Headers],0),0),"")</f>
        <v/>
      </c>
      <c r="BH41" s="8" t="str">
        <f>IFERROR(VLOOKUP($AU41,stores[],MATCH(BH$1,stores[#Headers],0),0),"")</f>
        <v/>
      </c>
      <c r="BI41" s="8" t="str">
        <f>IFERROR(VLOOKUP($AU41,stores[],MATCH(BI$1,stores[#Headers],0),0),"")</f>
        <v/>
      </c>
      <c r="BJ41" s="8" t="str">
        <f>IFERROR(VLOOKUP($AU41,stores[],MATCH(BJ$1,stores[#Headers],0),0),"")</f>
        <v/>
      </c>
    </row>
    <row r="42" spans="1:62" x14ac:dyDescent="0.3">
      <c r="A42" s="8" t="str">
        <v>O1041</v>
      </c>
      <c r="B42" s="8" t="str">
        <v>C070</v>
      </c>
      <c r="C42" s="8" t="str">
        <v>P108</v>
      </c>
      <c r="D42" s="8">
        <v>45583</v>
      </c>
      <c r="E42" s="8">
        <v>1</v>
      </c>
      <c r="F42" s="8">
        <v>72850</v>
      </c>
      <c r="G42" s="8">
        <v>291400</v>
      </c>
      <c r="H42" s="8">
        <v>7.0000000000000007E-2</v>
      </c>
      <c r="I42" s="8" t="str">
        <v>Credit Card</v>
      </c>
      <c r="J42" s="8" t="str">
        <v>Pending</v>
      </c>
      <c r="K42" s="8">
        <v>45856</v>
      </c>
      <c r="L42" s="8" t="str">
        <v>No</v>
      </c>
      <c r="M42" s="8">
        <v>92</v>
      </c>
      <c r="N42" s="8" t="str">
        <v>Yes</v>
      </c>
      <c r="O42" s="8" t="str">
        <v>No</v>
      </c>
      <c r="P42" s="8" t="str">
        <f t="shared" si="0"/>
        <v>C070</v>
      </c>
      <c r="Q42" s="8" t="str">
        <f>VLOOKUP($B42,customers[],MATCH(Q$1,customers[#Headers],0),0)</f>
        <v>Jalsa Pillay</v>
      </c>
      <c r="R42" s="8" t="str">
        <f>VLOOKUP($B42,customers[],MATCH(R$1,customers[#Headers],0),0)</f>
        <v>ndayal@example.org</v>
      </c>
      <c r="S42" s="8">
        <f>VLOOKUP($B42,customers[],MATCH(S$1,customers[#Headers],0),0)</f>
        <v>914678669125</v>
      </c>
      <c r="T42" s="8" t="str">
        <f>VLOOKUP($B42,customers[],MATCH(T$1,customers[#Headers],0),0)</f>
        <v>Jaipur</v>
      </c>
      <c r="U42" s="8" t="str">
        <f>VLOOKUP($B42,customers[],MATCH(U$1,customers[#Headers],0),0)</f>
        <v>Rajasthan</v>
      </c>
      <c r="V42" s="8">
        <f>VLOOKUP($B42,customers[],MATCH(V$1,customers[#Headers],0),0)</f>
        <v>778528</v>
      </c>
      <c r="W42" s="8" t="str">
        <f>VLOOKUP($B42,customers[],MATCH(W$1,customers[#Headers],0),0)</f>
        <v>Male</v>
      </c>
      <c r="X42" s="8">
        <f>VLOOKUP($B42,customers[],MATCH(X$1,customers[#Headers],0),0)</f>
        <v>37650</v>
      </c>
      <c r="Y42" s="8">
        <f>VLOOKUP($B42,customers[],MATCH(Y$1,customers[#Headers],0),0)</f>
        <v>45854</v>
      </c>
      <c r="Z42" s="8" t="str">
        <f>VLOOKUP($B42,customers[],MATCH(Z$1,customers[#Headers],0),0)</f>
        <v>Home Appliance</v>
      </c>
      <c r="AA42" s="8">
        <f>VLOOKUP($B42,customers[],MATCH(AA$1,customers[#Headers],0),0)</f>
        <v>190</v>
      </c>
      <c r="AB42" s="8" t="str">
        <f>VLOOKUP($B42,customers[],MATCH(AB$1,customers[#Headers],0),0)</f>
        <v>Single</v>
      </c>
      <c r="AC42" s="8" t="str">
        <f>VLOOKUP($B42,customers[],MATCH(AC$1,customers[#Headers],0),0)</f>
        <v>Business</v>
      </c>
      <c r="AD42" s="8">
        <f>VLOOKUP($B42,customers[],MATCH(AD$1,customers[#Headers],0),0)</f>
        <v>658943</v>
      </c>
      <c r="AE42" s="8" t="str">
        <f t="shared" si="1"/>
        <v>P108</v>
      </c>
      <c r="AF42" s="8" t="str">
        <f>VLOOKUP($AE42,Products[],MATCH(AF$1,Products[#Headers],0),0)</f>
        <v>Nam Shirt</v>
      </c>
      <c r="AG42" s="8" t="str">
        <f>VLOOKUP($AE42,Products[],MATCH(AG$1,Products[#Headers],0),0)</f>
        <v>Home Appliance</v>
      </c>
      <c r="AH42" s="8" t="str">
        <f>VLOOKUP($AE42,Products[],MATCH(AH$1,Products[#Headers],0),0)</f>
        <v>Smart</v>
      </c>
      <c r="AI42" s="8" t="str">
        <f>VLOOKUP($AE42,Products[],MATCH(AI$1,Products[#Headers],0),0)</f>
        <v>Manne-Swaminathan</v>
      </c>
      <c r="AJ42" s="8">
        <f>VLOOKUP($AE42,Products[],MATCH(AJ$1,Products[#Headers],0),0)</f>
        <v>72850</v>
      </c>
      <c r="AK42" s="8">
        <f>VLOOKUP($AE42,Products[],MATCH(AK$1,Products[#Headers],0),0)</f>
        <v>7</v>
      </c>
      <c r="AL42" s="8">
        <f>VLOOKUP($AE42,Products[],MATCH(AL$1,Products[#Headers],0),0)</f>
        <v>160</v>
      </c>
      <c r="AM42" s="8">
        <f>VLOOKUP($AE42,Products[],MATCH(AM$1,Products[#Headers],0),0)</f>
        <v>6</v>
      </c>
      <c r="AN42" s="8" t="str">
        <f>VLOOKUP($AE42,Products[],MATCH(AN$1,Products[#Headers],0),0)</f>
        <v>Japan</v>
      </c>
      <c r="AO42" s="8" t="str">
        <f>VLOOKUP($AE42,Products[],MATCH(AO$1,Products[#Headers],0),0)</f>
        <v>No</v>
      </c>
      <c r="AP42" s="8">
        <f>VLOOKUP($AE42,Products[],MATCH(AP$1,Products[#Headers],0),0)</f>
        <v>4.2</v>
      </c>
      <c r="AQ42" s="8">
        <f>VLOOKUP($AE42,Products[],MATCH(AQ$1,Products[#Headers],0),0)</f>
        <v>45653</v>
      </c>
      <c r="AR42" s="8" t="str">
        <f>VLOOKUP($AE42,Products[],MATCH(AR$1,Products[#Headers],0),0)</f>
        <v>No</v>
      </c>
      <c r="AS42" s="8">
        <f>VLOOKUP($AE42,Products[],MATCH(AS$1,Products[#Headers],0),0)</f>
        <v>5772</v>
      </c>
      <c r="AT42" s="8">
        <f>VLOOKUP($AE42,Products[],MATCH(AT$1,Products[#Headers],0),0)</f>
        <v>87</v>
      </c>
      <c r="AU42" s="8">
        <f t="shared" si="2"/>
        <v>87</v>
      </c>
      <c r="AV42" s="8" t="str">
        <f>IFERROR(VLOOKUP($AU42,stores[],MATCH(AV$1,stores[#Headers],0),0),"")</f>
        <v>S087</v>
      </c>
      <c r="AW42" s="8" t="str">
        <f>IFERROR(VLOOKUP($AU42,stores[],MATCH(AW$1,stores[#Headers],0),0),"")</f>
        <v>Bakshi, Subramanian and Tella Mart</v>
      </c>
      <c r="AX42" s="8" t="str">
        <f>IFERROR(VLOOKUP($AU42,stores[],MATCH(AX$1,stores[#Headers],0),0),"")</f>
        <v>Lucknow</v>
      </c>
      <c r="AY42" s="8" t="str">
        <f>IFERROR(VLOOKUP($AU42,stores[],MATCH(AY$1,stores[#Headers],0),0),"")</f>
        <v>Uttar Pradesh</v>
      </c>
      <c r="AZ42" s="8">
        <f>IFERROR(VLOOKUP($AU42,stores[],MATCH(AZ$1,stores[#Headers],0),0),"")</f>
        <v>357845</v>
      </c>
      <c r="BA42" s="8" t="str">
        <f>IFERROR(VLOOKUP($AU42,stores[],MATCH(BA$1,stores[#Headers],0),0),"")</f>
        <v>Guneet Varty</v>
      </c>
      <c r="BB42" s="8">
        <f>IFERROR(VLOOKUP($AU42,stores[],MATCH(BB$1,stores[#Headers],0),0),"")</f>
        <v>2015</v>
      </c>
      <c r="BC42" s="8">
        <f>IFERROR(VLOOKUP($AU42,stores[],MATCH(BC$1,stores[#Headers],0),0),"")</f>
        <v>95</v>
      </c>
      <c r="BD42" s="8">
        <f>IFERROR(VLOOKUP($AU42,stores[],MATCH(BD$1,stores[#Headers],0),0),"")</f>
        <v>2015</v>
      </c>
      <c r="BE42" s="8">
        <f>IFERROR(VLOOKUP($AU42,stores[],MATCH(BE$1,stores[#Headers],0),0),"")</f>
        <v>3.9</v>
      </c>
      <c r="BF42" s="8" t="str">
        <f>IFERROR(VLOOKUP($AU42,stores[],MATCH(BF$1,stores[#Headers],0),0),"")</f>
        <v>Yes</v>
      </c>
      <c r="BG42" s="8">
        <f>IFERROR(VLOOKUP($AU42,stores[],MATCH(BG$1,stores[#Headers],0),0),"")</f>
        <v>4056</v>
      </c>
      <c r="BH42" s="8" t="str">
        <f>IFERROR(VLOOKUP($AU42,stores[],MATCH(BH$1,stores[#Headers],0),0),"")</f>
        <v>Retail</v>
      </c>
      <c r="BI42" s="8">
        <f>IFERROR(VLOOKUP($AU42,stores[],MATCH(BI$1,stores[#Headers],0),0),"")</f>
        <v>2307681040</v>
      </c>
      <c r="BJ42" s="8" t="str">
        <f>IFERROR(VLOOKUP($AU42,stores[],MATCH(BJ$1,stores[#Headers],0),0),"")</f>
        <v>nathunni@chauhan.com</v>
      </c>
    </row>
    <row r="43" spans="1:62" x14ac:dyDescent="0.3">
      <c r="A43" s="8" t="str">
        <v>O1042</v>
      </c>
      <c r="B43" s="8" t="str">
        <v>C048</v>
      </c>
      <c r="C43" s="8" t="str">
        <v>P149</v>
      </c>
      <c r="D43" s="8">
        <v>45672</v>
      </c>
      <c r="E43" s="8">
        <v>4</v>
      </c>
      <c r="F43" s="8">
        <v>12719</v>
      </c>
      <c r="G43" s="8">
        <v>50876</v>
      </c>
      <c r="H43" s="8">
        <v>0.18</v>
      </c>
      <c r="I43" s="8" t="str">
        <v>Net Banking</v>
      </c>
      <c r="J43" s="8" t="str">
        <v>Delivered</v>
      </c>
      <c r="K43" s="8">
        <v>45863</v>
      </c>
      <c r="L43" s="8" t="str">
        <v>Yes</v>
      </c>
      <c r="M43" s="8">
        <v>334</v>
      </c>
      <c r="N43" s="8" t="str">
        <v>No</v>
      </c>
      <c r="O43" s="8" t="str">
        <v>Yes</v>
      </c>
      <c r="P43" s="8" t="str">
        <f t="shared" si="0"/>
        <v>C048</v>
      </c>
      <c r="Q43" s="8" t="str">
        <f>VLOOKUP($B43,customers[],MATCH(Q$1,customers[#Headers],0),0)</f>
        <v>Sudiksha Tiwari</v>
      </c>
      <c r="R43" s="8" t="str">
        <f>VLOOKUP($B43,customers[],MATCH(R$1,customers[#Headers],0),0)</f>
        <v>ychaudhary@example.net</v>
      </c>
      <c r="S43" s="8">
        <f>VLOOKUP($B43,customers[],MATCH(S$1,customers[#Headers],0),0)</f>
        <v>918367365766</v>
      </c>
      <c r="T43" s="8" t="str">
        <f>VLOOKUP($B43,customers[],MATCH(T$1,customers[#Headers],0),0)</f>
        <v>Chennai</v>
      </c>
      <c r="U43" s="8" t="str">
        <f>VLOOKUP($B43,customers[],MATCH(U$1,customers[#Headers],0),0)</f>
        <v>Tamil Nadu</v>
      </c>
      <c r="V43" s="8">
        <f>VLOOKUP($B43,customers[],MATCH(V$1,customers[#Headers],0),0)</f>
        <v>565452</v>
      </c>
      <c r="W43" s="8" t="str">
        <f>VLOOKUP($B43,customers[],MATCH(W$1,customers[#Headers],0),0)</f>
        <v>Female</v>
      </c>
      <c r="X43" s="8">
        <f>VLOOKUP($B43,customers[],MATCH(X$1,customers[#Headers],0),0)</f>
        <v>38819</v>
      </c>
      <c r="Y43" s="8">
        <f>VLOOKUP($B43,customers[],MATCH(Y$1,customers[#Headers],0),0)</f>
        <v>45501</v>
      </c>
      <c r="Z43" s="8" t="str">
        <f>VLOOKUP($B43,customers[],MATCH(Z$1,customers[#Headers],0),0)</f>
        <v>Fashion</v>
      </c>
      <c r="AA43" s="8">
        <f>VLOOKUP($B43,customers[],MATCH(AA$1,customers[#Headers],0),0)</f>
        <v>932</v>
      </c>
      <c r="AB43" s="8" t="str">
        <f>VLOOKUP($B43,customers[],MATCH(AB$1,customers[#Headers],0),0)</f>
        <v>Single</v>
      </c>
      <c r="AC43" s="8" t="str">
        <f>VLOOKUP($B43,customers[],MATCH(AC$1,customers[#Headers],0),0)</f>
        <v>Business</v>
      </c>
      <c r="AD43" s="8">
        <f>VLOOKUP($B43,customers[],MATCH(AD$1,customers[#Headers],0),0)</f>
        <v>1939269</v>
      </c>
      <c r="AE43" s="8" t="str">
        <f t="shared" si="1"/>
        <v>P149</v>
      </c>
      <c r="AF43" s="8" t="str">
        <f>VLOOKUP($AE43,Products[],MATCH(AF$1,Products[#Headers],0),0)</f>
        <v>Doloremque TV</v>
      </c>
      <c r="AG43" s="8" t="str">
        <f>VLOOKUP($AE43,Products[],MATCH(AG$1,Products[#Headers],0),0)</f>
        <v>Electronics</v>
      </c>
      <c r="AH43" s="8" t="str">
        <f>VLOOKUP($AE43,Products[],MATCH(AH$1,Products[#Headers],0),0)</f>
        <v>LED</v>
      </c>
      <c r="AI43" s="8" t="str">
        <f>VLOOKUP($AE43,Products[],MATCH(AI$1,Products[#Headers],0),0)</f>
        <v>Balasubramanian and Sons</v>
      </c>
      <c r="AJ43" s="8">
        <f>VLOOKUP($AE43,Products[],MATCH(AJ$1,Products[#Headers],0),0)</f>
        <v>12719</v>
      </c>
      <c r="AK43" s="8">
        <f>VLOOKUP($AE43,Products[],MATCH(AK$1,Products[#Headers],0),0)</f>
        <v>18</v>
      </c>
      <c r="AL43" s="8">
        <f>VLOOKUP($AE43,Products[],MATCH(AL$1,Products[#Headers],0),0)</f>
        <v>98</v>
      </c>
      <c r="AM43" s="8">
        <f>VLOOKUP($AE43,Products[],MATCH(AM$1,Products[#Headers],0),0)</f>
        <v>24</v>
      </c>
      <c r="AN43" s="8" t="str">
        <f>VLOOKUP($AE43,Products[],MATCH(AN$1,Products[#Headers],0),0)</f>
        <v>China</v>
      </c>
      <c r="AO43" s="8" t="str">
        <f>VLOOKUP($AE43,Products[],MATCH(AO$1,Products[#Headers],0),0)</f>
        <v>Yes</v>
      </c>
      <c r="AP43" s="8">
        <f>VLOOKUP($AE43,Products[],MATCH(AP$1,Products[#Headers],0),0)</f>
        <v>4</v>
      </c>
      <c r="AQ43" s="8">
        <f>VLOOKUP($AE43,Products[],MATCH(AQ$1,Products[#Headers],0),0)</f>
        <v>45212</v>
      </c>
      <c r="AR43" s="8" t="str">
        <f>VLOOKUP($AE43,Products[],MATCH(AR$1,Products[#Headers],0),0)</f>
        <v>No</v>
      </c>
      <c r="AS43" s="8">
        <f>VLOOKUP($AE43,Products[],MATCH(AS$1,Products[#Headers],0),0)</f>
        <v>3003</v>
      </c>
      <c r="AT43" s="8">
        <f>VLOOKUP($AE43,Products[],MATCH(AT$1,Products[#Headers],0),0)</f>
        <v>4</v>
      </c>
      <c r="AU43" s="8">
        <f t="shared" si="2"/>
        <v>4</v>
      </c>
      <c r="AV43" s="8" t="str">
        <f>IFERROR(VLOOKUP($AU43,stores[],MATCH(AV$1,stores[#Headers],0),0),"")</f>
        <v>S004</v>
      </c>
      <c r="AW43" s="8" t="str">
        <f>IFERROR(VLOOKUP($AU43,stores[],MATCH(AW$1,stores[#Headers],0),0),"")</f>
        <v>Rajagopal-Devan Mart</v>
      </c>
      <c r="AX43" s="8" t="str">
        <f>IFERROR(VLOOKUP($AU43,stores[],MATCH(AX$1,stores[#Headers],0),0),"")</f>
        <v>Pune</v>
      </c>
      <c r="AY43" s="8" t="str">
        <f>IFERROR(VLOOKUP($AU43,stores[],MATCH(AY$1,stores[#Headers],0),0),"")</f>
        <v>Maharashtra</v>
      </c>
      <c r="AZ43" s="8">
        <f>IFERROR(VLOOKUP($AU43,stores[],MATCH(AZ$1,stores[#Headers],0),0),"")</f>
        <v>383806</v>
      </c>
      <c r="BA43" s="8" t="str">
        <f>IFERROR(VLOOKUP($AU43,stores[],MATCH(BA$1,stores[#Headers],0),0),"")</f>
        <v>Varsha Sundaram</v>
      </c>
      <c r="BB43" s="8">
        <f>IFERROR(VLOOKUP($AU43,stores[],MATCH(BB$1,stores[#Headers],0),0),"")</f>
        <v>2003</v>
      </c>
      <c r="BC43" s="8">
        <f>IFERROR(VLOOKUP($AU43,stores[],MATCH(BC$1,stores[#Headers],0),0),"")</f>
        <v>78</v>
      </c>
      <c r="BD43" s="8">
        <f>IFERROR(VLOOKUP($AU43,stores[],MATCH(BD$1,stores[#Headers],0),0),"")</f>
        <v>4742</v>
      </c>
      <c r="BE43" s="8">
        <f>IFERROR(VLOOKUP($AU43,stores[],MATCH(BE$1,stores[#Headers],0),0),"")</f>
        <v>3.5</v>
      </c>
      <c r="BF43" s="8" t="str">
        <f>IFERROR(VLOOKUP($AU43,stores[],MATCH(BF$1,stores[#Headers],0),0),"")</f>
        <v>No</v>
      </c>
      <c r="BG43" s="8">
        <f>IFERROR(VLOOKUP($AU43,stores[],MATCH(BG$1,stores[#Headers],0),0),"")</f>
        <v>4940</v>
      </c>
      <c r="BH43" s="8" t="str">
        <f>IFERROR(VLOOKUP($AU43,stores[],MATCH(BH$1,stores[#Headers],0),0),"")</f>
        <v>Retail</v>
      </c>
      <c r="BI43" s="8">
        <f>IFERROR(VLOOKUP($AU43,stores[],MATCH(BI$1,stores[#Headers],0),0),"")</f>
        <v>9856420593</v>
      </c>
      <c r="BJ43" s="8" t="str">
        <f>IFERROR(VLOOKUP($AU43,stores[],MATCH(BJ$1,stores[#Headers],0),0),"")</f>
        <v>manddalbir@wagle-parmar.org</v>
      </c>
    </row>
    <row r="44" spans="1:62" x14ac:dyDescent="0.3">
      <c r="A44" s="8" t="str">
        <v>O1043</v>
      </c>
      <c r="B44" s="8" t="str">
        <v>C023</v>
      </c>
      <c r="C44" s="8" t="str">
        <v>P169</v>
      </c>
      <c r="D44" s="8">
        <v>45637</v>
      </c>
      <c r="E44" s="8">
        <v>4</v>
      </c>
      <c r="F44" s="8">
        <v>79497</v>
      </c>
      <c r="G44" s="8">
        <v>397485</v>
      </c>
      <c r="H44" s="8">
        <v>0.09</v>
      </c>
      <c r="I44" s="8" t="str">
        <v>Debit Card</v>
      </c>
      <c r="J44" s="8" t="str">
        <v>Shipped</v>
      </c>
      <c r="K44" s="8">
        <v>45858</v>
      </c>
      <c r="L44" s="8" t="str">
        <v>Yes</v>
      </c>
      <c r="M44" s="8">
        <v>387</v>
      </c>
      <c r="N44" s="8" t="str">
        <v>Yes</v>
      </c>
      <c r="O44" s="8" t="str">
        <v>No</v>
      </c>
      <c r="P44" s="8" t="str">
        <f t="shared" si="0"/>
        <v>C023</v>
      </c>
      <c r="Q44" s="8" t="str">
        <f>VLOOKUP($B44,customers[],MATCH(Q$1,customers[#Headers],0),0)</f>
        <v>Fiyaz Sangha</v>
      </c>
      <c r="R44" s="8" t="str">
        <f>VLOOKUP($B44,customers[],MATCH(R$1,customers[#Headers],0),0)</f>
        <v>triyagopal@example.org</v>
      </c>
      <c r="S44" s="8">
        <f>VLOOKUP($B44,customers[],MATCH(S$1,customers[#Headers],0),0)</f>
        <v>6537556464</v>
      </c>
      <c r="T44" s="8" t="str">
        <f>VLOOKUP($B44,customers[],MATCH(T$1,customers[#Headers],0),0)</f>
        <v>Ahmedabad</v>
      </c>
      <c r="U44" s="8" t="str">
        <f>VLOOKUP($B44,customers[],MATCH(U$1,customers[#Headers],0),0)</f>
        <v>Gujarat</v>
      </c>
      <c r="V44" s="8">
        <f>VLOOKUP($B44,customers[],MATCH(V$1,customers[#Headers],0),0)</f>
        <v>708053</v>
      </c>
      <c r="W44" s="8" t="str">
        <f>VLOOKUP($B44,customers[],MATCH(W$1,customers[#Headers],0),0)</f>
        <v>Male</v>
      </c>
      <c r="X44" s="8">
        <f>VLOOKUP($B44,customers[],MATCH(X$1,customers[#Headers],0),0)</f>
        <v>37907</v>
      </c>
      <c r="Y44" s="8">
        <f>VLOOKUP($B44,customers[],MATCH(Y$1,customers[#Headers],0),0)</f>
        <v>44241</v>
      </c>
      <c r="Z44" s="8" t="str">
        <f>VLOOKUP($B44,customers[],MATCH(Z$1,customers[#Headers],0),0)</f>
        <v>Home Appliance</v>
      </c>
      <c r="AA44" s="8">
        <f>VLOOKUP($B44,customers[],MATCH(AA$1,customers[#Headers],0),0)</f>
        <v>2203</v>
      </c>
      <c r="AB44" s="8" t="str">
        <f>VLOOKUP($B44,customers[],MATCH(AB$1,customers[#Headers],0),0)</f>
        <v>Married</v>
      </c>
      <c r="AC44" s="8" t="str">
        <f>VLOOKUP($B44,customers[],MATCH(AC$1,customers[#Headers],0),0)</f>
        <v>Student</v>
      </c>
      <c r="AD44" s="8">
        <f>VLOOKUP($B44,customers[],MATCH(AD$1,customers[#Headers],0),0)</f>
        <v>546296</v>
      </c>
      <c r="AE44" s="8" t="str">
        <f t="shared" si="1"/>
        <v>P169</v>
      </c>
      <c r="AF44" s="8" t="str">
        <f>VLOOKUP($AE44,Products[],MATCH(AF$1,Products[#Headers],0),0)</f>
        <v>Esse Laptop</v>
      </c>
      <c r="AG44" s="8" t="str">
        <f>VLOOKUP($AE44,Products[],MATCH(AG$1,Products[#Headers],0),0)</f>
        <v>Fashion</v>
      </c>
      <c r="AH44" s="8" t="str">
        <f>VLOOKUP($AE44,Products[],MATCH(AH$1,Products[#Headers],0),0)</f>
        <v>Notebook</v>
      </c>
      <c r="AI44" s="8" t="str">
        <f>VLOOKUP($AE44,Products[],MATCH(AI$1,Products[#Headers],0),0)</f>
        <v>Kakar-Talwar</v>
      </c>
      <c r="AJ44" s="8">
        <f>VLOOKUP($AE44,Products[],MATCH(AJ$1,Products[#Headers],0),0)</f>
        <v>79497</v>
      </c>
      <c r="AK44" s="8">
        <f>VLOOKUP($AE44,Products[],MATCH(AK$1,Products[#Headers],0),0)</f>
        <v>9</v>
      </c>
      <c r="AL44" s="8">
        <f>VLOOKUP($AE44,Products[],MATCH(AL$1,Products[#Headers],0),0)</f>
        <v>341</v>
      </c>
      <c r="AM44" s="8">
        <f>VLOOKUP($AE44,Products[],MATCH(AM$1,Products[#Headers],0),0)</f>
        <v>6</v>
      </c>
      <c r="AN44" s="8" t="str">
        <f>VLOOKUP($AE44,Products[],MATCH(AN$1,Products[#Headers],0),0)</f>
        <v>China</v>
      </c>
      <c r="AO44" s="8" t="str">
        <f>VLOOKUP($AE44,Products[],MATCH(AO$1,Products[#Headers],0),0)</f>
        <v>No</v>
      </c>
      <c r="AP44" s="8">
        <f>VLOOKUP($AE44,Products[],MATCH(AP$1,Products[#Headers],0),0)</f>
        <v>3.3</v>
      </c>
      <c r="AQ44" s="8">
        <f>VLOOKUP($AE44,Products[],MATCH(AQ$1,Products[#Headers],0),0)</f>
        <v>45176</v>
      </c>
      <c r="AR44" s="8" t="str">
        <f>VLOOKUP($AE44,Products[],MATCH(AR$1,Products[#Headers],0),0)</f>
        <v>No</v>
      </c>
      <c r="AS44" s="8">
        <f>VLOOKUP($AE44,Products[],MATCH(AS$1,Products[#Headers],0),0)</f>
        <v>3113</v>
      </c>
      <c r="AT44" s="8">
        <f>VLOOKUP($AE44,Products[],MATCH(AT$1,Products[#Headers],0),0)</f>
        <v>152</v>
      </c>
      <c r="AU44" s="8">
        <f t="shared" si="2"/>
        <v>152</v>
      </c>
      <c r="AV44" s="8" t="str">
        <f>IFERROR(VLOOKUP($AU44,stores[],MATCH(AV$1,stores[#Headers],0),0),"")</f>
        <v/>
      </c>
      <c r="AW44" s="8" t="str">
        <f>IFERROR(VLOOKUP($AU44,stores[],MATCH(AW$1,stores[#Headers],0),0),"")</f>
        <v/>
      </c>
      <c r="AX44" s="8" t="str">
        <f>IFERROR(VLOOKUP($AU44,stores[],MATCH(AX$1,stores[#Headers],0),0),"")</f>
        <v/>
      </c>
      <c r="AY44" s="8" t="str">
        <f>IFERROR(VLOOKUP($AU44,stores[],MATCH(AY$1,stores[#Headers],0),0),"")</f>
        <v/>
      </c>
      <c r="AZ44" s="8" t="str">
        <f>IFERROR(VLOOKUP($AU44,stores[],MATCH(AZ$1,stores[#Headers],0),0),"")</f>
        <v/>
      </c>
      <c r="BA44" s="8" t="str">
        <f>IFERROR(VLOOKUP($AU44,stores[],MATCH(BA$1,stores[#Headers],0),0),"")</f>
        <v/>
      </c>
      <c r="BB44" s="8" t="str">
        <f>IFERROR(VLOOKUP($AU44,stores[],MATCH(BB$1,stores[#Headers],0),0),"")</f>
        <v/>
      </c>
      <c r="BC44" s="8" t="str">
        <f>IFERROR(VLOOKUP($AU44,stores[],MATCH(BC$1,stores[#Headers],0),0),"")</f>
        <v/>
      </c>
      <c r="BD44" s="8" t="str">
        <f>IFERROR(VLOOKUP($AU44,stores[],MATCH(BD$1,stores[#Headers],0),0),"")</f>
        <v/>
      </c>
      <c r="BE44" s="8" t="str">
        <f>IFERROR(VLOOKUP($AU44,stores[],MATCH(BE$1,stores[#Headers],0),0),"")</f>
        <v/>
      </c>
      <c r="BF44" s="8" t="str">
        <f>IFERROR(VLOOKUP($AU44,stores[],MATCH(BF$1,stores[#Headers],0),0),"")</f>
        <v/>
      </c>
      <c r="BG44" s="8" t="str">
        <f>IFERROR(VLOOKUP($AU44,stores[],MATCH(BG$1,stores[#Headers],0),0),"")</f>
        <v/>
      </c>
      <c r="BH44" s="8" t="str">
        <f>IFERROR(VLOOKUP($AU44,stores[],MATCH(BH$1,stores[#Headers],0),0),"")</f>
        <v/>
      </c>
      <c r="BI44" s="8" t="str">
        <f>IFERROR(VLOOKUP($AU44,stores[],MATCH(BI$1,stores[#Headers],0),0),"")</f>
        <v/>
      </c>
      <c r="BJ44" s="8" t="str">
        <f>IFERROR(VLOOKUP($AU44,stores[],MATCH(BJ$1,stores[#Headers],0),0),"")</f>
        <v/>
      </c>
    </row>
    <row r="45" spans="1:62" x14ac:dyDescent="0.3">
      <c r="A45" s="8" t="str">
        <v>O1044</v>
      </c>
      <c r="B45" s="8" t="str">
        <v>C060</v>
      </c>
      <c r="C45" s="8" t="str">
        <v>P187</v>
      </c>
      <c r="D45" s="8">
        <v>45558</v>
      </c>
      <c r="E45" s="8">
        <v>5</v>
      </c>
      <c r="F45" s="8">
        <v>52931</v>
      </c>
      <c r="G45" s="8">
        <v>211724</v>
      </c>
      <c r="H45" s="8">
        <v>0.28000000000000003</v>
      </c>
      <c r="I45" s="8" t="str">
        <v>Cash on Delivery</v>
      </c>
      <c r="J45" s="8" t="str">
        <v>Cancelled</v>
      </c>
      <c r="K45" s="8">
        <v>45855</v>
      </c>
      <c r="L45" s="8" t="str">
        <v>Yes</v>
      </c>
      <c r="M45" s="8">
        <v>126</v>
      </c>
      <c r="N45" s="8" t="str">
        <v>No</v>
      </c>
      <c r="O45" s="8" t="str">
        <v>No</v>
      </c>
      <c r="P45" s="8" t="str">
        <f t="shared" si="0"/>
        <v>C060</v>
      </c>
      <c r="Q45" s="8" t="str">
        <f>VLOOKUP($B45,customers[],MATCH(Q$1,customers[#Headers],0),0)</f>
        <v>Caleb Roy</v>
      </c>
      <c r="R45" s="8" t="str">
        <f>VLOOKUP($B45,customers[],MATCH(R$1,customers[#Headers],0),0)</f>
        <v>wazir79@example.com</v>
      </c>
      <c r="S45" s="8">
        <f>VLOOKUP($B45,customers[],MATCH(S$1,customers[#Headers],0),0)</f>
        <v>7383473597</v>
      </c>
      <c r="T45" s="8" t="str">
        <f>VLOOKUP($B45,customers[],MATCH(T$1,customers[#Headers],0),0)</f>
        <v>Kolkata</v>
      </c>
      <c r="U45" s="8" t="str">
        <f>VLOOKUP($B45,customers[],MATCH(U$1,customers[#Headers],0),0)</f>
        <v>West Bengal</v>
      </c>
      <c r="V45" s="8">
        <f>VLOOKUP($B45,customers[],MATCH(V$1,customers[#Headers],0),0)</f>
        <v>468862</v>
      </c>
      <c r="W45" s="8" t="str">
        <f>VLOOKUP($B45,customers[],MATCH(W$1,customers[#Headers],0),0)</f>
        <v>Female</v>
      </c>
      <c r="X45" s="8">
        <f>VLOOKUP($B45,customers[],MATCH(X$1,customers[#Headers],0),0)</f>
        <v>26711</v>
      </c>
      <c r="Y45" s="8">
        <f>VLOOKUP($B45,customers[],MATCH(Y$1,customers[#Headers],0),0)</f>
        <v>44457</v>
      </c>
      <c r="Z45" s="8" t="str">
        <f>VLOOKUP($B45,customers[],MATCH(Z$1,customers[#Headers],0),0)</f>
        <v>Electronics</v>
      </c>
      <c r="AA45" s="8">
        <f>VLOOKUP($B45,customers[],MATCH(AA$1,customers[#Headers],0),0)</f>
        <v>6411</v>
      </c>
      <c r="AB45" s="8" t="str">
        <f>VLOOKUP($B45,customers[],MATCH(AB$1,customers[#Headers],0),0)</f>
        <v>Single</v>
      </c>
      <c r="AC45" s="8" t="str">
        <f>VLOOKUP($B45,customers[],MATCH(AC$1,customers[#Headers],0),0)</f>
        <v>Teacher</v>
      </c>
      <c r="AD45" s="8">
        <f>VLOOKUP($B45,customers[],MATCH(AD$1,customers[#Headers],0),0)</f>
        <v>293085</v>
      </c>
      <c r="AE45" s="8" t="str">
        <f t="shared" si="1"/>
        <v>P187</v>
      </c>
      <c r="AF45" s="8" t="str">
        <f>VLOOKUP($AE45,Products[],MATCH(AF$1,Products[#Headers],0),0)</f>
        <v>Commodi Phone</v>
      </c>
      <c r="AG45" s="8" t="str">
        <f>VLOOKUP($AE45,Products[],MATCH(AG$1,Products[#Headers],0),0)</f>
        <v>Electronics</v>
      </c>
      <c r="AH45" s="8" t="str">
        <f>VLOOKUP($AE45,Products[],MATCH(AH$1,Products[#Headers],0),0)</f>
        <v>Android</v>
      </c>
      <c r="AI45" s="8" t="str">
        <f>VLOOKUP($AE45,Products[],MATCH(AI$1,Products[#Headers],0),0)</f>
        <v>Dey Inc</v>
      </c>
      <c r="AJ45" s="8">
        <f>VLOOKUP($AE45,Products[],MATCH(AJ$1,Products[#Headers],0),0)</f>
        <v>52931</v>
      </c>
      <c r="AK45" s="8">
        <f>VLOOKUP($AE45,Products[],MATCH(AK$1,Products[#Headers],0),0)</f>
        <v>28</v>
      </c>
      <c r="AL45" s="8">
        <f>VLOOKUP($AE45,Products[],MATCH(AL$1,Products[#Headers],0),0)</f>
        <v>450</v>
      </c>
      <c r="AM45" s="8">
        <f>VLOOKUP($AE45,Products[],MATCH(AM$1,Products[#Headers],0),0)</f>
        <v>36</v>
      </c>
      <c r="AN45" s="8" t="str">
        <f>VLOOKUP($AE45,Products[],MATCH(AN$1,Products[#Headers],0),0)</f>
        <v>Vietnam</v>
      </c>
      <c r="AO45" s="8" t="str">
        <f>VLOOKUP($AE45,Products[],MATCH(AO$1,Products[#Headers],0),0)</f>
        <v>Yes</v>
      </c>
      <c r="AP45" s="8">
        <f>VLOOKUP($AE45,Products[],MATCH(AP$1,Products[#Headers],0),0)</f>
        <v>3.7</v>
      </c>
      <c r="AQ45" s="8">
        <f>VLOOKUP($AE45,Products[],MATCH(AQ$1,Products[#Headers],0),0)</f>
        <v>45674</v>
      </c>
      <c r="AR45" s="8" t="str">
        <f>VLOOKUP($AE45,Products[],MATCH(AR$1,Products[#Headers],0),0)</f>
        <v>No</v>
      </c>
      <c r="AS45" s="8">
        <f>VLOOKUP($AE45,Products[],MATCH(AS$1,Products[#Headers],0),0)</f>
        <v>7019</v>
      </c>
      <c r="AT45" s="8">
        <f>VLOOKUP($AE45,Products[],MATCH(AT$1,Products[#Headers],0),0)</f>
        <v>148</v>
      </c>
      <c r="AU45" s="8">
        <f t="shared" si="2"/>
        <v>148</v>
      </c>
      <c r="AV45" s="8" t="str">
        <f>IFERROR(VLOOKUP($AU45,stores[],MATCH(AV$1,stores[#Headers],0),0),"")</f>
        <v/>
      </c>
      <c r="AW45" s="8" t="str">
        <f>IFERROR(VLOOKUP($AU45,stores[],MATCH(AW$1,stores[#Headers],0),0),"")</f>
        <v/>
      </c>
      <c r="AX45" s="8" t="str">
        <f>IFERROR(VLOOKUP($AU45,stores[],MATCH(AX$1,stores[#Headers],0),0),"")</f>
        <v/>
      </c>
      <c r="AY45" s="8" t="str">
        <f>IFERROR(VLOOKUP($AU45,stores[],MATCH(AY$1,stores[#Headers],0),0),"")</f>
        <v/>
      </c>
      <c r="AZ45" s="8" t="str">
        <f>IFERROR(VLOOKUP($AU45,stores[],MATCH(AZ$1,stores[#Headers],0),0),"")</f>
        <v/>
      </c>
      <c r="BA45" s="8" t="str">
        <f>IFERROR(VLOOKUP($AU45,stores[],MATCH(BA$1,stores[#Headers],0),0),"")</f>
        <v/>
      </c>
      <c r="BB45" s="8" t="str">
        <f>IFERROR(VLOOKUP($AU45,stores[],MATCH(BB$1,stores[#Headers],0),0),"")</f>
        <v/>
      </c>
      <c r="BC45" s="8" t="str">
        <f>IFERROR(VLOOKUP($AU45,stores[],MATCH(BC$1,stores[#Headers],0),0),"")</f>
        <v/>
      </c>
      <c r="BD45" s="8" t="str">
        <f>IFERROR(VLOOKUP($AU45,stores[],MATCH(BD$1,stores[#Headers],0),0),"")</f>
        <v/>
      </c>
      <c r="BE45" s="8" t="str">
        <f>IFERROR(VLOOKUP($AU45,stores[],MATCH(BE$1,stores[#Headers],0),0),"")</f>
        <v/>
      </c>
      <c r="BF45" s="8" t="str">
        <f>IFERROR(VLOOKUP($AU45,stores[],MATCH(BF$1,stores[#Headers],0),0),"")</f>
        <v/>
      </c>
      <c r="BG45" s="8" t="str">
        <f>IFERROR(VLOOKUP($AU45,stores[],MATCH(BG$1,stores[#Headers],0),0),"")</f>
        <v/>
      </c>
      <c r="BH45" s="8" t="str">
        <f>IFERROR(VLOOKUP($AU45,stores[],MATCH(BH$1,stores[#Headers],0),0),"")</f>
        <v/>
      </c>
      <c r="BI45" s="8" t="str">
        <f>IFERROR(VLOOKUP($AU45,stores[],MATCH(BI$1,stores[#Headers],0),0),"")</f>
        <v/>
      </c>
      <c r="BJ45" s="8" t="str">
        <f>IFERROR(VLOOKUP($AU45,stores[],MATCH(BJ$1,stores[#Headers],0),0),"")</f>
        <v/>
      </c>
    </row>
    <row r="46" spans="1:62" x14ac:dyDescent="0.3">
      <c r="A46" s="8" t="str">
        <v>O1045</v>
      </c>
      <c r="B46" s="8" t="str">
        <v>C020</v>
      </c>
      <c r="C46" s="8" t="str">
        <v>P136</v>
      </c>
      <c r="D46" s="8">
        <v>45703</v>
      </c>
      <c r="E46" s="8">
        <v>2</v>
      </c>
      <c r="F46" s="8">
        <v>31147</v>
      </c>
      <c r="G46" s="8">
        <v>31147</v>
      </c>
      <c r="H46" s="8">
        <v>0.2</v>
      </c>
      <c r="I46" s="8" t="str">
        <v>Credit Card</v>
      </c>
      <c r="J46" s="8" t="str">
        <v>Cancelled</v>
      </c>
      <c r="K46" s="8">
        <v>45865</v>
      </c>
      <c r="L46" s="8" t="str">
        <v>Yes</v>
      </c>
      <c r="M46" s="8">
        <v>123</v>
      </c>
      <c r="N46" s="8" t="str">
        <v>Yes</v>
      </c>
      <c r="O46" s="8" t="str">
        <v>Yes</v>
      </c>
      <c r="P46" s="8" t="str">
        <f t="shared" si="0"/>
        <v>C020</v>
      </c>
      <c r="Q46" s="8" t="str">
        <f>VLOOKUP($B46,customers[],MATCH(Q$1,customers[#Headers],0),0)</f>
        <v>Jairaj Shan</v>
      </c>
      <c r="R46" s="8" t="str">
        <f>VLOOKUP($B46,customers[],MATCH(R$1,customers[#Headers],0),0)</f>
        <v>ucchalwali@example.net</v>
      </c>
      <c r="S46" s="8">
        <f>VLOOKUP($B46,customers[],MATCH(S$1,customers[#Headers],0),0)</f>
        <v>5798687277</v>
      </c>
      <c r="T46" s="8" t="str">
        <f>VLOOKUP($B46,customers[],MATCH(T$1,customers[#Headers],0),0)</f>
        <v>Chennai</v>
      </c>
      <c r="U46" s="8" t="str">
        <f>VLOOKUP($B46,customers[],MATCH(U$1,customers[#Headers],0),0)</f>
        <v>Tamil Nadu</v>
      </c>
      <c r="V46" s="8">
        <f>VLOOKUP($B46,customers[],MATCH(V$1,customers[#Headers],0),0)</f>
        <v>348734</v>
      </c>
      <c r="W46" s="8" t="str">
        <f>VLOOKUP($B46,customers[],MATCH(W$1,customers[#Headers],0),0)</f>
        <v>Male</v>
      </c>
      <c r="X46" s="8">
        <f>VLOOKUP($B46,customers[],MATCH(X$1,customers[#Headers],0),0)</f>
        <v>32681</v>
      </c>
      <c r="Y46" s="8">
        <f>VLOOKUP($B46,customers[],MATCH(Y$1,customers[#Headers],0),0)</f>
        <v>44268</v>
      </c>
      <c r="Z46" s="8" t="str">
        <f>VLOOKUP($B46,customers[],MATCH(Z$1,customers[#Headers],0),0)</f>
        <v>Home Appliance</v>
      </c>
      <c r="AA46" s="8">
        <f>VLOOKUP($B46,customers[],MATCH(AA$1,customers[#Headers],0),0)</f>
        <v>6226</v>
      </c>
      <c r="AB46" s="8" t="str">
        <f>VLOOKUP($B46,customers[],MATCH(AB$1,customers[#Headers],0),0)</f>
        <v>Single</v>
      </c>
      <c r="AC46" s="8" t="str">
        <f>VLOOKUP($B46,customers[],MATCH(AC$1,customers[#Headers],0),0)</f>
        <v>Student</v>
      </c>
      <c r="AD46" s="8">
        <f>VLOOKUP($B46,customers[],MATCH(AD$1,customers[#Headers],0),0)</f>
        <v>1832898</v>
      </c>
      <c r="AE46" s="8" t="str">
        <f t="shared" si="1"/>
        <v>P136</v>
      </c>
      <c r="AF46" s="8" t="str">
        <f>VLOOKUP($AE46,Products[],MATCH(AF$1,Products[#Headers],0),0)</f>
        <v>Itaque TV</v>
      </c>
      <c r="AG46" s="8" t="str">
        <f>VLOOKUP($AE46,Products[],MATCH(AG$1,Products[#Headers],0),0)</f>
        <v>Fashion</v>
      </c>
      <c r="AH46" s="8" t="str">
        <f>VLOOKUP($AE46,Products[],MATCH(AH$1,Products[#Headers],0),0)</f>
        <v>Notebook</v>
      </c>
      <c r="AI46" s="8" t="str">
        <f>VLOOKUP($AE46,Products[],MATCH(AI$1,Products[#Headers],0),0)</f>
        <v>Shankar Inc</v>
      </c>
      <c r="AJ46" s="8">
        <f>VLOOKUP($AE46,Products[],MATCH(AJ$1,Products[#Headers],0),0)</f>
        <v>31147</v>
      </c>
      <c r="AK46" s="8">
        <f>VLOOKUP($AE46,Products[],MATCH(AK$1,Products[#Headers],0),0)</f>
        <v>20</v>
      </c>
      <c r="AL46" s="8">
        <f>VLOOKUP($AE46,Products[],MATCH(AL$1,Products[#Headers],0),0)</f>
        <v>25</v>
      </c>
      <c r="AM46" s="8">
        <f>VLOOKUP($AE46,Products[],MATCH(AM$1,Products[#Headers],0),0)</f>
        <v>24</v>
      </c>
      <c r="AN46" s="8" t="str">
        <f>VLOOKUP($AE46,Products[],MATCH(AN$1,Products[#Headers],0),0)</f>
        <v>China</v>
      </c>
      <c r="AO46" s="8" t="str">
        <f>VLOOKUP($AE46,Products[],MATCH(AO$1,Products[#Headers],0),0)</f>
        <v>Yes</v>
      </c>
      <c r="AP46" s="8">
        <f>VLOOKUP($AE46,Products[],MATCH(AP$1,Products[#Headers],0),0)</f>
        <v>4.0999999999999996</v>
      </c>
      <c r="AQ46" s="8">
        <f>VLOOKUP($AE46,Products[],MATCH(AQ$1,Products[#Headers],0),0)</f>
        <v>45166</v>
      </c>
      <c r="AR46" s="8" t="str">
        <f>VLOOKUP($AE46,Products[],MATCH(AR$1,Products[#Headers],0),0)</f>
        <v>No</v>
      </c>
      <c r="AS46" s="8">
        <f>VLOOKUP($AE46,Products[],MATCH(AS$1,Products[#Headers],0),0)</f>
        <v>5952</v>
      </c>
      <c r="AT46" s="8">
        <f>VLOOKUP($AE46,Products[],MATCH(AT$1,Products[#Headers],0),0)</f>
        <v>178</v>
      </c>
      <c r="AU46" s="8">
        <f t="shared" si="2"/>
        <v>178</v>
      </c>
      <c r="AV46" s="8" t="str">
        <f>IFERROR(VLOOKUP($AU46,stores[],MATCH(AV$1,stores[#Headers],0),0),"")</f>
        <v/>
      </c>
      <c r="AW46" s="8" t="str">
        <f>IFERROR(VLOOKUP($AU46,stores[],MATCH(AW$1,stores[#Headers],0),0),"")</f>
        <v/>
      </c>
      <c r="AX46" s="8" t="str">
        <f>IFERROR(VLOOKUP($AU46,stores[],MATCH(AX$1,stores[#Headers],0),0),"")</f>
        <v/>
      </c>
      <c r="AY46" s="8" t="str">
        <f>IFERROR(VLOOKUP($AU46,stores[],MATCH(AY$1,stores[#Headers],0),0),"")</f>
        <v/>
      </c>
      <c r="AZ46" s="8" t="str">
        <f>IFERROR(VLOOKUP($AU46,stores[],MATCH(AZ$1,stores[#Headers],0),0),"")</f>
        <v/>
      </c>
      <c r="BA46" s="8" t="str">
        <f>IFERROR(VLOOKUP($AU46,stores[],MATCH(BA$1,stores[#Headers],0),0),"")</f>
        <v/>
      </c>
      <c r="BB46" s="8" t="str">
        <f>IFERROR(VLOOKUP($AU46,stores[],MATCH(BB$1,stores[#Headers],0),0),"")</f>
        <v/>
      </c>
      <c r="BC46" s="8" t="str">
        <f>IFERROR(VLOOKUP($AU46,stores[],MATCH(BC$1,stores[#Headers],0),0),"")</f>
        <v/>
      </c>
      <c r="BD46" s="8" t="str">
        <f>IFERROR(VLOOKUP($AU46,stores[],MATCH(BD$1,stores[#Headers],0),0),"")</f>
        <v/>
      </c>
      <c r="BE46" s="8" t="str">
        <f>IFERROR(VLOOKUP($AU46,stores[],MATCH(BE$1,stores[#Headers],0),0),"")</f>
        <v/>
      </c>
      <c r="BF46" s="8" t="str">
        <f>IFERROR(VLOOKUP($AU46,stores[],MATCH(BF$1,stores[#Headers],0),0),"")</f>
        <v/>
      </c>
      <c r="BG46" s="8" t="str">
        <f>IFERROR(VLOOKUP($AU46,stores[],MATCH(BG$1,stores[#Headers],0),0),"")</f>
        <v/>
      </c>
      <c r="BH46" s="8" t="str">
        <f>IFERROR(VLOOKUP($AU46,stores[],MATCH(BH$1,stores[#Headers],0),0),"")</f>
        <v/>
      </c>
      <c r="BI46" s="8" t="str">
        <f>IFERROR(VLOOKUP($AU46,stores[],MATCH(BI$1,stores[#Headers],0),0),"")</f>
        <v/>
      </c>
      <c r="BJ46" s="8" t="str">
        <f>IFERROR(VLOOKUP($AU46,stores[],MATCH(BJ$1,stores[#Headers],0),0),"")</f>
        <v/>
      </c>
    </row>
    <row r="47" spans="1:62" x14ac:dyDescent="0.3">
      <c r="A47" s="8" t="str">
        <v>O1046</v>
      </c>
      <c r="B47" s="8" t="str">
        <v>C013</v>
      </c>
      <c r="C47" s="8" t="str">
        <v>P177</v>
      </c>
      <c r="D47" s="8">
        <v>45576</v>
      </c>
      <c r="E47" s="8">
        <v>1</v>
      </c>
      <c r="F47" s="8">
        <v>29602</v>
      </c>
      <c r="G47" s="8">
        <v>118408</v>
      </c>
      <c r="H47" s="8">
        <v>0.19</v>
      </c>
      <c r="I47" s="8" t="str">
        <v>Cash on Delivery</v>
      </c>
      <c r="J47" s="8" t="str">
        <v>Delivered</v>
      </c>
      <c r="K47" s="8">
        <v>45862</v>
      </c>
      <c r="L47" s="8" t="str">
        <v>Yes</v>
      </c>
      <c r="M47" s="8">
        <v>379</v>
      </c>
      <c r="N47" s="8" t="str">
        <v>Yes</v>
      </c>
      <c r="O47" s="8" t="str">
        <v>No</v>
      </c>
      <c r="P47" s="8" t="str">
        <f t="shared" si="0"/>
        <v>C013</v>
      </c>
      <c r="Q47" s="8" t="str">
        <f>VLOOKUP($B47,customers[],MATCH(Q$1,customers[#Headers],0),0)</f>
        <v>Raksha Mittal</v>
      </c>
      <c r="R47" s="8" t="str">
        <f>VLOOKUP($B47,customers[],MATCH(R$1,customers[#Headers],0),0)</f>
        <v>mistryhemang@example.org</v>
      </c>
      <c r="S47" s="8">
        <f>VLOOKUP($B47,customers[],MATCH(S$1,customers[#Headers],0),0)</f>
        <v>1182449353</v>
      </c>
      <c r="T47" s="8" t="str">
        <f>VLOOKUP($B47,customers[],MATCH(T$1,customers[#Headers],0),0)</f>
        <v>Kolkata</v>
      </c>
      <c r="U47" s="8" t="str">
        <f>VLOOKUP($B47,customers[],MATCH(U$1,customers[#Headers],0),0)</f>
        <v>West Bengal</v>
      </c>
      <c r="V47" s="8">
        <f>VLOOKUP($B47,customers[],MATCH(V$1,customers[#Headers],0),0)</f>
        <v>874016</v>
      </c>
      <c r="W47" s="8" t="str">
        <f>VLOOKUP($B47,customers[],MATCH(W$1,customers[#Headers],0),0)</f>
        <v>Male</v>
      </c>
      <c r="X47" s="8">
        <f>VLOOKUP($B47,customers[],MATCH(X$1,customers[#Headers],0),0)</f>
        <v>28624</v>
      </c>
      <c r="Y47" s="8">
        <f>VLOOKUP($B47,customers[],MATCH(Y$1,customers[#Headers],0),0)</f>
        <v>44164</v>
      </c>
      <c r="Z47" s="8" t="str">
        <f>VLOOKUP($B47,customers[],MATCH(Z$1,customers[#Headers],0),0)</f>
        <v>Grocery</v>
      </c>
      <c r="AA47" s="8">
        <f>VLOOKUP($B47,customers[],MATCH(AA$1,customers[#Headers],0),0)</f>
        <v>6582</v>
      </c>
      <c r="AB47" s="8" t="str">
        <f>VLOOKUP($B47,customers[],MATCH(AB$1,customers[#Headers],0),0)</f>
        <v>Married</v>
      </c>
      <c r="AC47" s="8" t="str">
        <f>VLOOKUP($B47,customers[],MATCH(AC$1,customers[#Headers],0),0)</f>
        <v>Doctor</v>
      </c>
      <c r="AD47" s="8">
        <f>VLOOKUP($B47,customers[],MATCH(AD$1,customers[#Headers],0),0)</f>
        <v>755493</v>
      </c>
      <c r="AE47" s="8" t="str">
        <f t="shared" si="1"/>
        <v>P177</v>
      </c>
      <c r="AF47" s="8" t="str">
        <f>VLOOKUP($AE47,Products[],MATCH(AF$1,Products[#Headers],0),0)</f>
        <v>Inventore Washing Machine</v>
      </c>
      <c r="AG47" s="8" t="str">
        <f>VLOOKUP($AE47,Products[],MATCH(AG$1,Products[#Headers],0),0)</f>
        <v>Home Appliance</v>
      </c>
      <c r="AH47" s="8" t="str">
        <f>VLOOKUP($AE47,Products[],MATCH(AH$1,Products[#Headers],0),0)</f>
        <v>LED</v>
      </c>
      <c r="AI47" s="8" t="str">
        <f>VLOOKUP($AE47,Products[],MATCH(AI$1,Products[#Headers],0),0)</f>
        <v>Kaur, Sanghvi and Chand</v>
      </c>
      <c r="AJ47" s="8">
        <f>VLOOKUP($AE47,Products[],MATCH(AJ$1,Products[#Headers],0),0)</f>
        <v>29602</v>
      </c>
      <c r="AK47" s="8">
        <f>VLOOKUP($AE47,Products[],MATCH(AK$1,Products[#Headers],0),0)</f>
        <v>19</v>
      </c>
      <c r="AL47" s="8">
        <f>VLOOKUP($AE47,Products[],MATCH(AL$1,Products[#Headers],0),0)</f>
        <v>905</v>
      </c>
      <c r="AM47" s="8">
        <f>VLOOKUP($AE47,Products[],MATCH(AM$1,Products[#Headers],0),0)</f>
        <v>24</v>
      </c>
      <c r="AN47" s="8" t="str">
        <f>VLOOKUP($AE47,Products[],MATCH(AN$1,Products[#Headers],0),0)</f>
        <v>India</v>
      </c>
      <c r="AO47" s="8" t="str">
        <f>VLOOKUP($AE47,Products[],MATCH(AO$1,Products[#Headers],0),0)</f>
        <v>No</v>
      </c>
      <c r="AP47" s="8">
        <f>VLOOKUP($AE47,Products[],MATCH(AP$1,Products[#Headers],0),0)</f>
        <v>2.6</v>
      </c>
      <c r="AQ47" s="8">
        <f>VLOOKUP($AE47,Products[],MATCH(AQ$1,Products[#Headers],0),0)</f>
        <v>45852</v>
      </c>
      <c r="AR47" s="8" t="str">
        <f>VLOOKUP($AE47,Products[],MATCH(AR$1,Products[#Headers],0),0)</f>
        <v>No</v>
      </c>
      <c r="AS47" s="8">
        <f>VLOOKUP($AE47,Products[],MATCH(AS$1,Products[#Headers],0),0)</f>
        <v>4863</v>
      </c>
      <c r="AT47" s="8">
        <f>VLOOKUP($AE47,Products[],MATCH(AT$1,Products[#Headers],0),0)</f>
        <v>195</v>
      </c>
      <c r="AU47" s="8">
        <f t="shared" si="2"/>
        <v>195</v>
      </c>
      <c r="AV47" s="8" t="str">
        <f>IFERROR(VLOOKUP($AU47,stores[],MATCH(AV$1,stores[#Headers],0),0),"")</f>
        <v/>
      </c>
      <c r="AW47" s="8" t="str">
        <f>IFERROR(VLOOKUP($AU47,stores[],MATCH(AW$1,stores[#Headers],0),0),"")</f>
        <v/>
      </c>
      <c r="AX47" s="8" t="str">
        <f>IFERROR(VLOOKUP($AU47,stores[],MATCH(AX$1,stores[#Headers],0),0),"")</f>
        <v/>
      </c>
      <c r="AY47" s="8" t="str">
        <f>IFERROR(VLOOKUP($AU47,stores[],MATCH(AY$1,stores[#Headers],0),0),"")</f>
        <v/>
      </c>
      <c r="AZ47" s="8" t="str">
        <f>IFERROR(VLOOKUP($AU47,stores[],MATCH(AZ$1,stores[#Headers],0),0),"")</f>
        <v/>
      </c>
      <c r="BA47" s="8" t="str">
        <f>IFERROR(VLOOKUP($AU47,stores[],MATCH(BA$1,stores[#Headers],0),0),"")</f>
        <v/>
      </c>
      <c r="BB47" s="8" t="str">
        <f>IFERROR(VLOOKUP($AU47,stores[],MATCH(BB$1,stores[#Headers],0),0),"")</f>
        <v/>
      </c>
      <c r="BC47" s="8" t="str">
        <f>IFERROR(VLOOKUP($AU47,stores[],MATCH(BC$1,stores[#Headers],0),0),"")</f>
        <v/>
      </c>
      <c r="BD47" s="8" t="str">
        <f>IFERROR(VLOOKUP($AU47,stores[],MATCH(BD$1,stores[#Headers],0),0),"")</f>
        <v/>
      </c>
      <c r="BE47" s="8" t="str">
        <f>IFERROR(VLOOKUP($AU47,stores[],MATCH(BE$1,stores[#Headers],0),0),"")</f>
        <v/>
      </c>
      <c r="BF47" s="8" t="str">
        <f>IFERROR(VLOOKUP($AU47,stores[],MATCH(BF$1,stores[#Headers],0),0),"")</f>
        <v/>
      </c>
      <c r="BG47" s="8" t="str">
        <f>IFERROR(VLOOKUP($AU47,stores[],MATCH(BG$1,stores[#Headers],0),0),"")</f>
        <v/>
      </c>
      <c r="BH47" s="8" t="str">
        <f>IFERROR(VLOOKUP($AU47,stores[],MATCH(BH$1,stores[#Headers],0),0),"")</f>
        <v/>
      </c>
      <c r="BI47" s="8" t="str">
        <f>IFERROR(VLOOKUP($AU47,stores[],MATCH(BI$1,stores[#Headers],0),0),"")</f>
        <v/>
      </c>
      <c r="BJ47" s="8" t="str">
        <f>IFERROR(VLOOKUP($AU47,stores[],MATCH(BJ$1,stores[#Headers],0),0),"")</f>
        <v/>
      </c>
    </row>
    <row r="48" spans="1:62" x14ac:dyDescent="0.3">
      <c r="A48" s="8" t="str">
        <v>O1047</v>
      </c>
      <c r="B48" s="8" t="str">
        <v>C057</v>
      </c>
      <c r="C48" s="8" t="str">
        <v>P130</v>
      </c>
      <c r="D48" s="8">
        <v>45585</v>
      </c>
      <c r="E48" s="8">
        <v>5</v>
      </c>
      <c r="F48" s="8">
        <v>50486</v>
      </c>
      <c r="G48" s="8">
        <v>100972</v>
      </c>
      <c r="H48" s="8">
        <v>0.23</v>
      </c>
      <c r="I48" s="8" t="str">
        <v>Credit Card</v>
      </c>
      <c r="J48" s="8" t="str">
        <v>Shipped</v>
      </c>
      <c r="K48" s="8">
        <v>45865</v>
      </c>
      <c r="L48" s="8" t="str">
        <v>No</v>
      </c>
      <c r="M48" s="8">
        <v>119</v>
      </c>
      <c r="N48" s="8" t="str">
        <v>No</v>
      </c>
      <c r="O48" s="8" t="str">
        <v>No</v>
      </c>
      <c r="P48" s="8" t="str">
        <f t="shared" si="0"/>
        <v>C057</v>
      </c>
      <c r="Q48" s="8" t="str">
        <f>VLOOKUP($B48,customers[],MATCH(Q$1,customers[#Headers],0),0)</f>
        <v>Vamakshi Thaker</v>
      </c>
      <c r="R48" s="8" t="str">
        <f>VLOOKUP($B48,customers[],MATCH(R$1,customers[#Headers],0),0)</f>
        <v>davidseshadri@example.org</v>
      </c>
      <c r="S48" s="8">
        <f>VLOOKUP($B48,customers[],MATCH(S$1,customers[#Headers],0),0)</f>
        <v>1820377889</v>
      </c>
      <c r="T48" s="8" t="str">
        <f>VLOOKUP($B48,customers[],MATCH(T$1,customers[#Headers],0),0)</f>
        <v>Hyderabad</v>
      </c>
      <c r="U48" s="8" t="str">
        <f>VLOOKUP($B48,customers[],MATCH(U$1,customers[#Headers],0),0)</f>
        <v>Telangana</v>
      </c>
      <c r="V48" s="8">
        <f>VLOOKUP($B48,customers[],MATCH(V$1,customers[#Headers],0),0)</f>
        <v>554665</v>
      </c>
      <c r="W48" s="8" t="str">
        <f>VLOOKUP($B48,customers[],MATCH(W$1,customers[#Headers],0),0)</f>
        <v>Female</v>
      </c>
      <c r="X48" s="8">
        <f>VLOOKUP($B48,customers[],MATCH(X$1,customers[#Headers],0),0)</f>
        <v>38622</v>
      </c>
      <c r="Y48" s="8">
        <f>VLOOKUP($B48,customers[],MATCH(Y$1,customers[#Headers],0),0)</f>
        <v>44190</v>
      </c>
      <c r="Z48" s="8" t="str">
        <f>VLOOKUP($B48,customers[],MATCH(Z$1,customers[#Headers],0),0)</f>
        <v>Fashion</v>
      </c>
      <c r="AA48" s="8">
        <f>VLOOKUP($B48,customers[],MATCH(AA$1,customers[#Headers],0),0)</f>
        <v>4664</v>
      </c>
      <c r="AB48" s="8" t="str">
        <f>VLOOKUP($B48,customers[],MATCH(AB$1,customers[#Headers],0),0)</f>
        <v>Single</v>
      </c>
      <c r="AC48" s="8" t="str">
        <f>VLOOKUP($B48,customers[],MATCH(AC$1,customers[#Headers],0),0)</f>
        <v>Teacher</v>
      </c>
      <c r="AD48" s="8">
        <f>VLOOKUP($B48,customers[],MATCH(AD$1,customers[#Headers],0),0)</f>
        <v>936406</v>
      </c>
      <c r="AE48" s="8" t="str">
        <f t="shared" si="1"/>
        <v>P130</v>
      </c>
      <c r="AF48" s="8" t="str">
        <f>VLOOKUP($AE48,Products[],MATCH(AF$1,Products[#Headers],0),0)</f>
        <v>Quod TV</v>
      </c>
      <c r="AG48" s="8" t="str">
        <f>VLOOKUP($AE48,Products[],MATCH(AG$1,Products[#Headers],0),0)</f>
        <v>Grocery</v>
      </c>
      <c r="AH48" s="8" t="str">
        <f>VLOOKUP($AE48,Products[],MATCH(AH$1,Products[#Headers],0),0)</f>
        <v>Smart</v>
      </c>
      <c r="AI48" s="8" t="str">
        <f>VLOOKUP($AE48,Products[],MATCH(AI$1,Products[#Headers],0),0)</f>
        <v>Narayanan PLC</v>
      </c>
      <c r="AJ48" s="8">
        <f>VLOOKUP($AE48,Products[],MATCH(AJ$1,Products[#Headers],0),0)</f>
        <v>50486</v>
      </c>
      <c r="AK48" s="8">
        <f>VLOOKUP($AE48,Products[],MATCH(AK$1,Products[#Headers],0),0)</f>
        <v>23</v>
      </c>
      <c r="AL48" s="8">
        <f>VLOOKUP($AE48,Products[],MATCH(AL$1,Products[#Headers],0),0)</f>
        <v>367</v>
      </c>
      <c r="AM48" s="8">
        <f>VLOOKUP($AE48,Products[],MATCH(AM$1,Products[#Headers],0),0)</f>
        <v>24</v>
      </c>
      <c r="AN48" s="8" t="str">
        <f>VLOOKUP($AE48,Products[],MATCH(AN$1,Products[#Headers],0),0)</f>
        <v>Vietnam</v>
      </c>
      <c r="AO48" s="8" t="str">
        <f>VLOOKUP($AE48,Products[],MATCH(AO$1,Products[#Headers],0),0)</f>
        <v>Yes</v>
      </c>
      <c r="AP48" s="8">
        <f>VLOOKUP($AE48,Products[],MATCH(AP$1,Products[#Headers],0),0)</f>
        <v>4.9000000000000004</v>
      </c>
      <c r="AQ48" s="8">
        <f>VLOOKUP($AE48,Products[],MATCH(AQ$1,Products[#Headers],0),0)</f>
        <v>45421</v>
      </c>
      <c r="AR48" s="8" t="str">
        <f>VLOOKUP($AE48,Products[],MATCH(AR$1,Products[#Headers],0),0)</f>
        <v>No</v>
      </c>
      <c r="AS48" s="8">
        <f>VLOOKUP($AE48,Products[],MATCH(AS$1,Products[#Headers],0),0)</f>
        <v>5498</v>
      </c>
      <c r="AT48" s="8">
        <f>VLOOKUP($AE48,Products[],MATCH(AT$1,Products[#Headers],0),0)</f>
        <v>62</v>
      </c>
      <c r="AU48" s="8">
        <f t="shared" si="2"/>
        <v>62</v>
      </c>
      <c r="AV48" s="8" t="str">
        <f>IFERROR(VLOOKUP($AU48,stores[],MATCH(AV$1,stores[#Headers],0),0),"")</f>
        <v>S062</v>
      </c>
      <c r="AW48" s="8" t="str">
        <f>IFERROR(VLOOKUP($AU48,stores[],MATCH(AW$1,stores[#Headers],0),0),"")</f>
        <v>Lata Group Mart</v>
      </c>
      <c r="AX48" s="8" t="str">
        <f>IFERROR(VLOOKUP($AU48,stores[],MATCH(AX$1,stores[#Headers],0),0),"")</f>
        <v>Delhi</v>
      </c>
      <c r="AY48" s="8" t="str">
        <f>IFERROR(VLOOKUP($AU48,stores[],MATCH(AY$1,stores[#Headers],0),0),"")</f>
        <v>Delhi</v>
      </c>
      <c r="AZ48" s="8">
        <f>IFERROR(VLOOKUP($AU48,stores[],MATCH(AZ$1,stores[#Headers],0),0),"")</f>
        <v>872346</v>
      </c>
      <c r="BA48" s="8" t="str">
        <f>IFERROR(VLOOKUP($AU48,stores[],MATCH(BA$1,stores[#Headers],0),0),"")</f>
        <v>Jairaj Kothari</v>
      </c>
      <c r="BB48" s="8">
        <f>IFERROR(VLOOKUP($AU48,stores[],MATCH(BB$1,stores[#Headers],0),0),"")</f>
        <v>2014</v>
      </c>
      <c r="BC48" s="8">
        <f>IFERROR(VLOOKUP($AU48,stores[],MATCH(BC$1,stores[#Headers],0),0),"")</f>
        <v>11</v>
      </c>
      <c r="BD48" s="8">
        <f>IFERROR(VLOOKUP($AU48,stores[],MATCH(BD$1,stores[#Headers],0),0),"")</f>
        <v>6504</v>
      </c>
      <c r="BE48" s="8">
        <f>IFERROR(VLOOKUP($AU48,stores[],MATCH(BE$1,stores[#Headers],0),0),"")</f>
        <v>4.8</v>
      </c>
      <c r="BF48" s="8" t="str">
        <f>IFERROR(VLOOKUP($AU48,stores[],MATCH(BF$1,stores[#Headers],0),0),"")</f>
        <v>No</v>
      </c>
      <c r="BG48" s="8">
        <f>IFERROR(VLOOKUP($AU48,stores[],MATCH(BG$1,stores[#Headers],0),0),"")</f>
        <v>3735</v>
      </c>
      <c r="BH48" s="8" t="str">
        <f>IFERROR(VLOOKUP($AU48,stores[],MATCH(BH$1,stores[#Headers],0),0),"")</f>
        <v>Franchise</v>
      </c>
      <c r="BI48" s="8">
        <f>IFERROR(VLOOKUP($AU48,stores[],MATCH(BI$1,stores[#Headers],0),0),"")</f>
        <v>7303718376</v>
      </c>
      <c r="BJ48" s="8" t="str">
        <f>IFERROR(VLOOKUP($AU48,stores[],MATCH(BJ$1,stores[#Headers],0),0),"")</f>
        <v>ekantika20@verma.info</v>
      </c>
    </row>
    <row r="49" spans="1:62" x14ac:dyDescent="0.3">
      <c r="A49" s="8" t="str">
        <v>O1048</v>
      </c>
      <c r="B49" s="8" t="str">
        <v>C031</v>
      </c>
      <c r="C49" s="8" t="str">
        <v>P139</v>
      </c>
      <c r="D49" s="8">
        <v>45844</v>
      </c>
      <c r="E49" s="8">
        <v>2</v>
      </c>
      <c r="F49" s="8">
        <v>49066</v>
      </c>
      <c r="G49" s="8">
        <v>245330</v>
      </c>
      <c r="H49" s="8">
        <v>0.11</v>
      </c>
      <c r="I49" s="8" t="str">
        <v>Debit Card</v>
      </c>
      <c r="J49" s="8" t="str">
        <v>Cancelled</v>
      </c>
      <c r="K49" s="8">
        <v>45862</v>
      </c>
      <c r="L49" s="8" t="str">
        <v>No</v>
      </c>
      <c r="M49" s="8">
        <v>140</v>
      </c>
      <c r="N49" s="8" t="str">
        <v>Yes</v>
      </c>
      <c r="O49" s="8" t="str">
        <v>Yes</v>
      </c>
      <c r="P49" s="8" t="str">
        <f t="shared" si="0"/>
        <v>C031</v>
      </c>
      <c r="Q49" s="8" t="str">
        <f>VLOOKUP($B49,customers[],MATCH(Q$1,customers[#Headers],0),0)</f>
        <v>Finn Dugar</v>
      </c>
      <c r="R49" s="8" t="str">
        <f>VLOOKUP($B49,customers[],MATCH(R$1,customers[#Headers],0),0)</f>
        <v>oscarborde@example.org</v>
      </c>
      <c r="S49" s="8">
        <f>VLOOKUP($B49,customers[],MATCH(S$1,customers[#Headers],0),0)</f>
        <v>916797403447</v>
      </c>
      <c r="T49" s="8" t="str">
        <f>VLOOKUP($B49,customers[],MATCH(T$1,customers[#Headers],0),0)</f>
        <v>Mumbai</v>
      </c>
      <c r="U49" s="8" t="str">
        <f>VLOOKUP($B49,customers[],MATCH(U$1,customers[#Headers],0),0)</f>
        <v>Maharashtra</v>
      </c>
      <c r="V49" s="8">
        <f>VLOOKUP($B49,customers[],MATCH(V$1,customers[#Headers],0),0)</f>
        <v>349361</v>
      </c>
      <c r="W49" s="8" t="str">
        <f>VLOOKUP($B49,customers[],MATCH(W$1,customers[#Headers],0),0)</f>
        <v>Male</v>
      </c>
      <c r="X49" s="8">
        <f>VLOOKUP($B49,customers[],MATCH(X$1,customers[#Headers],0),0)</f>
        <v>35283</v>
      </c>
      <c r="Y49" s="8">
        <f>VLOOKUP($B49,customers[],MATCH(Y$1,customers[#Headers],0),0)</f>
        <v>44726</v>
      </c>
      <c r="Z49" s="8" t="str">
        <f>VLOOKUP($B49,customers[],MATCH(Z$1,customers[#Headers],0),0)</f>
        <v>Grocery</v>
      </c>
      <c r="AA49" s="8">
        <f>VLOOKUP($B49,customers[],MATCH(AA$1,customers[#Headers],0),0)</f>
        <v>5659</v>
      </c>
      <c r="AB49" s="8" t="str">
        <f>VLOOKUP($B49,customers[],MATCH(AB$1,customers[#Headers],0),0)</f>
        <v>Single</v>
      </c>
      <c r="AC49" s="8" t="str">
        <f>VLOOKUP($B49,customers[],MATCH(AC$1,customers[#Headers],0),0)</f>
        <v>Doctor</v>
      </c>
      <c r="AD49" s="8">
        <f>VLOOKUP($B49,customers[],MATCH(AD$1,customers[#Headers],0),0)</f>
        <v>601793</v>
      </c>
      <c r="AE49" s="8" t="str">
        <f t="shared" si="1"/>
        <v>P139</v>
      </c>
      <c r="AF49" s="8" t="str">
        <f>VLOOKUP($AE49,Products[],MATCH(AF$1,Products[#Headers],0),0)</f>
        <v>Officia TV</v>
      </c>
      <c r="AG49" s="8" t="str">
        <f>VLOOKUP($AE49,Products[],MATCH(AG$1,Products[#Headers],0),0)</f>
        <v>Fashion</v>
      </c>
      <c r="AH49" s="8" t="str">
        <f>VLOOKUP($AE49,Products[],MATCH(AH$1,Products[#Headers],0),0)</f>
        <v>Notebook</v>
      </c>
      <c r="AI49" s="8" t="str">
        <f>VLOOKUP($AE49,Products[],MATCH(AI$1,Products[#Headers],0),0)</f>
        <v>Gera, Mishra and Chad</v>
      </c>
      <c r="AJ49" s="8">
        <f>VLOOKUP($AE49,Products[],MATCH(AJ$1,Products[#Headers],0),0)</f>
        <v>49066</v>
      </c>
      <c r="AK49" s="8">
        <f>VLOOKUP($AE49,Products[],MATCH(AK$1,Products[#Headers],0),0)</f>
        <v>11</v>
      </c>
      <c r="AL49" s="8">
        <f>VLOOKUP($AE49,Products[],MATCH(AL$1,Products[#Headers],0),0)</f>
        <v>454</v>
      </c>
      <c r="AM49" s="8">
        <f>VLOOKUP($AE49,Products[],MATCH(AM$1,Products[#Headers],0),0)</f>
        <v>36</v>
      </c>
      <c r="AN49" s="8" t="str">
        <f>VLOOKUP($AE49,Products[],MATCH(AN$1,Products[#Headers],0),0)</f>
        <v>China</v>
      </c>
      <c r="AO49" s="8" t="str">
        <f>VLOOKUP($AE49,Products[],MATCH(AO$1,Products[#Headers],0),0)</f>
        <v>No</v>
      </c>
      <c r="AP49" s="8">
        <f>VLOOKUP($AE49,Products[],MATCH(AP$1,Products[#Headers],0),0)</f>
        <v>2.7</v>
      </c>
      <c r="AQ49" s="8">
        <f>VLOOKUP($AE49,Products[],MATCH(AQ$1,Products[#Headers],0),0)</f>
        <v>45803</v>
      </c>
      <c r="AR49" s="8" t="str">
        <f>VLOOKUP($AE49,Products[],MATCH(AR$1,Products[#Headers],0),0)</f>
        <v>No</v>
      </c>
      <c r="AS49" s="8">
        <f>VLOOKUP($AE49,Products[],MATCH(AS$1,Products[#Headers],0),0)</f>
        <v>9921</v>
      </c>
      <c r="AT49" s="8">
        <f>VLOOKUP($AE49,Products[],MATCH(AT$1,Products[#Headers],0),0)</f>
        <v>131</v>
      </c>
      <c r="AU49" s="8">
        <f t="shared" si="2"/>
        <v>131</v>
      </c>
      <c r="AV49" s="8" t="str">
        <f>IFERROR(VLOOKUP($AU49,stores[],MATCH(AV$1,stores[#Headers],0),0),"")</f>
        <v/>
      </c>
      <c r="AW49" s="8" t="str">
        <f>IFERROR(VLOOKUP($AU49,stores[],MATCH(AW$1,stores[#Headers],0),0),"")</f>
        <v/>
      </c>
      <c r="AX49" s="8" t="str">
        <f>IFERROR(VLOOKUP($AU49,stores[],MATCH(AX$1,stores[#Headers],0),0),"")</f>
        <v/>
      </c>
      <c r="AY49" s="8" t="str">
        <f>IFERROR(VLOOKUP($AU49,stores[],MATCH(AY$1,stores[#Headers],0),0),"")</f>
        <v/>
      </c>
      <c r="AZ49" s="8" t="str">
        <f>IFERROR(VLOOKUP($AU49,stores[],MATCH(AZ$1,stores[#Headers],0),0),"")</f>
        <v/>
      </c>
      <c r="BA49" s="8" t="str">
        <f>IFERROR(VLOOKUP($AU49,stores[],MATCH(BA$1,stores[#Headers],0),0),"")</f>
        <v/>
      </c>
      <c r="BB49" s="8" t="str">
        <f>IFERROR(VLOOKUP($AU49,stores[],MATCH(BB$1,stores[#Headers],0),0),"")</f>
        <v/>
      </c>
      <c r="BC49" s="8" t="str">
        <f>IFERROR(VLOOKUP($AU49,stores[],MATCH(BC$1,stores[#Headers],0),0),"")</f>
        <v/>
      </c>
      <c r="BD49" s="8" t="str">
        <f>IFERROR(VLOOKUP($AU49,stores[],MATCH(BD$1,stores[#Headers],0),0),"")</f>
        <v/>
      </c>
      <c r="BE49" s="8" t="str">
        <f>IFERROR(VLOOKUP($AU49,stores[],MATCH(BE$1,stores[#Headers],0),0),"")</f>
        <v/>
      </c>
      <c r="BF49" s="8" t="str">
        <f>IFERROR(VLOOKUP($AU49,stores[],MATCH(BF$1,stores[#Headers],0),0),"")</f>
        <v/>
      </c>
      <c r="BG49" s="8" t="str">
        <f>IFERROR(VLOOKUP($AU49,stores[],MATCH(BG$1,stores[#Headers],0),0),"")</f>
        <v/>
      </c>
      <c r="BH49" s="8" t="str">
        <f>IFERROR(VLOOKUP($AU49,stores[],MATCH(BH$1,stores[#Headers],0),0),"")</f>
        <v/>
      </c>
      <c r="BI49" s="8" t="str">
        <f>IFERROR(VLOOKUP($AU49,stores[],MATCH(BI$1,stores[#Headers],0),0),"")</f>
        <v/>
      </c>
      <c r="BJ49" s="8" t="str">
        <f>IFERROR(VLOOKUP($AU49,stores[],MATCH(BJ$1,stores[#Headers],0),0),"")</f>
        <v/>
      </c>
    </row>
    <row r="50" spans="1:62" x14ac:dyDescent="0.3">
      <c r="A50" s="8" t="str">
        <v>O1049</v>
      </c>
      <c r="B50" s="8" t="str">
        <v>C081</v>
      </c>
      <c r="C50" s="8" t="str">
        <v>P187</v>
      </c>
      <c r="D50" s="8">
        <v>45594</v>
      </c>
      <c r="E50" s="8">
        <v>4</v>
      </c>
      <c r="F50" s="8">
        <v>52931</v>
      </c>
      <c r="G50" s="8">
        <v>264655</v>
      </c>
      <c r="H50" s="8">
        <v>0.28000000000000003</v>
      </c>
      <c r="I50" s="8" t="str">
        <v>Net Banking</v>
      </c>
      <c r="J50" s="8" t="str">
        <v>Delivered</v>
      </c>
      <c r="K50" s="8">
        <v>45856</v>
      </c>
      <c r="L50" s="8" t="str">
        <v>No</v>
      </c>
      <c r="M50" s="8">
        <v>482</v>
      </c>
      <c r="N50" s="8" t="str">
        <v>No</v>
      </c>
      <c r="O50" s="8" t="str">
        <v>No</v>
      </c>
      <c r="P50" s="8" t="str">
        <f t="shared" si="0"/>
        <v>C081</v>
      </c>
      <c r="Q50" s="8" t="str">
        <f>VLOOKUP($B50,customers[],MATCH(Q$1,customers[#Headers],0),0)</f>
        <v>Upkaar Kaul</v>
      </c>
      <c r="R50" s="8" t="str">
        <f>VLOOKUP($B50,customers[],MATCH(R$1,customers[#Headers],0),0)</f>
        <v>chaudhryodika@example.com</v>
      </c>
      <c r="S50" s="8">
        <f>VLOOKUP($B50,customers[],MATCH(S$1,customers[#Headers],0),0)</f>
        <v>7120826773</v>
      </c>
      <c r="T50" s="8" t="str">
        <f>VLOOKUP($B50,customers[],MATCH(T$1,customers[#Headers],0),0)</f>
        <v>Delhi</v>
      </c>
      <c r="U50" s="8" t="str">
        <f>VLOOKUP($B50,customers[],MATCH(U$1,customers[#Headers],0),0)</f>
        <v>Delhi</v>
      </c>
      <c r="V50" s="8">
        <f>VLOOKUP($B50,customers[],MATCH(V$1,customers[#Headers],0),0)</f>
        <v>540193</v>
      </c>
      <c r="W50" s="8" t="str">
        <f>VLOOKUP($B50,customers[],MATCH(W$1,customers[#Headers],0),0)</f>
        <v>Female</v>
      </c>
      <c r="X50" s="8">
        <f>VLOOKUP($B50,customers[],MATCH(X$1,customers[#Headers],0),0)</f>
        <v>35049</v>
      </c>
      <c r="Y50" s="8">
        <f>VLOOKUP($B50,customers[],MATCH(Y$1,customers[#Headers],0),0)</f>
        <v>44143</v>
      </c>
      <c r="Z50" s="8" t="str">
        <f>VLOOKUP($B50,customers[],MATCH(Z$1,customers[#Headers],0),0)</f>
        <v>Fashion</v>
      </c>
      <c r="AA50" s="8">
        <f>VLOOKUP($B50,customers[],MATCH(AA$1,customers[#Headers],0),0)</f>
        <v>6724</v>
      </c>
      <c r="AB50" s="8" t="str">
        <f>VLOOKUP($B50,customers[],MATCH(AB$1,customers[#Headers],0),0)</f>
        <v>Single</v>
      </c>
      <c r="AC50" s="8" t="str">
        <f>VLOOKUP($B50,customers[],MATCH(AC$1,customers[#Headers],0),0)</f>
        <v>Business</v>
      </c>
      <c r="AD50" s="8">
        <f>VLOOKUP($B50,customers[],MATCH(AD$1,customers[#Headers],0),0)</f>
        <v>467654</v>
      </c>
      <c r="AE50" s="8" t="str">
        <f t="shared" si="1"/>
        <v>P187</v>
      </c>
      <c r="AF50" s="8" t="str">
        <f>VLOOKUP($AE50,Products[],MATCH(AF$1,Products[#Headers],0),0)</f>
        <v>Commodi Phone</v>
      </c>
      <c r="AG50" s="8" t="str">
        <f>VLOOKUP($AE50,Products[],MATCH(AG$1,Products[#Headers],0),0)</f>
        <v>Electronics</v>
      </c>
      <c r="AH50" s="8" t="str">
        <f>VLOOKUP($AE50,Products[],MATCH(AH$1,Products[#Headers],0),0)</f>
        <v>Android</v>
      </c>
      <c r="AI50" s="8" t="str">
        <f>VLOOKUP($AE50,Products[],MATCH(AI$1,Products[#Headers],0),0)</f>
        <v>Dey Inc</v>
      </c>
      <c r="AJ50" s="8">
        <f>VLOOKUP($AE50,Products[],MATCH(AJ$1,Products[#Headers],0),0)</f>
        <v>52931</v>
      </c>
      <c r="AK50" s="8">
        <f>VLOOKUP($AE50,Products[],MATCH(AK$1,Products[#Headers],0),0)</f>
        <v>28</v>
      </c>
      <c r="AL50" s="8">
        <f>VLOOKUP($AE50,Products[],MATCH(AL$1,Products[#Headers],0),0)</f>
        <v>450</v>
      </c>
      <c r="AM50" s="8">
        <f>VLOOKUP($AE50,Products[],MATCH(AM$1,Products[#Headers],0),0)</f>
        <v>36</v>
      </c>
      <c r="AN50" s="8" t="str">
        <f>VLOOKUP($AE50,Products[],MATCH(AN$1,Products[#Headers],0),0)</f>
        <v>Vietnam</v>
      </c>
      <c r="AO50" s="8" t="str">
        <f>VLOOKUP($AE50,Products[],MATCH(AO$1,Products[#Headers],0),0)</f>
        <v>Yes</v>
      </c>
      <c r="AP50" s="8">
        <f>VLOOKUP($AE50,Products[],MATCH(AP$1,Products[#Headers],0),0)</f>
        <v>3.7</v>
      </c>
      <c r="AQ50" s="8">
        <f>VLOOKUP($AE50,Products[],MATCH(AQ$1,Products[#Headers],0),0)</f>
        <v>45674</v>
      </c>
      <c r="AR50" s="8" t="str">
        <f>VLOOKUP($AE50,Products[],MATCH(AR$1,Products[#Headers],0),0)</f>
        <v>No</v>
      </c>
      <c r="AS50" s="8">
        <f>VLOOKUP($AE50,Products[],MATCH(AS$1,Products[#Headers],0),0)</f>
        <v>7019</v>
      </c>
      <c r="AT50" s="8">
        <f>VLOOKUP($AE50,Products[],MATCH(AT$1,Products[#Headers],0),0)</f>
        <v>148</v>
      </c>
      <c r="AU50" s="8">
        <f t="shared" si="2"/>
        <v>148</v>
      </c>
      <c r="AV50" s="8" t="str">
        <f>IFERROR(VLOOKUP($AU50,stores[],MATCH(AV$1,stores[#Headers],0),0),"")</f>
        <v/>
      </c>
      <c r="AW50" s="8" t="str">
        <f>IFERROR(VLOOKUP($AU50,stores[],MATCH(AW$1,stores[#Headers],0),0),"")</f>
        <v/>
      </c>
      <c r="AX50" s="8" t="str">
        <f>IFERROR(VLOOKUP($AU50,stores[],MATCH(AX$1,stores[#Headers],0),0),"")</f>
        <v/>
      </c>
      <c r="AY50" s="8" t="str">
        <f>IFERROR(VLOOKUP($AU50,stores[],MATCH(AY$1,stores[#Headers],0),0),"")</f>
        <v/>
      </c>
      <c r="AZ50" s="8" t="str">
        <f>IFERROR(VLOOKUP($AU50,stores[],MATCH(AZ$1,stores[#Headers],0),0),"")</f>
        <v/>
      </c>
      <c r="BA50" s="8" t="str">
        <f>IFERROR(VLOOKUP($AU50,stores[],MATCH(BA$1,stores[#Headers],0),0),"")</f>
        <v/>
      </c>
      <c r="BB50" s="8" t="str">
        <f>IFERROR(VLOOKUP($AU50,stores[],MATCH(BB$1,stores[#Headers],0),0),"")</f>
        <v/>
      </c>
      <c r="BC50" s="8" t="str">
        <f>IFERROR(VLOOKUP($AU50,stores[],MATCH(BC$1,stores[#Headers],0),0),"")</f>
        <v/>
      </c>
      <c r="BD50" s="8" t="str">
        <f>IFERROR(VLOOKUP($AU50,stores[],MATCH(BD$1,stores[#Headers],0),0),"")</f>
        <v/>
      </c>
      <c r="BE50" s="8" t="str">
        <f>IFERROR(VLOOKUP($AU50,stores[],MATCH(BE$1,stores[#Headers],0),0),"")</f>
        <v/>
      </c>
      <c r="BF50" s="8" t="str">
        <f>IFERROR(VLOOKUP($AU50,stores[],MATCH(BF$1,stores[#Headers],0),0),"")</f>
        <v/>
      </c>
      <c r="BG50" s="8" t="str">
        <f>IFERROR(VLOOKUP($AU50,stores[],MATCH(BG$1,stores[#Headers],0),0),"")</f>
        <v/>
      </c>
      <c r="BH50" s="8" t="str">
        <f>IFERROR(VLOOKUP($AU50,stores[],MATCH(BH$1,stores[#Headers],0),0),"")</f>
        <v/>
      </c>
      <c r="BI50" s="8" t="str">
        <f>IFERROR(VLOOKUP($AU50,stores[],MATCH(BI$1,stores[#Headers],0),0),"")</f>
        <v/>
      </c>
      <c r="BJ50" s="8" t="str">
        <f>IFERROR(VLOOKUP($AU50,stores[],MATCH(BJ$1,stores[#Headers],0),0),"")</f>
        <v/>
      </c>
    </row>
    <row r="51" spans="1:62" x14ac:dyDescent="0.3">
      <c r="A51" s="8" t="str">
        <v>O1050</v>
      </c>
      <c r="B51" s="8" t="str">
        <v>C090</v>
      </c>
      <c r="C51" s="8" t="str">
        <v>P154</v>
      </c>
      <c r="D51" s="8">
        <v>45710</v>
      </c>
      <c r="E51" s="8">
        <v>4</v>
      </c>
      <c r="F51" s="8">
        <v>74895</v>
      </c>
      <c r="G51" s="8">
        <v>149790</v>
      </c>
      <c r="H51" s="8">
        <v>0.24</v>
      </c>
      <c r="I51" s="8" t="str">
        <v>UPI</v>
      </c>
      <c r="J51" s="8" t="str">
        <v>Cancelled</v>
      </c>
      <c r="K51" s="8">
        <v>45864</v>
      </c>
      <c r="L51" s="8" t="str">
        <v>Yes</v>
      </c>
      <c r="M51" s="8">
        <v>386</v>
      </c>
      <c r="N51" s="8" t="str">
        <v>No</v>
      </c>
      <c r="O51" s="8" t="str">
        <v>Yes</v>
      </c>
      <c r="P51" s="8" t="str">
        <f t="shared" si="0"/>
        <v>C090</v>
      </c>
      <c r="Q51" s="8" t="str">
        <f>VLOOKUP($B51,customers[],MATCH(Q$1,customers[#Headers],0),0)</f>
        <v>Champak Padmanabhan</v>
      </c>
      <c r="R51" s="8" t="str">
        <f>VLOOKUP($B51,customers[],MATCH(R$1,customers[#Headers],0),0)</f>
        <v>uvohra@example.net</v>
      </c>
      <c r="S51" s="8">
        <f>VLOOKUP($B51,customers[],MATCH(S$1,customers[#Headers],0),0)</f>
        <v>6246287334</v>
      </c>
      <c r="T51" s="8" t="str">
        <f>VLOOKUP($B51,customers[],MATCH(T$1,customers[#Headers],0),0)</f>
        <v>Jaipur</v>
      </c>
      <c r="U51" s="8" t="str">
        <f>VLOOKUP($B51,customers[],MATCH(U$1,customers[#Headers],0),0)</f>
        <v>Rajasthan</v>
      </c>
      <c r="V51" s="8">
        <f>VLOOKUP($B51,customers[],MATCH(V$1,customers[#Headers],0),0)</f>
        <v>708668</v>
      </c>
      <c r="W51" s="8" t="str">
        <f>VLOOKUP($B51,customers[],MATCH(W$1,customers[#Headers],0),0)</f>
        <v>Female</v>
      </c>
      <c r="X51" s="8">
        <f>VLOOKUP($B51,customers[],MATCH(X$1,customers[#Headers],0),0)</f>
        <v>34921</v>
      </c>
      <c r="Y51" s="8">
        <f>VLOOKUP($B51,customers[],MATCH(Y$1,customers[#Headers],0),0)</f>
        <v>44444</v>
      </c>
      <c r="Z51" s="8" t="str">
        <f>VLOOKUP($B51,customers[],MATCH(Z$1,customers[#Headers],0),0)</f>
        <v>Home Appliance</v>
      </c>
      <c r="AA51" s="8">
        <f>VLOOKUP($B51,customers[],MATCH(AA$1,customers[#Headers],0),0)</f>
        <v>1345</v>
      </c>
      <c r="AB51" s="8" t="str">
        <f>VLOOKUP($B51,customers[],MATCH(AB$1,customers[#Headers],0),0)</f>
        <v>Single</v>
      </c>
      <c r="AC51" s="8" t="str">
        <f>VLOOKUP($B51,customers[],MATCH(AC$1,customers[#Headers],0),0)</f>
        <v>Engineer</v>
      </c>
      <c r="AD51" s="8">
        <f>VLOOKUP($B51,customers[],MATCH(AD$1,customers[#Headers],0),0)</f>
        <v>1662119</v>
      </c>
      <c r="AE51" s="8" t="str">
        <f t="shared" si="1"/>
        <v>P154</v>
      </c>
      <c r="AF51" s="8" t="str">
        <f>VLOOKUP($AE51,Products[],MATCH(AF$1,Products[#Headers],0),0)</f>
        <v>Nisi Laptop</v>
      </c>
      <c r="AG51" s="8" t="str">
        <f>VLOOKUP($AE51,Products[],MATCH(AG$1,Products[#Headers],0),0)</f>
        <v>Fashion</v>
      </c>
      <c r="AH51" s="8" t="str">
        <f>VLOOKUP($AE51,Products[],MATCH(AH$1,Products[#Headers],0),0)</f>
        <v>Cotton</v>
      </c>
      <c r="AI51" s="8" t="str">
        <f>VLOOKUP($AE51,Products[],MATCH(AI$1,Products[#Headers],0),0)</f>
        <v>Kota LLC</v>
      </c>
      <c r="AJ51" s="8">
        <f>VLOOKUP($AE51,Products[],MATCH(AJ$1,Products[#Headers],0),0)</f>
        <v>74895</v>
      </c>
      <c r="AK51" s="8">
        <f>VLOOKUP($AE51,Products[],MATCH(AK$1,Products[#Headers],0),0)</f>
        <v>24</v>
      </c>
      <c r="AL51" s="8">
        <f>VLOOKUP($AE51,Products[],MATCH(AL$1,Products[#Headers],0),0)</f>
        <v>86</v>
      </c>
      <c r="AM51" s="8">
        <f>VLOOKUP($AE51,Products[],MATCH(AM$1,Products[#Headers],0),0)</f>
        <v>6</v>
      </c>
      <c r="AN51" s="8" t="str">
        <f>VLOOKUP($AE51,Products[],MATCH(AN$1,Products[#Headers],0),0)</f>
        <v>China</v>
      </c>
      <c r="AO51" s="8" t="str">
        <f>VLOOKUP($AE51,Products[],MATCH(AO$1,Products[#Headers],0),0)</f>
        <v>Yes</v>
      </c>
      <c r="AP51" s="8">
        <f>VLOOKUP($AE51,Products[],MATCH(AP$1,Products[#Headers],0),0)</f>
        <v>4.4000000000000004</v>
      </c>
      <c r="AQ51" s="8">
        <f>VLOOKUP($AE51,Products[],MATCH(AQ$1,Products[#Headers],0),0)</f>
        <v>44809</v>
      </c>
      <c r="AR51" s="8" t="str">
        <f>VLOOKUP($AE51,Products[],MATCH(AR$1,Products[#Headers],0),0)</f>
        <v>Yes</v>
      </c>
      <c r="AS51" s="8">
        <f>VLOOKUP($AE51,Products[],MATCH(AS$1,Products[#Headers],0),0)</f>
        <v>2337</v>
      </c>
      <c r="AT51" s="8">
        <f>VLOOKUP($AE51,Products[],MATCH(AT$1,Products[#Headers],0),0)</f>
        <v>175</v>
      </c>
      <c r="AU51" s="8">
        <f t="shared" si="2"/>
        <v>175</v>
      </c>
      <c r="AV51" s="8" t="str">
        <f>IFERROR(VLOOKUP($AU51,stores[],MATCH(AV$1,stores[#Headers],0),0),"")</f>
        <v/>
      </c>
      <c r="AW51" s="8" t="str">
        <f>IFERROR(VLOOKUP($AU51,stores[],MATCH(AW$1,stores[#Headers],0),0),"")</f>
        <v/>
      </c>
      <c r="AX51" s="8" t="str">
        <f>IFERROR(VLOOKUP($AU51,stores[],MATCH(AX$1,stores[#Headers],0),0),"")</f>
        <v/>
      </c>
      <c r="AY51" s="8" t="str">
        <f>IFERROR(VLOOKUP($AU51,stores[],MATCH(AY$1,stores[#Headers],0),0),"")</f>
        <v/>
      </c>
      <c r="AZ51" s="8" t="str">
        <f>IFERROR(VLOOKUP($AU51,stores[],MATCH(AZ$1,stores[#Headers],0),0),"")</f>
        <v/>
      </c>
      <c r="BA51" s="8" t="str">
        <f>IFERROR(VLOOKUP($AU51,stores[],MATCH(BA$1,stores[#Headers],0),0),"")</f>
        <v/>
      </c>
      <c r="BB51" s="8" t="str">
        <f>IFERROR(VLOOKUP($AU51,stores[],MATCH(BB$1,stores[#Headers],0),0),"")</f>
        <v/>
      </c>
      <c r="BC51" s="8" t="str">
        <f>IFERROR(VLOOKUP($AU51,stores[],MATCH(BC$1,stores[#Headers],0),0),"")</f>
        <v/>
      </c>
      <c r="BD51" s="8" t="str">
        <f>IFERROR(VLOOKUP($AU51,stores[],MATCH(BD$1,stores[#Headers],0),0),"")</f>
        <v/>
      </c>
      <c r="BE51" s="8" t="str">
        <f>IFERROR(VLOOKUP($AU51,stores[],MATCH(BE$1,stores[#Headers],0),0),"")</f>
        <v/>
      </c>
      <c r="BF51" s="8" t="str">
        <f>IFERROR(VLOOKUP($AU51,stores[],MATCH(BF$1,stores[#Headers],0),0),"")</f>
        <v/>
      </c>
      <c r="BG51" s="8" t="str">
        <f>IFERROR(VLOOKUP($AU51,stores[],MATCH(BG$1,stores[#Headers],0),0),"")</f>
        <v/>
      </c>
      <c r="BH51" s="8" t="str">
        <f>IFERROR(VLOOKUP($AU51,stores[],MATCH(BH$1,stores[#Headers],0),0),"")</f>
        <v/>
      </c>
      <c r="BI51" s="8" t="str">
        <f>IFERROR(VLOOKUP($AU51,stores[],MATCH(BI$1,stores[#Headers],0),0),"")</f>
        <v/>
      </c>
      <c r="BJ51" s="8" t="str">
        <f>IFERROR(VLOOKUP($AU51,stores[],MATCH(BJ$1,stores[#Headers],0),0),"")</f>
        <v/>
      </c>
    </row>
    <row r="52" spans="1:62" x14ac:dyDescent="0.3">
      <c r="A52" s="8" t="str">
        <v>O1051</v>
      </c>
      <c r="B52" s="8" t="str">
        <v>C029</v>
      </c>
      <c r="C52" s="8" t="str">
        <v>P139</v>
      </c>
      <c r="D52" s="8">
        <v>45535</v>
      </c>
      <c r="E52" s="8">
        <v>2</v>
      </c>
      <c r="F52" s="8">
        <v>49066</v>
      </c>
      <c r="G52" s="8">
        <v>196264</v>
      </c>
      <c r="H52" s="8">
        <v>0.11</v>
      </c>
      <c r="I52" s="8" t="str">
        <v>Credit Card</v>
      </c>
      <c r="J52" s="8" t="str">
        <v>Cancelled</v>
      </c>
      <c r="K52" s="8">
        <v>45867</v>
      </c>
      <c r="L52" s="8" t="str">
        <v>No</v>
      </c>
      <c r="M52" s="8">
        <v>285</v>
      </c>
      <c r="N52" s="8" t="str">
        <v>Yes</v>
      </c>
      <c r="O52" s="8" t="str">
        <v>No</v>
      </c>
      <c r="P52" s="8" t="str">
        <f t="shared" si="0"/>
        <v>C029</v>
      </c>
      <c r="Q52" s="8" t="str">
        <f>VLOOKUP($B52,customers[],MATCH(Q$1,customers[#Headers],0),0)</f>
        <v>Anusha Bath</v>
      </c>
      <c r="R52" s="8" t="str">
        <f>VLOOKUP($B52,customers[],MATCH(R$1,customers[#Headers],0),0)</f>
        <v>masterjonathan@example.net</v>
      </c>
      <c r="S52" s="8">
        <f>VLOOKUP($B52,customers[],MATCH(S$1,customers[#Headers],0),0)</f>
        <v>1094777520</v>
      </c>
      <c r="T52" s="8" t="str">
        <f>VLOOKUP($B52,customers[],MATCH(T$1,customers[#Headers],0),0)</f>
        <v>Ahmedabad</v>
      </c>
      <c r="U52" s="8" t="str">
        <f>VLOOKUP($B52,customers[],MATCH(U$1,customers[#Headers],0),0)</f>
        <v>Gujarat</v>
      </c>
      <c r="V52" s="8">
        <f>VLOOKUP($B52,customers[],MATCH(V$1,customers[#Headers],0),0)</f>
        <v>711671</v>
      </c>
      <c r="W52" s="8" t="str">
        <f>VLOOKUP($B52,customers[],MATCH(W$1,customers[#Headers],0),0)</f>
        <v>Male</v>
      </c>
      <c r="X52" s="8">
        <f>VLOOKUP($B52,customers[],MATCH(X$1,customers[#Headers],0),0)</f>
        <v>36089</v>
      </c>
      <c r="Y52" s="8">
        <f>VLOOKUP($B52,customers[],MATCH(Y$1,customers[#Headers],0),0)</f>
        <v>44194</v>
      </c>
      <c r="Z52" s="8" t="str">
        <f>VLOOKUP($B52,customers[],MATCH(Z$1,customers[#Headers],0),0)</f>
        <v>Grocery</v>
      </c>
      <c r="AA52" s="8">
        <f>VLOOKUP($B52,customers[],MATCH(AA$1,customers[#Headers],0),0)</f>
        <v>6769</v>
      </c>
      <c r="AB52" s="8" t="str">
        <f>VLOOKUP($B52,customers[],MATCH(AB$1,customers[#Headers],0),0)</f>
        <v>Single</v>
      </c>
      <c r="AC52" s="8" t="str">
        <f>VLOOKUP($B52,customers[],MATCH(AC$1,customers[#Headers],0),0)</f>
        <v>Engineer</v>
      </c>
      <c r="AD52" s="8">
        <f>VLOOKUP($B52,customers[],MATCH(AD$1,customers[#Headers],0),0)</f>
        <v>403278</v>
      </c>
      <c r="AE52" s="8" t="str">
        <f t="shared" si="1"/>
        <v>P139</v>
      </c>
      <c r="AF52" s="8" t="str">
        <f>VLOOKUP($AE52,Products[],MATCH(AF$1,Products[#Headers],0),0)</f>
        <v>Officia TV</v>
      </c>
      <c r="AG52" s="8" t="str">
        <f>VLOOKUP($AE52,Products[],MATCH(AG$1,Products[#Headers],0),0)</f>
        <v>Fashion</v>
      </c>
      <c r="AH52" s="8" t="str">
        <f>VLOOKUP($AE52,Products[],MATCH(AH$1,Products[#Headers],0),0)</f>
        <v>Notebook</v>
      </c>
      <c r="AI52" s="8" t="str">
        <f>VLOOKUP($AE52,Products[],MATCH(AI$1,Products[#Headers],0),0)</f>
        <v>Gera, Mishra and Chad</v>
      </c>
      <c r="AJ52" s="8">
        <f>VLOOKUP($AE52,Products[],MATCH(AJ$1,Products[#Headers],0),0)</f>
        <v>49066</v>
      </c>
      <c r="AK52" s="8">
        <f>VLOOKUP($AE52,Products[],MATCH(AK$1,Products[#Headers],0),0)</f>
        <v>11</v>
      </c>
      <c r="AL52" s="8">
        <f>VLOOKUP($AE52,Products[],MATCH(AL$1,Products[#Headers],0),0)</f>
        <v>454</v>
      </c>
      <c r="AM52" s="8">
        <f>VLOOKUP($AE52,Products[],MATCH(AM$1,Products[#Headers],0),0)</f>
        <v>36</v>
      </c>
      <c r="AN52" s="8" t="str">
        <f>VLOOKUP($AE52,Products[],MATCH(AN$1,Products[#Headers],0),0)</f>
        <v>China</v>
      </c>
      <c r="AO52" s="8" t="str">
        <f>VLOOKUP($AE52,Products[],MATCH(AO$1,Products[#Headers],0),0)</f>
        <v>No</v>
      </c>
      <c r="AP52" s="8">
        <f>VLOOKUP($AE52,Products[],MATCH(AP$1,Products[#Headers],0),0)</f>
        <v>2.7</v>
      </c>
      <c r="AQ52" s="8">
        <f>VLOOKUP($AE52,Products[],MATCH(AQ$1,Products[#Headers],0),0)</f>
        <v>45803</v>
      </c>
      <c r="AR52" s="8" t="str">
        <f>VLOOKUP($AE52,Products[],MATCH(AR$1,Products[#Headers],0),0)</f>
        <v>No</v>
      </c>
      <c r="AS52" s="8">
        <f>VLOOKUP($AE52,Products[],MATCH(AS$1,Products[#Headers],0),0)</f>
        <v>9921</v>
      </c>
      <c r="AT52" s="8">
        <f>VLOOKUP($AE52,Products[],MATCH(AT$1,Products[#Headers],0),0)</f>
        <v>131</v>
      </c>
      <c r="AU52" s="8">
        <f t="shared" si="2"/>
        <v>131</v>
      </c>
      <c r="AV52" s="8" t="str">
        <f>IFERROR(VLOOKUP($AU52,stores[],MATCH(AV$1,stores[#Headers],0),0),"")</f>
        <v/>
      </c>
      <c r="AW52" s="8" t="str">
        <f>IFERROR(VLOOKUP($AU52,stores[],MATCH(AW$1,stores[#Headers],0),0),"")</f>
        <v/>
      </c>
      <c r="AX52" s="8" t="str">
        <f>IFERROR(VLOOKUP($AU52,stores[],MATCH(AX$1,stores[#Headers],0),0),"")</f>
        <v/>
      </c>
      <c r="AY52" s="8" t="str">
        <f>IFERROR(VLOOKUP($AU52,stores[],MATCH(AY$1,stores[#Headers],0),0),"")</f>
        <v/>
      </c>
      <c r="AZ52" s="8" t="str">
        <f>IFERROR(VLOOKUP($AU52,stores[],MATCH(AZ$1,stores[#Headers],0),0),"")</f>
        <v/>
      </c>
      <c r="BA52" s="8" t="str">
        <f>IFERROR(VLOOKUP($AU52,stores[],MATCH(BA$1,stores[#Headers],0),0),"")</f>
        <v/>
      </c>
      <c r="BB52" s="8" t="str">
        <f>IFERROR(VLOOKUP($AU52,stores[],MATCH(BB$1,stores[#Headers],0),0),"")</f>
        <v/>
      </c>
      <c r="BC52" s="8" t="str">
        <f>IFERROR(VLOOKUP($AU52,stores[],MATCH(BC$1,stores[#Headers],0),0),"")</f>
        <v/>
      </c>
      <c r="BD52" s="8" t="str">
        <f>IFERROR(VLOOKUP($AU52,stores[],MATCH(BD$1,stores[#Headers],0),0),"")</f>
        <v/>
      </c>
      <c r="BE52" s="8" t="str">
        <f>IFERROR(VLOOKUP($AU52,stores[],MATCH(BE$1,stores[#Headers],0),0),"")</f>
        <v/>
      </c>
      <c r="BF52" s="8" t="str">
        <f>IFERROR(VLOOKUP($AU52,stores[],MATCH(BF$1,stores[#Headers],0),0),"")</f>
        <v/>
      </c>
      <c r="BG52" s="8" t="str">
        <f>IFERROR(VLOOKUP($AU52,stores[],MATCH(BG$1,stores[#Headers],0),0),"")</f>
        <v/>
      </c>
      <c r="BH52" s="8" t="str">
        <f>IFERROR(VLOOKUP($AU52,stores[],MATCH(BH$1,stores[#Headers],0),0),"")</f>
        <v/>
      </c>
      <c r="BI52" s="8" t="str">
        <f>IFERROR(VLOOKUP($AU52,stores[],MATCH(BI$1,stores[#Headers],0),0),"")</f>
        <v/>
      </c>
      <c r="BJ52" s="8" t="str">
        <f>IFERROR(VLOOKUP($AU52,stores[],MATCH(BJ$1,stores[#Headers],0),0),"")</f>
        <v/>
      </c>
    </row>
    <row r="53" spans="1:62" x14ac:dyDescent="0.3">
      <c r="A53" s="8" t="str">
        <v>O1052</v>
      </c>
      <c r="B53" s="8" t="str">
        <v>C032</v>
      </c>
      <c r="C53" s="8" t="str">
        <v>P133</v>
      </c>
      <c r="D53" s="8">
        <v>45750</v>
      </c>
      <c r="E53" s="8">
        <v>2</v>
      </c>
      <c r="F53" s="8">
        <v>12313</v>
      </c>
      <c r="G53" s="8">
        <v>36939</v>
      </c>
      <c r="H53" s="8">
        <v>0.14000000000000001</v>
      </c>
      <c r="I53" s="8" t="str">
        <v>Credit Card</v>
      </c>
      <c r="J53" s="8" t="str">
        <v>Cancelled</v>
      </c>
      <c r="K53" s="8">
        <v>45856</v>
      </c>
      <c r="L53" s="8" t="str">
        <v>No</v>
      </c>
      <c r="M53" s="8">
        <v>47</v>
      </c>
      <c r="N53" s="8" t="str">
        <v>Yes</v>
      </c>
      <c r="O53" s="8" t="str">
        <v>Yes</v>
      </c>
      <c r="P53" s="8" t="str">
        <f t="shared" si="0"/>
        <v>C032</v>
      </c>
      <c r="Q53" s="8" t="str">
        <f>VLOOKUP($B53,customers[],MATCH(Q$1,customers[#Headers],0),0)</f>
        <v>Amaira Dhar</v>
      </c>
      <c r="R53" s="8" t="str">
        <f>VLOOKUP($B53,customers[],MATCH(R$1,customers[#Headers],0),0)</f>
        <v>bhasinnoah@example.com</v>
      </c>
      <c r="S53" s="8">
        <f>VLOOKUP($B53,customers[],MATCH(S$1,customers[#Headers],0),0)</f>
        <v>9471746488</v>
      </c>
      <c r="T53" s="8" t="str">
        <f>VLOOKUP($B53,customers[],MATCH(T$1,customers[#Headers],0),0)</f>
        <v>Hyderabad</v>
      </c>
      <c r="U53" s="8" t="str">
        <f>VLOOKUP($B53,customers[],MATCH(U$1,customers[#Headers],0),0)</f>
        <v>Telangana</v>
      </c>
      <c r="V53" s="8">
        <f>VLOOKUP($B53,customers[],MATCH(V$1,customers[#Headers],0),0)</f>
        <v>719065</v>
      </c>
      <c r="W53" s="8" t="str">
        <f>VLOOKUP($B53,customers[],MATCH(W$1,customers[#Headers],0),0)</f>
        <v>Female</v>
      </c>
      <c r="X53" s="8">
        <f>VLOOKUP($B53,customers[],MATCH(X$1,customers[#Headers],0),0)</f>
        <v>36753</v>
      </c>
      <c r="Y53" s="8">
        <f>VLOOKUP($B53,customers[],MATCH(Y$1,customers[#Headers],0),0)</f>
        <v>44805</v>
      </c>
      <c r="Z53" s="8" t="str">
        <f>VLOOKUP($B53,customers[],MATCH(Z$1,customers[#Headers],0),0)</f>
        <v>Home Appliance</v>
      </c>
      <c r="AA53" s="8">
        <f>VLOOKUP($B53,customers[],MATCH(AA$1,customers[#Headers],0),0)</f>
        <v>7012</v>
      </c>
      <c r="AB53" s="8" t="str">
        <f>VLOOKUP($B53,customers[],MATCH(AB$1,customers[#Headers],0),0)</f>
        <v>Single</v>
      </c>
      <c r="AC53" s="8" t="str">
        <f>VLOOKUP($B53,customers[],MATCH(AC$1,customers[#Headers],0),0)</f>
        <v>Teacher</v>
      </c>
      <c r="AD53" s="8">
        <f>VLOOKUP($B53,customers[],MATCH(AD$1,customers[#Headers],0),0)</f>
        <v>1170201</v>
      </c>
      <c r="AE53" s="8" t="str">
        <f t="shared" si="1"/>
        <v>P133</v>
      </c>
      <c r="AF53" s="8" t="str">
        <f>VLOOKUP($AE53,Products[],MATCH(AF$1,Products[#Headers],0),0)</f>
        <v>Eius Laptop</v>
      </c>
      <c r="AG53" s="8" t="str">
        <f>VLOOKUP($AE53,Products[],MATCH(AG$1,Products[#Headers],0),0)</f>
        <v>Fashion</v>
      </c>
      <c r="AH53" s="8" t="str">
        <f>VLOOKUP($AE53,Products[],MATCH(AH$1,Products[#Headers],0),0)</f>
        <v>Smart</v>
      </c>
      <c r="AI53" s="8" t="str">
        <f>VLOOKUP($AE53,Products[],MATCH(AI$1,Products[#Headers],0),0)</f>
        <v>Sanghvi-Ramachandran</v>
      </c>
      <c r="AJ53" s="8">
        <f>VLOOKUP($AE53,Products[],MATCH(AJ$1,Products[#Headers],0),0)</f>
        <v>12313</v>
      </c>
      <c r="AK53" s="8">
        <f>VLOOKUP($AE53,Products[],MATCH(AK$1,Products[#Headers],0),0)</f>
        <v>14</v>
      </c>
      <c r="AL53" s="8">
        <f>VLOOKUP($AE53,Products[],MATCH(AL$1,Products[#Headers],0),0)</f>
        <v>334</v>
      </c>
      <c r="AM53" s="8">
        <f>VLOOKUP($AE53,Products[],MATCH(AM$1,Products[#Headers],0),0)</f>
        <v>36</v>
      </c>
      <c r="AN53" s="8" t="str">
        <f>VLOOKUP($AE53,Products[],MATCH(AN$1,Products[#Headers],0),0)</f>
        <v>China</v>
      </c>
      <c r="AO53" s="8" t="str">
        <f>VLOOKUP($AE53,Products[],MATCH(AO$1,Products[#Headers],0),0)</f>
        <v>Yes</v>
      </c>
      <c r="AP53" s="8">
        <f>VLOOKUP($AE53,Products[],MATCH(AP$1,Products[#Headers],0),0)</f>
        <v>2.8</v>
      </c>
      <c r="AQ53" s="8">
        <f>VLOOKUP($AE53,Products[],MATCH(AQ$1,Products[#Headers],0),0)</f>
        <v>44765</v>
      </c>
      <c r="AR53" s="8" t="str">
        <f>VLOOKUP($AE53,Products[],MATCH(AR$1,Products[#Headers],0),0)</f>
        <v>No</v>
      </c>
      <c r="AS53" s="8">
        <f>VLOOKUP($AE53,Products[],MATCH(AS$1,Products[#Headers],0),0)</f>
        <v>9698</v>
      </c>
      <c r="AT53" s="8">
        <f>VLOOKUP($AE53,Products[],MATCH(AT$1,Products[#Headers],0),0)</f>
        <v>176</v>
      </c>
      <c r="AU53" s="8">
        <f t="shared" si="2"/>
        <v>176</v>
      </c>
      <c r="AV53" s="8" t="str">
        <f>IFERROR(VLOOKUP($AU53,stores[],MATCH(AV$1,stores[#Headers],0),0),"")</f>
        <v/>
      </c>
      <c r="AW53" s="8" t="str">
        <f>IFERROR(VLOOKUP($AU53,stores[],MATCH(AW$1,stores[#Headers],0),0),"")</f>
        <v/>
      </c>
      <c r="AX53" s="8" t="str">
        <f>IFERROR(VLOOKUP($AU53,stores[],MATCH(AX$1,stores[#Headers],0),0),"")</f>
        <v/>
      </c>
      <c r="AY53" s="8" t="str">
        <f>IFERROR(VLOOKUP($AU53,stores[],MATCH(AY$1,stores[#Headers],0),0),"")</f>
        <v/>
      </c>
      <c r="AZ53" s="8" t="str">
        <f>IFERROR(VLOOKUP($AU53,stores[],MATCH(AZ$1,stores[#Headers],0),0),"")</f>
        <v/>
      </c>
      <c r="BA53" s="8" t="str">
        <f>IFERROR(VLOOKUP($AU53,stores[],MATCH(BA$1,stores[#Headers],0),0),"")</f>
        <v/>
      </c>
      <c r="BB53" s="8" t="str">
        <f>IFERROR(VLOOKUP($AU53,stores[],MATCH(BB$1,stores[#Headers],0),0),"")</f>
        <v/>
      </c>
      <c r="BC53" s="8" t="str">
        <f>IFERROR(VLOOKUP($AU53,stores[],MATCH(BC$1,stores[#Headers],0),0),"")</f>
        <v/>
      </c>
      <c r="BD53" s="8" t="str">
        <f>IFERROR(VLOOKUP($AU53,stores[],MATCH(BD$1,stores[#Headers],0),0),"")</f>
        <v/>
      </c>
      <c r="BE53" s="8" t="str">
        <f>IFERROR(VLOOKUP($AU53,stores[],MATCH(BE$1,stores[#Headers],0),0),"")</f>
        <v/>
      </c>
      <c r="BF53" s="8" t="str">
        <f>IFERROR(VLOOKUP($AU53,stores[],MATCH(BF$1,stores[#Headers],0),0),"")</f>
        <v/>
      </c>
      <c r="BG53" s="8" t="str">
        <f>IFERROR(VLOOKUP($AU53,stores[],MATCH(BG$1,stores[#Headers],0),0),"")</f>
        <v/>
      </c>
      <c r="BH53" s="8" t="str">
        <f>IFERROR(VLOOKUP($AU53,stores[],MATCH(BH$1,stores[#Headers],0),0),"")</f>
        <v/>
      </c>
      <c r="BI53" s="8" t="str">
        <f>IFERROR(VLOOKUP($AU53,stores[],MATCH(BI$1,stores[#Headers],0),0),"")</f>
        <v/>
      </c>
      <c r="BJ53" s="8" t="str">
        <f>IFERROR(VLOOKUP($AU53,stores[],MATCH(BJ$1,stores[#Headers],0),0),"")</f>
        <v/>
      </c>
    </row>
    <row r="54" spans="1:62" x14ac:dyDescent="0.3">
      <c r="A54" s="8" t="str">
        <v>O1053</v>
      </c>
      <c r="B54" s="8" t="str">
        <v>C035</v>
      </c>
      <c r="C54" s="8" t="str">
        <v>P149</v>
      </c>
      <c r="D54" s="8">
        <v>45558</v>
      </c>
      <c r="E54" s="8">
        <v>5</v>
      </c>
      <c r="F54" s="8">
        <v>12719</v>
      </c>
      <c r="G54" s="8">
        <v>63595</v>
      </c>
      <c r="H54" s="8">
        <v>0.18</v>
      </c>
      <c r="I54" s="8" t="str">
        <v>Credit Card</v>
      </c>
      <c r="J54" s="8" t="str">
        <v>Delivered</v>
      </c>
      <c r="K54" s="8">
        <v>45860</v>
      </c>
      <c r="L54" s="8" t="str">
        <v>Yes</v>
      </c>
      <c r="M54" s="8">
        <v>411</v>
      </c>
      <c r="N54" s="8" t="str">
        <v>Yes</v>
      </c>
      <c r="O54" s="8" t="str">
        <v>No</v>
      </c>
      <c r="P54" s="8" t="str">
        <f t="shared" si="0"/>
        <v>C035</v>
      </c>
      <c r="Q54" s="8" t="str">
        <f>VLOOKUP($B54,customers[],MATCH(Q$1,customers[#Headers],0),0)</f>
        <v>Raksha Sundaram</v>
      </c>
      <c r="R54" s="8" t="str">
        <f>VLOOKUP($B54,customers[],MATCH(R$1,customers[#Headers],0),0)</f>
        <v>balakrishnanwriddhish@example.net</v>
      </c>
      <c r="S54" s="8">
        <f>VLOOKUP($B54,customers[],MATCH(S$1,customers[#Headers],0),0)</f>
        <v>914808613171</v>
      </c>
      <c r="T54" s="8" t="str">
        <f>VLOOKUP($B54,customers[],MATCH(T$1,customers[#Headers],0),0)</f>
        <v>Ahmedabad</v>
      </c>
      <c r="U54" s="8" t="str">
        <f>VLOOKUP($B54,customers[],MATCH(U$1,customers[#Headers],0),0)</f>
        <v>Gujarat</v>
      </c>
      <c r="V54" s="8">
        <f>VLOOKUP($B54,customers[],MATCH(V$1,customers[#Headers],0),0)</f>
        <v>748467</v>
      </c>
      <c r="W54" s="8" t="str">
        <f>VLOOKUP($B54,customers[],MATCH(W$1,customers[#Headers],0),0)</f>
        <v>Male</v>
      </c>
      <c r="X54" s="8">
        <f>VLOOKUP($B54,customers[],MATCH(X$1,customers[#Headers],0),0)</f>
        <v>33485</v>
      </c>
      <c r="Y54" s="8">
        <f>VLOOKUP($B54,customers[],MATCH(Y$1,customers[#Headers],0),0)</f>
        <v>44785</v>
      </c>
      <c r="Z54" s="8" t="str">
        <f>VLOOKUP($B54,customers[],MATCH(Z$1,customers[#Headers],0),0)</f>
        <v>Grocery</v>
      </c>
      <c r="AA54" s="8">
        <f>VLOOKUP($B54,customers[],MATCH(AA$1,customers[#Headers],0),0)</f>
        <v>1060</v>
      </c>
      <c r="AB54" s="8" t="str">
        <f>VLOOKUP($B54,customers[],MATCH(AB$1,customers[#Headers],0),0)</f>
        <v>Single</v>
      </c>
      <c r="AC54" s="8" t="str">
        <f>VLOOKUP($B54,customers[],MATCH(AC$1,customers[#Headers],0),0)</f>
        <v>Business</v>
      </c>
      <c r="AD54" s="8">
        <f>VLOOKUP($B54,customers[],MATCH(AD$1,customers[#Headers],0),0)</f>
        <v>204520</v>
      </c>
      <c r="AE54" s="8" t="str">
        <f t="shared" si="1"/>
        <v>P149</v>
      </c>
      <c r="AF54" s="8" t="str">
        <f>VLOOKUP($AE54,Products[],MATCH(AF$1,Products[#Headers],0),0)</f>
        <v>Doloremque TV</v>
      </c>
      <c r="AG54" s="8" t="str">
        <f>VLOOKUP($AE54,Products[],MATCH(AG$1,Products[#Headers],0),0)</f>
        <v>Electronics</v>
      </c>
      <c r="AH54" s="8" t="str">
        <f>VLOOKUP($AE54,Products[],MATCH(AH$1,Products[#Headers],0),0)</f>
        <v>LED</v>
      </c>
      <c r="AI54" s="8" t="str">
        <f>VLOOKUP($AE54,Products[],MATCH(AI$1,Products[#Headers],0),0)</f>
        <v>Balasubramanian and Sons</v>
      </c>
      <c r="AJ54" s="8">
        <f>VLOOKUP($AE54,Products[],MATCH(AJ$1,Products[#Headers],0),0)</f>
        <v>12719</v>
      </c>
      <c r="AK54" s="8">
        <f>VLOOKUP($AE54,Products[],MATCH(AK$1,Products[#Headers],0),0)</f>
        <v>18</v>
      </c>
      <c r="AL54" s="8">
        <f>VLOOKUP($AE54,Products[],MATCH(AL$1,Products[#Headers],0),0)</f>
        <v>98</v>
      </c>
      <c r="AM54" s="8">
        <f>VLOOKUP($AE54,Products[],MATCH(AM$1,Products[#Headers],0),0)</f>
        <v>24</v>
      </c>
      <c r="AN54" s="8" t="str">
        <f>VLOOKUP($AE54,Products[],MATCH(AN$1,Products[#Headers],0),0)</f>
        <v>China</v>
      </c>
      <c r="AO54" s="8" t="str">
        <f>VLOOKUP($AE54,Products[],MATCH(AO$1,Products[#Headers],0),0)</f>
        <v>Yes</v>
      </c>
      <c r="AP54" s="8">
        <f>VLOOKUP($AE54,Products[],MATCH(AP$1,Products[#Headers],0),0)</f>
        <v>4</v>
      </c>
      <c r="AQ54" s="8">
        <f>VLOOKUP($AE54,Products[],MATCH(AQ$1,Products[#Headers],0),0)</f>
        <v>45212</v>
      </c>
      <c r="AR54" s="8" t="str">
        <f>VLOOKUP($AE54,Products[],MATCH(AR$1,Products[#Headers],0),0)</f>
        <v>No</v>
      </c>
      <c r="AS54" s="8">
        <f>VLOOKUP($AE54,Products[],MATCH(AS$1,Products[#Headers],0),0)</f>
        <v>3003</v>
      </c>
      <c r="AT54" s="8">
        <f>VLOOKUP($AE54,Products[],MATCH(AT$1,Products[#Headers],0),0)</f>
        <v>4</v>
      </c>
      <c r="AU54" s="8">
        <f t="shared" si="2"/>
        <v>4</v>
      </c>
      <c r="AV54" s="8" t="str">
        <f>IFERROR(VLOOKUP($AU54,stores[],MATCH(AV$1,stores[#Headers],0),0),"")</f>
        <v>S004</v>
      </c>
      <c r="AW54" s="8" t="str">
        <f>IFERROR(VLOOKUP($AU54,stores[],MATCH(AW$1,stores[#Headers],0),0),"")</f>
        <v>Rajagopal-Devan Mart</v>
      </c>
      <c r="AX54" s="8" t="str">
        <f>IFERROR(VLOOKUP($AU54,stores[],MATCH(AX$1,stores[#Headers],0),0),"")</f>
        <v>Pune</v>
      </c>
      <c r="AY54" s="8" t="str">
        <f>IFERROR(VLOOKUP($AU54,stores[],MATCH(AY$1,stores[#Headers],0),0),"")</f>
        <v>Maharashtra</v>
      </c>
      <c r="AZ54" s="8">
        <f>IFERROR(VLOOKUP($AU54,stores[],MATCH(AZ$1,stores[#Headers],0),0),"")</f>
        <v>383806</v>
      </c>
      <c r="BA54" s="8" t="str">
        <f>IFERROR(VLOOKUP($AU54,stores[],MATCH(BA$1,stores[#Headers],0),0),"")</f>
        <v>Varsha Sundaram</v>
      </c>
      <c r="BB54" s="8">
        <f>IFERROR(VLOOKUP($AU54,stores[],MATCH(BB$1,stores[#Headers],0),0),"")</f>
        <v>2003</v>
      </c>
      <c r="BC54" s="8">
        <f>IFERROR(VLOOKUP($AU54,stores[],MATCH(BC$1,stores[#Headers],0),0),"")</f>
        <v>78</v>
      </c>
      <c r="BD54" s="8">
        <f>IFERROR(VLOOKUP($AU54,stores[],MATCH(BD$1,stores[#Headers],0),0),"")</f>
        <v>4742</v>
      </c>
      <c r="BE54" s="8">
        <f>IFERROR(VLOOKUP($AU54,stores[],MATCH(BE$1,stores[#Headers],0),0),"")</f>
        <v>3.5</v>
      </c>
      <c r="BF54" s="8" t="str">
        <f>IFERROR(VLOOKUP($AU54,stores[],MATCH(BF$1,stores[#Headers],0),0),"")</f>
        <v>No</v>
      </c>
      <c r="BG54" s="8">
        <f>IFERROR(VLOOKUP($AU54,stores[],MATCH(BG$1,stores[#Headers],0),0),"")</f>
        <v>4940</v>
      </c>
      <c r="BH54" s="8" t="str">
        <f>IFERROR(VLOOKUP($AU54,stores[],MATCH(BH$1,stores[#Headers],0),0),"")</f>
        <v>Retail</v>
      </c>
      <c r="BI54" s="8">
        <f>IFERROR(VLOOKUP($AU54,stores[],MATCH(BI$1,stores[#Headers],0),0),"")</f>
        <v>9856420593</v>
      </c>
      <c r="BJ54" s="8" t="str">
        <f>IFERROR(VLOOKUP($AU54,stores[],MATCH(BJ$1,stores[#Headers],0),0),"")</f>
        <v>manddalbir@wagle-parmar.org</v>
      </c>
    </row>
    <row r="55" spans="1:62" x14ac:dyDescent="0.3">
      <c r="A55" s="8" t="str">
        <v>O1054</v>
      </c>
      <c r="B55" s="8" t="str">
        <v>C027</v>
      </c>
      <c r="C55" s="8" t="str">
        <v>P143</v>
      </c>
      <c r="D55" s="8">
        <v>45801</v>
      </c>
      <c r="E55" s="8">
        <v>3</v>
      </c>
      <c r="F55" s="8">
        <v>35282</v>
      </c>
      <c r="G55" s="8">
        <v>35282</v>
      </c>
      <c r="H55" s="8">
        <v>0.06</v>
      </c>
      <c r="I55" s="8" t="str">
        <v>Debit Card</v>
      </c>
      <c r="J55" s="8" t="str">
        <v>Shipped</v>
      </c>
      <c r="K55" s="8">
        <v>45867</v>
      </c>
      <c r="L55" s="8" t="str">
        <v>Yes</v>
      </c>
      <c r="M55" s="8">
        <v>382</v>
      </c>
      <c r="N55" s="8" t="str">
        <v>No</v>
      </c>
      <c r="O55" s="8" t="str">
        <v>Yes</v>
      </c>
      <c r="P55" s="8" t="str">
        <f t="shared" si="0"/>
        <v>C027</v>
      </c>
      <c r="Q55" s="8" t="str">
        <f>VLOOKUP($B55,customers[],MATCH(Q$1,customers[#Headers],0),0)</f>
        <v>Harini Mammen</v>
      </c>
      <c r="R55" s="8" t="str">
        <f>VLOOKUP($B55,customers[],MATCH(R$1,customers[#Headers],0),0)</f>
        <v>advaith83@example.org</v>
      </c>
      <c r="S55" s="8">
        <f>VLOOKUP($B55,customers[],MATCH(S$1,customers[#Headers],0),0)</f>
        <v>916783777014</v>
      </c>
      <c r="T55" s="8" t="str">
        <f>VLOOKUP($B55,customers[],MATCH(T$1,customers[#Headers],0),0)</f>
        <v>Delhi</v>
      </c>
      <c r="U55" s="8" t="str">
        <f>VLOOKUP($B55,customers[],MATCH(U$1,customers[#Headers],0),0)</f>
        <v>Delhi</v>
      </c>
      <c r="V55" s="8">
        <f>VLOOKUP($B55,customers[],MATCH(V$1,customers[#Headers],0),0)</f>
        <v>634957</v>
      </c>
      <c r="W55" s="8" t="str">
        <f>VLOOKUP($B55,customers[],MATCH(W$1,customers[#Headers],0),0)</f>
        <v>Male</v>
      </c>
      <c r="X55" s="8">
        <f>VLOOKUP($B55,customers[],MATCH(X$1,customers[#Headers],0),0)</f>
        <v>35504</v>
      </c>
      <c r="Y55" s="8">
        <f>VLOOKUP($B55,customers[],MATCH(Y$1,customers[#Headers],0),0)</f>
        <v>45677</v>
      </c>
      <c r="Z55" s="8" t="str">
        <f>VLOOKUP($B55,customers[],MATCH(Z$1,customers[#Headers],0),0)</f>
        <v>Electronics</v>
      </c>
      <c r="AA55" s="8">
        <f>VLOOKUP($B55,customers[],MATCH(AA$1,customers[#Headers],0),0)</f>
        <v>614</v>
      </c>
      <c r="AB55" s="8" t="str">
        <f>VLOOKUP($B55,customers[],MATCH(AB$1,customers[#Headers],0),0)</f>
        <v>Married</v>
      </c>
      <c r="AC55" s="8" t="str">
        <f>VLOOKUP($B55,customers[],MATCH(AC$1,customers[#Headers],0),0)</f>
        <v>Engineer</v>
      </c>
      <c r="AD55" s="8">
        <f>VLOOKUP($B55,customers[],MATCH(AD$1,customers[#Headers],0),0)</f>
        <v>1278263</v>
      </c>
      <c r="AE55" s="8" t="str">
        <f t="shared" si="1"/>
        <v>P143</v>
      </c>
      <c r="AF55" s="8" t="str">
        <f>VLOOKUP($AE55,Products[],MATCH(AF$1,Products[#Headers],0),0)</f>
        <v>Molestiae TV</v>
      </c>
      <c r="AG55" s="8" t="str">
        <f>VLOOKUP($AE55,Products[],MATCH(AG$1,Products[#Headers],0),0)</f>
        <v>Fashion</v>
      </c>
      <c r="AH55" s="8" t="str">
        <f>VLOOKUP($AE55,Products[],MATCH(AH$1,Products[#Headers],0),0)</f>
        <v>Smart</v>
      </c>
      <c r="AI55" s="8" t="str">
        <f>VLOOKUP($AE55,Products[],MATCH(AI$1,Products[#Headers],0),0)</f>
        <v>Grewal-Sur</v>
      </c>
      <c r="AJ55" s="8">
        <f>VLOOKUP($AE55,Products[],MATCH(AJ$1,Products[#Headers],0),0)</f>
        <v>35282</v>
      </c>
      <c r="AK55" s="8">
        <f>VLOOKUP($AE55,Products[],MATCH(AK$1,Products[#Headers],0),0)</f>
        <v>6</v>
      </c>
      <c r="AL55" s="8">
        <f>VLOOKUP($AE55,Products[],MATCH(AL$1,Products[#Headers],0),0)</f>
        <v>129</v>
      </c>
      <c r="AM55" s="8">
        <f>VLOOKUP($AE55,Products[],MATCH(AM$1,Products[#Headers],0),0)</f>
        <v>36</v>
      </c>
      <c r="AN55" s="8" t="str">
        <f>VLOOKUP($AE55,Products[],MATCH(AN$1,Products[#Headers],0),0)</f>
        <v>India</v>
      </c>
      <c r="AO55" s="8" t="str">
        <f>VLOOKUP($AE55,Products[],MATCH(AO$1,Products[#Headers],0),0)</f>
        <v>Yes</v>
      </c>
      <c r="AP55" s="8">
        <f>VLOOKUP($AE55,Products[],MATCH(AP$1,Products[#Headers],0),0)</f>
        <v>3.7</v>
      </c>
      <c r="AQ55" s="8">
        <f>VLOOKUP($AE55,Products[],MATCH(AQ$1,Products[#Headers],0),0)</f>
        <v>45746</v>
      </c>
      <c r="AR55" s="8" t="str">
        <f>VLOOKUP($AE55,Products[],MATCH(AR$1,Products[#Headers],0),0)</f>
        <v>No</v>
      </c>
      <c r="AS55" s="8">
        <f>VLOOKUP($AE55,Products[],MATCH(AS$1,Products[#Headers],0),0)</f>
        <v>9409</v>
      </c>
      <c r="AT55" s="8">
        <f>VLOOKUP($AE55,Products[],MATCH(AT$1,Products[#Headers],0),0)</f>
        <v>81</v>
      </c>
      <c r="AU55" s="8">
        <f t="shared" si="2"/>
        <v>81</v>
      </c>
      <c r="AV55" s="8" t="str">
        <f>IFERROR(VLOOKUP($AU55,stores[],MATCH(AV$1,stores[#Headers],0),0),"")</f>
        <v>S081</v>
      </c>
      <c r="AW55" s="8" t="str">
        <f>IFERROR(VLOOKUP($AU55,stores[],MATCH(AW$1,stores[#Headers],0),0),"")</f>
        <v>Behl, Saini and Morar Mart</v>
      </c>
      <c r="AX55" s="8" t="str">
        <f>IFERROR(VLOOKUP($AU55,stores[],MATCH(AX$1,stores[#Headers],0),0),"")</f>
        <v>Kolkata</v>
      </c>
      <c r="AY55" s="8" t="str">
        <f>IFERROR(VLOOKUP($AU55,stores[],MATCH(AY$1,stores[#Headers],0),0),"")</f>
        <v>West Bengal</v>
      </c>
      <c r="AZ55" s="8">
        <f>IFERROR(VLOOKUP($AU55,stores[],MATCH(AZ$1,stores[#Headers],0),0),"")</f>
        <v>742123</v>
      </c>
      <c r="BA55" s="8" t="str">
        <f>IFERROR(VLOOKUP($AU55,stores[],MATCH(BA$1,stores[#Headers],0),0),"")</f>
        <v>Zehaan Arora</v>
      </c>
      <c r="BB55" s="8">
        <f>IFERROR(VLOOKUP($AU55,stores[],MATCH(BB$1,stores[#Headers],0),0),"")</f>
        <v>2002</v>
      </c>
      <c r="BC55" s="8">
        <f>IFERROR(VLOOKUP($AU55,stores[],MATCH(BC$1,stores[#Headers],0),0),"")</f>
        <v>35</v>
      </c>
      <c r="BD55" s="8">
        <f>IFERROR(VLOOKUP($AU55,stores[],MATCH(BD$1,stores[#Headers],0),0),"")</f>
        <v>12364</v>
      </c>
      <c r="BE55" s="8">
        <f>IFERROR(VLOOKUP($AU55,stores[],MATCH(BE$1,stores[#Headers],0),0),"")</f>
        <v>5</v>
      </c>
      <c r="BF55" s="8" t="str">
        <f>IFERROR(VLOOKUP($AU55,stores[],MATCH(BF$1,stores[#Headers],0),0),"")</f>
        <v>Yes</v>
      </c>
      <c r="BG55" s="8">
        <f>IFERROR(VLOOKUP($AU55,stores[],MATCH(BG$1,stores[#Headers],0),0),"")</f>
        <v>1226</v>
      </c>
      <c r="BH55" s="8" t="str">
        <f>IFERROR(VLOOKUP($AU55,stores[],MATCH(BH$1,stores[#Headers],0),0),"")</f>
        <v>Outlet</v>
      </c>
      <c r="BI55" s="8">
        <f>IFERROR(VLOOKUP($AU55,stores[],MATCH(BI$1,stores[#Headers],0),0),"")</f>
        <v>7780973397</v>
      </c>
      <c r="BJ55" s="8" t="str">
        <f>IFERROR(VLOOKUP($AU55,stores[],MATCH(BJ$1,stores[#Headers],0),0),"")</f>
        <v>crout@ahuja.net</v>
      </c>
    </row>
    <row r="56" spans="1:62" x14ac:dyDescent="0.3">
      <c r="A56" s="8" t="str">
        <v>O1055</v>
      </c>
      <c r="B56" s="8" t="str">
        <v>C090</v>
      </c>
      <c r="C56" s="8" t="str">
        <v>P178</v>
      </c>
      <c r="D56" s="8">
        <v>45506</v>
      </c>
      <c r="E56" s="8">
        <v>2</v>
      </c>
      <c r="F56" s="8">
        <v>29930</v>
      </c>
      <c r="G56" s="8">
        <v>119720</v>
      </c>
      <c r="H56" s="8">
        <v>0.05</v>
      </c>
      <c r="I56" s="8" t="str">
        <v>Debit Card</v>
      </c>
      <c r="J56" s="8" t="str">
        <v>Pending</v>
      </c>
      <c r="K56" s="8">
        <v>45864</v>
      </c>
      <c r="L56" s="8" t="str">
        <v>No</v>
      </c>
      <c r="M56" s="8">
        <v>194</v>
      </c>
      <c r="N56" s="8" t="str">
        <v>No</v>
      </c>
      <c r="O56" s="8" t="str">
        <v>No</v>
      </c>
      <c r="P56" s="8" t="str">
        <f t="shared" si="0"/>
        <v>C090</v>
      </c>
      <c r="Q56" s="8" t="str">
        <f>VLOOKUP($B56,customers[],MATCH(Q$1,customers[#Headers],0),0)</f>
        <v>Champak Padmanabhan</v>
      </c>
      <c r="R56" s="8" t="str">
        <f>VLOOKUP($B56,customers[],MATCH(R$1,customers[#Headers],0),0)</f>
        <v>uvohra@example.net</v>
      </c>
      <c r="S56" s="8">
        <f>VLOOKUP($B56,customers[],MATCH(S$1,customers[#Headers],0),0)</f>
        <v>6246287334</v>
      </c>
      <c r="T56" s="8" t="str">
        <f>VLOOKUP($B56,customers[],MATCH(T$1,customers[#Headers],0),0)</f>
        <v>Jaipur</v>
      </c>
      <c r="U56" s="8" t="str">
        <f>VLOOKUP($B56,customers[],MATCH(U$1,customers[#Headers],0),0)</f>
        <v>Rajasthan</v>
      </c>
      <c r="V56" s="8">
        <f>VLOOKUP($B56,customers[],MATCH(V$1,customers[#Headers],0),0)</f>
        <v>708668</v>
      </c>
      <c r="W56" s="8" t="str">
        <f>VLOOKUP($B56,customers[],MATCH(W$1,customers[#Headers],0),0)</f>
        <v>Female</v>
      </c>
      <c r="X56" s="8">
        <f>VLOOKUP($B56,customers[],MATCH(X$1,customers[#Headers],0),0)</f>
        <v>34921</v>
      </c>
      <c r="Y56" s="8">
        <f>VLOOKUP($B56,customers[],MATCH(Y$1,customers[#Headers],0),0)</f>
        <v>44444</v>
      </c>
      <c r="Z56" s="8" t="str">
        <f>VLOOKUP($B56,customers[],MATCH(Z$1,customers[#Headers],0),0)</f>
        <v>Home Appliance</v>
      </c>
      <c r="AA56" s="8">
        <f>VLOOKUP($B56,customers[],MATCH(AA$1,customers[#Headers],0),0)</f>
        <v>1345</v>
      </c>
      <c r="AB56" s="8" t="str">
        <f>VLOOKUP($B56,customers[],MATCH(AB$1,customers[#Headers],0),0)</f>
        <v>Single</v>
      </c>
      <c r="AC56" s="8" t="str">
        <f>VLOOKUP($B56,customers[],MATCH(AC$1,customers[#Headers],0),0)</f>
        <v>Engineer</v>
      </c>
      <c r="AD56" s="8">
        <f>VLOOKUP($B56,customers[],MATCH(AD$1,customers[#Headers],0),0)</f>
        <v>1662119</v>
      </c>
      <c r="AE56" s="8" t="str">
        <f t="shared" si="1"/>
        <v>P178</v>
      </c>
      <c r="AF56" s="8" t="str">
        <f>VLOOKUP($AE56,Products[],MATCH(AF$1,Products[#Headers],0),0)</f>
        <v>Consequatur TV</v>
      </c>
      <c r="AG56" s="8" t="str">
        <f>VLOOKUP($AE56,Products[],MATCH(AG$1,Products[#Headers],0),0)</f>
        <v>Grocery</v>
      </c>
      <c r="AH56" s="8" t="str">
        <f>VLOOKUP($AE56,Products[],MATCH(AH$1,Products[#Headers],0),0)</f>
        <v>Cotton</v>
      </c>
      <c r="AI56" s="8" t="str">
        <f>VLOOKUP($AE56,Products[],MATCH(AI$1,Products[#Headers],0),0)</f>
        <v>Kala Group</v>
      </c>
      <c r="AJ56" s="8">
        <f>VLOOKUP($AE56,Products[],MATCH(AJ$1,Products[#Headers],0),0)</f>
        <v>29930</v>
      </c>
      <c r="AK56" s="8">
        <f>VLOOKUP($AE56,Products[],MATCH(AK$1,Products[#Headers],0),0)</f>
        <v>5</v>
      </c>
      <c r="AL56" s="8">
        <f>VLOOKUP($AE56,Products[],MATCH(AL$1,Products[#Headers],0),0)</f>
        <v>326</v>
      </c>
      <c r="AM56" s="8">
        <f>VLOOKUP($AE56,Products[],MATCH(AM$1,Products[#Headers],0),0)</f>
        <v>6</v>
      </c>
      <c r="AN56" s="8" t="str">
        <f>VLOOKUP($AE56,Products[],MATCH(AN$1,Products[#Headers],0),0)</f>
        <v>Vietnam</v>
      </c>
      <c r="AO56" s="8" t="str">
        <f>VLOOKUP($AE56,Products[],MATCH(AO$1,Products[#Headers],0),0)</f>
        <v>Yes</v>
      </c>
      <c r="AP56" s="8">
        <f>VLOOKUP($AE56,Products[],MATCH(AP$1,Products[#Headers],0),0)</f>
        <v>2.8</v>
      </c>
      <c r="AQ56" s="8">
        <f>VLOOKUP($AE56,Products[],MATCH(AQ$1,Products[#Headers],0),0)</f>
        <v>44880</v>
      </c>
      <c r="AR56" s="8" t="str">
        <f>VLOOKUP($AE56,Products[],MATCH(AR$1,Products[#Headers],0),0)</f>
        <v>No</v>
      </c>
      <c r="AS56" s="8">
        <f>VLOOKUP($AE56,Products[],MATCH(AS$1,Products[#Headers],0),0)</f>
        <v>8741</v>
      </c>
      <c r="AT56" s="8">
        <f>VLOOKUP($AE56,Products[],MATCH(AT$1,Products[#Headers],0),0)</f>
        <v>128</v>
      </c>
      <c r="AU56" s="8">
        <f t="shared" si="2"/>
        <v>128</v>
      </c>
      <c r="AV56" s="8" t="str">
        <f>IFERROR(VLOOKUP($AU56,stores[],MATCH(AV$1,stores[#Headers],0),0),"")</f>
        <v/>
      </c>
      <c r="AW56" s="8" t="str">
        <f>IFERROR(VLOOKUP($AU56,stores[],MATCH(AW$1,stores[#Headers],0),0),"")</f>
        <v/>
      </c>
      <c r="AX56" s="8" t="str">
        <f>IFERROR(VLOOKUP($AU56,stores[],MATCH(AX$1,stores[#Headers],0),0),"")</f>
        <v/>
      </c>
      <c r="AY56" s="8" t="str">
        <f>IFERROR(VLOOKUP($AU56,stores[],MATCH(AY$1,stores[#Headers],0),0),"")</f>
        <v/>
      </c>
      <c r="AZ56" s="8" t="str">
        <f>IFERROR(VLOOKUP($AU56,stores[],MATCH(AZ$1,stores[#Headers],0),0),"")</f>
        <v/>
      </c>
      <c r="BA56" s="8" t="str">
        <f>IFERROR(VLOOKUP($AU56,stores[],MATCH(BA$1,stores[#Headers],0),0),"")</f>
        <v/>
      </c>
      <c r="BB56" s="8" t="str">
        <f>IFERROR(VLOOKUP($AU56,stores[],MATCH(BB$1,stores[#Headers],0),0),"")</f>
        <v/>
      </c>
      <c r="BC56" s="8" t="str">
        <f>IFERROR(VLOOKUP($AU56,stores[],MATCH(BC$1,stores[#Headers],0),0),"")</f>
        <v/>
      </c>
      <c r="BD56" s="8" t="str">
        <f>IFERROR(VLOOKUP($AU56,stores[],MATCH(BD$1,stores[#Headers],0),0),"")</f>
        <v/>
      </c>
      <c r="BE56" s="8" t="str">
        <f>IFERROR(VLOOKUP($AU56,stores[],MATCH(BE$1,stores[#Headers],0),0),"")</f>
        <v/>
      </c>
      <c r="BF56" s="8" t="str">
        <f>IFERROR(VLOOKUP($AU56,stores[],MATCH(BF$1,stores[#Headers],0),0),"")</f>
        <v/>
      </c>
      <c r="BG56" s="8" t="str">
        <f>IFERROR(VLOOKUP($AU56,stores[],MATCH(BG$1,stores[#Headers],0),0),"")</f>
        <v/>
      </c>
      <c r="BH56" s="8" t="str">
        <f>IFERROR(VLOOKUP($AU56,stores[],MATCH(BH$1,stores[#Headers],0),0),"")</f>
        <v/>
      </c>
      <c r="BI56" s="8" t="str">
        <f>IFERROR(VLOOKUP($AU56,stores[],MATCH(BI$1,stores[#Headers],0),0),"")</f>
        <v/>
      </c>
      <c r="BJ56" s="8" t="str">
        <f>IFERROR(VLOOKUP($AU56,stores[],MATCH(BJ$1,stores[#Headers],0),0),"")</f>
        <v/>
      </c>
    </row>
    <row r="57" spans="1:62" x14ac:dyDescent="0.3">
      <c r="A57" s="8" t="str">
        <v>O1056</v>
      </c>
      <c r="B57" s="8" t="str">
        <v>C040</v>
      </c>
      <c r="C57" s="8" t="str">
        <v>P134</v>
      </c>
      <c r="D57" s="8">
        <v>45515</v>
      </c>
      <c r="E57" s="8">
        <v>3</v>
      </c>
      <c r="F57" s="8">
        <v>63656</v>
      </c>
      <c r="G57" s="8">
        <v>318280</v>
      </c>
      <c r="H57" s="8">
        <v>0.3</v>
      </c>
      <c r="I57" s="8" t="str">
        <v>Net Banking</v>
      </c>
      <c r="J57" s="8" t="str">
        <v>Cancelled</v>
      </c>
      <c r="K57" s="8">
        <v>45866</v>
      </c>
      <c r="L57" s="8" t="str">
        <v>Yes</v>
      </c>
      <c r="M57" s="8">
        <v>411</v>
      </c>
      <c r="N57" s="8" t="str">
        <v>No</v>
      </c>
      <c r="O57" s="8" t="str">
        <v>No</v>
      </c>
      <c r="P57" s="8" t="str">
        <f t="shared" si="0"/>
        <v>C040</v>
      </c>
      <c r="Q57" s="8" t="str">
        <f>VLOOKUP($B57,customers[],MATCH(Q$1,customers[#Headers],0),0)</f>
        <v>Aadhya Andra</v>
      </c>
      <c r="R57" s="8" t="str">
        <f>VLOOKUP($B57,customers[],MATCH(R$1,customers[#Headers],0),0)</f>
        <v>rmani@example.net</v>
      </c>
      <c r="S57" s="8">
        <f>VLOOKUP($B57,customers[],MATCH(S$1,customers[#Headers],0),0)</f>
        <v>911759464743</v>
      </c>
      <c r="T57" s="8" t="str">
        <f>VLOOKUP($B57,customers[],MATCH(T$1,customers[#Headers],0),0)</f>
        <v>Lucknow</v>
      </c>
      <c r="U57" s="8" t="str">
        <f>VLOOKUP($B57,customers[],MATCH(U$1,customers[#Headers],0),0)</f>
        <v>Uttar Pradesh</v>
      </c>
      <c r="V57" s="8">
        <f>VLOOKUP($B57,customers[],MATCH(V$1,customers[#Headers],0),0)</f>
        <v>713695</v>
      </c>
      <c r="W57" s="8" t="str">
        <f>VLOOKUP($B57,customers[],MATCH(W$1,customers[#Headers],0),0)</f>
        <v>Male</v>
      </c>
      <c r="X57" s="8">
        <f>VLOOKUP($B57,customers[],MATCH(X$1,customers[#Headers],0),0)</f>
        <v>36035</v>
      </c>
      <c r="Y57" s="8">
        <f>VLOOKUP($B57,customers[],MATCH(Y$1,customers[#Headers],0),0)</f>
        <v>44947</v>
      </c>
      <c r="Z57" s="8" t="str">
        <f>VLOOKUP($B57,customers[],MATCH(Z$1,customers[#Headers],0),0)</f>
        <v>Home Appliance</v>
      </c>
      <c r="AA57" s="8">
        <f>VLOOKUP($B57,customers[],MATCH(AA$1,customers[#Headers],0),0)</f>
        <v>6715</v>
      </c>
      <c r="AB57" s="8" t="str">
        <f>VLOOKUP($B57,customers[],MATCH(AB$1,customers[#Headers],0),0)</f>
        <v>Single</v>
      </c>
      <c r="AC57" s="8" t="str">
        <f>VLOOKUP($B57,customers[],MATCH(AC$1,customers[#Headers],0),0)</f>
        <v>Student</v>
      </c>
      <c r="AD57" s="8">
        <f>VLOOKUP($B57,customers[],MATCH(AD$1,customers[#Headers],0),0)</f>
        <v>716351</v>
      </c>
      <c r="AE57" s="8" t="str">
        <f t="shared" si="1"/>
        <v>P134</v>
      </c>
      <c r="AF57" s="8" t="str">
        <f>VLOOKUP($AE57,Products[],MATCH(AF$1,Products[#Headers],0),0)</f>
        <v>Voluptatibus Shirt</v>
      </c>
      <c r="AG57" s="8" t="str">
        <f>VLOOKUP($AE57,Products[],MATCH(AG$1,Products[#Headers],0),0)</f>
        <v>Fashion</v>
      </c>
      <c r="AH57" s="8" t="str">
        <f>VLOOKUP($AE57,Products[],MATCH(AH$1,Products[#Headers],0),0)</f>
        <v>Cotton</v>
      </c>
      <c r="AI57" s="8" t="str">
        <f>VLOOKUP($AE57,Products[],MATCH(AI$1,Products[#Headers],0),0)</f>
        <v>Jha LLC</v>
      </c>
      <c r="AJ57" s="8">
        <f>VLOOKUP($AE57,Products[],MATCH(AJ$1,Products[#Headers],0),0)</f>
        <v>63656</v>
      </c>
      <c r="AK57" s="8">
        <f>VLOOKUP($AE57,Products[],MATCH(AK$1,Products[#Headers],0),0)</f>
        <v>30</v>
      </c>
      <c r="AL57" s="8">
        <f>VLOOKUP($AE57,Products[],MATCH(AL$1,Products[#Headers],0),0)</f>
        <v>302</v>
      </c>
      <c r="AM57" s="8">
        <f>VLOOKUP($AE57,Products[],MATCH(AM$1,Products[#Headers],0),0)</f>
        <v>24</v>
      </c>
      <c r="AN57" s="8" t="str">
        <f>VLOOKUP($AE57,Products[],MATCH(AN$1,Products[#Headers],0),0)</f>
        <v>India</v>
      </c>
      <c r="AO57" s="8" t="str">
        <f>VLOOKUP($AE57,Products[],MATCH(AO$1,Products[#Headers],0),0)</f>
        <v>No</v>
      </c>
      <c r="AP57" s="8">
        <f>VLOOKUP($AE57,Products[],MATCH(AP$1,Products[#Headers],0),0)</f>
        <v>4.9000000000000004</v>
      </c>
      <c r="AQ57" s="8">
        <f>VLOOKUP($AE57,Products[],MATCH(AQ$1,Products[#Headers],0),0)</f>
        <v>45852</v>
      </c>
      <c r="AR57" s="8" t="str">
        <f>VLOOKUP($AE57,Products[],MATCH(AR$1,Products[#Headers],0),0)</f>
        <v>Yes</v>
      </c>
      <c r="AS57" s="8">
        <f>VLOOKUP($AE57,Products[],MATCH(AS$1,Products[#Headers],0),0)</f>
        <v>4697</v>
      </c>
      <c r="AT57" s="8">
        <f>VLOOKUP($AE57,Products[],MATCH(AT$1,Products[#Headers],0),0)</f>
        <v>195</v>
      </c>
      <c r="AU57" s="8">
        <f t="shared" si="2"/>
        <v>195</v>
      </c>
      <c r="AV57" s="8" t="str">
        <f>IFERROR(VLOOKUP($AU57,stores[],MATCH(AV$1,stores[#Headers],0),0),"")</f>
        <v/>
      </c>
      <c r="AW57" s="8" t="str">
        <f>IFERROR(VLOOKUP($AU57,stores[],MATCH(AW$1,stores[#Headers],0),0),"")</f>
        <v/>
      </c>
      <c r="AX57" s="8" t="str">
        <f>IFERROR(VLOOKUP($AU57,stores[],MATCH(AX$1,stores[#Headers],0),0),"")</f>
        <v/>
      </c>
      <c r="AY57" s="8" t="str">
        <f>IFERROR(VLOOKUP($AU57,stores[],MATCH(AY$1,stores[#Headers],0),0),"")</f>
        <v/>
      </c>
      <c r="AZ57" s="8" t="str">
        <f>IFERROR(VLOOKUP($AU57,stores[],MATCH(AZ$1,stores[#Headers],0),0),"")</f>
        <v/>
      </c>
      <c r="BA57" s="8" t="str">
        <f>IFERROR(VLOOKUP($AU57,stores[],MATCH(BA$1,stores[#Headers],0),0),"")</f>
        <v/>
      </c>
      <c r="BB57" s="8" t="str">
        <f>IFERROR(VLOOKUP($AU57,stores[],MATCH(BB$1,stores[#Headers],0),0),"")</f>
        <v/>
      </c>
      <c r="BC57" s="8" t="str">
        <f>IFERROR(VLOOKUP($AU57,stores[],MATCH(BC$1,stores[#Headers],0),0),"")</f>
        <v/>
      </c>
      <c r="BD57" s="8" t="str">
        <f>IFERROR(VLOOKUP($AU57,stores[],MATCH(BD$1,stores[#Headers],0),0),"")</f>
        <v/>
      </c>
      <c r="BE57" s="8" t="str">
        <f>IFERROR(VLOOKUP($AU57,stores[],MATCH(BE$1,stores[#Headers],0),0),"")</f>
        <v/>
      </c>
      <c r="BF57" s="8" t="str">
        <f>IFERROR(VLOOKUP($AU57,stores[],MATCH(BF$1,stores[#Headers],0),0),"")</f>
        <v/>
      </c>
      <c r="BG57" s="8" t="str">
        <f>IFERROR(VLOOKUP($AU57,stores[],MATCH(BG$1,stores[#Headers],0),0),"")</f>
        <v/>
      </c>
      <c r="BH57" s="8" t="str">
        <f>IFERROR(VLOOKUP($AU57,stores[],MATCH(BH$1,stores[#Headers],0),0),"")</f>
        <v/>
      </c>
      <c r="BI57" s="8" t="str">
        <f>IFERROR(VLOOKUP($AU57,stores[],MATCH(BI$1,stores[#Headers],0),0),"")</f>
        <v/>
      </c>
      <c r="BJ57" s="8" t="str">
        <f>IFERROR(VLOOKUP($AU57,stores[],MATCH(BJ$1,stores[#Headers],0),0),"")</f>
        <v/>
      </c>
    </row>
    <row r="58" spans="1:62" x14ac:dyDescent="0.3">
      <c r="A58" s="8" t="str">
        <v>O1057</v>
      </c>
      <c r="B58" s="8" t="str">
        <v>C027</v>
      </c>
      <c r="C58" s="8" t="str">
        <v>P148</v>
      </c>
      <c r="D58" s="8">
        <v>45825</v>
      </c>
      <c r="E58" s="8">
        <v>3</v>
      </c>
      <c r="F58" s="8">
        <v>96131</v>
      </c>
      <c r="G58" s="8">
        <v>384524</v>
      </c>
      <c r="H58" s="8">
        <v>0.08</v>
      </c>
      <c r="I58" s="8" t="str">
        <v>Credit Card</v>
      </c>
      <c r="J58" s="8" t="str">
        <v>Shipped</v>
      </c>
      <c r="K58" s="8">
        <v>45861</v>
      </c>
      <c r="L58" s="8" t="str">
        <v>Yes</v>
      </c>
      <c r="M58" s="8">
        <v>8</v>
      </c>
      <c r="N58" s="8" t="str">
        <v>No</v>
      </c>
      <c r="O58" s="8" t="str">
        <v>No</v>
      </c>
      <c r="P58" s="8" t="str">
        <f t="shared" si="0"/>
        <v>C027</v>
      </c>
      <c r="Q58" s="8" t="str">
        <f>VLOOKUP($B58,customers[],MATCH(Q$1,customers[#Headers],0),0)</f>
        <v>Harini Mammen</v>
      </c>
      <c r="R58" s="8" t="str">
        <f>VLOOKUP($B58,customers[],MATCH(R$1,customers[#Headers],0),0)</f>
        <v>advaith83@example.org</v>
      </c>
      <c r="S58" s="8">
        <f>VLOOKUP($B58,customers[],MATCH(S$1,customers[#Headers],0),0)</f>
        <v>916783777014</v>
      </c>
      <c r="T58" s="8" t="str">
        <f>VLOOKUP($B58,customers[],MATCH(T$1,customers[#Headers],0),0)</f>
        <v>Delhi</v>
      </c>
      <c r="U58" s="8" t="str">
        <f>VLOOKUP($B58,customers[],MATCH(U$1,customers[#Headers],0),0)</f>
        <v>Delhi</v>
      </c>
      <c r="V58" s="8">
        <f>VLOOKUP($B58,customers[],MATCH(V$1,customers[#Headers],0),0)</f>
        <v>634957</v>
      </c>
      <c r="W58" s="8" t="str">
        <f>VLOOKUP($B58,customers[],MATCH(W$1,customers[#Headers],0),0)</f>
        <v>Male</v>
      </c>
      <c r="X58" s="8">
        <f>VLOOKUP($B58,customers[],MATCH(X$1,customers[#Headers],0),0)</f>
        <v>35504</v>
      </c>
      <c r="Y58" s="8">
        <f>VLOOKUP($B58,customers[],MATCH(Y$1,customers[#Headers],0),0)</f>
        <v>45677</v>
      </c>
      <c r="Z58" s="8" t="str">
        <f>VLOOKUP($B58,customers[],MATCH(Z$1,customers[#Headers],0),0)</f>
        <v>Electronics</v>
      </c>
      <c r="AA58" s="8">
        <f>VLOOKUP($B58,customers[],MATCH(AA$1,customers[#Headers],0),0)</f>
        <v>614</v>
      </c>
      <c r="AB58" s="8" t="str">
        <f>VLOOKUP($B58,customers[],MATCH(AB$1,customers[#Headers],0),0)</f>
        <v>Married</v>
      </c>
      <c r="AC58" s="8" t="str">
        <f>VLOOKUP($B58,customers[],MATCH(AC$1,customers[#Headers],0),0)</f>
        <v>Engineer</v>
      </c>
      <c r="AD58" s="8">
        <f>VLOOKUP($B58,customers[],MATCH(AD$1,customers[#Headers],0),0)</f>
        <v>1278263</v>
      </c>
      <c r="AE58" s="8" t="str">
        <f t="shared" si="1"/>
        <v>P148</v>
      </c>
      <c r="AF58" s="8" t="str">
        <f>VLOOKUP($AE58,Products[],MATCH(AF$1,Products[#Headers],0),0)</f>
        <v>Vitae Washing Machine</v>
      </c>
      <c r="AG58" s="8" t="str">
        <f>VLOOKUP($AE58,Products[],MATCH(AG$1,Products[#Headers],0),0)</f>
        <v>Grocery</v>
      </c>
      <c r="AH58" s="8" t="str">
        <f>VLOOKUP($AE58,Products[],MATCH(AH$1,Products[#Headers],0),0)</f>
        <v>Android</v>
      </c>
      <c r="AI58" s="8" t="str">
        <f>VLOOKUP($AE58,Products[],MATCH(AI$1,Products[#Headers],0),0)</f>
        <v>Sagar-Sawhney</v>
      </c>
      <c r="AJ58" s="8">
        <f>VLOOKUP($AE58,Products[],MATCH(AJ$1,Products[#Headers],0),0)</f>
        <v>96131</v>
      </c>
      <c r="AK58" s="8">
        <f>VLOOKUP($AE58,Products[],MATCH(AK$1,Products[#Headers],0),0)</f>
        <v>8</v>
      </c>
      <c r="AL58" s="8">
        <f>VLOOKUP($AE58,Products[],MATCH(AL$1,Products[#Headers],0),0)</f>
        <v>320</v>
      </c>
      <c r="AM58" s="8">
        <f>VLOOKUP($AE58,Products[],MATCH(AM$1,Products[#Headers],0),0)</f>
        <v>36</v>
      </c>
      <c r="AN58" s="8" t="str">
        <f>VLOOKUP($AE58,Products[],MATCH(AN$1,Products[#Headers],0),0)</f>
        <v>Vietnam</v>
      </c>
      <c r="AO58" s="8" t="str">
        <f>VLOOKUP($AE58,Products[],MATCH(AO$1,Products[#Headers],0),0)</f>
        <v>No</v>
      </c>
      <c r="AP58" s="8">
        <f>VLOOKUP($AE58,Products[],MATCH(AP$1,Products[#Headers],0),0)</f>
        <v>3.4</v>
      </c>
      <c r="AQ58" s="8">
        <f>VLOOKUP($AE58,Products[],MATCH(AQ$1,Products[#Headers],0),0)</f>
        <v>45518</v>
      </c>
      <c r="AR58" s="8" t="str">
        <f>VLOOKUP($AE58,Products[],MATCH(AR$1,Products[#Headers],0),0)</f>
        <v>Yes</v>
      </c>
      <c r="AS58" s="8">
        <f>VLOOKUP($AE58,Products[],MATCH(AS$1,Products[#Headers],0),0)</f>
        <v>8771</v>
      </c>
      <c r="AT58" s="8">
        <f>VLOOKUP($AE58,Products[],MATCH(AT$1,Products[#Headers],0),0)</f>
        <v>62</v>
      </c>
      <c r="AU58" s="8">
        <f t="shared" si="2"/>
        <v>62</v>
      </c>
      <c r="AV58" s="8" t="str">
        <f>IFERROR(VLOOKUP($AU58,stores[],MATCH(AV$1,stores[#Headers],0),0),"")</f>
        <v>S062</v>
      </c>
      <c r="AW58" s="8" t="str">
        <f>IFERROR(VLOOKUP($AU58,stores[],MATCH(AW$1,stores[#Headers],0),0),"")</f>
        <v>Lata Group Mart</v>
      </c>
      <c r="AX58" s="8" t="str">
        <f>IFERROR(VLOOKUP($AU58,stores[],MATCH(AX$1,stores[#Headers],0),0),"")</f>
        <v>Delhi</v>
      </c>
      <c r="AY58" s="8" t="str">
        <f>IFERROR(VLOOKUP($AU58,stores[],MATCH(AY$1,stores[#Headers],0),0),"")</f>
        <v>Delhi</v>
      </c>
      <c r="AZ58" s="8">
        <f>IFERROR(VLOOKUP($AU58,stores[],MATCH(AZ$1,stores[#Headers],0),0),"")</f>
        <v>872346</v>
      </c>
      <c r="BA58" s="8" t="str">
        <f>IFERROR(VLOOKUP($AU58,stores[],MATCH(BA$1,stores[#Headers],0),0),"")</f>
        <v>Jairaj Kothari</v>
      </c>
      <c r="BB58" s="8">
        <f>IFERROR(VLOOKUP($AU58,stores[],MATCH(BB$1,stores[#Headers],0),0),"")</f>
        <v>2014</v>
      </c>
      <c r="BC58" s="8">
        <f>IFERROR(VLOOKUP($AU58,stores[],MATCH(BC$1,stores[#Headers],0),0),"")</f>
        <v>11</v>
      </c>
      <c r="BD58" s="8">
        <f>IFERROR(VLOOKUP($AU58,stores[],MATCH(BD$1,stores[#Headers],0),0),"")</f>
        <v>6504</v>
      </c>
      <c r="BE58" s="8">
        <f>IFERROR(VLOOKUP($AU58,stores[],MATCH(BE$1,stores[#Headers],0),0),"")</f>
        <v>4.8</v>
      </c>
      <c r="BF58" s="8" t="str">
        <f>IFERROR(VLOOKUP($AU58,stores[],MATCH(BF$1,stores[#Headers],0),0),"")</f>
        <v>No</v>
      </c>
      <c r="BG58" s="8">
        <f>IFERROR(VLOOKUP($AU58,stores[],MATCH(BG$1,stores[#Headers],0),0),"")</f>
        <v>3735</v>
      </c>
      <c r="BH58" s="8" t="str">
        <f>IFERROR(VLOOKUP($AU58,stores[],MATCH(BH$1,stores[#Headers],0),0),"")</f>
        <v>Franchise</v>
      </c>
      <c r="BI58" s="8">
        <f>IFERROR(VLOOKUP($AU58,stores[],MATCH(BI$1,stores[#Headers],0),0),"")</f>
        <v>7303718376</v>
      </c>
      <c r="BJ58" s="8" t="str">
        <f>IFERROR(VLOOKUP($AU58,stores[],MATCH(BJ$1,stores[#Headers],0),0),"")</f>
        <v>ekantika20@verma.info</v>
      </c>
    </row>
    <row r="59" spans="1:62" x14ac:dyDescent="0.3">
      <c r="A59" s="8" t="str">
        <v>O1058</v>
      </c>
      <c r="B59" s="8" t="str">
        <v>C038</v>
      </c>
      <c r="C59" s="8" t="str">
        <v>P120</v>
      </c>
      <c r="D59" s="8">
        <v>45789</v>
      </c>
      <c r="E59" s="8">
        <v>2</v>
      </c>
      <c r="F59" s="8">
        <v>77431</v>
      </c>
      <c r="G59" s="8">
        <v>232293</v>
      </c>
      <c r="H59" s="8">
        <v>0.23</v>
      </c>
      <c r="I59" s="8" t="str">
        <v>Debit Card</v>
      </c>
      <c r="J59" s="8" t="str">
        <v>Cancelled</v>
      </c>
      <c r="K59" s="8">
        <v>45862</v>
      </c>
      <c r="L59" s="8" t="str">
        <v>Yes</v>
      </c>
      <c r="M59" s="8">
        <v>255</v>
      </c>
      <c r="N59" s="8" t="str">
        <v>No</v>
      </c>
      <c r="O59" s="8" t="str">
        <v>No</v>
      </c>
      <c r="P59" s="8" t="str">
        <f t="shared" si="0"/>
        <v>C038</v>
      </c>
      <c r="Q59" s="8" t="str">
        <f>VLOOKUP($B59,customers[],MATCH(Q$1,customers[#Headers],0),0)</f>
        <v>Falan Singh</v>
      </c>
      <c r="R59" s="8" t="str">
        <f>VLOOKUP($B59,customers[],MATCH(R$1,customers[#Headers],0),0)</f>
        <v>hamsini96@example.net</v>
      </c>
      <c r="S59" s="8">
        <f>VLOOKUP($B59,customers[],MATCH(S$1,customers[#Headers],0),0)</f>
        <v>915865780913</v>
      </c>
      <c r="T59" s="8" t="str">
        <f>VLOOKUP($B59,customers[],MATCH(T$1,customers[#Headers],0),0)</f>
        <v>Pune</v>
      </c>
      <c r="U59" s="8" t="str">
        <f>VLOOKUP($B59,customers[],MATCH(U$1,customers[#Headers],0),0)</f>
        <v>Maharashtra</v>
      </c>
      <c r="V59" s="8">
        <f>VLOOKUP($B59,customers[],MATCH(V$1,customers[#Headers],0),0)</f>
        <v>316117</v>
      </c>
      <c r="W59" s="8" t="str">
        <f>VLOOKUP($B59,customers[],MATCH(W$1,customers[#Headers],0),0)</f>
        <v>Male</v>
      </c>
      <c r="X59" s="8">
        <f>VLOOKUP($B59,customers[],MATCH(X$1,customers[#Headers],0),0)</f>
        <v>25883</v>
      </c>
      <c r="Y59" s="8">
        <f>VLOOKUP($B59,customers[],MATCH(Y$1,customers[#Headers],0),0)</f>
        <v>44958</v>
      </c>
      <c r="Z59" s="8" t="str">
        <f>VLOOKUP($B59,customers[],MATCH(Z$1,customers[#Headers],0),0)</f>
        <v>Fashion</v>
      </c>
      <c r="AA59" s="8">
        <f>VLOOKUP($B59,customers[],MATCH(AA$1,customers[#Headers],0),0)</f>
        <v>1036</v>
      </c>
      <c r="AB59" s="8" t="str">
        <f>VLOOKUP($B59,customers[],MATCH(AB$1,customers[#Headers],0),0)</f>
        <v>Single</v>
      </c>
      <c r="AC59" s="8" t="str">
        <f>VLOOKUP($B59,customers[],MATCH(AC$1,customers[#Headers],0),0)</f>
        <v>Student</v>
      </c>
      <c r="AD59" s="8">
        <f>VLOOKUP($B59,customers[],MATCH(AD$1,customers[#Headers],0),0)</f>
        <v>1199897</v>
      </c>
      <c r="AE59" s="8" t="str">
        <f t="shared" si="1"/>
        <v>P120</v>
      </c>
      <c r="AF59" s="8" t="str">
        <f>VLOOKUP($AE59,Products[],MATCH(AF$1,Products[#Headers],0),0)</f>
        <v>Accusamus Laptop</v>
      </c>
      <c r="AG59" s="8" t="str">
        <f>VLOOKUP($AE59,Products[],MATCH(AG$1,Products[#Headers],0),0)</f>
        <v>Fashion</v>
      </c>
      <c r="AH59" s="8" t="str">
        <f>VLOOKUP($AE59,Products[],MATCH(AH$1,Products[#Headers],0),0)</f>
        <v>Cotton</v>
      </c>
      <c r="AI59" s="8" t="str">
        <f>VLOOKUP($AE59,Products[],MATCH(AI$1,Products[#Headers],0),0)</f>
        <v>Kuruvilla and Sons</v>
      </c>
      <c r="AJ59" s="8">
        <f>VLOOKUP($AE59,Products[],MATCH(AJ$1,Products[#Headers],0),0)</f>
        <v>77431</v>
      </c>
      <c r="AK59" s="8">
        <f>VLOOKUP($AE59,Products[],MATCH(AK$1,Products[#Headers],0),0)</f>
        <v>23</v>
      </c>
      <c r="AL59" s="8">
        <f>VLOOKUP($AE59,Products[],MATCH(AL$1,Products[#Headers],0),0)</f>
        <v>675</v>
      </c>
      <c r="AM59" s="8">
        <f>VLOOKUP($AE59,Products[],MATCH(AM$1,Products[#Headers],0),0)</f>
        <v>36</v>
      </c>
      <c r="AN59" s="8" t="str">
        <f>VLOOKUP($AE59,Products[],MATCH(AN$1,Products[#Headers],0),0)</f>
        <v>China</v>
      </c>
      <c r="AO59" s="8" t="str">
        <f>VLOOKUP($AE59,Products[],MATCH(AO$1,Products[#Headers],0),0)</f>
        <v>No</v>
      </c>
      <c r="AP59" s="8">
        <f>VLOOKUP($AE59,Products[],MATCH(AP$1,Products[#Headers],0),0)</f>
        <v>3.8</v>
      </c>
      <c r="AQ59" s="8">
        <f>VLOOKUP($AE59,Products[],MATCH(AQ$1,Products[#Headers],0),0)</f>
        <v>45552</v>
      </c>
      <c r="AR59" s="8" t="str">
        <f>VLOOKUP($AE59,Products[],MATCH(AR$1,Products[#Headers],0),0)</f>
        <v>No</v>
      </c>
      <c r="AS59" s="8">
        <f>VLOOKUP($AE59,Products[],MATCH(AS$1,Products[#Headers],0),0)</f>
        <v>6447</v>
      </c>
      <c r="AT59" s="8">
        <f>VLOOKUP($AE59,Products[],MATCH(AT$1,Products[#Headers],0),0)</f>
        <v>34</v>
      </c>
      <c r="AU59" s="8">
        <f t="shared" si="2"/>
        <v>34</v>
      </c>
      <c r="AV59" s="8" t="str">
        <f>IFERROR(VLOOKUP($AU59,stores[],MATCH(AV$1,stores[#Headers],0),0),"")</f>
        <v>S034</v>
      </c>
      <c r="AW59" s="8" t="str">
        <f>IFERROR(VLOOKUP($AU59,stores[],MATCH(AW$1,stores[#Headers],0),0),"")</f>
        <v>Naidu PLC Mart</v>
      </c>
      <c r="AX59" s="8" t="str">
        <f>IFERROR(VLOOKUP($AU59,stores[],MATCH(AX$1,stores[#Headers],0),0),"")</f>
        <v>Jaipur</v>
      </c>
      <c r="AY59" s="8" t="str">
        <f>IFERROR(VLOOKUP($AU59,stores[],MATCH(AY$1,stores[#Headers],0),0),"")</f>
        <v>Rajasthan</v>
      </c>
      <c r="AZ59" s="8">
        <f>IFERROR(VLOOKUP($AU59,stores[],MATCH(AZ$1,stores[#Headers],0),0),"")</f>
        <v>947985</v>
      </c>
      <c r="BA59" s="8" t="str">
        <f>IFERROR(VLOOKUP($AU59,stores[],MATCH(BA$1,stores[#Headers],0),0),"")</f>
        <v>Eesha Vora</v>
      </c>
      <c r="BB59" s="8">
        <f>IFERROR(VLOOKUP($AU59,stores[],MATCH(BB$1,stores[#Headers],0),0),"")</f>
        <v>2018</v>
      </c>
      <c r="BC59" s="8">
        <f>IFERROR(VLOOKUP($AU59,stores[],MATCH(BC$1,stores[#Headers],0),0),"")</f>
        <v>86</v>
      </c>
      <c r="BD59" s="8">
        <f>IFERROR(VLOOKUP($AU59,stores[],MATCH(BD$1,stores[#Headers],0),0),"")</f>
        <v>3166</v>
      </c>
      <c r="BE59" s="8">
        <f>IFERROR(VLOOKUP($AU59,stores[],MATCH(BE$1,stores[#Headers],0),0),"")</f>
        <v>3.6</v>
      </c>
      <c r="BF59" s="8" t="str">
        <f>IFERROR(VLOOKUP($AU59,stores[],MATCH(BF$1,stores[#Headers],0),0),"")</f>
        <v>No</v>
      </c>
      <c r="BG59" s="8">
        <f>IFERROR(VLOOKUP($AU59,stores[],MATCH(BG$1,stores[#Headers],0),0),"")</f>
        <v>2454</v>
      </c>
      <c r="BH59" s="8" t="str">
        <f>IFERROR(VLOOKUP($AU59,stores[],MATCH(BH$1,stores[#Headers],0),0),"")</f>
        <v>Retail</v>
      </c>
      <c r="BI59" s="8">
        <f>IFERROR(VLOOKUP($AU59,stores[],MATCH(BI$1,stores[#Headers],0),0),"")</f>
        <v>912818268861</v>
      </c>
      <c r="BJ59" s="8" t="str">
        <f>IFERROR(VLOOKUP($AU59,stores[],MATCH(BJ$1,stores[#Headers],0),0),"")</f>
        <v>timothy35@patel-memon.com</v>
      </c>
    </row>
    <row r="60" spans="1:62" x14ac:dyDescent="0.3">
      <c r="A60" s="8" t="str">
        <v>O1059</v>
      </c>
      <c r="B60" s="8" t="str">
        <v>C098</v>
      </c>
      <c r="C60" s="8" t="str">
        <v>P163</v>
      </c>
      <c r="D60" s="8">
        <v>45616</v>
      </c>
      <c r="E60" s="8">
        <v>4</v>
      </c>
      <c r="F60" s="8">
        <v>23718</v>
      </c>
      <c r="G60" s="8">
        <v>94872</v>
      </c>
      <c r="H60" s="8">
        <v>0.28999999999999998</v>
      </c>
      <c r="I60" s="8" t="str">
        <v>Debit Card</v>
      </c>
      <c r="J60" s="8" t="str">
        <v>Pending</v>
      </c>
      <c r="K60" s="8">
        <v>45857</v>
      </c>
      <c r="L60" s="8" t="str">
        <v>Yes</v>
      </c>
      <c r="M60" s="8">
        <v>71</v>
      </c>
      <c r="N60" s="8" t="str">
        <v>No</v>
      </c>
      <c r="O60" s="8" t="str">
        <v>Yes</v>
      </c>
      <c r="P60" s="8" t="str">
        <f t="shared" si="0"/>
        <v>C098</v>
      </c>
      <c r="Q60" s="8" t="str">
        <f>VLOOKUP($B60,customers[],MATCH(Q$1,customers[#Headers],0),0)</f>
        <v>Leena Dey</v>
      </c>
      <c r="R60" s="8" t="str">
        <f>VLOOKUP($B60,customers[],MATCH(R$1,customers[#Headers],0),0)</f>
        <v>tellahiral@example.org</v>
      </c>
      <c r="S60" s="8">
        <f>VLOOKUP($B60,customers[],MATCH(S$1,customers[#Headers],0),0)</f>
        <v>916315999650</v>
      </c>
      <c r="T60" s="8" t="str">
        <f>VLOOKUP($B60,customers[],MATCH(T$1,customers[#Headers],0),0)</f>
        <v>Chennai</v>
      </c>
      <c r="U60" s="8" t="str">
        <f>VLOOKUP($B60,customers[],MATCH(U$1,customers[#Headers],0),0)</f>
        <v>Tamil Nadu</v>
      </c>
      <c r="V60" s="8">
        <f>VLOOKUP($B60,customers[],MATCH(V$1,customers[#Headers],0),0)</f>
        <v>773586</v>
      </c>
      <c r="W60" s="8" t="str">
        <f>VLOOKUP($B60,customers[],MATCH(W$1,customers[#Headers],0),0)</f>
        <v>Male</v>
      </c>
      <c r="X60" s="8">
        <f>VLOOKUP($B60,customers[],MATCH(X$1,customers[#Headers],0),0)</f>
        <v>32481</v>
      </c>
      <c r="Y60" s="8">
        <f>VLOOKUP($B60,customers[],MATCH(Y$1,customers[#Headers],0),0)</f>
        <v>44605</v>
      </c>
      <c r="Z60" s="8" t="str">
        <f>VLOOKUP($B60,customers[],MATCH(Z$1,customers[#Headers],0),0)</f>
        <v>Home Appliance</v>
      </c>
      <c r="AA60" s="8">
        <f>VLOOKUP($B60,customers[],MATCH(AA$1,customers[#Headers],0),0)</f>
        <v>1502</v>
      </c>
      <c r="AB60" s="8" t="str">
        <f>VLOOKUP($B60,customers[],MATCH(AB$1,customers[#Headers],0),0)</f>
        <v>Single</v>
      </c>
      <c r="AC60" s="8" t="str">
        <f>VLOOKUP($B60,customers[],MATCH(AC$1,customers[#Headers],0),0)</f>
        <v>Business</v>
      </c>
      <c r="AD60" s="8">
        <f>VLOOKUP($B60,customers[],MATCH(AD$1,customers[#Headers],0),0)</f>
        <v>1224622</v>
      </c>
      <c r="AE60" s="8" t="str">
        <f t="shared" si="1"/>
        <v>P163</v>
      </c>
      <c r="AF60" s="8" t="str">
        <f>VLOOKUP($AE60,Products[],MATCH(AF$1,Products[#Headers],0),0)</f>
        <v>Iste Laptop</v>
      </c>
      <c r="AG60" s="8" t="str">
        <f>VLOOKUP($AE60,Products[],MATCH(AG$1,Products[#Headers],0),0)</f>
        <v>Home Appliance</v>
      </c>
      <c r="AH60" s="8" t="str">
        <f>VLOOKUP($AE60,Products[],MATCH(AH$1,Products[#Headers],0),0)</f>
        <v>LED</v>
      </c>
      <c r="AI60" s="8" t="str">
        <f>VLOOKUP($AE60,Products[],MATCH(AI$1,Products[#Headers],0),0)</f>
        <v>Ramaswamy Group</v>
      </c>
      <c r="AJ60" s="8">
        <f>VLOOKUP($AE60,Products[],MATCH(AJ$1,Products[#Headers],0),0)</f>
        <v>23718</v>
      </c>
      <c r="AK60" s="8">
        <f>VLOOKUP($AE60,Products[],MATCH(AK$1,Products[#Headers],0),0)</f>
        <v>29</v>
      </c>
      <c r="AL60" s="8">
        <f>VLOOKUP($AE60,Products[],MATCH(AL$1,Products[#Headers],0),0)</f>
        <v>643</v>
      </c>
      <c r="AM60" s="8">
        <f>VLOOKUP($AE60,Products[],MATCH(AM$1,Products[#Headers],0),0)</f>
        <v>36</v>
      </c>
      <c r="AN60" s="8" t="str">
        <f>VLOOKUP($AE60,Products[],MATCH(AN$1,Products[#Headers],0),0)</f>
        <v>Japan</v>
      </c>
      <c r="AO60" s="8" t="str">
        <f>VLOOKUP($AE60,Products[],MATCH(AO$1,Products[#Headers],0),0)</f>
        <v>No</v>
      </c>
      <c r="AP60" s="8">
        <f>VLOOKUP($AE60,Products[],MATCH(AP$1,Products[#Headers],0),0)</f>
        <v>4.2</v>
      </c>
      <c r="AQ60" s="8">
        <f>VLOOKUP($AE60,Products[],MATCH(AQ$1,Products[#Headers],0),0)</f>
        <v>44979</v>
      </c>
      <c r="AR60" s="8" t="str">
        <f>VLOOKUP($AE60,Products[],MATCH(AR$1,Products[#Headers],0),0)</f>
        <v>No</v>
      </c>
      <c r="AS60" s="8">
        <f>VLOOKUP($AE60,Products[],MATCH(AS$1,Products[#Headers],0),0)</f>
        <v>6180</v>
      </c>
      <c r="AT60" s="8">
        <f>VLOOKUP($AE60,Products[],MATCH(AT$1,Products[#Headers],0),0)</f>
        <v>90</v>
      </c>
      <c r="AU60" s="8">
        <f t="shared" si="2"/>
        <v>90</v>
      </c>
      <c r="AV60" s="8" t="str">
        <f>IFERROR(VLOOKUP($AU60,stores[],MATCH(AV$1,stores[#Headers],0),0),"")</f>
        <v>S090</v>
      </c>
      <c r="AW60" s="8" t="str">
        <f>IFERROR(VLOOKUP($AU60,stores[],MATCH(AW$1,stores[#Headers],0),0),"")</f>
        <v>Shroff-Singhal Mart</v>
      </c>
      <c r="AX60" s="8" t="str">
        <f>IFERROR(VLOOKUP($AU60,stores[],MATCH(AX$1,stores[#Headers],0),0),"")</f>
        <v>Kolkata</v>
      </c>
      <c r="AY60" s="8" t="str">
        <f>IFERROR(VLOOKUP($AU60,stores[],MATCH(AY$1,stores[#Headers],0),0),"")</f>
        <v>West Bengal</v>
      </c>
      <c r="AZ60" s="8">
        <f>IFERROR(VLOOKUP($AU60,stores[],MATCH(AZ$1,stores[#Headers],0),0),"")</f>
        <v>329456</v>
      </c>
      <c r="BA60" s="8" t="str">
        <f>IFERROR(VLOOKUP($AU60,stores[],MATCH(BA$1,stores[#Headers],0),0),"")</f>
        <v>Ganga Nair</v>
      </c>
      <c r="BB60" s="8">
        <f>IFERROR(VLOOKUP($AU60,stores[],MATCH(BB$1,stores[#Headers],0),0),"")</f>
        <v>2000</v>
      </c>
      <c r="BC60" s="8">
        <f>IFERROR(VLOOKUP($AU60,stores[],MATCH(BC$1,stores[#Headers],0),0),"")</f>
        <v>59</v>
      </c>
      <c r="BD60" s="8">
        <f>IFERROR(VLOOKUP($AU60,stores[],MATCH(BD$1,stores[#Headers],0),0),"")</f>
        <v>3871</v>
      </c>
      <c r="BE60" s="8">
        <f>IFERROR(VLOOKUP($AU60,stores[],MATCH(BE$1,stores[#Headers],0),0),"")</f>
        <v>3.6</v>
      </c>
      <c r="BF60" s="8" t="str">
        <f>IFERROR(VLOOKUP($AU60,stores[],MATCH(BF$1,stores[#Headers],0),0),"")</f>
        <v>No</v>
      </c>
      <c r="BG60" s="8">
        <f>IFERROR(VLOOKUP($AU60,stores[],MATCH(BG$1,stores[#Headers],0),0),"")</f>
        <v>2135</v>
      </c>
      <c r="BH60" s="8" t="str">
        <f>IFERROR(VLOOKUP($AU60,stores[],MATCH(BH$1,stores[#Headers],0),0),"")</f>
        <v>Retail</v>
      </c>
      <c r="BI60" s="8">
        <f>IFERROR(VLOOKUP($AU60,stores[],MATCH(BI$1,stores[#Headers],0),0),"")</f>
        <v>7017157724</v>
      </c>
      <c r="BJ60" s="8" t="str">
        <f>IFERROR(VLOOKUP($AU60,stores[],MATCH(BJ$1,stores[#Headers],0),0),"")</f>
        <v>joshua81@chhabra-nanda.net</v>
      </c>
    </row>
    <row r="61" spans="1:62" x14ac:dyDescent="0.3">
      <c r="A61" s="8" t="str">
        <v>O1060</v>
      </c>
      <c r="B61" s="8" t="str">
        <v>C070</v>
      </c>
      <c r="C61" s="8" t="str">
        <v>P183</v>
      </c>
      <c r="D61" s="8">
        <v>45703</v>
      </c>
      <c r="E61" s="8">
        <v>1</v>
      </c>
      <c r="F61" s="8">
        <v>98452</v>
      </c>
      <c r="G61" s="8">
        <v>492260</v>
      </c>
      <c r="H61" s="8">
        <v>0.05</v>
      </c>
      <c r="I61" s="8" t="str">
        <v>Credit Card</v>
      </c>
      <c r="J61" s="8" t="str">
        <v>Delivered</v>
      </c>
      <c r="K61" s="8">
        <v>45866</v>
      </c>
      <c r="L61" s="8" t="str">
        <v>Yes</v>
      </c>
      <c r="M61" s="8">
        <v>391</v>
      </c>
      <c r="N61" s="8" t="str">
        <v>Yes</v>
      </c>
      <c r="O61" s="8" t="str">
        <v>No</v>
      </c>
      <c r="P61" s="8" t="str">
        <f t="shared" si="0"/>
        <v>C070</v>
      </c>
      <c r="Q61" s="8" t="str">
        <f>VLOOKUP($B61,customers[],MATCH(Q$1,customers[#Headers],0),0)</f>
        <v>Jalsa Pillay</v>
      </c>
      <c r="R61" s="8" t="str">
        <f>VLOOKUP($B61,customers[],MATCH(R$1,customers[#Headers],0),0)</f>
        <v>ndayal@example.org</v>
      </c>
      <c r="S61" s="8">
        <f>VLOOKUP($B61,customers[],MATCH(S$1,customers[#Headers],0),0)</f>
        <v>914678669125</v>
      </c>
      <c r="T61" s="8" t="str">
        <f>VLOOKUP($B61,customers[],MATCH(T$1,customers[#Headers],0),0)</f>
        <v>Jaipur</v>
      </c>
      <c r="U61" s="8" t="str">
        <f>VLOOKUP($B61,customers[],MATCH(U$1,customers[#Headers],0),0)</f>
        <v>Rajasthan</v>
      </c>
      <c r="V61" s="8">
        <f>VLOOKUP($B61,customers[],MATCH(V$1,customers[#Headers],0),0)</f>
        <v>778528</v>
      </c>
      <c r="W61" s="8" t="str">
        <f>VLOOKUP($B61,customers[],MATCH(W$1,customers[#Headers],0),0)</f>
        <v>Male</v>
      </c>
      <c r="X61" s="8">
        <f>VLOOKUP($B61,customers[],MATCH(X$1,customers[#Headers],0),0)</f>
        <v>37650</v>
      </c>
      <c r="Y61" s="8">
        <f>VLOOKUP($B61,customers[],MATCH(Y$1,customers[#Headers],0),0)</f>
        <v>45854</v>
      </c>
      <c r="Z61" s="8" t="str">
        <f>VLOOKUP($B61,customers[],MATCH(Z$1,customers[#Headers],0),0)</f>
        <v>Home Appliance</v>
      </c>
      <c r="AA61" s="8">
        <f>VLOOKUP($B61,customers[],MATCH(AA$1,customers[#Headers],0),0)</f>
        <v>190</v>
      </c>
      <c r="AB61" s="8" t="str">
        <f>VLOOKUP($B61,customers[],MATCH(AB$1,customers[#Headers],0),0)</f>
        <v>Single</v>
      </c>
      <c r="AC61" s="8" t="str">
        <f>VLOOKUP($B61,customers[],MATCH(AC$1,customers[#Headers],0),0)</f>
        <v>Business</v>
      </c>
      <c r="AD61" s="8">
        <f>VLOOKUP($B61,customers[],MATCH(AD$1,customers[#Headers],0),0)</f>
        <v>658943</v>
      </c>
      <c r="AE61" s="8" t="str">
        <f t="shared" si="1"/>
        <v>P183</v>
      </c>
      <c r="AF61" s="8" t="str">
        <f>VLOOKUP($AE61,Products[],MATCH(AF$1,Products[#Headers],0),0)</f>
        <v>In Phone</v>
      </c>
      <c r="AG61" s="8" t="str">
        <f>VLOOKUP($AE61,Products[],MATCH(AG$1,Products[#Headers],0),0)</f>
        <v>Grocery</v>
      </c>
      <c r="AH61" s="8" t="str">
        <f>VLOOKUP($AE61,Products[],MATCH(AH$1,Products[#Headers],0),0)</f>
        <v>Cotton</v>
      </c>
      <c r="AI61" s="8" t="str">
        <f>VLOOKUP($AE61,Products[],MATCH(AI$1,Products[#Headers],0),0)</f>
        <v>Raja and Sons</v>
      </c>
      <c r="AJ61" s="8">
        <f>VLOOKUP($AE61,Products[],MATCH(AJ$1,Products[#Headers],0),0)</f>
        <v>98452</v>
      </c>
      <c r="AK61" s="8">
        <f>VLOOKUP($AE61,Products[],MATCH(AK$1,Products[#Headers],0),0)</f>
        <v>5</v>
      </c>
      <c r="AL61" s="8">
        <f>VLOOKUP($AE61,Products[],MATCH(AL$1,Products[#Headers],0),0)</f>
        <v>365</v>
      </c>
      <c r="AM61" s="8">
        <f>VLOOKUP($AE61,Products[],MATCH(AM$1,Products[#Headers],0),0)</f>
        <v>6</v>
      </c>
      <c r="AN61" s="8" t="str">
        <f>VLOOKUP($AE61,Products[],MATCH(AN$1,Products[#Headers],0),0)</f>
        <v>Vietnam</v>
      </c>
      <c r="AO61" s="8" t="str">
        <f>VLOOKUP($AE61,Products[],MATCH(AO$1,Products[#Headers],0),0)</f>
        <v>Yes</v>
      </c>
      <c r="AP61" s="8">
        <f>VLOOKUP($AE61,Products[],MATCH(AP$1,Products[#Headers],0),0)</f>
        <v>4.3</v>
      </c>
      <c r="AQ61" s="8">
        <f>VLOOKUP($AE61,Products[],MATCH(AQ$1,Products[#Headers],0),0)</f>
        <v>45755</v>
      </c>
      <c r="AR61" s="8" t="str">
        <f>VLOOKUP($AE61,Products[],MATCH(AR$1,Products[#Headers],0),0)</f>
        <v>Yes</v>
      </c>
      <c r="AS61" s="8">
        <f>VLOOKUP($AE61,Products[],MATCH(AS$1,Products[#Headers],0),0)</f>
        <v>6448</v>
      </c>
      <c r="AT61" s="8">
        <f>VLOOKUP($AE61,Products[],MATCH(AT$1,Products[#Headers],0),0)</f>
        <v>62</v>
      </c>
      <c r="AU61" s="8">
        <f t="shared" si="2"/>
        <v>62</v>
      </c>
      <c r="AV61" s="8" t="str">
        <f>IFERROR(VLOOKUP($AU61,stores[],MATCH(AV$1,stores[#Headers],0),0),"")</f>
        <v>S062</v>
      </c>
      <c r="AW61" s="8" t="str">
        <f>IFERROR(VLOOKUP($AU61,stores[],MATCH(AW$1,stores[#Headers],0),0),"")</f>
        <v>Lata Group Mart</v>
      </c>
      <c r="AX61" s="8" t="str">
        <f>IFERROR(VLOOKUP($AU61,stores[],MATCH(AX$1,stores[#Headers],0),0),"")</f>
        <v>Delhi</v>
      </c>
      <c r="AY61" s="8" t="str">
        <f>IFERROR(VLOOKUP($AU61,stores[],MATCH(AY$1,stores[#Headers],0),0),"")</f>
        <v>Delhi</v>
      </c>
      <c r="AZ61" s="8">
        <f>IFERROR(VLOOKUP($AU61,stores[],MATCH(AZ$1,stores[#Headers],0),0),"")</f>
        <v>872346</v>
      </c>
      <c r="BA61" s="8" t="str">
        <f>IFERROR(VLOOKUP($AU61,stores[],MATCH(BA$1,stores[#Headers],0),0),"")</f>
        <v>Jairaj Kothari</v>
      </c>
      <c r="BB61" s="8">
        <f>IFERROR(VLOOKUP($AU61,stores[],MATCH(BB$1,stores[#Headers],0),0),"")</f>
        <v>2014</v>
      </c>
      <c r="BC61" s="8">
        <f>IFERROR(VLOOKUP($AU61,stores[],MATCH(BC$1,stores[#Headers],0),0),"")</f>
        <v>11</v>
      </c>
      <c r="BD61" s="8">
        <f>IFERROR(VLOOKUP($AU61,stores[],MATCH(BD$1,stores[#Headers],0),0),"")</f>
        <v>6504</v>
      </c>
      <c r="BE61" s="8">
        <f>IFERROR(VLOOKUP($AU61,stores[],MATCH(BE$1,stores[#Headers],0),0),"")</f>
        <v>4.8</v>
      </c>
      <c r="BF61" s="8" t="str">
        <f>IFERROR(VLOOKUP($AU61,stores[],MATCH(BF$1,stores[#Headers],0),0),"")</f>
        <v>No</v>
      </c>
      <c r="BG61" s="8">
        <f>IFERROR(VLOOKUP($AU61,stores[],MATCH(BG$1,stores[#Headers],0),0),"")</f>
        <v>3735</v>
      </c>
      <c r="BH61" s="8" t="str">
        <f>IFERROR(VLOOKUP($AU61,stores[],MATCH(BH$1,stores[#Headers],0),0),"")</f>
        <v>Franchise</v>
      </c>
      <c r="BI61" s="8">
        <f>IFERROR(VLOOKUP($AU61,stores[],MATCH(BI$1,stores[#Headers],0),0),"")</f>
        <v>7303718376</v>
      </c>
      <c r="BJ61" s="8" t="str">
        <f>IFERROR(VLOOKUP($AU61,stores[],MATCH(BJ$1,stores[#Headers],0),0),"")</f>
        <v>ekantika20@verma.info</v>
      </c>
    </row>
    <row r="62" spans="1:62" x14ac:dyDescent="0.3">
      <c r="A62" s="8" t="str">
        <v>O1061</v>
      </c>
      <c r="B62" s="8" t="str">
        <v>C018</v>
      </c>
      <c r="C62" s="8" t="str">
        <v>P181</v>
      </c>
      <c r="D62" s="8">
        <v>45492</v>
      </c>
      <c r="E62" s="8">
        <v>2</v>
      </c>
      <c r="F62" s="8">
        <v>70761</v>
      </c>
      <c r="G62" s="8">
        <v>70761</v>
      </c>
      <c r="H62" s="8">
        <v>0.05</v>
      </c>
      <c r="I62" s="8" t="str">
        <v>Debit Card</v>
      </c>
      <c r="J62" s="8" t="str">
        <v>Delivered</v>
      </c>
      <c r="K62" s="8">
        <v>45863</v>
      </c>
      <c r="L62" s="8" t="str">
        <v>Yes</v>
      </c>
      <c r="M62" s="8">
        <v>258</v>
      </c>
      <c r="N62" s="8" t="str">
        <v>No</v>
      </c>
      <c r="O62" s="8" t="str">
        <v>No</v>
      </c>
      <c r="P62" s="8" t="str">
        <f t="shared" si="0"/>
        <v>C018</v>
      </c>
      <c r="Q62" s="8" t="str">
        <f>VLOOKUP($B62,customers[],MATCH(Q$1,customers[#Headers],0),0)</f>
        <v>Owen Mitra</v>
      </c>
      <c r="R62" s="8" t="str">
        <f>VLOOKUP($B62,customers[],MATCH(R$1,customers[#Headers],0),0)</f>
        <v>tacharya@example.com</v>
      </c>
      <c r="S62" s="8">
        <f>VLOOKUP($B62,customers[],MATCH(S$1,customers[#Headers],0),0)</f>
        <v>916995777387</v>
      </c>
      <c r="T62" s="8" t="str">
        <f>VLOOKUP($B62,customers[],MATCH(T$1,customers[#Headers],0),0)</f>
        <v>Mumbai</v>
      </c>
      <c r="U62" s="8" t="str">
        <f>VLOOKUP($B62,customers[],MATCH(U$1,customers[#Headers],0),0)</f>
        <v>Maharashtra</v>
      </c>
      <c r="V62" s="8">
        <f>VLOOKUP($B62,customers[],MATCH(V$1,customers[#Headers],0),0)</f>
        <v>148951</v>
      </c>
      <c r="W62" s="8" t="str">
        <f>VLOOKUP($B62,customers[],MATCH(W$1,customers[#Headers],0),0)</f>
        <v>Female</v>
      </c>
      <c r="X62" s="8">
        <f>VLOOKUP($B62,customers[],MATCH(X$1,customers[#Headers],0),0)</f>
        <v>27585</v>
      </c>
      <c r="Y62" s="8">
        <f>VLOOKUP($B62,customers[],MATCH(Y$1,customers[#Headers],0),0)</f>
        <v>44992</v>
      </c>
      <c r="Z62" s="8" t="str">
        <f>VLOOKUP($B62,customers[],MATCH(Z$1,customers[#Headers],0),0)</f>
        <v>Fashion</v>
      </c>
      <c r="AA62" s="8">
        <f>VLOOKUP($B62,customers[],MATCH(AA$1,customers[#Headers],0),0)</f>
        <v>1927</v>
      </c>
      <c r="AB62" s="8" t="str">
        <f>VLOOKUP($B62,customers[],MATCH(AB$1,customers[#Headers],0),0)</f>
        <v>Married</v>
      </c>
      <c r="AC62" s="8" t="str">
        <f>VLOOKUP($B62,customers[],MATCH(AC$1,customers[#Headers],0),0)</f>
        <v>Business</v>
      </c>
      <c r="AD62" s="8">
        <f>VLOOKUP($B62,customers[],MATCH(AD$1,customers[#Headers],0),0)</f>
        <v>531680</v>
      </c>
      <c r="AE62" s="8" t="str">
        <f t="shared" si="1"/>
        <v>P181</v>
      </c>
      <c r="AF62" s="8" t="str">
        <f>VLOOKUP($AE62,Products[],MATCH(AF$1,Products[#Headers],0),0)</f>
        <v>Delectus Washing Machine</v>
      </c>
      <c r="AG62" s="8" t="str">
        <f>VLOOKUP($AE62,Products[],MATCH(AG$1,Products[#Headers],0),0)</f>
        <v>Electronics</v>
      </c>
      <c r="AH62" s="8" t="str">
        <f>VLOOKUP($AE62,Products[],MATCH(AH$1,Products[#Headers],0),0)</f>
        <v>Organic</v>
      </c>
      <c r="AI62" s="8" t="str">
        <f>VLOOKUP($AE62,Products[],MATCH(AI$1,Products[#Headers],0),0)</f>
        <v>Bobal-Karnik</v>
      </c>
      <c r="AJ62" s="8">
        <f>VLOOKUP($AE62,Products[],MATCH(AJ$1,Products[#Headers],0),0)</f>
        <v>70761</v>
      </c>
      <c r="AK62" s="8">
        <f>VLOOKUP($AE62,Products[],MATCH(AK$1,Products[#Headers],0),0)</f>
        <v>5</v>
      </c>
      <c r="AL62" s="8">
        <f>VLOOKUP($AE62,Products[],MATCH(AL$1,Products[#Headers],0),0)</f>
        <v>647</v>
      </c>
      <c r="AM62" s="8">
        <f>VLOOKUP($AE62,Products[],MATCH(AM$1,Products[#Headers],0),0)</f>
        <v>12</v>
      </c>
      <c r="AN62" s="8" t="str">
        <f>VLOOKUP($AE62,Products[],MATCH(AN$1,Products[#Headers],0),0)</f>
        <v>China</v>
      </c>
      <c r="AO62" s="8" t="str">
        <f>VLOOKUP($AE62,Products[],MATCH(AO$1,Products[#Headers],0),0)</f>
        <v>No</v>
      </c>
      <c r="AP62" s="8">
        <f>VLOOKUP($AE62,Products[],MATCH(AP$1,Products[#Headers],0),0)</f>
        <v>3.6</v>
      </c>
      <c r="AQ62" s="8">
        <f>VLOOKUP($AE62,Products[],MATCH(AQ$1,Products[#Headers],0),0)</f>
        <v>45354</v>
      </c>
      <c r="AR62" s="8" t="str">
        <f>VLOOKUP($AE62,Products[],MATCH(AR$1,Products[#Headers],0),0)</f>
        <v>No</v>
      </c>
      <c r="AS62" s="8">
        <f>VLOOKUP($AE62,Products[],MATCH(AS$1,Products[#Headers],0),0)</f>
        <v>4942</v>
      </c>
      <c r="AT62" s="8">
        <f>VLOOKUP($AE62,Products[],MATCH(AT$1,Products[#Headers],0),0)</f>
        <v>88</v>
      </c>
      <c r="AU62" s="8">
        <f t="shared" si="2"/>
        <v>88</v>
      </c>
      <c r="AV62" s="8" t="str">
        <f>IFERROR(VLOOKUP($AU62,stores[],MATCH(AV$1,stores[#Headers],0),0),"")</f>
        <v>S088</v>
      </c>
      <c r="AW62" s="8" t="str">
        <f>IFERROR(VLOOKUP($AU62,stores[],MATCH(AW$1,stores[#Headers],0),0),"")</f>
        <v>Muni Ltd Mart</v>
      </c>
      <c r="AX62" s="8" t="str">
        <f>IFERROR(VLOOKUP($AU62,stores[],MATCH(AX$1,stores[#Headers],0),0),"")</f>
        <v>Delhi</v>
      </c>
      <c r="AY62" s="8" t="str">
        <f>IFERROR(VLOOKUP($AU62,stores[],MATCH(AY$1,stores[#Headers],0),0),"")</f>
        <v>Delhi</v>
      </c>
      <c r="AZ62" s="8">
        <f>IFERROR(VLOOKUP($AU62,stores[],MATCH(AZ$1,stores[#Headers],0),0),"")</f>
        <v>533448</v>
      </c>
      <c r="BA62" s="8" t="str">
        <f>IFERROR(VLOOKUP($AU62,stores[],MATCH(BA$1,stores[#Headers],0),0),"")</f>
        <v>Ridhi Dalal</v>
      </c>
      <c r="BB62" s="8">
        <f>IFERROR(VLOOKUP($AU62,stores[],MATCH(BB$1,stores[#Headers],0),0),"")</f>
        <v>2003</v>
      </c>
      <c r="BC62" s="8">
        <f>IFERROR(VLOOKUP($AU62,stores[],MATCH(BC$1,stores[#Headers],0),0),"")</f>
        <v>47</v>
      </c>
      <c r="BD62" s="8">
        <f>IFERROR(VLOOKUP($AU62,stores[],MATCH(BD$1,stores[#Headers],0),0),"")</f>
        <v>7735</v>
      </c>
      <c r="BE62" s="8">
        <f>IFERROR(VLOOKUP($AU62,stores[],MATCH(BE$1,stores[#Headers],0),0),"")</f>
        <v>4.9000000000000004</v>
      </c>
      <c r="BF62" s="8" t="str">
        <f>IFERROR(VLOOKUP($AU62,stores[],MATCH(BF$1,stores[#Headers],0),0),"")</f>
        <v>No</v>
      </c>
      <c r="BG62" s="8">
        <f>IFERROR(VLOOKUP($AU62,stores[],MATCH(BG$1,stores[#Headers],0),0),"")</f>
        <v>4924</v>
      </c>
      <c r="BH62" s="8" t="str">
        <f>IFERROR(VLOOKUP($AU62,stores[],MATCH(BH$1,stores[#Headers],0),0),"")</f>
        <v>Franchise</v>
      </c>
      <c r="BI62" s="8">
        <f>IFERROR(VLOOKUP($AU62,stores[],MATCH(BI$1,stores[#Headers],0),0),"")</f>
        <v>2241098813</v>
      </c>
      <c r="BJ62" s="8" t="str">
        <f>IFERROR(VLOOKUP($AU62,stores[],MATCH(BJ$1,stores[#Headers],0),0),"")</f>
        <v>eiravati42@mander.com</v>
      </c>
    </row>
    <row r="63" spans="1:62" x14ac:dyDescent="0.3">
      <c r="A63" s="8" t="str">
        <v>O1062</v>
      </c>
      <c r="B63" s="8" t="str">
        <v>C008</v>
      </c>
      <c r="C63" s="8" t="str">
        <v>P180</v>
      </c>
      <c r="D63" s="8">
        <v>45566</v>
      </c>
      <c r="E63" s="8">
        <v>5</v>
      </c>
      <c r="F63" s="8">
        <v>31647</v>
      </c>
      <c r="G63" s="8">
        <v>126588</v>
      </c>
      <c r="H63" s="8">
        <v>0.14000000000000001</v>
      </c>
      <c r="I63" s="8" t="str">
        <v>Net Banking</v>
      </c>
      <c r="J63" s="8" t="str">
        <v>Delivered</v>
      </c>
      <c r="K63" s="8">
        <v>45862</v>
      </c>
      <c r="L63" s="8" t="str">
        <v>Yes</v>
      </c>
      <c r="M63" s="8">
        <v>272</v>
      </c>
      <c r="N63" s="8" t="str">
        <v>No</v>
      </c>
      <c r="O63" s="8" t="str">
        <v>Yes</v>
      </c>
      <c r="P63" s="8" t="str">
        <f t="shared" si="0"/>
        <v>C008</v>
      </c>
      <c r="Q63" s="8" t="str">
        <f>VLOOKUP($B63,customers[],MATCH(Q$1,customers[#Headers],0),0)</f>
        <v>Hamsini Bail</v>
      </c>
      <c r="R63" s="8" t="str">
        <f>VLOOKUP($B63,customers[],MATCH(R$1,customers[#Headers],0),0)</f>
        <v>thomasamble@example.org</v>
      </c>
      <c r="S63" s="8">
        <f>VLOOKUP($B63,customers[],MATCH(S$1,customers[#Headers],0),0)</f>
        <v>310518347</v>
      </c>
      <c r="T63" s="8" t="str">
        <f>VLOOKUP($B63,customers[],MATCH(T$1,customers[#Headers],0),0)</f>
        <v>Hyderabad</v>
      </c>
      <c r="U63" s="8" t="str">
        <f>VLOOKUP($B63,customers[],MATCH(U$1,customers[#Headers],0),0)</f>
        <v>Telangana</v>
      </c>
      <c r="V63" s="8">
        <f>VLOOKUP($B63,customers[],MATCH(V$1,customers[#Headers],0),0)</f>
        <v>829973</v>
      </c>
      <c r="W63" s="8" t="str">
        <f>VLOOKUP($B63,customers[],MATCH(W$1,customers[#Headers],0),0)</f>
        <v>Female</v>
      </c>
      <c r="X63" s="8">
        <f>VLOOKUP($B63,customers[],MATCH(X$1,customers[#Headers],0),0)</f>
        <v>33503</v>
      </c>
      <c r="Y63" s="8">
        <f>VLOOKUP($B63,customers[],MATCH(Y$1,customers[#Headers],0),0)</f>
        <v>45292</v>
      </c>
      <c r="Z63" s="8" t="str">
        <f>VLOOKUP($B63,customers[],MATCH(Z$1,customers[#Headers],0),0)</f>
        <v>Electronics</v>
      </c>
      <c r="AA63" s="8">
        <f>VLOOKUP($B63,customers[],MATCH(AA$1,customers[#Headers],0),0)</f>
        <v>3914</v>
      </c>
      <c r="AB63" s="8" t="str">
        <f>VLOOKUP($B63,customers[],MATCH(AB$1,customers[#Headers],0),0)</f>
        <v>Single</v>
      </c>
      <c r="AC63" s="8" t="str">
        <f>VLOOKUP($B63,customers[],MATCH(AC$1,customers[#Headers],0),0)</f>
        <v>Business</v>
      </c>
      <c r="AD63" s="8">
        <f>VLOOKUP($B63,customers[],MATCH(AD$1,customers[#Headers],0),0)</f>
        <v>782952</v>
      </c>
      <c r="AE63" s="8" t="str">
        <f t="shared" si="1"/>
        <v>P180</v>
      </c>
      <c r="AF63" s="8" t="str">
        <f>VLOOKUP($AE63,Products[],MATCH(AF$1,Products[#Headers],0),0)</f>
        <v>Accusamus TV</v>
      </c>
      <c r="AG63" s="8" t="str">
        <f>VLOOKUP($AE63,Products[],MATCH(AG$1,Products[#Headers],0),0)</f>
        <v>Grocery</v>
      </c>
      <c r="AH63" s="8" t="str">
        <f>VLOOKUP($AE63,Products[],MATCH(AH$1,Products[#Headers],0),0)</f>
        <v>Cotton</v>
      </c>
      <c r="AI63" s="8" t="str">
        <f>VLOOKUP($AE63,Products[],MATCH(AI$1,Products[#Headers],0),0)</f>
        <v>Oza, Dara and Sami</v>
      </c>
      <c r="AJ63" s="8">
        <f>VLOOKUP($AE63,Products[],MATCH(AJ$1,Products[#Headers],0),0)</f>
        <v>31647</v>
      </c>
      <c r="AK63" s="8">
        <f>VLOOKUP($AE63,Products[],MATCH(AK$1,Products[#Headers],0),0)</f>
        <v>14</v>
      </c>
      <c r="AL63" s="8">
        <f>VLOOKUP($AE63,Products[],MATCH(AL$1,Products[#Headers],0),0)</f>
        <v>124</v>
      </c>
      <c r="AM63" s="8">
        <f>VLOOKUP($AE63,Products[],MATCH(AM$1,Products[#Headers],0),0)</f>
        <v>6</v>
      </c>
      <c r="AN63" s="8" t="str">
        <f>VLOOKUP($AE63,Products[],MATCH(AN$1,Products[#Headers],0),0)</f>
        <v>China</v>
      </c>
      <c r="AO63" s="8" t="str">
        <f>VLOOKUP($AE63,Products[],MATCH(AO$1,Products[#Headers],0),0)</f>
        <v>No</v>
      </c>
      <c r="AP63" s="8">
        <f>VLOOKUP($AE63,Products[],MATCH(AP$1,Products[#Headers],0),0)</f>
        <v>4.0999999999999996</v>
      </c>
      <c r="AQ63" s="8">
        <f>VLOOKUP($AE63,Products[],MATCH(AQ$1,Products[#Headers],0),0)</f>
        <v>45837</v>
      </c>
      <c r="AR63" s="8" t="str">
        <f>VLOOKUP($AE63,Products[],MATCH(AR$1,Products[#Headers],0),0)</f>
        <v>No</v>
      </c>
      <c r="AS63" s="8">
        <f>VLOOKUP($AE63,Products[],MATCH(AS$1,Products[#Headers],0),0)</f>
        <v>2030</v>
      </c>
      <c r="AT63" s="8">
        <f>VLOOKUP($AE63,Products[],MATCH(AT$1,Products[#Headers],0),0)</f>
        <v>161</v>
      </c>
      <c r="AU63" s="8">
        <f t="shared" si="2"/>
        <v>161</v>
      </c>
      <c r="AV63" s="8" t="str">
        <f>IFERROR(VLOOKUP($AU63,stores[],MATCH(AV$1,stores[#Headers],0),0),"")</f>
        <v/>
      </c>
      <c r="AW63" s="8" t="str">
        <f>IFERROR(VLOOKUP($AU63,stores[],MATCH(AW$1,stores[#Headers],0),0),"")</f>
        <v/>
      </c>
      <c r="AX63" s="8" t="str">
        <f>IFERROR(VLOOKUP($AU63,stores[],MATCH(AX$1,stores[#Headers],0),0),"")</f>
        <v/>
      </c>
      <c r="AY63" s="8" t="str">
        <f>IFERROR(VLOOKUP($AU63,stores[],MATCH(AY$1,stores[#Headers],0),0),"")</f>
        <v/>
      </c>
      <c r="AZ63" s="8" t="str">
        <f>IFERROR(VLOOKUP($AU63,stores[],MATCH(AZ$1,stores[#Headers],0),0),"")</f>
        <v/>
      </c>
      <c r="BA63" s="8" t="str">
        <f>IFERROR(VLOOKUP($AU63,stores[],MATCH(BA$1,stores[#Headers],0),0),"")</f>
        <v/>
      </c>
      <c r="BB63" s="8" t="str">
        <f>IFERROR(VLOOKUP($AU63,stores[],MATCH(BB$1,stores[#Headers],0),0),"")</f>
        <v/>
      </c>
      <c r="BC63" s="8" t="str">
        <f>IFERROR(VLOOKUP($AU63,stores[],MATCH(BC$1,stores[#Headers],0),0),"")</f>
        <v/>
      </c>
      <c r="BD63" s="8" t="str">
        <f>IFERROR(VLOOKUP($AU63,stores[],MATCH(BD$1,stores[#Headers],0),0),"")</f>
        <v/>
      </c>
      <c r="BE63" s="8" t="str">
        <f>IFERROR(VLOOKUP($AU63,stores[],MATCH(BE$1,stores[#Headers],0),0),"")</f>
        <v/>
      </c>
      <c r="BF63" s="8" t="str">
        <f>IFERROR(VLOOKUP($AU63,stores[],MATCH(BF$1,stores[#Headers],0),0),"")</f>
        <v/>
      </c>
      <c r="BG63" s="8" t="str">
        <f>IFERROR(VLOOKUP($AU63,stores[],MATCH(BG$1,stores[#Headers],0),0),"")</f>
        <v/>
      </c>
      <c r="BH63" s="8" t="str">
        <f>IFERROR(VLOOKUP($AU63,stores[],MATCH(BH$1,stores[#Headers],0),0),"")</f>
        <v/>
      </c>
      <c r="BI63" s="8" t="str">
        <f>IFERROR(VLOOKUP($AU63,stores[],MATCH(BI$1,stores[#Headers],0),0),"")</f>
        <v/>
      </c>
      <c r="BJ63" s="8" t="str">
        <f>IFERROR(VLOOKUP($AU63,stores[],MATCH(BJ$1,stores[#Headers],0),0),"")</f>
        <v/>
      </c>
    </row>
    <row r="64" spans="1:62" x14ac:dyDescent="0.3">
      <c r="A64" s="8" t="str">
        <v>O1063</v>
      </c>
      <c r="B64" s="8" t="str">
        <v>C003</v>
      </c>
      <c r="C64" s="8" t="str">
        <v>P168</v>
      </c>
      <c r="D64" s="8">
        <v>45707</v>
      </c>
      <c r="E64" s="8">
        <v>3</v>
      </c>
      <c r="F64" s="8">
        <v>7363</v>
      </c>
      <c r="G64" s="8">
        <v>36815</v>
      </c>
      <c r="H64" s="8">
        <v>0.3</v>
      </c>
      <c r="I64" s="8" t="str">
        <v>UPI</v>
      </c>
      <c r="J64" s="8" t="str">
        <v>Delivered</v>
      </c>
      <c r="K64" s="8">
        <v>45862</v>
      </c>
      <c r="L64" s="8" t="str">
        <v>No</v>
      </c>
      <c r="M64" s="8">
        <v>412</v>
      </c>
      <c r="N64" s="8" t="str">
        <v>Yes</v>
      </c>
      <c r="O64" s="8" t="str">
        <v>Yes</v>
      </c>
      <c r="P64" s="8" t="str">
        <f t="shared" si="0"/>
        <v>C003</v>
      </c>
      <c r="Q64" s="8" t="str">
        <f>VLOOKUP($B64,customers[],MATCH(Q$1,customers[#Headers],0),0)</f>
        <v>Chakradev Kari</v>
      </c>
      <c r="R64" s="8" t="str">
        <f>VLOOKUP($B64,customers[],MATCH(R$1,customers[#Headers],0),0)</f>
        <v>fariq31@example.com</v>
      </c>
      <c r="S64" s="8">
        <f>VLOOKUP($B64,customers[],MATCH(S$1,customers[#Headers],0),0)</f>
        <v>7525534192</v>
      </c>
      <c r="T64" s="8" t="str">
        <f>VLOOKUP($B64,customers[],MATCH(T$1,customers[#Headers],0),0)</f>
        <v>Hyderabad</v>
      </c>
      <c r="U64" s="8" t="str">
        <f>VLOOKUP($B64,customers[],MATCH(U$1,customers[#Headers],0),0)</f>
        <v>Telangana</v>
      </c>
      <c r="V64" s="8">
        <f>VLOOKUP($B64,customers[],MATCH(V$1,customers[#Headers],0),0)</f>
        <v>276483</v>
      </c>
      <c r="W64" s="8" t="str">
        <f>VLOOKUP($B64,customers[],MATCH(W$1,customers[#Headers],0),0)</f>
        <v>Male</v>
      </c>
      <c r="X64" s="8">
        <f>VLOOKUP($B64,customers[],MATCH(X$1,customers[#Headers],0),0)</f>
        <v>38764</v>
      </c>
      <c r="Y64" s="8">
        <f>VLOOKUP($B64,customers[],MATCH(Y$1,customers[#Headers],0),0)</f>
        <v>45035</v>
      </c>
      <c r="Z64" s="8" t="str">
        <f>VLOOKUP($B64,customers[],MATCH(Z$1,customers[#Headers],0),0)</f>
        <v>Home Appliance</v>
      </c>
      <c r="AA64" s="8">
        <f>VLOOKUP($B64,customers[],MATCH(AA$1,customers[#Headers],0),0)</f>
        <v>9028</v>
      </c>
      <c r="AB64" s="8" t="str">
        <f>VLOOKUP($B64,customers[],MATCH(AB$1,customers[#Headers],0),0)</f>
        <v>Married</v>
      </c>
      <c r="AC64" s="8" t="str">
        <f>VLOOKUP($B64,customers[],MATCH(AC$1,customers[#Headers],0),0)</f>
        <v>Doctor</v>
      </c>
      <c r="AD64" s="8">
        <f>VLOOKUP($B64,customers[],MATCH(AD$1,customers[#Headers],0),0)</f>
        <v>1142059</v>
      </c>
      <c r="AE64" s="8" t="str">
        <f t="shared" si="1"/>
        <v>P168</v>
      </c>
      <c r="AF64" s="8" t="str">
        <f>VLOOKUP($AE64,Products[],MATCH(AF$1,Products[#Headers],0),0)</f>
        <v>Tempora Laptop</v>
      </c>
      <c r="AG64" s="8" t="str">
        <f>VLOOKUP($AE64,Products[],MATCH(AG$1,Products[#Headers],0),0)</f>
        <v>Fashion</v>
      </c>
      <c r="AH64" s="8" t="str">
        <f>VLOOKUP($AE64,Products[],MATCH(AH$1,Products[#Headers],0),0)</f>
        <v>Organic</v>
      </c>
      <c r="AI64" s="8" t="str">
        <f>VLOOKUP($AE64,Products[],MATCH(AI$1,Products[#Headers],0),0)</f>
        <v>Parmar, Bhatnagar and Warrior</v>
      </c>
      <c r="AJ64" s="8">
        <f>VLOOKUP($AE64,Products[],MATCH(AJ$1,Products[#Headers],0),0)</f>
        <v>7363</v>
      </c>
      <c r="AK64" s="8">
        <f>VLOOKUP($AE64,Products[],MATCH(AK$1,Products[#Headers],0),0)</f>
        <v>30</v>
      </c>
      <c r="AL64" s="8">
        <f>VLOOKUP($AE64,Products[],MATCH(AL$1,Products[#Headers],0),0)</f>
        <v>646</v>
      </c>
      <c r="AM64" s="8">
        <f>VLOOKUP($AE64,Products[],MATCH(AM$1,Products[#Headers],0),0)</f>
        <v>24</v>
      </c>
      <c r="AN64" s="8" t="str">
        <f>VLOOKUP($AE64,Products[],MATCH(AN$1,Products[#Headers],0),0)</f>
        <v>India</v>
      </c>
      <c r="AO64" s="8" t="str">
        <f>VLOOKUP($AE64,Products[],MATCH(AO$1,Products[#Headers],0),0)</f>
        <v>No</v>
      </c>
      <c r="AP64" s="8">
        <f>VLOOKUP($AE64,Products[],MATCH(AP$1,Products[#Headers],0),0)</f>
        <v>2.7</v>
      </c>
      <c r="AQ64" s="8">
        <f>VLOOKUP($AE64,Products[],MATCH(AQ$1,Products[#Headers],0),0)</f>
        <v>45376</v>
      </c>
      <c r="AR64" s="8" t="str">
        <f>VLOOKUP($AE64,Products[],MATCH(AR$1,Products[#Headers],0),0)</f>
        <v>No</v>
      </c>
      <c r="AS64" s="8">
        <f>VLOOKUP($AE64,Products[],MATCH(AS$1,Products[#Headers],0),0)</f>
        <v>5656</v>
      </c>
      <c r="AT64" s="8">
        <f>VLOOKUP($AE64,Products[],MATCH(AT$1,Products[#Headers],0),0)</f>
        <v>55</v>
      </c>
      <c r="AU64" s="8">
        <f t="shared" si="2"/>
        <v>55</v>
      </c>
      <c r="AV64" s="8" t="str">
        <f>IFERROR(VLOOKUP($AU64,stores[],MATCH(AV$1,stores[#Headers],0),0),"")</f>
        <v>S055</v>
      </c>
      <c r="AW64" s="8" t="str">
        <f>IFERROR(VLOOKUP($AU64,stores[],MATCH(AW$1,stores[#Headers],0),0),"")</f>
        <v>Raj-Hayre Mart</v>
      </c>
      <c r="AX64" s="8" t="str">
        <f>IFERROR(VLOOKUP($AU64,stores[],MATCH(AX$1,stores[#Headers],0),0),"")</f>
        <v>Kolkata</v>
      </c>
      <c r="AY64" s="8" t="str">
        <f>IFERROR(VLOOKUP($AU64,stores[],MATCH(AY$1,stores[#Headers],0),0),"")</f>
        <v>West Bengal</v>
      </c>
      <c r="AZ64" s="8">
        <f>IFERROR(VLOOKUP($AU64,stores[],MATCH(AZ$1,stores[#Headers],0),0),"")</f>
        <v>270267</v>
      </c>
      <c r="BA64" s="8" t="str">
        <f>IFERROR(VLOOKUP($AU64,stores[],MATCH(BA$1,stores[#Headers],0),0),"")</f>
        <v>Zansi Walla</v>
      </c>
      <c r="BB64" s="8">
        <f>IFERROR(VLOOKUP($AU64,stores[],MATCH(BB$1,stores[#Headers],0),0),"")</f>
        <v>2013</v>
      </c>
      <c r="BC64" s="8">
        <f>IFERROR(VLOOKUP($AU64,stores[],MATCH(BC$1,stores[#Headers],0),0),"")</f>
        <v>20</v>
      </c>
      <c r="BD64" s="8">
        <f>IFERROR(VLOOKUP($AU64,stores[],MATCH(BD$1,stores[#Headers],0),0),"")</f>
        <v>18561</v>
      </c>
      <c r="BE64" s="8">
        <f>IFERROR(VLOOKUP($AU64,stores[],MATCH(BE$1,stores[#Headers],0),0),"")</f>
        <v>3.7</v>
      </c>
      <c r="BF64" s="8" t="str">
        <f>IFERROR(VLOOKUP($AU64,stores[],MATCH(BF$1,stores[#Headers],0),0),"")</f>
        <v>Yes</v>
      </c>
      <c r="BG64" s="8">
        <f>IFERROR(VLOOKUP($AU64,stores[],MATCH(BG$1,stores[#Headers],0),0),"")</f>
        <v>4202</v>
      </c>
      <c r="BH64" s="8" t="str">
        <f>IFERROR(VLOOKUP($AU64,stores[],MATCH(BH$1,stores[#Headers],0),0),"")</f>
        <v>Franchise</v>
      </c>
      <c r="BI64" s="8">
        <f>IFERROR(VLOOKUP($AU64,stores[],MATCH(BI$1,stores[#Headers],0),0),"")</f>
        <v>5744890612</v>
      </c>
      <c r="BJ64" s="8" t="str">
        <f>IFERROR(VLOOKUP($AU64,stores[],MATCH(BJ$1,stores[#Headers],0),0),"")</f>
        <v>kaleaachal@char-sengupta.com</v>
      </c>
    </row>
    <row r="65" spans="1:62" x14ac:dyDescent="0.3">
      <c r="A65" s="8" t="str">
        <v>O1064</v>
      </c>
      <c r="B65" s="8" t="str">
        <v>C013</v>
      </c>
      <c r="C65" s="8" t="str">
        <v>P168</v>
      </c>
      <c r="D65" s="8">
        <v>45776</v>
      </c>
      <c r="E65" s="8">
        <v>2</v>
      </c>
      <c r="F65" s="8">
        <v>7363</v>
      </c>
      <c r="G65" s="8">
        <v>14726</v>
      </c>
      <c r="H65" s="8">
        <v>0.3</v>
      </c>
      <c r="I65" s="8" t="str">
        <v>Debit Card</v>
      </c>
      <c r="J65" s="8" t="str">
        <v>Pending</v>
      </c>
      <c r="K65" s="8">
        <v>45860</v>
      </c>
      <c r="L65" s="8" t="str">
        <v>No</v>
      </c>
      <c r="M65" s="8">
        <v>136</v>
      </c>
      <c r="N65" s="8" t="str">
        <v>No</v>
      </c>
      <c r="O65" s="8" t="str">
        <v>Yes</v>
      </c>
      <c r="P65" s="8" t="str">
        <f t="shared" si="0"/>
        <v>C013</v>
      </c>
      <c r="Q65" s="8" t="str">
        <f>VLOOKUP($B65,customers[],MATCH(Q$1,customers[#Headers],0),0)</f>
        <v>Raksha Mittal</v>
      </c>
      <c r="R65" s="8" t="str">
        <f>VLOOKUP($B65,customers[],MATCH(R$1,customers[#Headers],0),0)</f>
        <v>mistryhemang@example.org</v>
      </c>
      <c r="S65" s="8">
        <f>VLOOKUP($B65,customers[],MATCH(S$1,customers[#Headers],0),0)</f>
        <v>1182449353</v>
      </c>
      <c r="T65" s="8" t="str">
        <f>VLOOKUP($B65,customers[],MATCH(T$1,customers[#Headers],0),0)</f>
        <v>Kolkata</v>
      </c>
      <c r="U65" s="8" t="str">
        <f>VLOOKUP($B65,customers[],MATCH(U$1,customers[#Headers],0),0)</f>
        <v>West Bengal</v>
      </c>
      <c r="V65" s="8">
        <f>VLOOKUP($B65,customers[],MATCH(V$1,customers[#Headers],0),0)</f>
        <v>874016</v>
      </c>
      <c r="W65" s="8" t="str">
        <f>VLOOKUP($B65,customers[],MATCH(W$1,customers[#Headers],0),0)</f>
        <v>Male</v>
      </c>
      <c r="X65" s="8">
        <f>VLOOKUP($B65,customers[],MATCH(X$1,customers[#Headers],0),0)</f>
        <v>28624</v>
      </c>
      <c r="Y65" s="8">
        <f>VLOOKUP($B65,customers[],MATCH(Y$1,customers[#Headers],0),0)</f>
        <v>44164</v>
      </c>
      <c r="Z65" s="8" t="str">
        <f>VLOOKUP($B65,customers[],MATCH(Z$1,customers[#Headers],0),0)</f>
        <v>Grocery</v>
      </c>
      <c r="AA65" s="8">
        <f>VLOOKUP($B65,customers[],MATCH(AA$1,customers[#Headers],0),0)</f>
        <v>6582</v>
      </c>
      <c r="AB65" s="8" t="str">
        <f>VLOOKUP($B65,customers[],MATCH(AB$1,customers[#Headers],0),0)</f>
        <v>Married</v>
      </c>
      <c r="AC65" s="8" t="str">
        <f>VLOOKUP($B65,customers[],MATCH(AC$1,customers[#Headers],0),0)</f>
        <v>Doctor</v>
      </c>
      <c r="AD65" s="8">
        <f>VLOOKUP($B65,customers[],MATCH(AD$1,customers[#Headers],0),0)</f>
        <v>755493</v>
      </c>
      <c r="AE65" s="8" t="str">
        <f t="shared" si="1"/>
        <v>P168</v>
      </c>
      <c r="AF65" s="8" t="str">
        <f>VLOOKUP($AE65,Products[],MATCH(AF$1,Products[#Headers],0),0)</f>
        <v>Tempora Laptop</v>
      </c>
      <c r="AG65" s="8" t="str">
        <f>VLOOKUP($AE65,Products[],MATCH(AG$1,Products[#Headers],0),0)</f>
        <v>Fashion</v>
      </c>
      <c r="AH65" s="8" t="str">
        <f>VLOOKUP($AE65,Products[],MATCH(AH$1,Products[#Headers],0),0)</f>
        <v>Organic</v>
      </c>
      <c r="AI65" s="8" t="str">
        <f>VLOOKUP($AE65,Products[],MATCH(AI$1,Products[#Headers],0),0)</f>
        <v>Parmar, Bhatnagar and Warrior</v>
      </c>
      <c r="AJ65" s="8">
        <f>VLOOKUP($AE65,Products[],MATCH(AJ$1,Products[#Headers],0),0)</f>
        <v>7363</v>
      </c>
      <c r="AK65" s="8">
        <f>VLOOKUP($AE65,Products[],MATCH(AK$1,Products[#Headers],0),0)</f>
        <v>30</v>
      </c>
      <c r="AL65" s="8">
        <f>VLOOKUP($AE65,Products[],MATCH(AL$1,Products[#Headers],0),0)</f>
        <v>646</v>
      </c>
      <c r="AM65" s="8">
        <f>VLOOKUP($AE65,Products[],MATCH(AM$1,Products[#Headers],0),0)</f>
        <v>24</v>
      </c>
      <c r="AN65" s="8" t="str">
        <f>VLOOKUP($AE65,Products[],MATCH(AN$1,Products[#Headers],0),0)</f>
        <v>India</v>
      </c>
      <c r="AO65" s="8" t="str">
        <f>VLOOKUP($AE65,Products[],MATCH(AO$1,Products[#Headers],0),0)</f>
        <v>No</v>
      </c>
      <c r="AP65" s="8">
        <f>VLOOKUP($AE65,Products[],MATCH(AP$1,Products[#Headers],0),0)</f>
        <v>2.7</v>
      </c>
      <c r="AQ65" s="8">
        <f>VLOOKUP($AE65,Products[],MATCH(AQ$1,Products[#Headers],0),0)</f>
        <v>45376</v>
      </c>
      <c r="AR65" s="8" t="str">
        <f>VLOOKUP($AE65,Products[],MATCH(AR$1,Products[#Headers],0),0)</f>
        <v>No</v>
      </c>
      <c r="AS65" s="8">
        <f>VLOOKUP($AE65,Products[],MATCH(AS$1,Products[#Headers],0),0)</f>
        <v>5656</v>
      </c>
      <c r="AT65" s="8">
        <f>VLOOKUP($AE65,Products[],MATCH(AT$1,Products[#Headers],0),0)</f>
        <v>55</v>
      </c>
      <c r="AU65" s="8">
        <f t="shared" si="2"/>
        <v>55</v>
      </c>
      <c r="AV65" s="8" t="str">
        <f>IFERROR(VLOOKUP($AU65,stores[],MATCH(AV$1,stores[#Headers],0),0),"")</f>
        <v>S055</v>
      </c>
      <c r="AW65" s="8" t="str">
        <f>IFERROR(VLOOKUP($AU65,stores[],MATCH(AW$1,stores[#Headers],0),0),"")</f>
        <v>Raj-Hayre Mart</v>
      </c>
      <c r="AX65" s="8" t="str">
        <f>IFERROR(VLOOKUP($AU65,stores[],MATCH(AX$1,stores[#Headers],0),0),"")</f>
        <v>Kolkata</v>
      </c>
      <c r="AY65" s="8" t="str">
        <f>IFERROR(VLOOKUP($AU65,stores[],MATCH(AY$1,stores[#Headers],0),0),"")</f>
        <v>West Bengal</v>
      </c>
      <c r="AZ65" s="8">
        <f>IFERROR(VLOOKUP($AU65,stores[],MATCH(AZ$1,stores[#Headers],0),0),"")</f>
        <v>270267</v>
      </c>
      <c r="BA65" s="8" t="str">
        <f>IFERROR(VLOOKUP($AU65,stores[],MATCH(BA$1,stores[#Headers],0),0),"")</f>
        <v>Zansi Walla</v>
      </c>
      <c r="BB65" s="8">
        <f>IFERROR(VLOOKUP($AU65,stores[],MATCH(BB$1,stores[#Headers],0),0),"")</f>
        <v>2013</v>
      </c>
      <c r="BC65" s="8">
        <f>IFERROR(VLOOKUP($AU65,stores[],MATCH(BC$1,stores[#Headers],0),0),"")</f>
        <v>20</v>
      </c>
      <c r="BD65" s="8">
        <f>IFERROR(VLOOKUP($AU65,stores[],MATCH(BD$1,stores[#Headers],0),0),"")</f>
        <v>18561</v>
      </c>
      <c r="BE65" s="8">
        <f>IFERROR(VLOOKUP($AU65,stores[],MATCH(BE$1,stores[#Headers],0),0),"")</f>
        <v>3.7</v>
      </c>
      <c r="BF65" s="8" t="str">
        <f>IFERROR(VLOOKUP($AU65,stores[],MATCH(BF$1,stores[#Headers],0),0),"")</f>
        <v>Yes</v>
      </c>
      <c r="BG65" s="8">
        <f>IFERROR(VLOOKUP($AU65,stores[],MATCH(BG$1,stores[#Headers],0),0),"")</f>
        <v>4202</v>
      </c>
      <c r="BH65" s="8" t="str">
        <f>IFERROR(VLOOKUP($AU65,stores[],MATCH(BH$1,stores[#Headers],0),0),"")</f>
        <v>Franchise</v>
      </c>
      <c r="BI65" s="8">
        <f>IFERROR(VLOOKUP($AU65,stores[],MATCH(BI$1,stores[#Headers],0),0),"")</f>
        <v>5744890612</v>
      </c>
      <c r="BJ65" s="8" t="str">
        <f>IFERROR(VLOOKUP($AU65,stores[],MATCH(BJ$1,stores[#Headers],0),0),"")</f>
        <v>kaleaachal@char-sengupta.com</v>
      </c>
    </row>
    <row r="66" spans="1:62" x14ac:dyDescent="0.3">
      <c r="A66" s="8" t="str">
        <v>O1065</v>
      </c>
      <c r="B66" s="8" t="str">
        <v>C048</v>
      </c>
      <c r="C66" s="8" t="str">
        <v>P152</v>
      </c>
      <c r="D66" s="8">
        <v>45669</v>
      </c>
      <c r="E66" s="8">
        <v>4</v>
      </c>
      <c r="F66" s="8">
        <v>92604</v>
      </c>
      <c r="G66" s="8">
        <v>463020</v>
      </c>
      <c r="H66" s="8">
        <v>0.28999999999999998</v>
      </c>
      <c r="I66" s="8" t="str">
        <v>Debit Card</v>
      </c>
      <c r="J66" s="8" t="str">
        <v>Shipped</v>
      </c>
      <c r="K66" s="8">
        <v>45863</v>
      </c>
      <c r="L66" s="8" t="str">
        <v>No</v>
      </c>
      <c r="M66" s="8">
        <v>350</v>
      </c>
      <c r="N66" s="8" t="str">
        <v>Yes</v>
      </c>
      <c r="O66" s="8" t="str">
        <v>Yes</v>
      </c>
      <c r="P66" s="8" t="str">
        <f t="shared" si="0"/>
        <v>C048</v>
      </c>
      <c r="Q66" s="8" t="str">
        <f>VLOOKUP($B66,customers[],MATCH(Q$1,customers[#Headers],0),0)</f>
        <v>Sudiksha Tiwari</v>
      </c>
      <c r="R66" s="8" t="str">
        <f>VLOOKUP($B66,customers[],MATCH(R$1,customers[#Headers],0),0)</f>
        <v>ychaudhary@example.net</v>
      </c>
      <c r="S66" s="8">
        <f>VLOOKUP($B66,customers[],MATCH(S$1,customers[#Headers],0),0)</f>
        <v>918367365766</v>
      </c>
      <c r="T66" s="8" t="str">
        <f>VLOOKUP($B66,customers[],MATCH(T$1,customers[#Headers],0),0)</f>
        <v>Chennai</v>
      </c>
      <c r="U66" s="8" t="str">
        <f>VLOOKUP($B66,customers[],MATCH(U$1,customers[#Headers],0),0)</f>
        <v>Tamil Nadu</v>
      </c>
      <c r="V66" s="8">
        <f>VLOOKUP($B66,customers[],MATCH(V$1,customers[#Headers],0),0)</f>
        <v>565452</v>
      </c>
      <c r="W66" s="8" t="str">
        <f>VLOOKUP($B66,customers[],MATCH(W$1,customers[#Headers],0),0)</f>
        <v>Female</v>
      </c>
      <c r="X66" s="8">
        <f>VLOOKUP($B66,customers[],MATCH(X$1,customers[#Headers],0),0)</f>
        <v>38819</v>
      </c>
      <c r="Y66" s="8">
        <f>VLOOKUP($B66,customers[],MATCH(Y$1,customers[#Headers],0),0)</f>
        <v>45501</v>
      </c>
      <c r="Z66" s="8" t="str">
        <f>VLOOKUP($B66,customers[],MATCH(Z$1,customers[#Headers],0),0)</f>
        <v>Fashion</v>
      </c>
      <c r="AA66" s="8">
        <f>VLOOKUP($B66,customers[],MATCH(AA$1,customers[#Headers],0),0)</f>
        <v>932</v>
      </c>
      <c r="AB66" s="8" t="str">
        <f>VLOOKUP($B66,customers[],MATCH(AB$1,customers[#Headers],0),0)</f>
        <v>Single</v>
      </c>
      <c r="AC66" s="8" t="str">
        <f>VLOOKUP($B66,customers[],MATCH(AC$1,customers[#Headers],0),0)</f>
        <v>Business</v>
      </c>
      <c r="AD66" s="8">
        <f>VLOOKUP($B66,customers[],MATCH(AD$1,customers[#Headers],0),0)</f>
        <v>1939269</v>
      </c>
      <c r="AE66" s="8" t="str">
        <f t="shared" si="1"/>
        <v>P152</v>
      </c>
      <c r="AF66" s="8" t="str">
        <f>VLOOKUP($AE66,Products[],MATCH(AF$1,Products[#Headers],0),0)</f>
        <v>Rem Shirt</v>
      </c>
      <c r="AG66" s="8" t="str">
        <f>VLOOKUP($AE66,Products[],MATCH(AG$1,Products[#Headers],0),0)</f>
        <v>Electronics</v>
      </c>
      <c r="AH66" s="8" t="str">
        <f>VLOOKUP($AE66,Products[],MATCH(AH$1,Products[#Headers],0),0)</f>
        <v>Cotton</v>
      </c>
      <c r="AI66" s="8" t="str">
        <f>VLOOKUP($AE66,Products[],MATCH(AI$1,Products[#Headers],0),0)</f>
        <v>Loyal PLC</v>
      </c>
      <c r="AJ66" s="8">
        <f>VLOOKUP($AE66,Products[],MATCH(AJ$1,Products[#Headers],0),0)</f>
        <v>92604</v>
      </c>
      <c r="AK66" s="8">
        <f>VLOOKUP($AE66,Products[],MATCH(AK$1,Products[#Headers],0),0)</f>
        <v>29</v>
      </c>
      <c r="AL66" s="8">
        <f>VLOOKUP($AE66,Products[],MATCH(AL$1,Products[#Headers],0),0)</f>
        <v>316</v>
      </c>
      <c r="AM66" s="8">
        <f>VLOOKUP($AE66,Products[],MATCH(AM$1,Products[#Headers],0),0)</f>
        <v>24</v>
      </c>
      <c r="AN66" s="8" t="str">
        <f>VLOOKUP($AE66,Products[],MATCH(AN$1,Products[#Headers],0),0)</f>
        <v>Vietnam</v>
      </c>
      <c r="AO66" s="8" t="str">
        <f>VLOOKUP($AE66,Products[],MATCH(AO$1,Products[#Headers],0),0)</f>
        <v>Yes</v>
      </c>
      <c r="AP66" s="8">
        <f>VLOOKUP($AE66,Products[],MATCH(AP$1,Products[#Headers],0),0)</f>
        <v>3</v>
      </c>
      <c r="AQ66" s="8">
        <f>VLOOKUP($AE66,Products[],MATCH(AQ$1,Products[#Headers],0),0)</f>
        <v>45328</v>
      </c>
      <c r="AR66" s="8" t="str">
        <f>VLOOKUP($AE66,Products[],MATCH(AR$1,Products[#Headers],0),0)</f>
        <v>Yes</v>
      </c>
      <c r="AS66" s="8">
        <f>VLOOKUP($AE66,Products[],MATCH(AS$1,Products[#Headers],0),0)</f>
        <v>7567</v>
      </c>
      <c r="AT66" s="8">
        <f>VLOOKUP($AE66,Products[],MATCH(AT$1,Products[#Headers],0),0)</f>
        <v>123</v>
      </c>
      <c r="AU66" s="8">
        <f t="shared" si="2"/>
        <v>123</v>
      </c>
      <c r="AV66" s="8" t="str">
        <f>IFERROR(VLOOKUP($AU66,stores[],MATCH(AV$1,stores[#Headers],0),0),"")</f>
        <v/>
      </c>
      <c r="AW66" s="8" t="str">
        <f>IFERROR(VLOOKUP($AU66,stores[],MATCH(AW$1,stores[#Headers],0),0),"")</f>
        <v/>
      </c>
      <c r="AX66" s="8" t="str">
        <f>IFERROR(VLOOKUP($AU66,stores[],MATCH(AX$1,stores[#Headers],0),0),"")</f>
        <v/>
      </c>
      <c r="AY66" s="8" t="str">
        <f>IFERROR(VLOOKUP($AU66,stores[],MATCH(AY$1,stores[#Headers],0),0),"")</f>
        <v/>
      </c>
      <c r="AZ66" s="8" t="str">
        <f>IFERROR(VLOOKUP($AU66,stores[],MATCH(AZ$1,stores[#Headers],0),0),"")</f>
        <v/>
      </c>
      <c r="BA66" s="8" t="str">
        <f>IFERROR(VLOOKUP($AU66,stores[],MATCH(BA$1,stores[#Headers],0),0),"")</f>
        <v/>
      </c>
      <c r="BB66" s="8" t="str">
        <f>IFERROR(VLOOKUP($AU66,stores[],MATCH(BB$1,stores[#Headers],0),0),"")</f>
        <v/>
      </c>
      <c r="BC66" s="8" t="str">
        <f>IFERROR(VLOOKUP($AU66,stores[],MATCH(BC$1,stores[#Headers],0),0),"")</f>
        <v/>
      </c>
      <c r="BD66" s="8" t="str">
        <f>IFERROR(VLOOKUP($AU66,stores[],MATCH(BD$1,stores[#Headers],0),0),"")</f>
        <v/>
      </c>
      <c r="BE66" s="8" t="str">
        <f>IFERROR(VLOOKUP($AU66,stores[],MATCH(BE$1,stores[#Headers],0),0),"")</f>
        <v/>
      </c>
      <c r="BF66" s="8" t="str">
        <f>IFERROR(VLOOKUP($AU66,stores[],MATCH(BF$1,stores[#Headers],0),0),"")</f>
        <v/>
      </c>
      <c r="BG66" s="8" t="str">
        <f>IFERROR(VLOOKUP($AU66,stores[],MATCH(BG$1,stores[#Headers],0),0),"")</f>
        <v/>
      </c>
      <c r="BH66" s="8" t="str">
        <f>IFERROR(VLOOKUP($AU66,stores[],MATCH(BH$1,stores[#Headers],0),0),"")</f>
        <v/>
      </c>
      <c r="BI66" s="8" t="str">
        <f>IFERROR(VLOOKUP($AU66,stores[],MATCH(BI$1,stores[#Headers],0),0),"")</f>
        <v/>
      </c>
      <c r="BJ66" s="8" t="str">
        <f>IFERROR(VLOOKUP($AU66,stores[],MATCH(BJ$1,stores[#Headers],0),0),"")</f>
        <v/>
      </c>
    </row>
    <row r="67" spans="1:62" x14ac:dyDescent="0.3">
      <c r="A67" s="8" t="str">
        <v>O1066</v>
      </c>
      <c r="B67" s="8" t="str">
        <v>C012</v>
      </c>
      <c r="C67" s="8" t="str">
        <v>P152</v>
      </c>
      <c r="D67" s="8">
        <v>45718</v>
      </c>
      <c r="E67" s="8">
        <v>4</v>
      </c>
      <c r="F67" s="8">
        <v>92604</v>
      </c>
      <c r="G67" s="8">
        <v>370416</v>
      </c>
      <c r="H67" s="8">
        <v>0.28999999999999998</v>
      </c>
      <c r="I67" s="8" t="str">
        <v>Cash on Delivery</v>
      </c>
      <c r="J67" s="8" t="str">
        <v>Cancelled</v>
      </c>
      <c r="K67" s="8">
        <v>45866</v>
      </c>
      <c r="L67" s="8" t="str">
        <v>Yes</v>
      </c>
      <c r="M67" s="8">
        <v>326</v>
      </c>
      <c r="N67" s="8" t="str">
        <v>Yes</v>
      </c>
      <c r="O67" s="8" t="str">
        <v>Yes</v>
      </c>
      <c r="P67" s="8" t="str">
        <f t="shared" ref="P67:P101" si="3">B67</f>
        <v>C012</v>
      </c>
      <c r="Q67" s="8" t="str">
        <f>VLOOKUP($B67,customers[],MATCH(Q$1,customers[#Headers],0),0)</f>
        <v>Advika Jayaraman</v>
      </c>
      <c r="R67" s="8" t="str">
        <f>VLOOKUP($B67,customers[],MATCH(R$1,customers[#Headers],0),0)</f>
        <v>william46@example.org</v>
      </c>
      <c r="S67" s="8">
        <f>VLOOKUP($B67,customers[],MATCH(S$1,customers[#Headers],0),0)</f>
        <v>4751079911</v>
      </c>
      <c r="T67" s="8" t="str">
        <f>VLOOKUP($B67,customers[],MATCH(T$1,customers[#Headers],0),0)</f>
        <v>Delhi</v>
      </c>
      <c r="U67" s="8" t="str">
        <f>VLOOKUP($B67,customers[],MATCH(U$1,customers[#Headers],0),0)</f>
        <v>Delhi</v>
      </c>
      <c r="V67" s="8">
        <f>VLOOKUP($B67,customers[],MATCH(V$1,customers[#Headers],0),0)</f>
        <v>842513</v>
      </c>
      <c r="W67" s="8" t="str">
        <f>VLOOKUP($B67,customers[],MATCH(W$1,customers[#Headers],0),0)</f>
        <v>Female</v>
      </c>
      <c r="X67" s="8">
        <f>VLOOKUP($B67,customers[],MATCH(X$1,customers[#Headers],0),0)</f>
        <v>30932</v>
      </c>
      <c r="Y67" s="8">
        <f>VLOOKUP($B67,customers[],MATCH(Y$1,customers[#Headers],0),0)</f>
        <v>44913</v>
      </c>
      <c r="Z67" s="8" t="str">
        <f>VLOOKUP($B67,customers[],MATCH(Z$1,customers[#Headers],0),0)</f>
        <v>Grocery</v>
      </c>
      <c r="AA67" s="8">
        <f>VLOOKUP($B67,customers[],MATCH(AA$1,customers[#Headers],0),0)</f>
        <v>4486</v>
      </c>
      <c r="AB67" s="8" t="str">
        <f>VLOOKUP($B67,customers[],MATCH(AB$1,customers[#Headers],0),0)</f>
        <v>Single</v>
      </c>
      <c r="AC67" s="8" t="str">
        <f>VLOOKUP($B67,customers[],MATCH(AC$1,customers[#Headers],0),0)</f>
        <v>Doctor</v>
      </c>
      <c r="AD67" s="8">
        <f>VLOOKUP($B67,customers[],MATCH(AD$1,customers[#Headers],0),0)</f>
        <v>1389462</v>
      </c>
      <c r="AE67" s="8" t="str">
        <f t="shared" ref="AE67:AE101" si="4">C67</f>
        <v>P152</v>
      </c>
      <c r="AF67" s="8" t="str">
        <f>VLOOKUP($AE67,Products[],MATCH(AF$1,Products[#Headers],0),0)</f>
        <v>Rem Shirt</v>
      </c>
      <c r="AG67" s="8" t="str">
        <f>VLOOKUP($AE67,Products[],MATCH(AG$1,Products[#Headers],0),0)</f>
        <v>Electronics</v>
      </c>
      <c r="AH67" s="8" t="str">
        <f>VLOOKUP($AE67,Products[],MATCH(AH$1,Products[#Headers],0),0)</f>
        <v>Cotton</v>
      </c>
      <c r="AI67" s="8" t="str">
        <f>VLOOKUP($AE67,Products[],MATCH(AI$1,Products[#Headers],0),0)</f>
        <v>Loyal PLC</v>
      </c>
      <c r="AJ67" s="8">
        <f>VLOOKUP($AE67,Products[],MATCH(AJ$1,Products[#Headers],0),0)</f>
        <v>92604</v>
      </c>
      <c r="AK67" s="8">
        <f>VLOOKUP($AE67,Products[],MATCH(AK$1,Products[#Headers],0),0)</f>
        <v>29</v>
      </c>
      <c r="AL67" s="8">
        <f>VLOOKUP($AE67,Products[],MATCH(AL$1,Products[#Headers],0),0)</f>
        <v>316</v>
      </c>
      <c r="AM67" s="8">
        <f>VLOOKUP($AE67,Products[],MATCH(AM$1,Products[#Headers],0),0)</f>
        <v>24</v>
      </c>
      <c r="AN67" s="8" t="str">
        <f>VLOOKUP($AE67,Products[],MATCH(AN$1,Products[#Headers],0),0)</f>
        <v>Vietnam</v>
      </c>
      <c r="AO67" s="8" t="str">
        <f>VLOOKUP($AE67,Products[],MATCH(AO$1,Products[#Headers],0),0)</f>
        <v>Yes</v>
      </c>
      <c r="AP67" s="8">
        <f>VLOOKUP($AE67,Products[],MATCH(AP$1,Products[#Headers],0),0)</f>
        <v>3</v>
      </c>
      <c r="AQ67" s="8">
        <f>VLOOKUP($AE67,Products[],MATCH(AQ$1,Products[#Headers],0),0)</f>
        <v>45328</v>
      </c>
      <c r="AR67" s="8" t="str">
        <f>VLOOKUP($AE67,Products[],MATCH(AR$1,Products[#Headers],0),0)</f>
        <v>Yes</v>
      </c>
      <c r="AS67" s="8">
        <f>VLOOKUP($AE67,Products[],MATCH(AS$1,Products[#Headers],0),0)</f>
        <v>7567</v>
      </c>
      <c r="AT67" s="8">
        <f>VLOOKUP($AE67,Products[],MATCH(AT$1,Products[#Headers],0),0)</f>
        <v>123</v>
      </c>
      <c r="AU67" s="8">
        <f t="shared" ref="AU67:AU101" si="5">AT67</f>
        <v>123</v>
      </c>
      <c r="AV67" s="8" t="str">
        <f>IFERROR(VLOOKUP($AU67,stores[],MATCH(AV$1,stores[#Headers],0),0),"")</f>
        <v/>
      </c>
      <c r="AW67" s="8" t="str">
        <f>IFERROR(VLOOKUP($AU67,stores[],MATCH(AW$1,stores[#Headers],0),0),"")</f>
        <v/>
      </c>
      <c r="AX67" s="8" t="str">
        <f>IFERROR(VLOOKUP($AU67,stores[],MATCH(AX$1,stores[#Headers],0),0),"")</f>
        <v/>
      </c>
      <c r="AY67" s="8" t="str">
        <f>IFERROR(VLOOKUP($AU67,stores[],MATCH(AY$1,stores[#Headers],0),0),"")</f>
        <v/>
      </c>
      <c r="AZ67" s="8" t="str">
        <f>IFERROR(VLOOKUP($AU67,stores[],MATCH(AZ$1,stores[#Headers],0),0),"")</f>
        <v/>
      </c>
      <c r="BA67" s="8" t="str">
        <f>IFERROR(VLOOKUP($AU67,stores[],MATCH(BA$1,stores[#Headers],0),0),"")</f>
        <v/>
      </c>
      <c r="BB67" s="8" t="str">
        <f>IFERROR(VLOOKUP($AU67,stores[],MATCH(BB$1,stores[#Headers],0),0),"")</f>
        <v/>
      </c>
      <c r="BC67" s="8" t="str">
        <f>IFERROR(VLOOKUP($AU67,stores[],MATCH(BC$1,stores[#Headers],0),0),"")</f>
        <v/>
      </c>
      <c r="BD67" s="8" t="str">
        <f>IFERROR(VLOOKUP($AU67,stores[],MATCH(BD$1,stores[#Headers],0),0),"")</f>
        <v/>
      </c>
      <c r="BE67" s="8" t="str">
        <f>IFERROR(VLOOKUP($AU67,stores[],MATCH(BE$1,stores[#Headers],0),0),"")</f>
        <v/>
      </c>
      <c r="BF67" s="8" t="str">
        <f>IFERROR(VLOOKUP($AU67,stores[],MATCH(BF$1,stores[#Headers],0),0),"")</f>
        <v/>
      </c>
      <c r="BG67" s="8" t="str">
        <f>IFERROR(VLOOKUP($AU67,stores[],MATCH(BG$1,stores[#Headers],0),0),"")</f>
        <v/>
      </c>
      <c r="BH67" s="8" t="str">
        <f>IFERROR(VLOOKUP($AU67,stores[],MATCH(BH$1,stores[#Headers],0),0),"")</f>
        <v/>
      </c>
      <c r="BI67" s="8" t="str">
        <f>IFERROR(VLOOKUP($AU67,stores[],MATCH(BI$1,stores[#Headers],0),0),"")</f>
        <v/>
      </c>
      <c r="BJ67" s="8" t="str">
        <f>IFERROR(VLOOKUP($AU67,stores[],MATCH(BJ$1,stores[#Headers],0),0),"")</f>
        <v/>
      </c>
    </row>
    <row r="68" spans="1:62" x14ac:dyDescent="0.3">
      <c r="A68" s="8" t="str">
        <v>O1067</v>
      </c>
      <c r="B68" s="8" t="str">
        <v>C011</v>
      </c>
      <c r="C68" s="8" t="str">
        <v>P164</v>
      </c>
      <c r="D68" s="8">
        <v>45789</v>
      </c>
      <c r="E68" s="8">
        <v>4</v>
      </c>
      <c r="F68" s="8">
        <v>61962</v>
      </c>
      <c r="G68" s="8">
        <v>185886</v>
      </c>
      <c r="H68" s="8">
        <v>0.19</v>
      </c>
      <c r="I68" s="8" t="str">
        <v>Cash on Delivery</v>
      </c>
      <c r="J68" s="8" t="str">
        <v>Delivered</v>
      </c>
      <c r="K68" s="8">
        <v>45859</v>
      </c>
      <c r="L68" s="8" t="str">
        <v>Yes</v>
      </c>
      <c r="M68" s="8">
        <v>117</v>
      </c>
      <c r="N68" s="8" t="str">
        <v>Yes</v>
      </c>
      <c r="O68" s="8" t="str">
        <v>No</v>
      </c>
      <c r="P68" s="8" t="str">
        <f t="shared" si="3"/>
        <v>C011</v>
      </c>
      <c r="Q68" s="8" t="str">
        <f>VLOOKUP($B68,customers[],MATCH(Q$1,customers[#Headers],0),0)</f>
        <v>Darsh Murthy</v>
      </c>
      <c r="R68" s="8" t="str">
        <f>VLOOKUP($B68,customers[],MATCH(R$1,customers[#Headers],0),0)</f>
        <v>bedivansha@example.net</v>
      </c>
      <c r="S68" s="8">
        <f>VLOOKUP($B68,customers[],MATCH(S$1,customers[#Headers],0),0)</f>
        <v>2081219136</v>
      </c>
      <c r="T68" s="8" t="str">
        <f>VLOOKUP($B68,customers[],MATCH(T$1,customers[#Headers],0),0)</f>
        <v>Jaipur</v>
      </c>
      <c r="U68" s="8" t="str">
        <f>VLOOKUP($B68,customers[],MATCH(U$1,customers[#Headers],0),0)</f>
        <v>Rajasthan</v>
      </c>
      <c r="V68" s="8">
        <f>VLOOKUP($B68,customers[],MATCH(V$1,customers[#Headers],0),0)</f>
        <v>939909</v>
      </c>
      <c r="W68" s="8" t="str">
        <f>VLOOKUP($B68,customers[],MATCH(W$1,customers[#Headers],0),0)</f>
        <v>Female</v>
      </c>
      <c r="X68" s="8">
        <f>VLOOKUP($B68,customers[],MATCH(X$1,customers[#Headers],0),0)</f>
        <v>23785</v>
      </c>
      <c r="Y68" s="8">
        <f>VLOOKUP($B68,customers[],MATCH(Y$1,customers[#Headers],0),0)</f>
        <v>45330</v>
      </c>
      <c r="Z68" s="8" t="str">
        <f>VLOOKUP($B68,customers[],MATCH(Z$1,customers[#Headers],0),0)</f>
        <v>Home Appliance</v>
      </c>
      <c r="AA68" s="8">
        <f>VLOOKUP($B68,customers[],MATCH(AA$1,customers[#Headers],0),0)</f>
        <v>5413</v>
      </c>
      <c r="AB68" s="8" t="str">
        <f>VLOOKUP($B68,customers[],MATCH(AB$1,customers[#Headers],0),0)</f>
        <v>Single</v>
      </c>
      <c r="AC68" s="8" t="str">
        <f>VLOOKUP($B68,customers[],MATCH(AC$1,customers[#Headers],0),0)</f>
        <v>Doctor</v>
      </c>
      <c r="AD68" s="8">
        <f>VLOOKUP($B68,customers[],MATCH(AD$1,customers[#Headers],0),0)</f>
        <v>1923444</v>
      </c>
      <c r="AE68" s="8" t="str">
        <f t="shared" si="4"/>
        <v>P164</v>
      </c>
      <c r="AF68" s="8" t="str">
        <f>VLOOKUP($AE68,Products[],MATCH(AF$1,Products[#Headers],0),0)</f>
        <v>Repellat Washing Machine</v>
      </c>
      <c r="AG68" s="8" t="str">
        <f>VLOOKUP($AE68,Products[],MATCH(AG$1,Products[#Headers],0),0)</f>
        <v>Home Appliance</v>
      </c>
      <c r="AH68" s="8" t="str">
        <f>VLOOKUP($AE68,Products[],MATCH(AH$1,Products[#Headers],0),0)</f>
        <v>LED</v>
      </c>
      <c r="AI68" s="8" t="str">
        <f>VLOOKUP($AE68,Products[],MATCH(AI$1,Products[#Headers],0),0)</f>
        <v>Luthra, Sachdeva and Prashad</v>
      </c>
      <c r="AJ68" s="8">
        <f>VLOOKUP($AE68,Products[],MATCH(AJ$1,Products[#Headers],0),0)</f>
        <v>61962</v>
      </c>
      <c r="AK68" s="8">
        <f>VLOOKUP($AE68,Products[],MATCH(AK$1,Products[#Headers],0),0)</f>
        <v>19</v>
      </c>
      <c r="AL68" s="8">
        <f>VLOOKUP($AE68,Products[],MATCH(AL$1,Products[#Headers],0),0)</f>
        <v>646</v>
      </c>
      <c r="AM68" s="8">
        <f>VLOOKUP($AE68,Products[],MATCH(AM$1,Products[#Headers],0),0)</f>
        <v>24</v>
      </c>
      <c r="AN68" s="8" t="str">
        <f>VLOOKUP($AE68,Products[],MATCH(AN$1,Products[#Headers],0),0)</f>
        <v>Vietnam</v>
      </c>
      <c r="AO68" s="8" t="str">
        <f>VLOOKUP($AE68,Products[],MATCH(AO$1,Products[#Headers],0),0)</f>
        <v>Yes</v>
      </c>
      <c r="AP68" s="8">
        <f>VLOOKUP($AE68,Products[],MATCH(AP$1,Products[#Headers],0),0)</f>
        <v>3.4</v>
      </c>
      <c r="AQ68" s="8">
        <f>VLOOKUP($AE68,Products[],MATCH(AQ$1,Products[#Headers],0),0)</f>
        <v>45461</v>
      </c>
      <c r="AR68" s="8" t="str">
        <f>VLOOKUP($AE68,Products[],MATCH(AR$1,Products[#Headers],0),0)</f>
        <v>Yes</v>
      </c>
      <c r="AS68" s="8">
        <f>VLOOKUP($AE68,Products[],MATCH(AS$1,Products[#Headers],0),0)</f>
        <v>6086</v>
      </c>
      <c r="AT68" s="8">
        <f>VLOOKUP($AE68,Products[],MATCH(AT$1,Products[#Headers],0),0)</f>
        <v>26</v>
      </c>
      <c r="AU68" s="8">
        <f t="shared" si="5"/>
        <v>26</v>
      </c>
      <c r="AV68" s="8" t="str">
        <f>IFERROR(VLOOKUP($AU68,stores[],MATCH(AV$1,stores[#Headers],0),0),"")</f>
        <v>S026</v>
      </c>
      <c r="AW68" s="8" t="str">
        <f>IFERROR(VLOOKUP($AU68,stores[],MATCH(AW$1,stores[#Headers],0),0),"")</f>
        <v>Sarma, Golla and Raghavan Mart</v>
      </c>
      <c r="AX68" s="8" t="str">
        <f>IFERROR(VLOOKUP($AU68,stores[],MATCH(AX$1,stores[#Headers],0),0),"")</f>
        <v>Hyderabad</v>
      </c>
      <c r="AY68" s="8" t="str">
        <f>IFERROR(VLOOKUP($AU68,stores[],MATCH(AY$1,stores[#Headers],0),0),"")</f>
        <v>Telangana</v>
      </c>
      <c r="AZ68" s="8">
        <f>IFERROR(VLOOKUP($AU68,stores[],MATCH(AZ$1,stores[#Headers],0),0),"")</f>
        <v>902771</v>
      </c>
      <c r="BA68" s="8" t="str">
        <f>IFERROR(VLOOKUP($AU68,stores[],MATCH(BA$1,stores[#Headers],0),0),"")</f>
        <v>Ridhi Batra</v>
      </c>
      <c r="BB68" s="8">
        <f>IFERROR(VLOOKUP($AU68,stores[],MATCH(BB$1,stores[#Headers],0),0),"")</f>
        <v>2008</v>
      </c>
      <c r="BC68" s="8">
        <f>IFERROR(VLOOKUP($AU68,stores[],MATCH(BC$1,stores[#Headers],0),0),"")</f>
        <v>87</v>
      </c>
      <c r="BD68" s="8">
        <f>IFERROR(VLOOKUP($AU68,stores[],MATCH(BD$1,stores[#Headers],0),0),"")</f>
        <v>3760</v>
      </c>
      <c r="BE68" s="8">
        <f>IFERROR(VLOOKUP($AU68,stores[],MATCH(BE$1,stores[#Headers],0),0),"")</f>
        <v>3.5</v>
      </c>
      <c r="BF68" s="8" t="str">
        <f>IFERROR(VLOOKUP($AU68,stores[],MATCH(BF$1,stores[#Headers],0),0),"")</f>
        <v>No</v>
      </c>
      <c r="BG68" s="8">
        <f>IFERROR(VLOOKUP($AU68,stores[],MATCH(BG$1,stores[#Headers],0),0),"")</f>
        <v>719</v>
      </c>
      <c r="BH68" s="8" t="str">
        <f>IFERROR(VLOOKUP($AU68,stores[],MATCH(BH$1,stores[#Headers],0),0),"")</f>
        <v>Outlet</v>
      </c>
      <c r="BI68" s="8">
        <f>IFERROR(VLOOKUP($AU68,stores[],MATCH(BI$1,stores[#Headers],0),0),"")</f>
        <v>914508993588</v>
      </c>
      <c r="BJ68" s="8" t="str">
        <f>IFERROR(VLOOKUP($AU68,stores[],MATCH(BJ$1,stores[#Headers],0),0),"")</f>
        <v>santyuvraj@pal-rajan.com</v>
      </c>
    </row>
    <row r="69" spans="1:62" x14ac:dyDescent="0.3">
      <c r="A69" s="8" t="str">
        <v>O1068</v>
      </c>
      <c r="B69" s="8" t="str">
        <v>C035</v>
      </c>
      <c r="C69" s="8" t="str">
        <v>P106</v>
      </c>
      <c r="D69" s="8">
        <v>45773</v>
      </c>
      <c r="E69" s="8">
        <v>1</v>
      </c>
      <c r="F69" s="8">
        <v>40324</v>
      </c>
      <c r="G69" s="8">
        <v>120972</v>
      </c>
      <c r="H69" s="8">
        <v>7.0000000000000007E-2</v>
      </c>
      <c r="I69" s="8" t="str">
        <v>Cash on Delivery</v>
      </c>
      <c r="J69" s="8" t="str">
        <v>Delivered</v>
      </c>
      <c r="K69" s="8">
        <v>45868</v>
      </c>
      <c r="L69" s="8" t="str">
        <v>Yes</v>
      </c>
      <c r="M69" s="8">
        <v>475</v>
      </c>
      <c r="N69" s="8" t="str">
        <v>No</v>
      </c>
      <c r="O69" s="8" t="str">
        <v>Yes</v>
      </c>
      <c r="P69" s="8" t="str">
        <f t="shared" si="3"/>
        <v>C035</v>
      </c>
      <c r="Q69" s="8" t="str">
        <f>VLOOKUP($B69,customers[],MATCH(Q$1,customers[#Headers],0),0)</f>
        <v>Raksha Sundaram</v>
      </c>
      <c r="R69" s="8" t="str">
        <f>VLOOKUP($B69,customers[],MATCH(R$1,customers[#Headers],0),0)</f>
        <v>balakrishnanwriddhish@example.net</v>
      </c>
      <c r="S69" s="8">
        <f>VLOOKUP($B69,customers[],MATCH(S$1,customers[#Headers],0),0)</f>
        <v>914808613171</v>
      </c>
      <c r="T69" s="8" t="str">
        <f>VLOOKUP($B69,customers[],MATCH(T$1,customers[#Headers],0),0)</f>
        <v>Ahmedabad</v>
      </c>
      <c r="U69" s="8" t="str">
        <f>VLOOKUP($B69,customers[],MATCH(U$1,customers[#Headers],0),0)</f>
        <v>Gujarat</v>
      </c>
      <c r="V69" s="8">
        <f>VLOOKUP($B69,customers[],MATCH(V$1,customers[#Headers],0),0)</f>
        <v>748467</v>
      </c>
      <c r="W69" s="8" t="str">
        <f>VLOOKUP($B69,customers[],MATCH(W$1,customers[#Headers],0),0)</f>
        <v>Male</v>
      </c>
      <c r="X69" s="8">
        <f>VLOOKUP($B69,customers[],MATCH(X$1,customers[#Headers],0),0)</f>
        <v>33485</v>
      </c>
      <c r="Y69" s="8">
        <f>VLOOKUP($B69,customers[],MATCH(Y$1,customers[#Headers],0),0)</f>
        <v>44785</v>
      </c>
      <c r="Z69" s="8" t="str">
        <f>VLOOKUP($B69,customers[],MATCH(Z$1,customers[#Headers],0),0)</f>
        <v>Grocery</v>
      </c>
      <c r="AA69" s="8">
        <f>VLOOKUP($B69,customers[],MATCH(AA$1,customers[#Headers],0),0)</f>
        <v>1060</v>
      </c>
      <c r="AB69" s="8" t="str">
        <f>VLOOKUP($B69,customers[],MATCH(AB$1,customers[#Headers],0),0)</f>
        <v>Single</v>
      </c>
      <c r="AC69" s="8" t="str">
        <f>VLOOKUP($B69,customers[],MATCH(AC$1,customers[#Headers],0),0)</f>
        <v>Business</v>
      </c>
      <c r="AD69" s="8">
        <f>VLOOKUP($B69,customers[],MATCH(AD$1,customers[#Headers],0),0)</f>
        <v>204520</v>
      </c>
      <c r="AE69" s="8" t="str">
        <f t="shared" si="4"/>
        <v>P106</v>
      </c>
      <c r="AF69" s="8" t="str">
        <f>VLOOKUP($AE69,Products[],MATCH(AF$1,Products[#Headers],0),0)</f>
        <v>Non Shirt</v>
      </c>
      <c r="AG69" s="8" t="str">
        <f>VLOOKUP($AE69,Products[],MATCH(AG$1,Products[#Headers],0),0)</f>
        <v>Home Appliance</v>
      </c>
      <c r="AH69" s="8" t="str">
        <f>VLOOKUP($AE69,Products[],MATCH(AH$1,Products[#Headers],0),0)</f>
        <v>Organic</v>
      </c>
      <c r="AI69" s="8" t="str">
        <f>VLOOKUP($AE69,Products[],MATCH(AI$1,Products[#Headers],0),0)</f>
        <v>Deshpande, Mital and Nagi</v>
      </c>
      <c r="AJ69" s="8">
        <f>VLOOKUP($AE69,Products[],MATCH(AJ$1,Products[#Headers],0),0)</f>
        <v>40324</v>
      </c>
      <c r="AK69" s="8">
        <f>VLOOKUP($AE69,Products[],MATCH(AK$1,Products[#Headers],0),0)</f>
        <v>7</v>
      </c>
      <c r="AL69" s="8">
        <f>VLOOKUP($AE69,Products[],MATCH(AL$1,Products[#Headers],0),0)</f>
        <v>254</v>
      </c>
      <c r="AM69" s="8">
        <f>VLOOKUP($AE69,Products[],MATCH(AM$1,Products[#Headers],0),0)</f>
        <v>6</v>
      </c>
      <c r="AN69" s="8" t="str">
        <f>VLOOKUP($AE69,Products[],MATCH(AN$1,Products[#Headers],0),0)</f>
        <v>Japan</v>
      </c>
      <c r="AO69" s="8" t="str">
        <f>VLOOKUP($AE69,Products[],MATCH(AO$1,Products[#Headers],0),0)</f>
        <v>Yes</v>
      </c>
      <c r="AP69" s="8">
        <f>VLOOKUP($AE69,Products[],MATCH(AP$1,Products[#Headers],0),0)</f>
        <v>4.4000000000000004</v>
      </c>
      <c r="AQ69" s="8">
        <f>VLOOKUP($AE69,Products[],MATCH(AQ$1,Products[#Headers],0),0)</f>
        <v>45696</v>
      </c>
      <c r="AR69" s="8" t="str">
        <f>VLOOKUP($AE69,Products[],MATCH(AR$1,Products[#Headers],0),0)</f>
        <v>No</v>
      </c>
      <c r="AS69" s="8">
        <f>VLOOKUP($AE69,Products[],MATCH(AS$1,Products[#Headers],0),0)</f>
        <v>8382</v>
      </c>
      <c r="AT69" s="8">
        <f>VLOOKUP($AE69,Products[],MATCH(AT$1,Products[#Headers],0),0)</f>
        <v>104</v>
      </c>
      <c r="AU69" s="8">
        <f t="shared" si="5"/>
        <v>104</v>
      </c>
      <c r="AV69" s="8" t="str">
        <f>IFERROR(VLOOKUP($AU69,stores[],MATCH(AV$1,stores[#Headers],0),0),"")</f>
        <v/>
      </c>
      <c r="AW69" s="8" t="str">
        <f>IFERROR(VLOOKUP($AU69,stores[],MATCH(AW$1,stores[#Headers],0),0),"")</f>
        <v/>
      </c>
      <c r="AX69" s="8" t="str">
        <f>IFERROR(VLOOKUP($AU69,stores[],MATCH(AX$1,stores[#Headers],0),0),"")</f>
        <v/>
      </c>
      <c r="AY69" s="8" t="str">
        <f>IFERROR(VLOOKUP($AU69,stores[],MATCH(AY$1,stores[#Headers],0),0),"")</f>
        <v/>
      </c>
      <c r="AZ69" s="8" t="str">
        <f>IFERROR(VLOOKUP($AU69,stores[],MATCH(AZ$1,stores[#Headers],0),0),"")</f>
        <v/>
      </c>
      <c r="BA69" s="8" t="str">
        <f>IFERROR(VLOOKUP($AU69,stores[],MATCH(BA$1,stores[#Headers],0),0),"")</f>
        <v/>
      </c>
      <c r="BB69" s="8" t="str">
        <f>IFERROR(VLOOKUP($AU69,stores[],MATCH(BB$1,stores[#Headers],0),0),"")</f>
        <v/>
      </c>
      <c r="BC69" s="8" t="str">
        <f>IFERROR(VLOOKUP($AU69,stores[],MATCH(BC$1,stores[#Headers],0),0),"")</f>
        <v/>
      </c>
      <c r="BD69" s="8" t="str">
        <f>IFERROR(VLOOKUP($AU69,stores[],MATCH(BD$1,stores[#Headers],0),0),"")</f>
        <v/>
      </c>
      <c r="BE69" s="8" t="str">
        <f>IFERROR(VLOOKUP($AU69,stores[],MATCH(BE$1,stores[#Headers],0),0),"")</f>
        <v/>
      </c>
      <c r="BF69" s="8" t="str">
        <f>IFERROR(VLOOKUP($AU69,stores[],MATCH(BF$1,stores[#Headers],0),0),"")</f>
        <v/>
      </c>
      <c r="BG69" s="8" t="str">
        <f>IFERROR(VLOOKUP($AU69,stores[],MATCH(BG$1,stores[#Headers],0),0),"")</f>
        <v/>
      </c>
      <c r="BH69" s="8" t="str">
        <f>IFERROR(VLOOKUP($AU69,stores[],MATCH(BH$1,stores[#Headers],0),0),"")</f>
        <v/>
      </c>
      <c r="BI69" s="8" t="str">
        <f>IFERROR(VLOOKUP($AU69,stores[],MATCH(BI$1,stores[#Headers],0),0),"")</f>
        <v/>
      </c>
      <c r="BJ69" s="8" t="str">
        <f>IFERROR(VLOOKUP($AU69,stores[],MATCH(BJ$1,stores[#Headers],0),0),"")</f>
        <v/>
      </c>
    </row>
    <row r="70" spans="1:62" x14ac:dyDescent="0.3">
      <c r="A70" s="8" t="str">
        <v>O1069</v>
      </c>
      <c r="B70" s="8" t="str">
        <v>C027</v>
      </c>
      <c r="C70" s="8" t="str">
        <v>P176</v>
      </c>
      <c r="D70" s="8">
        <v>45784</v>
      </c>
      <c r="E70" s="8">
        <v>2</v>
      </c>
      <c r="F70" s="8">
        <v>93744</v>
      </c>
      <c r="G70" s="8">
        <v>374976</v>
      </c>
      <c r="H70" s="8">
        <v>0.21</v>
      </c>
      <c r="I70" s="8" t="str">
        <v>Credit Card</v>
      </c>
      <c r="J70" s="8" t="str">
        <v>Pending</v>
      </c>
      <c r="K70" s="8">
        <v>45860</v>
      </c>
      <c r="L70" s="8" t="str">
        <v>Yes</v>
      </c>
      <c r="M70" s="8">
        <v>288</v>
      </c>
      <c r="N70" s="8" t="str">
        <v>Yes</v>
      </c>
      <c r="O70" s="8" t="str">
        <v>No</v>
      </c>
      <c r="P70" s="8" t="str">
        <f t="shared" si="3"/>
        <v>C027</v>
      </c>
      <c r="Q70" s="8" t="str">
        <f>VLOOKUP($B70,customers[],MATCH(Q$1,customers[#Headers],0),0)</f>
        <v>Harini Mammen</v>
      </c>
      <c r="R70" s="8" t="str">
        <f>VLOOKUP($B70,customers[],MATCH(R$1,customers[#Headers],0),0)</f>
        <v>advaith83@example.org</v>
      </c>
      <c r="S70" s="8">
        <f>VLOOKUP($B70,customers[],MATCH(S$1,customers[#Headers],0),0)</f>
        <v>916783777014</v>
      </c>
      <c r="T70" s="8" t="str">
        <f>VLOOKUP($B70,customers[],MATCH(T$1,customers[#Headers],0),0)</f>
        <v>Delhi</v>
      </c>
      <c r="U70" s="8" t="str">
        <f>VLOOKUP($B70,customers[],MATCH(U$1,customers[#Headers],0),0)</f>
        <v>Delhi</v>
      </c>
      <c r="V70" s="8">
        <f>VLOOKUP($B70,customers[],MATCH(V$1,customers[#Headers],0),0)</f>
        <v>634957</v>
      </c>
      <c r="W70" s="8" t="str">
        <f>VLOOKUP($B70,customers[],MATCH(W$1,customers[#Headers],0),0)</f>
        <v>Male</v>
      </c>
      <c r="X70" s="8">
        <f>VLOOKUP($B70,customers[],MATCH(X$1,customers[#Headers],0),0)</f>
        <v>35504</v>
      </c>
      <c r="Y70" s="8">
        <f>VLOOKUP($B70,customers[],MATCH(Y$1,customers[#Headers],0),0)</f>
        <v>45677</v>
      </c>
      <c r="Z70" s="8" t="str">
        <f>VLOOKUP($B70,customers[],MATCH(Z$1,customers[#Headers],0),0)</f>
        <v>Electronics</v>
      </c>
      <c r="AA70" s="8">
        <f>VLOOKUP($B70,customers[],MATCH(AA$1,customers[#Headers],0),0)</f>
        <v>614</v>
      </c>
      <c r="AB70" s="8" t="str">
        <f>VLOOKUP($B70,customers[],MATCH(AB$1,customers[#Headers],0),0)</f>
        <v>Married</v>
      </c>
      <c r="AC70" s="8" t="str">
        <f>VLOOKUP($B70,customers[],MATCH(AC$1,customers[#Headers],0),0)</f>
        <v>Engineer</v>
      </c>
      <c r="AD70" s="8">
        <f>VLOOKUP($B70,customers[],MATCH(AD$1,customers[#Headers],0),0)</f>
        <v>1278263</v>
      </c>
      <c r="AE70" s="8" t="str">
        <f t="shared" si="4"/>
        <v>P176</v>
      </c>
      <c r="AF70" s="8" t="str">
        <f>VLOOKUP($AE70,Products[],MATCH(AF$1,Products[#Headers],0),0)</f>
        <v>Vel Rice</v>
      </c>
      <c r="AG70" s="8" t="str">
        <f>VLOOKUP($AE70,Products[],MATCH(AG$1,Products[#Headers],0),0)</f>
        <v>Fashion</v>
      </c>
      <c r="AH70" s="8" t="str">
        <f>VLOOKUP($AE70,Products[],MATCH(AH$1,Products[#Headers],0),0)</f>
        <v>LED</v>
      </c>
      <c r="AI70" s="8" t="str">
        <f>VLOOKUP($AE70,Products[],MATCH(AI$1,Products[#Headers],0),0)</f>
        <v>Gandhi, Ben and Randhawa</v>
      </c>
      <c r="AJ70" s="8">
        <f>VLOOKUP($AE70,Products[],MATCH(AJ$1,Products[#Headers],0),0)</f>
        <v>93744</v>
      </c>
      <c r="AK70" s="8">
        <f>VLOOKUP($AE70,Products[],MATCH(AK$1,Products[#Headers],0),0)</f>
        <v>21</v>
      </c>
      <c r="AL70" s="8">
        <f>VLOOKUP($AE70,Products[],MATCH(AL$1,Products[#Headers],0),0)</f>
        <v>871</v>
      </c>
      <c r="AM70" s="8">
        <f>VLOOKUP($AE70,Products[],MATCH(AM$1,Products[#Headers],0),0)</f>
        <v>6</v>
      </c>
      <c r="AN70" s="8" t="str">
        <f>VLOOKUP($AE70,Products[],MATCH(AN$1,Products[#Headers],0),0)</f>
        <v>Vietnam</v>
      </c>
      <c r="AO70" s="8" t="str">
        <f>VLOOKUP($AE70,Products[],MATCH(AO$1,Products[#Headers],0),0)</f>
        <v>Yes</v>
      </c>
      <c r="AP70" s="8">
        <f>VLOOKUP($AE70,Products[],MATCH(AP$1,Products[#Headers],0),0)</f>
        <v>4.4000000000000004</v>
      </c>
      <c r="AQ70" s="8">
        <f>VLOOKUP($AE70,Products[],MATCH(AQ$1,Products[#Headers],0),0)</f>
        <v>45730</v>
      </c>
      <c r="AR70" s="8" t="str">
        <f>VLOOKUP($AE70,Products[],MATCH(AR$1,Products[#Headers],0),0)</f>
        <v>No</v>
      </c>
      <c r="AS70" s="8">
        <f>VLOOKUP($AE70,Products[],MATCH(AS$1,Products[#Headers],0),0)</f>
        <v>8362</v>
      </c>
      <c r="AT70" s="8">
        <f>VLOOKUP($AE70,Products[],MATCH(AT$1,Products[#Headers],0),0)</f>
        <v>47</v>
      </c>
      <c r="AU70" s="8">
        <f t="shared" si="5"/>
        <v>47</v>
      </c>
      <c r="AV70" s="8" t="str">
        <f>IFERROR(VLOOKUP($AU70,stores[],MATCH(AV$1,stores[#Headers],0),0),"")</f>
        <v>S047</v>
      </c>
      <c r="AW70" s="8" t="str">
        <f>IFERROR(VLOOKUP($AU70,stores[],MATCH(AW$1,stores[#Headers],0),0),"")</f>
        <v>Rege, Kurian and Gulati Mart</v>
      </c>
      <c r="AX70" s="8" t="str">
        <f>IFERROR(VLOOKUP($AU70,stores[],MATCH(AX$1,stores[#Headers],0),0),"")</f>
        <v>Lucknow</v>
      </c>
      <c r="AY70" s="8" t="str">
        <f>IFERROR(VLOOKUP($AU70,stores[],MATCH(AY$1,stores[#Headers],0),0),"")</f>
        <v>Uttar Pradesh</v>
      </c>
      <c r="AZ70" s="8">
        <f>IFERROR(VLOOKUP($AU70,stores[],MATCH(AZ$1,stores[#Headers],0),0),"")</f>
        <v>98180</v>
      </c>
      <c r="BA70" s="8" t="str">
        <f>IFERROR(VLOOKUP($AU70,stores[],MATCH(BA$1,stores[#Headers],0),0),"")</f>
        <v>Samesh Mutti</v>
      </c>
      <c r="BB70" s="8">
        <f>IFERROR(VLOOKUP($AU70,stores[],MATCH(BB$1,stores[#Headers],0),0),"")</f>
        <v>2015</v>
      </c>
      <c r="BC70" s="8">
        <f>IFERROR(VLOOKUP($AU70,stores[],MATCH(BC$1,stores[#Headers],0),0),"")</f>
        <v>30</v>
      </c>
      <c r="BD70" s="8">
        <f>IFERROR(VLOOKUP($AU70,stores[],MATCH(BD$1,stores[#Headers],0),0),"")</f>
        <v>18909</v>
      </c>
      <c r="BE70" s="8">
        <f>IFERROR(VLOOKUP($AU70,stores[],MATCH(BE$1,stores[#Headers],0),0),"")</f>
        <v>4.5</v>
      </c>
      <c r="BF70" s="8" t="str">
        <f>IFERROR(VLOOKUP($AU70,stores[],MATCH(BF$1,stores[#Headers],0),0),"")</f>
        <v>Yes</v>
      </c>
      <c r="BG70" s="8">
        <f>IFERROR(VLOOKUP($AU70,stores[],MATCH(BG$1,stores[#Headers],0),0),"")</f>
        <v>1733</v>
      </c>
      <c r="BH70" s="8" t="str">
        <f>IFERROR(VLOOKUP($AU70,stores[],MATCH(BH$1,stores[#Headers],0),0),"")</f>
        <v>Retail</v>
      </c>
      <c r="BI70" s="8">
        <f>IFERROR(VLOOKUP($AU70,stores[],MATCH(BI$1,stores[#Headers],0),0),"")</f>
        <v>5126944869</v>
      </c>
      <c r="BJ70" s="8" t="str">
        <f>IFERROR(VLOOKUP($AU70,stores[],MATCH(BJ$1,stores[#Headers],0),0),"")</f>
        <v>anya63@subramanian-gola.com</v>
      </c>
    </row>
    <row r="71" spans="1:62" x14ac:dyDescent="0.3">
      <c r="A71" s="8" t="str">
        <v>O1070</v>
      </c>
      <c r="B71" s="8" t="str">
        <v>C087</v>
      </c>
      <c r="C71" s="8" t="str">
        <v>P170</v>
      </c>
      <c r="D71" s="8">
        <v>45547</v>
      </c>
      <c r="E71" s="8">
        <v>3</v>
      </c>
      <c r="F71" s="8">
        <v>49872</v>
      </c>
      <c r="G71" s="8">
        <v>199488</v>
      </c>
      <c r="H71" s="8">
        <v>0.25</v>
      </c>
      <c r="I71" s="8" t="str">
        <v>Debit Card</v>
      </c>
      <c r="J71" s="8" t="str">
        <v>Delivered</v>
      </c>
      <c r="K71" s="8">
        <v>45855</v>
      </c>
      <c r="L71" s="8" t="str">
        <v>No</v>
      </c>
      <c r="M71" s="8">
        <v>27</v>
      </c>
      <c r="N71" s="8" t="str">
        <v>Yes</v>
      </c>
      <c r="O71" s="8" t="str">
        <v>No</v>
      </c>
      <c r="P71" s="8" t="str">
        <f t="shared" si="3"/>
        <v>C087</v>
      </c>
      <c r="Q71" s="8" t="str">
        <f>VLOOKUP($B71,customers[],MATCH(Q$1,customers[#Headers],0),0)</f>
        <v>Urmi Balay</v>
      </c>
      <c r="R71" s="8" t="str">
        <f>VLOOKUP($B71,customers[],MATCH(R$1,customers[#Headers],0),0)</f>
        <v>nilima22@example.net</v>
      </c>
      <c r="S71" s="8">
        <f>VLOOKUP($B71,customers[],MATCH(S$1,customers[#Headers],0),0)</f>
        <v>6567661825</v>
      </c>
      <c r="T71" s="8" t="str">
        <f>VLOOKUP($B71,customers[],MATCH(T$1,customers[#Headers],0),0)</f>
        <v>Delhi</v>
      </c>
      <c r="U71" s="8" t="str">
        <f>VLOOKUP($B71,customers[],MATCH(U$1,customers[#Headers],0),0)</f>
        <v>Delhi</v>
      </c>
      <c r="V71" s="8">
        <f>VLOOKUP($B71,customers[],MATCH(V$1,customers[#Headers],0),0)</f>
        <v>286823</v>
      </c>
      <c r="W71" s="8" t="str">
        <f>VLOOKUP($B71,customers[],MATCH(W$1,customers[#Headers],0),0)</f>
        <v>Male</v>
      </c>
      <c r="X71" s="8">
        <f>VLOOKUP($B71,customers[],MATCH(X$1,customers[#Headers],0),0)</f>
        <v>21834</v>
      </c>
      <c r="Y71" s="8">
        <f>VLOOKUP($B71,customers[],MATCH(Y$1,customers[#Headers],0),0)</f>
        <v>44098</v>
      </c>
      <c r="Z71" s="8" t="str">
        <f>VLOOKUP($B71,customers[],MATCH(Z$1,customers[#Headers],0),0)</f>
        <v>Home Appliance</v>
      </c>
      <c r="AA71" s="8">
        <f>VLOOKUP($B71,customers[],MATCH(AA$1,customers[#Headers],0),0)</f>
        <v>2168</v>
      </c>
      <c r="AB71" s="8" t="str">
        <f>VLOOKUP($B71,customers[],MATCH(AB$1,customers[#Headers],0),0)</f>
        <v>Married</v>
      </c>
      <c r="AC71" s="8" t="str">
        <f>VLOOKUP($B71,customers[],MATCH(AC$1,customers[#Headers],0),0)</f>
        <v>Engineer</v>
      </c>
      <c r="AD71" s="8">
        <f>VLOOKUP($B71,customers[],MATCH(AD$1,customers[#Headers],0),0)</f>
        <v>1382729</v>
      </c>
      <c r="AE71" s="8" t="str">
        <f t="shared" si="4"/>
        <v>P170</v>
      </c>
      <c r="AF71" s="8" t="str">
        <f>VLOOKUP($AE71,Products[],MATCH(AF$1,Products[#Headers],0),0)</f>
        <v>Iste Phone</v>
      </c>
      <c r="AG71" s="8" t="str">
        <f>VLOOKUP($AE71,Products[],MATCH(AG$1,Products[#Headers],0),0)</f>
        <v>Electronics</v>
      </c>
      <c r="AH71" s="8" t="str">
        <f>VLOOKUP($AE71,Products[],MATCH(AH$1,Products[#Headers],0),0)</f>
        <v>Organic</v>
      </c>
      <c r="AI71" s="8" t="str">
        <f>VLOOKUP($AE71,Products[],MATCH(AI$1,Products[#Headers],0),0)</f>
        <v>Nazareth-De</v>
      </c>
      <c r="AJ71" s="8">
        <f>VLOOKUP($AE71,Products[],MATCH(AJ$1,Products[#Headers],0),0)</f>
        <v>49872</v>
      </c>
      <c r="AK71" s="8">
        <f>VLOOKUP($AE71,Products[],MATCH(AK$1,Products[#Headers],0),0)</f>
        <v>25</v>
      </c>
      <c r="AL71" s="8">
        <f>VLOOKUP($AE71,Products[],MATCH(AL$1,Products[#Headers],0),0)</f>
        <v>810</v>
      </c>
      <c r="AM71" s="8">
        <f>VLOOKUP($AE71,Products[],MATCH(AM$1,Products[#Headers],0),0)</f>
        <v>24</v>
      </c>
      <c r="AN71" s="8" t="str">
        <f>VLOOKUP($AE71,Products[],MATCH(AN$1,Products[#Headers],0),0)</f>
        <v>China</v>
      </c>
      <c r="AO71" s="8" t="str">
        <f>VLOOKUP($AE71,Products[],MATCH(AO$1,Products[#Headers],0),0)</f>
        <v>Yes</v>
      </c>
      <c r="AP71" s="8">
        <f>VLOOKUP($AE71,Products[],MATCH(AP$1,Products[#Headers],0),0)</f>
        <v>4.0999999999999996</v>
      </c>
      <c r="AQ71" s="8">
        <f>VLOOKUP($AE71,Products[],MATCH(AQ$1,Products[#Headers],0),0)</f>
        <v>45638</v>
      </c>
      <c r="AR71" s="8" t="str">
        <f>VLOOKUP($AE71,Products[],MATCH(AR$1,Products[#Headers],0),0)</f>
        <v>No</v>
      </c>
      <c r="AS71" s="8">
        <f>VLOOKUP($AE71,Products[],MATCH(AS$1,Products[#Headers],0),0)</f>
        <v>9332</v>
      </c>
      <c r="AT71" s="8">
        <f>VLOOKUP($AE71,Products[],MATCH(AT$1,Products[#Headers],0),0)</f>
        <v>17</v>
      </c>
      <c r="AU71" s="8">
        <f t="shared" si="5"/>
        <v>17</v>
      </c>
      <c r="AV71" s="8" t="str">
        <f>IFERROR(VLOOKUP($AU71,stores[],MATCH(AV$1,stores[#Headers],0),0),"")</f>
        <v>S017</v>
      </c>
      <c r="AW71" s="8" t="str">
        <f>IFERROR(VLOOKUP($AU71,stores[],MATCH(AW$1,stores[#Headers],0),0),"")</f>
        <v>Sharaf-Krishnan Mart</v>
      </c>
      <c r="AX71" s="8" t="str">
        <f>IFERROR(VLOOKUP($AU71,stores[],MATCH(AX$1,stores[#Headers],0),0),"")</f>
        <v>Delhi</v>
      </c>
      <c r="AY71" s="8" t="str">
        <f>IFERROR(VLOOKUP($AU71,stores[],MATCH(AY$1,stores[#Headers],0),0),"")</f>
        <v>Delhi</v>
      </c>
      <c r="AZ71" s="8">
        <f>IFERROR(VLOOKUP($AU71,stores[],MATCH(AZ$1,stores[#Headers],0),0),"")</f>
        <v>748969</v>
      </c>
      <c r="BA71" s="8" t="str">
        <f>IFERROR(VLOOKUP($AU71,stores[],MATCH(BA$1,stores[#Headers],0),0),"")</f>
        <v>Abhimanyu Vaidya</v>
      </c>
      <c r="BB71" s="8">
        <f>IFERROR(VLOOKUP($AU71,stores[],MATCH(BB$1,stores[#Headers],0),0),"")</f>
        <v>2013</v>
      </c>
      <c r="BC71" s="8">
        <f>IFERROR(VLOOKUP($AU71,stores[],MATCH(BC$1,stores[#Headers],0),0),"")</f>
        <v>30</v>
      </c>
      <c r="BD71" s="8">
        <f>IFERROR(VLOOKUP($AU71,stores[],MATCH(BD$1,stores[#Headers],0),0),"")</f>
        <v>5322</v>
      </c>
      <c r="BE71" s="8">
        <f>IFERROR(VLOOKUP($AU71,stores[],MATCH(BE$1,stores[#Headers],0),0),"")</f>
        <v>4.8</v>
      </c>
      <c r="BF71" s="8" t="str">
        <f>IFERROR(VLOOKUP($AU71,stores[],MATCH(BF$1,stores[#Headers],0),0),"")</f>
        <v>No</v>
      </c>
      <c r="BG71" s="8">
        <f>IFERROR(VLOOKUP($AU71,stores[],MATCH(BG$1,stores[#Headers],0),0),"")</f>
        <v>1802</v>
      </c>
      <c r="BH71" s="8" t="str">
        <f>IFERROR(VLOOKUP($AU71,stores[],MATCH(BH$1,stores[#Headers],0),0),"")</f>
        <v>Franchise</v>
      </c>
      <c r="BI71" s="8">
        <f>IFERROR(VLOOKUP($AU71,stores[],MATCH(BI$1,stores[#Headers],0),0),"")</f>
        <v>5899441715</v>
      </c>
      <c r="BJ71" s="8" t="str">
        <f>IFERROR(VLOOKUP($AU71,stores[],MATCH(BJ$1,stores[#Headers],0),0),"")</f>
        <v>ekta44@misra.net</v>
      </c>
    </row>
    <row r="72" spans="1:62" x14ac:dyDescent="0.3">
      <c r="A72" s="8" t="str">
        <v>O1071</v>
      </c>
      <c r="B72" s="8" t="str">
        <v>C030</v>
      </c>
      <c r="C72" s="8" t="str">
        <v>P110</v>
      </c>
      <c r="D72" s="8">
        <v>45851</v>
      </c>
      <c r="E72" s="8">
        <v>3</v>
      </c>
      <c r="F72" s="8">
        <v>85386</v>
      </c>
      <c r="G72" s="8">
        <v>426930</v>
      </c>
      <c r="H72" s="8">
        <v>0.09</v>
      </c>
      <c r="I72" s="8" t="str">
        <v>Cash on Delivery</v>
      </c>
      <c r="J72" s="8" t="str">
        <v>Cancelled</v>
      </c>
      <c r="K72" s="8">
        <v>45864</v>
      </c>
      <c r="L72" s="8" t="str">
        <v>No</v>
      </c>
      <c r="M72" s="8">
        <v>15</v>
      </c>
      <c r="N72" s="8" t="str">
        <v>No</v>
      </c>
      <c r="O72" s="8" t="str">
        <v>No</v>
      </c>
      <c r="P72" s="8" t="str">
        <f t="shared" si="3"/>
        <v>C030</v>
      </c>
      <c r="Q72" s="8" t="str">
        <f>VLOOKUP($B72,customers[],MATCH(Q$1,customers[#Headers],0),0)</f>
        <v>Manthan Modi</v>
      </c>
      <c r="R72" s="8" t="str">
        <f>VLOOKUP($B72,customers[],MATCH(R$1,customers[#Headers],0),0)</f>
        <v>kotharijagat@example.net</v>
      </c>
      <c r="S72" s="8">
        <f>VLOOKUP($B72,customers[],MATCH(S$1,customers[#Headers],0),0)</f>
        <v>9993867749</v>
      </c>
      <c r="T72" s="8" t="str">
        <f>VLOOKUP($B72,customers[],MATCH(T$1,customers[#Headers],0),0)</f>
        <v>Jaipur</v>
      </c>
      <c r="U72" s="8" t="str">
        <f>VLOOKUP($B72,customers[],MATCH(U$1,customers[#Headers],0),0)</f>
        <v>Rajasthan</v>
      </c>
      <c r="V72" s="8">
        <f>VLOOKUP($B72,customers[],MATCH(V$1,customers[#Headers],0),0)</f>
        <v>499091</v>
      </c>
      <c r="W72" s="8" t="str">
        <f>VLOOKUP($B72,customers[],MATCH(W$1,customers[#Headers],0),0)</f>
        <v>Female</v>
      </c>
      <c r="X72" s="8">
        <f>VLOOKUP($B72,customers[],MATCH(X$1,customers[#Headers],0),0)</f>
        <v>26912</v>
      </c>
      <c r="Y72" s="8">
        <f>VLOOKUP($B72,customers[],MATCH(Y$1,customers[#Headers],0),0)</f>
        <v>44683</v>
      </c>
      <c r="Z72" s="8" t="str">
        <f>VLOOKUP($B72,customers[],MATCH(Z$1,customers[#Headers],0),0)</f>
        <v>Grocery</v>
      </c>
      <c r="AA72" s="8">
        <f>VLOOKUP($B72,customers[],MATCH(AA$1,customers[#Headers],0),0)</f>
        <v>6835</v>
      </c>
      <c r="AB72" s="8" t="str">
        <f>VLOOKUP($B72,customers[],MATCH(AB$1,customers[#Headers],0),0)</f>
        <v>Married</v>
      </c>
      <c r="AC72" s="8" t="str">
        <f>VLOOKUP($B72,customers[],MATCH(AC$1,customers[#Headers],0),0)</f>
        <v>Engineer</v>
      </c>
      <c r="AD72" s="8">
        <f>VLOOKUP($B72,customers[],MATCH(AD$1,customers[#Headers],0),0)</f>
        <v>1612147</v>
      </c>
      <c r="AE72" s="8" t="str">
        <f t="shared" si="4"/>
        <v>P110</v>
      </c>
      <c r="AF72" s="8" t="str">
        <f>VLOOKUP($AE72,Products[],MATCH(AF$1,Products[#Headers],0),0)</f>
        <v>Maiores Rice</v>
      </c>
      <c r="AG72" s="8" t="str">
        <f>VLOOKUP($AE72,Products[],MATCH(AG$1,Products[#Headers],0),0)</f>
        <v>Electronics</v>
      </c>
      <c r="AH72" s="8" t="str">
        <f>VLOOKUP($AE72,Products[],MATCH(AH$1,Products[#Headers],0),0)</f>
        <v>Smart</v>
      </c>
      <c r="AI72" s="8" t="str">
        <f>VLOOKUP($AE72,Products[],MATCH(AI$1,Products[#Headers],0),0)</f>
        <v>Iyengar PLC</v>
      </c>
      <c r="AJ72" s="8">
        <f>VLOOKUP($AE72,Products[],MATCH(AJ$1,Products[#Headers],0),0)</f>
        <v>85386</v>
      </c>
      <c r="AK72" s="8">
        <f>VLOOKUP($AE72,Products[],MATCH(AK$1,Products[#Headers],0),0)</f>
        <v>9</v>
      </c>
      <c r="AL72" s="8">
        <f>VLOOKUP($AE72,Products[],MATCH(AL$1,Products[#Headers],0),0)</f>
        <v>930</v>
      </c>
      <c r="AM72" s="8">
        <f>VLOOKUP($AE72,Products[],MATCH(AM$1,Products[#Headers],0),0)</f>
        <v>24</v>
      </c>
      <c r="AN72" s="8" t="str">
        <f>VLOOKUP($AE72,Products[],MATCH(AN$1,Products[#Headers],0),0)</f>
        <v>China</v>
      </c>
      <c r="AO72" s="8" t="str">
        <f>VLOOKUP($AE72,Products[],MATCH(AO$1,Products[#Headers],0),0)</f>
        <v>Yes</v>
      </c>
      <c r="AP72" s="8">
        <f>VLOOKUP($AE72,Products[],MATCH(AP$1,Products[#Headers],0),0)</f>
        <v>2.6</v>
      </c>
      <c r="AQ72" s="8">
        <f>VLOOKUP($AE72,Products[],MATCH(AQ$1,Products[#Headers],0),0)</f>
        <v>45606</v>
      </c>
      <c r="AR72" s="8" t="str">
        <f>VLOOKUP($AE72,Products[],MATCH(AR$1,Products[#Headers],0),0)</f>
        <v>No</v>
      </c>
      <c r="AS72" s="8">
        <f>VLOOKUP($AE72,Products[],MATCH(AS$1,Products[#Headers],0),0)</f>
        <v>5729</v>
      </c>
      <c r="AT72" s="8">
        <f>VLOOKUP($AE72,Products[],MATCH(AT$1,Products[#Headers],0),0)</f>
        <v>92</v>
      </c>
      <c r="AU72" s="8">
        <f t="shared" si="5"/>
        <v>92</v>
      </c>
      <c r="AV72" s="8" t="str">
        <f>IFERROR(VLOOKUP($AU72,stores[],MATCH(AV$1,stores[#Headers],0),0),"")</f>
        <v>S092</v>
      </c>
      <c r="AW72" s="8" t="str">
        <f>IFERROR(VLOOKUP($AU72,stores[],MATCH(AW$1,stores[#Headers],0),0),"")</f>
        <v>Morar Group Mart</v>
      </c>
      <c r="AX72" s="8" t="str">
        <f>IFERROR(VLOOKUP($AU72,stores[],MATCH(AX$1,stores[#Headers],0),0),"")</f>
        <v>Jaipur</v>
      </c>
      <c r="AY72" s="8" t="str">
        <f>IFERROR(VLOOKUP($AU72,stores[],MATCH(AY$1,stores[#Headers],0),0),"")</f>
        <v>Rajasthan</v>
      </c>
      <c r="AZ72" s="8">
        <f>IFERROR(VLOOKUP($AU72,stores[],MATCH(AZ$1,stores[#Headers],0),0),"")</f>
        <v>919657</v>
      </c>
      <c r="BA72" s="8" t="str">
        <f>IFERROR(VLOOKUP($AU72,stores[],MATCH(BA$1,stores[#Headers],0),0),"")</f>
        <v>Gautam Kalla</v>
      </c>
      <c r="BB72" s="8">
        <f>IFERROR(VLOOKUP($AU72,stores[],MATCH(BB$1,stores[#Headers],0),0),"")</f>
        <v>2015</v>
      </c>
      <c r="BC72" s="8">
        <f>IFERROR(VLOOKUP($AU72,stores[],MATCH(BC$1,stores[#Headers],0),0),"")</f>
        <v>67</v>
      </c>
      <c r="BD72" s="8">
        <f>IFERROR(VLOOKUP($AU72,stores[],MATCH(BD$1,stores[#Headers],0),0),"")</f>
        <v>9683</v>
      </c>
      <c r="BE72" s="8">
        <f>IFERROR(VLOOKUP($AU72,stores[],MATCH(BE$1,stores[#Headers],0),0),"")</f>
        <v>3.2</v>
      </c>
      <c r="BF72" s="8" t="str">
        <f>IFERROR(VLOOKUP($AU72,stores[],MATCH(BF$1,stores[#Headers],0),0),"")</f>
        <v>No</v>
      </c>
      <c r="BG72" s="8">
        <f>IFERROR(VLOOKUP($AU72,stores[],MATCH(BG$1,stores[#Headers],0),0),"")</f>
        <v>2014</v>
      </c>
      <c r="BH72" s="8" t="str">
        <f>IFERROR(VLOOKUP($AU72,stores[],MATCH(BH$1,stores[#Headers],0),0),"")</f>
        <v>Franchise</v>
      </c>
      <c r="BI72" s="8">
        <f>IFERROR(VLOOKUP($AU72,stores[],MATCH(BI$1,stores[#Headers],0),0),"")</f>
        <v>919022784699</v>
      </c>
      <c r="BJ72" s="8" t="str">
        <f>IFERROR(VLOOKUP($AU72,stores[],MATCH(BJ$1,stores[#Headers],0),0),"")</f>
        <v>nhayre@nadig.biz</v>
      </c>
    </row>
    <row r="73" spans="1:62" x14ac:dyDescent="0.3">
      <c r="A73" s="8" t="str">
        <v>O1072</v>
      </c>
      <c r="B73" s="8" t="str">
        <v>C063</v>
      </c>
      <c r="C73" s="8" t="str">
        <v>P130</v>
      </c>
      <c r="D73" s="8">
        <v>45498</v>
      </c>
      <c r="E73" s="8">
        <v>3</v>
      </c>
      <c r="F73" s="8">
        <v>50486</v>
      </c>
      <c r="G73" s="8">
        <v>252430</v>
      </c>
      <c r="H73" s="8">
        <v>0.23</v>
      </c>
      <c r="I73" s="8" t="str">
        <v>Net Banking</v>
      </c>
      <c r="J73" s="8" t="str">
        <v>Cancelled</v>
      </c>
      <c r="K73" s="8">
        <v>45860</v>
      </c>
      <c r="L73" s="8" t="str">
        <v>Yes</v>
      </c>
      <c r="M73" s="8">
        <v>348</v>
      </c>
      <c r="N73" s="8" t="str">
        <v>No</v>
      </c>
      <c r="O73" s="8" t="str">
        <v>Yes</v>
      </c>
      <c r="P73" s="8" t="str">
        <f t="shared" si="3"/>
        <v>C063</v>
      </c>
      <c r="Q73" s="8" t="str">
        <f>VLOOKUP($B73,customers[],MATCH(Q$1,customers[#Headers],0),0)</f>
        <v>Jairaj Batta</v>
      </c>
      <c r="R73" s="8" t="str">
        <f>VLOOKUP($B73,customers[],MATCH(R$1,customers[#Headers],0),0)</f>
        <v>onishankar@example.org</v>
      </c>
      <c r="S73" s="8">
        <f>VLOOKUP($B73,customers[],MATCH(S$1,customers[#Headers],0),0)</f>
        <v>917980893246</v>
      </c>
      <c r="T73" s="8" t="str">
        <f>VLOOKUP($B73,customers[],MATCH(T$1,customers[#Headers],0),0)</f>
        <v>Jaipur</v>
      </c>
      <c r="U73" s="8" t="str">
        <f>VLOOKUP($B73,customers[],MATCH(U$1,customers[#Headers],0),0)</f>
        <v>Rajasthan</v>
      </c>
      <c r="V73" s="8">
        <f>VLOOKUP($B73,customers[],MATCH(V$1,customers[#Headers],0),0)</f>
        <v>953962</v>
      </c>
      <c r="W73" s="8" t="str">
        <f>VLOOKUP($B73,customers[],MATCH(W$1,customers[#Headers],0),0)</f>
        <v>Female</v>
      </c>
      <c r="X73" s="8">
        <f>VLOOKUP($B73,customers[],MATCH(X$1,customers[#Headers],0),0)</f>
        <v>38261</v>
      </c>
      <c r="Y73" s="8">
        <f>VLOOKUP($B73,customers[],MATCH(Y$1,customers[#Headers],0),0)</f>
        <v>44293</v>
      </c>
      <c r="Z73" s="8" t="str">
        <f>VLOOKUP($B73,customers[],MATCH(Z$1,customers[#Headers],0),0)</f>
        <v>Home Appliance</v>
      </c>
      <c r="AA73" s="8">
        <f>VLOOKUP($B73,customers[],MATCH(AA$1,customers[#Headers],0),0)</f>
        <v>3243</v>
      </c>
      <c r="AB73" s="8" t="str">
        <f>VLOOKUP($B73,customers[],MATCH(AB$1,customers[#Headers],0),0)</f>
        <v>Married</v>
      </c>
      <c r="AC73" s="8" t="str">
        <f>VLOOKUP($B73,customers[],MATCH(AC$1,customers[#Headers],0),0)</f>
        <v>Business</v>
      </c>
      <c r="AD73" s="8">
        <f>VLOOKUP($B73,customers[],MATCH(AD$1,customers[#Headers],0),0)</f>
        <v>1620438</v>
      </c>
      <c r="AE73" s="8" t="str">
        <f t="shared" si="4"/>
        <v>P130</v>
      </c>
      <c r="AF73" s="8" t="str">
        <f>VLOOKUP($AE73,Products[],MATCH(AF$1,Products[#Headers],0),0)</f>
        <v>Quod TV</v>
      </c>
      <c r="AG73" s="8" t="str">
        <f>VLOOKUP($AE73,Products[],MATCH(AG$1,Products[#Headers],0),0)</f>
        <v>Grocery</v>
      </c>
      <c r="AH73" s="8" t="str">
        <f>VLOOKUP($AE73,Products[],MATCH(AH$1,Products[#Headers],0),0)</f>
        <v>Smart</v>
      </c>
      <c r="AI73" s="8" t="str">
        <f>VLOOKUP($AE73,Products[],MATCH(AI$1,Products[#Headers],0),0)</f>
        <v>Narayanan PLC</v>
      </c>
      <c r="AJ73" s="8">
        <f>VLOOKUP($AE73,Products[],MATCH(AJ$1,Products[#Headers],0),0)</f>
        <v>50486</v>
      </c>
      <c r="AK73" s="8">
        <f>VLOOKUP($AE73,Products[],MATCH(AK$1,Products[#Headers],0),0)</f>
        <v>23</v>
      </c>
      <c r="AL73" s="8">
        <f>VLOOKUP($AE73,Products[],MATCH(AL$1,Products[#Headers],0),0)</f>
        <v>367</v>
      </c>
      <c r="AM73" s="8">
        <f>VLOOKUP($AE73,Products[],MATCH(AM$1,Products[#Headers],0),0)</f>
        <v>24</v>
      </c>
      <c r="AN73" s="8" t="str">
        <f>VLOOKUP($AE73,Products[],MATCH(AN$1,Products[#Headers],0),0)</f>
        <v>Vietnam</v>
      </c>
      <c r="AO73" s="8" t="str">
        <f>VLOOKUP($AE73,Products[],MATCH(AO$1,Products[#Headers],0),0)</f>
        <v>Yes</v>
      </c>
      <c r="AP73" s="8">
        <f>VLOOKUP($AE73,Products[],MATCH(AP$1,Products[#Headers],0),0)</f>
        <v>4.9000000000000004</v>
      </c>
      <c r="AQ73" s="8">
        <f>VLOOKUP($AE73,Products[],MATCH(AQ$1,Products[#Headers],0),0)</f>
        <v>45421</v>
      </c>
      <c r="AR73" s="8" t="str">
        <f>VLOOKUP($AE73,Products[],MATCH(AR$1,Products[#Headers],0),0)</f>
        <v>No</v>
      </c>
      <c r="AS73" s="8">
        <f>VLOOKUP($AE73,Products[],MATCH(AS$1,Products[#Headers],0),0)</f>
        <v>5498</v>
      </c>
      <c r="AT73" s="8">
        <f>VLOOKUP($AE73,Products[],MATCH(AT$1,Products[#Headers],0),0)</f>
        <v>62</v>
      </c>
      <c r="AU73" s="8">
        <f t="shared" si="5"/>
        <v>62</v>
      </c>
      <c r="AV73" s="8" t="str">
        <f>IFERROR(VLOOKUP($AU73,stores[],MATCH(AV$1,stores[#Headers],0),0),"")</f>
        <v>S062</v>
      </c>
      <c r="AW73" s="8" t="str">
        <f>IFERROR(VLOOKUP($AU73,stores[],MATCH(AW$1,stores[#Headers],0),0),"")</f>
        <v>Lata Group Mart</v>
      </c>
      <c r="AX73" s="8" t="str">
        <f>IFERROR(VLOOKUP($AU73,stores[],MATCH(AX$1,stores[#Headers],0),0),"")</f>
        <v>Delhi</v>
      </c>
      <c r="AY73" s="8" t="str">
        <f>IFERROR(VLOOKUP($AU73,stores[],MATCH(AY$1,stores[#Headers],0),0),"")</f>
        <v>Delhi</v>
      </c>
      <c r="AZ73" s="8">
        <f>IFERROR(VLOOKUP($AU73,stores[],MATCH(AZ$1,stores[#Headers],0),0),"")</f>
        <v>872346</v>
      </c>
      <c r="BA73" s="8" t="str">
        <f>IFERROR(VLOOKUP($AU73,stores[],MATCH(BA$1,stores[#Headers],0),0),"")</f>
        <v>Jairaj Kothari</v>
      </c>
      <c r="BB73" s="8">
        <f>IFERROR(VLOOKUP($AU73,stores[],MATCH(BB$1,stores[#Headers],0),0),"")</f>
        <v>2014</v>
      </c>
      <c r="BC73" s="8">
        <f>IFERROR(VLOOKUP($AU73,stores[],MATCH(BC$1,stores[#Headers],0),0),"")</f>
        <v>11</v>
      </c>
      <c r="BD73" s="8">
        <f>IFERROR(VLOOKUP($AU73,stores[],MATCH(BD$1,stores[#Headers],0),0),"")</f>
        <v>6504</v>
      </c>
      <c r="BE73" s="8">
        <f>IFERROR(VLOOKUP($AU73,stores[],MATCH(BE$1,stores[#Headers],0),0),"")</f>
        <v>4.8</v>
      </c>
      <c r="BF73" s="8" t="str">
        <f>IFERROR(VLOOKUP($AU73,stores[],MATCH(BF$1,stores[#Headers],0),0),"")</f>
        <v>No</v>
      </c>
      <c r="BG73" s="8">
        <f>IFERROR(VLOOKUP($AU73,stores[],MATCH(BG$1,stores[#Headers],0),0),"")</f>
        <v>3735</v>
      </c>
      <c r="BH73" s="8" t="str">
        <f>IFERROR(VLOOKUP($AU73,stores[],MATCH(BH$1,stores[#Headers],0),0),"")</f>
        <v>Franchise</v>
      </c>
      <c r="BI73" s="8">
        <f>IFERROR(VLOOKUP($AU73,stores[],MATCH(BI$1,stores[#Headers],0),0),"")</f>
        <v>7303718376</v>
      </c>
      <c r="BJ73" s="8" t="str">
        <f>IFERROR(VLOOKUP($AU73,stores[],MATCH(BJ$1,stores[#Headers],0),0),"")</f>
        <v>ekantika20@verma.info</v>
      </c>
    </row>
    <row r="74" spans="1:62" x14ac:dyDescent="0.3">
      <c r="A74" s="8" t="str">
        <v>O1073</v>
      </c>
      <c r="B74" s="8" t="str">
        <v>C099</v>
      </c>
      <c r="C74" s="8" t="str">
        <v>P180</v>
      </c>
      <c r="D74" s="8">
        <v>45699</v>
      </c>
      <c r="E74" s="8">
        <v>3</v>
      </c>
      <c r="F74" s="8">
        <v>31647</v>
      </c>
      <c r="G74" s="8">
        <v>63294</v>
      </c>
      <c r="H74" s="8">
        <v>0.14000000000000001</v>
      </c>
      <c r="I74" s="8" t="str">
        <v>Credit Card</v>
      </c>
      <c r="J74" s="8" t="str">
        <v>Delivered</v>
      </c>
      <c r="K74" s="8">
        <v>45863</v>
      </c>
      <c r="L74" s="8" t="str">
        <v>No</v>
      </c>
      <c r="M74" s="8">
        <v>78</v>
      </c>
      <c r="N74" s="8" t="str">
        <v>No</v>
      </c>
      <c r="O74" s="8" t="str">
        <v>Yes</v>
      </c>
      <c r="P74" s="8" t="str">
        <f t="shared" si="3"/>
        <v>C099</v>
      </c>
      <c r="Q74" s="8" t="str">
        <f>VLOOKUP($B74,customers[],MATCH(Q$1,customers[#Headers],0),0)</f>
        <v>Frederick Merchant</v>
      </c>
      <c r="R74" s="8" t="str">
        <f>VLOOKUP($B74,customers[],MATCH(R$1,customers[#Headers],0),0)</f>
        <v>ethanbutala@example.com</v>
      </c>
      <c r="S74" s="8">
        <f>VLOOKUP($B74,customers[],MATCH(S$1,customers[#Headers],0),0)</f>
        <v>916265511047</v>
      </c>
      <c r="T74" s="8" t="str">
        <f>VLOOKUP($B74,customers[],MATCH(T$1,customers[#Headers],0),0)</f>
        <v>Pune</v>
      </c>
      <c r="U74" s="8" t="str">
        <f>VLOOKUP($B74,customers[],MATCH(U$1,customers[#Headers],0),0)</f>
        <v>Maharashtra</v>
      </c>
      <c r="V74" s="8">
        <f>VLOOKUP($B74,customers[],MATCH(V$1,customers[#Headers],0),0)</f>
        <v>412126</v>
      </c>
      <c r="W74" s="8" t="str">
        <f>VLOOKUP($B74,customers[],MATCH(W$1,customers[#Headers],0),0)</f>
        <v>Male</v>
      </c>
      <c r="X74" s="8">
        <f>VLOOKUP($B74,customers[],MATCH(X$1,customers[#Headers],0),0)</f>
        <v>32904</v>
      </c>
      <c r="Y74" s="8">
        <f>VLOOKUP($B74,customers[],MATCH(Y$1,customers[#Headers],0),0)</f>
        <v>45758</v>
      </c>
      <c r="Z74" s="8" t="str">
        <f>VLOOKUP($B74,customers[],MATCH(Z$1,customers[#Headers],0),0)</f>
        <v>Grocery</v>
      </c>
      <c r="AA74" s="8">
        <f>VLOOKUP($B74,customers[],MATCH(AA$1,customers[#Headers],0),0)</f>
        <v>8141</v>
      </c>
      <c r="AB74" s="8" t="str">
        <f>VLOOKUP($B74,customers[],MATCH(AB$1,customers[#Headers],0),0)</f>
        <v>Married</v>
      </c>
      <c r="AC74" s="8" t="str">
        <f>VLOOKUP($B74,customers[],MATCH(AC$1,customers[#Headers],0),0)</f>
        <v>Engineer</v>
      </c>
      <c r="AD74" s="8">
        <f>VLOOKUP($B74,customers[],MATCH(AD$1,customers[#Headers],0),0)</f>
        <v>395147</v>
      </c>
      <c r="AE74" s="8" t="str">
        <f t="shared" si="4"/>
        <v>P180</v>
      </c>
      <c r="AF74" s="8" t="str">
        <f>VLOOKUP($AE74,Products[],MATCH(AF$1,Products[#Headers],0),0)</f>
        <v>Accusamus TV</v>
      </c>
      <c r="AG74" s="8" t="str">
        <f>VLOOKUP($AE74,Products[],MATCH(AG$1,Products[#Headers],0),0)</f>
        <v>Grocery</v>
      </c>
      <c r="AH74" s="8" t="str">
        <f>VLOOKUP($AE74,Products[],MATCH(AH$1,Products[#Headers],0),0)</f>
        <v>Cotton</v>
      </c>
      <c r="AI74" s="8" t="str">
        <f>VLOOKUP($AE74,Products[],MATCH(AI$1,Products[#Headers],0),0)</f>
        <v>Oza, Dara and Sami</v>
      </c>
      <c r="AJ74" s="8">
        <f>VLOOKUP($AE74,Products[],MATCH(AJ$1,Products[#Headers],0),0)</f>
        <v>31647</v>
      </c>
      <c r="AK74" s="8">
        <f>VLOOKUP($AE74,Products[],MATCH(AK$1,Products[#Headers],0),0)</f>
        <v>14</v>
      </c>
      <c r="AL74" s="8">
        <f>VLOOKUP($AE74,Products[],MATCH(AL$1,Products[#Headers],0),0)</f>
        <v>124</v>
      </c>
      <c r="AM74" s="8">
        <f>VLOOKUP($AE74,Products[],MATCH(AM$1,Products[#Headers],0),0)</f>
        <v>6</v>
      </c>
      <c r="AN74" s="8" t="str">
        <f>VLOOKUP($AE74,Products[],MATCH(AN$1,Products[#Headers],0),0)</f>
        <v>China</v>
      </c>
      <c r="AO74" s="8" t="str">
        <f>VLOOKUP($AE74,Products[],MATCH(AO$1,Products[#Headers],0),0)</f>
        <v>No</v>
      </c>
      <c r="AP74" s="8">
        <f>VLOOKUP($AE74,Products[],MATCH(AP$1,Products[#Headers],0),0)</f>
        <v>4.0999999999999996</v>
      </c>
      <c r="AQ74" s="8">
        <f>VLOOKUP($AE74,Products[],MATCH(AQ$1,Products[#Headers],0),0)</f>
        <v>45837</v>
      </c>
      <c r="AR74" s="8" t="str">
        <f>VLOOKUP($AE74,Products[],MATCH(AR$1,Products[#Headers],0),0)</f>
        <v>No</v>
      </c>
      <c r="AS74" s="8">
        <f>VLOOKUP($AE74,Products[],MATCH(AS$1,Products[#Headers],0),0)</f>
        <v>2030</v>
      </c>
      <c r="AT74" s="8">
        <f>VLOOKUP($AE74,Products[],MATCH(AT$1,Products[#Headers],0),0)</f>
        <v>161</v>
      </c>
      <c r="AU74" s="8">
        <f t="shared" si="5"/>
        <v>161</v>
      </c>
      <c r="AV74" s="8" t="str">
        <f>IFERROR(VLOOKUP($AU74,stores[],MATCH(AV$1,stores[#Headers],0),0),"")</f>
        <v/>
      </c>
      <c r="AW74" s="8" t="str">
        <f>IFERROR(VLOOKUP($AU74,stores[],MATCH(AW$1,stores[#Headers],0),0),"")</f>
        <v/>
      </c>
      <c r="AX74" s="8" t="str">
        <f>IFERROR(VLOOKUP($AU74,stores[],MATCH(AX$1,stores[#Headers],0),0),"")</f>
        <v/>
      </c>
      <c r="AY74" s="8" t="str">
        <f>IFERROR(VLOOKUP($AU74,stores[],MATCH(AY$1,stores[#Headers],0),0),"")</f>
        <v/>
      </c>
      <c r="AZ74" s="8" t="str">
        <f>IFERROR(VLOOKUP($AU74,stores[],MATCH(AZ$1,stores[#Headers],0),0),"")</f>
        <v/>
      </c>
      <c r="BA74" s="8" t="str">
        <f>IFERROR(VLOOKUP($AU74,stores[],MATCH(BA$1,stores[#Headers],0),0),"")</f>
        <v/>
      </c>
      <c r="BB74" s="8" t="str">
        <f>IFERROR(VLOOKUP($AU74,stores[],MATCH(BB$1,stores[#Headers],0),0),"")</f>
        <v/>
      </c>
      <c r="BC74" s="8" t="str">
        <f>IFERROR(VLOOKUP($AU74,stores[],MATCH(BC$1,stores[#Headers],0),0),"")</f>
        <v/>
      </c>
      <c r="BD74" s="8" t="str">
        <f>IFERROR(VLOOKUP($AU74,stores[],MATCH(BD$1,stores[#Headers],0),0),"")</f>
        <v/>
      </c>
      <c r="BE74" s="8" t="str">
        <f>IFERROR(VLOOKUP($AU74,stores[],MATCH(BE$1,stores[#Headers],0),0),"")</f>
        <v/>
      </c>
      <c r="BF74" s="8" t="str">
        <f>IFERROR(VLOOKUP($AU74,stores[],MATCH(BF$1,stores[#Headers],0),0),"")</f>
        <v/>
      </c>
      <c r="BG74" s="8" t="str">
        <f>IFERROR(VLOOKUP($AU74,stores[],MATCH(BG$1,stores[#Headers],0),0),"")</f>
        <v/>
      </c>
      <c r="BH74" s="8" t="str">
        <f>IFERROR(VLOOKUP($AU74,stores[],MATCH(BH$1,stores[#Headers],0),0),"")</f>
        <v/>
      </c>
      <c r="BI74" s="8" t="str">
        <f>IFERROR(VLOOKUP($AU74,stores[],MATCH(BI$1,stores[#Headers],0),0),"")</f>
        <v/>
      </c>
      <c r="BJ74" s="8" t="str">
        <f>IFERROR(VLOOKUP($AU74,stores[],MATCH(BJ$1,stores[#Headers],0),0),"")</f>
        <v/>
      </c>
    </row>
    <row r="75" spans="1:62" x14ac:dyDescent="0.3">
      <c r="A75" s="8" t="str">
        <v>O1074</v>
      </c>
      <c r="B75" s="8" t="str">
        <v>C095</v>
      </c>
      <c r="C75" s="8" t="str">
        <v>P150</v>
      </c>
      <c r="D75" s="8">
        <v>45735</v>
      </c>
      <c r="E75" s="8">
        <v>3</v>
      </c>
      <c r="F75" s="8">
        <v>98841</v>
      </c>
      <c r="G75" s="8">
        <v>296523</v>
      </c>
      <c r="H75" s="8">
        <v>0.18</v>
      </c>
      <c r="I75" s="8" t="str">
        <v>Credit Card</v>
      </c>
      <c r="J75" s="8" t="str">
        <v>Delivered</v>
      </c>
      <c r="K75" s="8">
        <v>45855</v>
      </c>
      <c r="L75" s="8" t="str">
        <v>Yes</v>
      </c>
      <c r="M75" s="8">
        <v>482</v>
      </c>
      <c r="N75" s="8" t="str">
        <v>No</v>
      </c>
      <c r="O75" s="8" t="str">
        <v>No</v>
      </c>
      <c r="P75" s="8" t="str">
        <f t="shared" si="3"/>
        <v>C095</v>
      </c>
      <c r="Q75" s="8" t="str">
        <f>VLOOKUP($B75,customers[],MATCH(Q$1,customers[#Headers],0),0)</f>
        <v>Kashvi Bhasin</v>
      </c>
      <c r="R75" s="8" t="str">
        <f>VLOOKUP($B75,customers[],MATCH(R$1,customers[#Headers],0),0)</f>
        <v>bsura@example.org</v>
      </c>
      <c r="S75" s="8">
        <f>VLOOKUP($B75,customers[],MATCH(S$1,customers[#Headers],0),0)</f>
        <v>8600848408</v>
      </c>
      <c r="T75" s="8" t="str">
        <f>VLOOKUP($B75,customers[],MATCH(T$1,customers[#Headers],0),0)</f>
        <v>Hyderabad</v>
      </c>
      <c r="U75" s="8" t="str">
        <f>VLOOKUP($B75,customers[],MATCH(U$1,customers[#Headers],0),0)</f>
        <v>Telangana</v>
      </c>
      <c r="V75" s="8">
        <f>VLOOKUP($B75,customers[],MATCH(V$1,customers[#Headers],0),0)</f>
        <v>211823</v>
      </c>
      <c r="W75" s="8" t="str">
        <f>VLOOKUP($B75,customers[],MATCH(W$1,customers[#Headers],0),0)</f>
        <v>Male</v>
      </c>
      <c r="X75" s="8">
        <f>VLOOKUP($B75,customers[],MATCH(X$1,customers[#Headers],0),0)</f>
        <v>26518</v>
      </c>
      <c r="Y75" s="8">
        <f>VLOOKUP($B75,customers[],MATCH(Y$1,customers[#Headers],0),0)</f>
        <v>45663</v>
      </c>
      <c r="Z75" s="8" t="str">
        <f>VLOOKUP($B75,customers[],MATCH(Z$1,customers[#Headers],0),0)</f>
        <v>Fashion</v>
      </c>
      <c r="AA75" s="8">
        <f>VLOOKUP($B75,customers[],MATCH(AA$1,customers[#Headers],0),0)</f>
        <v>7485</v>
      </c>
      <c r="AB75" s="8" t="str">
        <f>VLOOKUP($B75,customers[],MATCH(AB$1,customers[#Headers],0),0)</f>
        <v>Single</v>
      </c>
      <c r="AC75" s="8" t="str">
        <f>VLOOKUP($B75,customers[],MATCH(AC$1,customers[#Headers],0),0)</f>
        <v>Business</v>
      </c>
      <c r="AD75" s="8">
        <f>VLOOKUP($B75,customers[],MATCH(AD$1,customers[#Headers],0),0)</f>
        <v>1395061</v>
      </c>
      <c r="AE75" s="8" t="str">
        <f t="shared" si="4"/>
        <v>P150</v>
      </c>
      <c r="AF75" s="8" t="str">
        <f>VLOOKUP($AE75,Products[],MATCH(AF$1,Products[#Headers],0),0)</f>
        <v>Aliquid Phone</v>
      </c>
      <c r="AG75" s="8" t="str">
        <f>VLOOKUP($AE75,Products[],MATCH(AG$1,Products[#Headers],0),0)</f>
        <v>Grocery</v>
      </c>
      <c r="AH75" s="8" t="str">
        <f>VLOOKUP($AE75,Products[],MATCH(AH$1,Products[#Headers],0),0)</f>
        <v>Notebook</v>
      </c>
      <c r="AI75" s="8" t="str">
        <f>VLOOKUP($AE75,Products[],MATCH(AI$1,Products[#Headers],0),0)</f>
        <v>Kar-Yogi</v>
      </c>
      <c r="AJ75" s="8">
        <f>VLOOKUP($AE75,Products[],MATCH(AJ$1,Products[#Headers],0),0)</f>
        <v>98841</v>
      </c>
      <c r="AK75" s="8">
        <f>VLOOKUP($AE75,Products[],MATCH(AK$1,Products[#Headers],0),0)</f>
        <v>18</v>
      </c>
      <c r="AL75" s="8">
        <f>VLOOKUP($AE75,Products[],MATCH(AL$1,Products[#Headers],0),0)</f>
        <v>888</v>
      </c>
      <c r="AM75" s="8">
        <f>VLOOKUP($AE75,Products[],MATCH(AM$1,Products[#Headers],0),0)</f>
        <v>6</v>
      </c>
      <c r="AN75" s="8" t="str">
        <f>VLOOKUP($AE75,Products[],MATCH(AN$1,Products[#Headers],0),0)</f>
        <v>Vietnam</v>
      </c>
      <c r="AO75" s="8" t="str">
        <f>VLOOKUP($AE75,Products[],MATCH(AO$1,Products[#Headers],0),0)</f>
        <v>No</v>
      </c>
      <c r="AP75" s="8">
        <f>VLOOKUP($AE75,Products[],MATCH(AP$1,Products[#Headers],0),0)</f>
        <v>3.4</v>
      </c>
      <c r="AQ75" s="8">
        <f>VLOOKUP($AE75,Products[],MATCH(AQ$1,Products[#Headers],0),0)</f>
        <v>45207</v>
      </c>
      <c r="AR75" s="8" t="str">
        <f>VLOOKUP($AE75,Products[],MATCH(AR$1,Products[#Headers],0),0)</f>
        <v>Yes</v>
      </c>
      <c r="AS75" s="8">
        <f>VLOOKUP($AE75,Products[],MATCH(AS$1,Products[#Headers],0),0)</f>
        <v>3536</v>
      </c>
      <c r="AT75" s="8">
        <f>VLOOKUP($AE75,Products[],MATCH(AT$1,Products[#Headers],0),0)</f>
        <v>10</v>
      </c>
      <c r="AU75" s="8">
        <f t="shared" si="5"/>
        <v>10</v>
      </c>
      <c r="AV75" s="8" t="str">
        <f>IFERROR(VLOOKUP($AU75,stores[],MATCH(AV$1,stores[#Headers],0),0),"")</f>
        <v>S010</v>
      </c>
      <c r="AW75" s="8" t="str">
        <f>IFERROR(VLOOKUP($AU75,stores[],MATCH(AW$1,stores[#Headers],0),0),"")</f>
        <v>Zachariah, Lanka and Manda Mart</v>
      </c>
      <c r="AX75" s="8" t="str">
        <f>IFERROR(VLOOKUP($AU75,stores[],MATCH(AX$1,stores[#Headers],0),0),"")</f>
        <v>Delhi</v>
      </c>
      <c r="AY75" s="8" t="str">
        <f>IFERROR(VLOOKUP($AU75,stores[],MATCH(AY$1,stores[#Headers],0),0),"")</f>
        <v>Delhi</v>
      </c>
      <c r="AZ75" s="8">
        <f>IFERROR(VLOOKUP($AU75,stores[],MATCH(AZ$1,stores[#Headers],0),0),"")</f>
        <v>310698</v>
      </c>
      <c r="BA75" s="8" t="str">
        <f>IFERROR(VLOOKUP($AU75,stores[],MATCH(BA$1,stores[#Headers],0),0),"")</f>
        <v>Mitesh Bhagat</v>
      </c>
      <c r="BB75" s="8">
        <f>IFERROR(VLOOKUP($AU75,stores[],MATCH(BB$1,stores[#Headers],0),0),"")</f>
        <v>2008</v>
      </c>
      <c r="BC75" s="8">
        <f>IFERROR(VLOOKUP($AU75,stores[],MATCH(BC$1,stores[#Headers],0),0),"")</f>
        <v>88</v>
      </c>
      <c r="BD75" s="8">
        <f>IFERROR(VLOOKUP($AU75,stores[],MATCH(BD$1,stores[#Headers],0),0),"")</f>
        <v>5157</v>
      </c>
      <c r="BE75" s="8">
        <f>IFERROR(VLOOKUP($AU75,stores[],MATCH(BE$1,stores[#Headers],0),0),"")</f>
        <v>4.4000000000000004</v>
      </c>
      <c r="BF75" s="8" t="str">
        <f>IFERROR(VLOOKUP($AU75,stores[],MATCH(BF$1,stores[#Headers],0),0),"")</f>
        <v>Yes</v>
      </c>
      <c r="BG75" s="8">
        <f>IFERROR(VLOOKUP($AU75,stores[],MATCH(BG$1,stores[#Headers],0),0),"")</f>
        <v>2545</v>
      </c>
      <c r="BH75" s="8" t="str">
        <f>IFERROR(VLOOKUP($AU75,stores[],MATCH(BH$1,stores[#Headers],0),0),"")</f>
        <v>Retail</v>
      </c>
      <c r="BI75" s="8">
        <f>IFERROR(VLOOKUP($AU75,stores[],MATCH(BI$1,stores[#Headers],0),0),"")</f>
        <v>614973103</v>
      </c>
      <c r="BJ75" s="8" t="str">
        <f>IFERROR(VLOOKUP($AU75,stores[],MATCH(BJ$1,stores[#Headers],0),0),"")</f>
        <v>bishakhabumb@dalia-morar.biz</v>
      </c>
    </row>
    <row r="76" spans="1:62" x14ac:dyDescent="0.3">
      <c r="A76" s="8" t="str">
        <v>O1075</v>
      </c>
      <c r="B76" s="8" t="str">
        <v>C047</v>
      </c>
      <c r="C76" s="8" t="str">
        <v>P198</v>
      </c>
      <c r="D76" s="8">
        <v>45619</v>
      </c>
      <c r="E76" s="8">
        <v>3</v>
      </c>
      <c r="F76" s="8">
        <v>59479</v>
      </c>
      <c r="G76" s="8">
        <v>59479</v>
      </c>
      <c r="H76" s="8">
        <v>0.19</v>
      </c>
      <c r="I76" s="8" t="str">
        <v>Debit Card</v>
      </c>
      <c r="J76" s="8" t="str">
        <v>Delivered</v>
      </c>
      <c r="K76" s="8">
        <v>45855</v>
      </c>
      <c r="L76" s="8" t="str">
        <v>Yes</v>
      </c>
      <c r="M76" s="8">
        <v>220</v>
      </c>
      <c r="N76" s="8" t="str">
        <v>No</v>
      </c>
      <c r="O76" s="8" t="str">
        <v>No</v>
      </c>
      <c r="P76" s="8" t="str">
        <f t="shared" si="3"/>
        <v>C047</v>
      </c>
      <c r="Q76" s="8" t="str">
        <f>VLOOKUP($B76,customers[],MATCH(Q$1,customers[#Headers],0),0)</f>
        <v>Caleb Verma</v>
      </c>
      <c r="R76" s="8" t="str">
        <f>VLOOKUP($B76,customers[],MATCH(R$1,customers[#Headers],0),0)</f>
        <v>tara00@example.com</v>
      </c>
      <c r="S76" s="8">
        <f>VLOOKUP($B76,customers[],MATCH(S$1,customers[#Headers],0),0)</f>
        <v>6177115921</v>
      </c>
      <c r="T76" s="8" t="str">
        <f>VLOOKUP($B76,customers[],MATCH(T$1,customers[#Headers],0),0)</f>
        <v>Mumbai</v>
      </c>
      <c r="U76" s="8" t="str">
        <f>VLOOKUP($B76,customers[],MATCH(U$1,customers[#Headers],0),0)</f>
        <v>Maharashtra</v>
      </c>
      <c r="V76" s="8">
        <f>VLOOKUP($B76,customers[],MATCH(V$1,customers[#Headers],0),0)</f>
        <v>499856</v>
      </c>
      <c r="W76" s="8" t="str">
        <f>VLOOKUP($B76,customers[],MATCH(W$1,customers[#Headers],0),0)</f>
        <v>Male</v>
      </c>
      <c r="X76" s="8">
        <f>VLOOKUP($B76,customers[],MATCH(X$1,customers[#Headers],0),0)</f>
        <v>36596</v>
      </c>
      <c r="Y76" s="8">
        <f>VLOOKUP($B76,customers[],MATCH(Y$1,customers[#Headers],0),0)</f>
        <v>45676</v>
      </c>
      <c r="Z76" s="8" t="str">
        <f>VLOOKUP($B76,customers[],MATCH(Z$1,customers[#Headers],0),0)</f>
        <v>Fashion</v>
      </c>
      <c r="AA76" s="8">
        <f>VLOOKUP($B76,customers[],MATCH(AA$1,customers[#Headers],0),0)</f>
        <v>4716</v>
      </c>
      <c r="AB76" s="8" t="str">
        <f>VLOOKUP($B76,customers[],MATCH(AB$1,customers[#Headers],0),0)</f>
        <v>Single</v>
      </c>
      <c r="AC76" s="8" t="str">
        <f>VLOOKUP($B76,customers[],MATCH(AC$1,customers[#Headers],0),0)</f>
        <v>Teacher</v>
      </c>
      <c r="AD76" s="8">
        <f>VLOOKUP($B76,customers[],MATCH(AD$1,customers[#Headers],0),0)</f>
        <v>626974</v>
      </c>
      <c r="AE76" s="8" t="str">
        <f t="shared" si="4"/>
        <v>P198</v>
      </c>
      <c r="AF76" s="8" t="str">
        <f>VLOOKUP($AE76,Products[],MATCH(AF$1,Products[#Headers],0),0)</f>
        <v>Illo Laptop</v>
      </c>
      <c r="AG76" s="8" t="str">
        <f>VLOOKUP($AE76,Products[],MATCH(AG$1,Products[#Headers],0),0)</f>
        <v>Fashion</v>
      </c>
      <c r="AH76" s="8" t="str">
        <f>VLOOKUP($AE76,Products[],MATCH(AH$1,Products[#Headers],0),0)</f>
        <v>LED</v>
      </c>
      <c r="AI76" s="8" t="str">
        <f>VLOOKUP($AE76,Products[],MATCH(AI$1,Products[#Headers],0),0)</f>
        <v>Thaker, Sagar and Sampath</v>
      </c>
      <c r="AJ76" s="8">
        <f>VLOOKUP($AE76,Products[],MATCH(AJ$1,Products[#Headers],0),0)</f>
        <v>59479</v>
      </c>
      <c r="AK76" s="8">
        <f>VLOOKUP($AE76,Products[],MATCH(AK$1,Products[#Headers],0),0)</f>
        <v>19</v>
      </c>
      <c r="AL76" s="8">
        <f>VLOOKUP($AE76,Products[],MATCH(AL$1,Products[#Headers],0),0)</f>
        <v>696</v>
      </c>
      <c r="AM76" s="8">
        <f>VLOOKUP($AE76,Products[],MATCH(AM$1,Products[#Headers],0),0)</f>
        <v>24</v>
      </c>
      <c r="AN76" s="8" t="str">
        <f>VLOOKUP($AE76,Products[],MATCH(AN$1,Products[#Headers],0),0)</f>
        <v>China</v>
      </c>
      <c r="AO76" s="8" t="str">
        <f>VLOOKUP($AE76,Products[],MATCH(AO$1,Products[#Headers],0),0)</f>
        <v>Yes</v>
      </c>
      <c r="AP76" s="8">
        <f>VLOOKUP($AE76,Products[],MATCH(AP$1,Products[#Headers],0),0)</f>
        <v>4.4000000000000004</v>
      </c>
      <c r="AQ76" s="8">
        <f>VLOOKUP($AE76,Products[],MATCH(AQ$1,Products[#Headers],0),0)</f>
        <v>45849</v>
      </c>
      <c r="AR76" s="8" t="str">
        <f>VLOOKUP($AE76,Products[],MATCH(AR$1,Products[#Headers],0),0)</f>
        <v>Yes</v>
      </c>
      <c r="AS76" s="8">
        <f>VLOOKUP($AE76,Products[],MATCH(AS$1,Products[#Headers],0),0)</f>
        <v>8089</v>
      </c>
      <c r="AT76" s="8">
        <f>VLOOKUP($AE76,Products[],MATCH(AT$1,Products[#Headers],0),0)</f>
        <v>104</v>
      </c>
      <c r="AU76" s="8">
        <f t="shared" si="5"/>
        <v>104</v>
      </c>
      <c r="AV76" s="8" t="str">
        <f>IFERROR(VLOOKUP($AU76,stores[],MATCH(AV$1,stores[#Headers],0),0),"")</f>
        <v/>
      </c>
      <c r="AW76" s="8" t="str">
        <f>IFERROR(VLOOKUP($AU76,stores[],MATCH(AW$1,stores[#Headers],0),0),"")</f>
        <v/>
      </c>
      <c r="AX76" s="8" t="str">
        <f>IFERROR(VLOOKUP($AU76,stores[],MATCH(AX$1,stores[#Headers],0),0),"")</f>
        <v/>
      </c>
      <c r="AY76" s="8" t="str">
        <f>IFERROR(VLOOKUP($AU76,stores[],MATCH(AY$1,stores[#Headers],0),0),"")</f>
        <v/>
      </c>
      <c r="AZ76" s="8" t="str">
        <f>IFERROR(VLOOKUP($AU76,stores[],MATCH(AZ$1,stores[#Headers],0),0),"")</f>
        <v/>
      </c>
      <c r="BA76" s="8" t="str">
        <f>IFERROR(VLOOKUP($AU76,stores[],MATCH(BA$1,stores[#Headers],0),0),"")</f>
        <v/>
      </c>
      <c r="BB76" s="8" t="str">
        <f>IFERROR(VLOOKUP($AU76,stores[],MATCH(BB$1,stores[#Headers],0),0),"")</f>
        <v/>
      </c>
      <c r="BC76" s="8" t="str">
        <f>IFERROR(VLOOKUP($AU76,stores[],MATCH(BC$1,stores[#Headers],0),0),"")</f>
        <v/>
      </c>
      <c r="BD76" s="8" t="str">
        <f>IFERROR(VLOOKUP($AU76,stores[],MATCH(BD$1,stores[#Headers],0),0),"")</f>
        <v/>
      </c>
      <c r="BE76" s="8" t="str">
        <f>IFERROR(VLOOKUP($AU76,stores[],MATCH(BE$1,stores[#Headers],0),0),"")</f>
        <v/>
      </c>
      <c r="BF76" s="8" t="str">
        <f>IFERROR(VLOOKUP($AU76,stores[],MATCH(BF$1,stores[#Headers],0),0),"")</f>
        <v/>
      </c>
      <c r="BG76" s="8" t="str">
        <f>IFERROR(VLOOKUP($AU76,stores[],MATCH(BG$1,stores[#Headers],0),0),"")</f>
        <v/>
      </c>
      <c r="BH76" s="8" t="str">
        <f>IFERROR(VLOOKUP($AU76,stores[],MATCH(BH$1,stores[#Headers],0),0),"")</f>
        <v/>
      </c>
      <c r="BI76" s="8" t="str">
        <f>IFERROR(VLOOKUP($AU76,stores[],MATCH(BI$1,stores[#Headers],0),0),"")</f>
        <v/>
      </c>
      <c r="BJ76" s="8" t="str">
        <f>IFERROR(VLOOKUP($AU76,stores[],MATCH(BJ$1,stores[#Headers],0),0),"")</f>
        <v/>
      </c>
    </row>
    <row r="77" spans="1:62" x14ac:dyDescent="0.3">
      <c r="A77" s="8" t="str">
        <v>O1076</v>
      </c>
      <c r="B77" s="8" t="str">
        <v>C014</v>
      </c>
      <c r="C77" s="8" t="str">
        <v>P104</v>
      </c>
      <c r="D77" s="8">
        <v>45783</v>
      </c>
      <c r="E77" s="8">
        <v>1</v>
      </c>
      <c r="F77" s="8">
        <v>38790</v>
      </c>
      <c r="G77" s="8">
        <v>116370</v>
      </c>
      <c r="H77" s="8">
        <v>0.27</v>
      </c>
      <c r="I77" s="8" t="str">
        <v>Cash on Delivery</v>
      </c>
      <c r="J77" s="8" t="str">
        <v>Delivered</v>
      </c>
      <c r="K77" s="8">
        <v>45864</v>
      </c>
      <c r="L77" s="8" t="str">
        <v>No</v>
      </c>
      <c r="M77" s="8">
        <v>442</v>
      </c>
      <c r="N77" s="8" t="str">
        <v>No</v>
      </c>
      <c r="O77" s="8" t="str">
        <v>Yes</v>
      </c>
      <c r="P77" s="8" t="str">
        <f t="shared" si="3"/>
        <v>C014</v>
      </c>
      <c r="Q77" s="8" t="str">
        <f>VLOOKUP($B77,customers[],MATCH(Q$1,customers[#Headers],0),0)</f>
        <v>Gauri De</v>
      </c>
      <c r="R77" s="8" t="str">
        <f>VLOOKUP($B77,customers[],MATCH(R$1,customers[#Headers],0),0)</f>
        <v>neel78@example.net</v>
      </c>
      <c r="S77" s="8">
        <f>VLOOKUP($B77,customers[],MATCH(S$1,customers[#Headers],0),0)</f>
        <v>8011280598</v>
      </c>
      <c r="T77" s="8" t="str">
        <f>VLOOKUP($B77,customers[],MATCH(T$1,customers[#Headers],0),0)</f>
        <v>Bangalore</v>
      </c>
      <c r="U77" s="8" t="str">
        <f>VLOOKUP($B77,customers[],MATCH(U$1,customers[#Headers],0),0)</f>
        <v>Karnataka</v>
      </c>
      <c r="V77" s="8">
        <f>VLOOKUP($B77,customers[],MATCH(V$1,customers[#Headers],0),0)</f>
        <v>620450</v>
      </c>
      <c r="W77" s="8" t="str">
        <f>VLOOKUP($B77,customers[],MATCH(W$1,customers[#Headers],0),0)</f>
        <v>Male</v>
      </c>
      <c r="X77" s="8">
        <f>VLOOKUP($B77,customers[],MATCH(X$1,customers[#Headers],0),0)</f>
        <v>30641</v>
      </c>
      <c r="Y77" s="8">
        <f>VLOOKUP($B77,customers[],MATCH(Y$1,customers[#Headers],0),0)</f>
        <v>44680</v>
      </c>
      <c r="Z77" s="8" t="str">
        <f>VLOOKUP($B77,customers[],MATCH(Z$1,customers[#Headers],0),0)</f>
        <v>Fashion</v>
      </c>
      <c r="AA77" s="8">
        <f>VLOOKUP($B77,customers[],MATCH(AA$1,customers[#Headers],0),0)</f>
        <v>9677</v>
      </c>
      <c r="AB77" s="8" t="str">
        <f>VLOOKUP($B77,customers[],MATCH(AB$1,customers[#Headers],0),0)</f>
        <v>Married</v>
      </c>
      <c r="AC77" s="8" t="str">
        <f>VLOOKUP($B77,customers[],MATCH(AC$1,customers[#Headers],0),0)</f>
        <v>Student</v>
      </c>
      <c r="AD77" s="8">
        <f>VLOOKUP($B77,customers[],MATCH(AD$1,customers[#Headers],0),0)</f>
        <v>1037603</v>
      </c>
      <c r="AE77" s="8" t="str">
        <f t="shared" si="4"/>
        <v>P104</v>
      </c>
      <c r="AF77" s="8" t="str">
        <f>VLOOKUP($AE77,Products[],MATCH(AF$1,Products[#Headers],0),0)</f>
        <v>Deleniti TV</v>
      </c>
      <c r="AG77" s="8" t="str">
        <f>VLOOKUP($AE77,Products[],MATCH(AG$1,Products[#Headers],0),0)</f>
        <v>Electronics</v>
      </c>
      <c r="AH77" s="8" t="str">
        <f>VLOOKUP($AE77,Products[],MATCH(AH$1,Products[#Headers],0),0)</f>
        <v>Organic</v>
      </c>
      <c r="AI77" s="8" t="str">
        <f>VLOOKUP($AE77,Products[],MATCH(AI$1,Products[#Headers],0),0)</f>
        <v>Ahuja-Randhawa</v>
      </c>
      <c r="AJ77" s="8">
        <f>VLOOKUP($AE77,Products[],MATCH(AJ$1,Products[#Headers],0),0)</f>
        <v>38790</v>
      </c>
      <c r="AK77" s="8">
        <f>VLOOKUP($AE77,Products[],MATCH(AK$1,Products[#Headers],0),0)</f>
        <v>27</v>
      </c>
      <c r="AL77" s="8">
        <f>VLOOKUP($AE77,Products[],MATCH(AL$1,Products[#Headers],0),0)</f>
        <v>966</v>
      </c>
      <c r="AM77" s="8">
        <f>VLOOKUP($AE77,Products[],MATCH(AM$1,Products[#Headers],0),0)</f>
        <v>12</v>
      </c>
      <c r="AN77" s="8" t="str">
        <f>VLOOKUP($AE77,Products[],MATCH(AN$1,Products[#Headers],0),0)</f>
        <v>Japan</v>
      </c>
      <c r="AO77" s="8" t="str">
        <f>VLOOKUP($AE77,Products[],MATCH(AO$1,Products[#Headers],0),0)</f>
        <v>Yes</v>
      </c>
      <c r="AP77" s="8">
        <f>VLOOKUP($AE77,Products[],MATCH(AP$1,Products[#Headers],0),0)</f>
        <v>4.7</v>
      </c>
      <c r="AQ77" s="8">
        <f>VLOOKUP($AE77,Products[],MATCH(AQ$1,Products[#Headers],0),0)</f>
        <v>45275</v>
      </c>
      <c r="AR77" s="8" t="str">
        <f>VLOOKUP($AE77,Products[],MATCH(AR$1,Products[#Headers],0),0)</f>
        <v>No</v>
      </c>
      <c r="AS77" s="8">
        <f>VLOOKUP($AE77,Products[],MATCH(AS$1,Products[#Headers],0),0)</f>
        <v>8691</v>
      </c>
      <c r="AT77" s="8">
        <f>VLOOKUP($AE77,Products[],MATCH(AT$1,Products[#Headers],0),0)</f>
        <v>47</v>
      </c>
      <c r="AU77" s="8">
        <f t="shared" si="5"/>
        <v>47</v>
      </c>
      <c r="AV77" s="8" t="str">
        <f>IFERROR(VLOOKUP($AU77,stores[],MATCH(AV$1,stores[#Headers],0),0),"")</f>
        <v>S047</v>
      </c>
      <c r="AW77" s="8" t="str">
        <f>IFERROR(VLOOKUP($AU77,stores[],MATCH(AW$1,stores[#Headers],0),0),"")</f>
        <v>Rege, Kurian and Gulati Mart</v>
      </c>
      <c r="AX77" s="8" t="str">
        <f>IFERROR(VLOOKUP($AU77,stores[],MATCH(AX$1,stores[#Headers],0),0),"")</f>
        <v>Lucknow</v>
      </c>
      <c r="AY77" s="8" t="str">
        <f>IFERROR(VLOOKUP($AU77,stores[],MATCH(AY$1,stores[#Headers],0),0),"")</f>
        <v>Uttar Pradesh</v>
      </c>
      <c r="AZ77" s="8">
        <f>IFERROR(VLOOKUP($AU77,stores[],MATCH(AZ$1,stores[#Headers],0),0),"")</f>
        <v>98180</v>
      </c>
      <c r="BA77" s="8" t="str">
        <f>IFERROR(VLOOKUP($AU77,stores[],MATCH(BA$1,stores[#Headers],0),0),"")</f>
        <v>Samesh Mutti</v>
      </c>
      <c r="BB77" s="8">
        <f>IFERROR(VLOOKUP($AU77,stores[],MATCH(BB$1,stores[#Headers],0),0),"")</f>
        <v>2015</v>
      </c>
      <c r="BC77" s="8">
        <f>IFERROR(VLOOKUP($AU77,stores[],MATCH(BC$1,stores[#Headers],0),0),"")</f>
        <v>30</v>
      </c>
      <c r="BD77" s="8">
        <f>IFERROR(VLOOKUP($AU77,stores[],MATCH(BD$1,stores[#Headers],0),0),"")</f>
        <v>18909</v>
      </c>
      <c r="BE77" s="8">
        <f>IFERROR(VLOOKUP($AU77,stores[],MATCH(BE$1,stores[#Headers],0),0),"")</f>
        <v>4.5</v>
      </c>
      <c r="BF77" s="8" t="str">
        <f>IFERROR(VLOOKUP($AU77,stores[],MATCH(BF$1,stores[#Headers],0),0),"")</f>
        <v>Yes</v>
      </c>
      <c r="BG77" s="8">
        <f>IFERROR(VLOOKUP($AU77,stores[],MATCH(BG$1,stores[#Headers],0),0),"")</f>
        <v>1733</v>
      </c>
      <c r="BH77" s="8" t="str">
        <f>IFERROR(VLOOKUP($AU77,stores[],MATCH(BH$1,stores[#Headers],0),0),"")</f>
        <v>Retail</v>
      </c>
      <c r="BI77" s="8">
        <f>IFERROR(VLOOKUP($AU77,stores[],MATCH(BI$1,stores[#Headers],0),0),"")</f>
        <v>5126944869</v>
      </c>
      <c r="BJ77" s="8" t="str">
        <f>IFERROR(VLOOKUP($AU77,stores[],MATCH(BJ$1,stores[#Headers],0),0),"")</f>
        <v>anya63@subramanian-gola.com</v>
      </c>
    </row>
    <row r="78" spans="1:62" x14ac:dyDescent="0.3">
      <c r="A78" s="8" t="str">
        <v>O1077</v>
      </c>
      <c r="B78" s="8" t="str">
        <v>C038</v>
      </c>
      <c r="C78" s="8" t="str">
        <v>P153</v>
      </c>
      <c r="D78" s="8">
        <v>45818</v>
      </c>
      <c r="E78" s="8">
        <v>4</v>
      </c>
      <c r="F78" s="8">
        <v>83491</v>
      </c>
      <c r="G78" s="8">
        <v>83491</v>
      </c>
      <c r="H78" s="8">
        <v>0.05</v>
      </c>
      <c r="I78" s="8" t="str">
        <v>Cash on Delivery</v>
      </c>
      <c r="J78" s="8" t="str">
        <v>Shipped</v>
      </c>
      <c r="K78" s="8">
        <v>45862</v>
      </c>
      <c r="L78" s="8" t="str">
        <v>Yes</v>
      </c>
      <c r="M78" s="8">
        <v>350</v>
      </c>
      <c r="N78" s="8" t="str">
        <v>No</v>
      </c>
      <c r="O78" s="8" t="str">
        <v>Yes</v>
      </c>
      <c r="P78" s="8" t="str">
        <f t="shared" si="3"/>
        <v>C038</v>
      </c>
      <c r="Q78" s="8" t="str">
        <f>VLOOKUP($B78,customers[],MATCH(Q$1,customers[#Headers],0),0)</f>
        <v>Falan Singh</v>
      </c>
      <c r="R78" s="8" t="str">
        <f>VLOOKUP($B78,customers[],MATCH(R$1,customers[#Headers],0),0)</f>
        <v>hamsini96@example.net</v>
      </c>
      <c r="S78" s="8">
        <f>VLOOKUP($B78,customers[],MATCH(S$1,customers[#Headers],0),0)</f>
        <v>915865780913</v>
      </c>
      <c r="T78" s="8" t="str">
        <f>VLOOKUP($B78,customers[],MATCH(T$1,customers[#Headers],0),0)</f>
        <v>Pune</v>
      </c>
      <c r="U78" s="8" t="str">
        <f>VLOOKUP($B78,customers[],MATCH(U$1,customers[#Headers],0),0)</f>
        <v>Maharashtra</v>
      </c>
      <c r="V78" s="8">
        <f>VLOOKUP($B78,customers[],MATCH(V$1,customers[#Headers],0),0)</f>
        <v>316117</v>
      </c>
      <c r="W78" s="8" t="str">
        <f>VLOOKUP($B78,customers[],MATCH(W$1,customers[#Headers],0),0)</f>
        <v>Male</v>
      </c>
      <c r="X78" s="8">
        <f>VLOOKUP($B78,customers[],MATCH(X$1,customers[#Headers],0),0)</f>
        <v>25883</v>
      </c>
      <c r="Y78" s="8">
        <f>VLOOKUP($B78,customers[],MATCH(Y$1,customers[#Headers],0),0)</f>
        <v>44958</v>
      </c>
      <c r="Z78" s="8" t="str">
        <f>VLOOKUP($B78,customers[],MATCH(Z$1,customers[#Headers],0),0)</f>
        <v>Fashion</v>
      </c>
      <c r="AA78" s="8">
        <f>VLOOKUP($B78,customers[],MATCH(AA$1,customers[#Headers],0),0)</f>
        <v>1036</v>
      </c>
      <c r="AB78" s="8" t="str">
        <f>VLOOKUP($B78,customers[],MATCH(AB$1,customers[#Headers],0),0)</f>
        <v>Single</v>
      </c>
      <c r="AC78" s="8" t="str">
        <f>VLOOKUP($B78,customers[],MATCH(AC$1,customers[#Headers],0),0)</f>
        <v>Student</v>
      </c>
      <c r="AD78" s="8">
        <f>VLOOKUP($B78,customers[],MATCH(AD$1,customers[#Headers],0),0)</f>
        <v>1199897</v>
      </c>
      <c r="AE78" s="8" t="str">
        <f t="shared" si="4"/>
        <v>P153</v>
      </c>
      <c r="AF78" s="8" t="str">
        <f>VLOOKUP($AE78,Products[],MATCH(AF$1,Products[#Headers],0),0)</f>
        <v>Quis Shirt</v>
      </c>
      <c r="AG78" s="8" t="str">
        <f>VLOOKUP($AE78,Products[],MATCH(AG$1,Products[#Headers],0),0)</f>
        <v>Electronics</v>
      </c>
      <c r="AH78" s="8" t="str">
        <f>VLOOKUP($AE78,Products[],MATCH(AH$1,Products[#Headers],0),0)</f>
        <v>Notebook</v>
      </c>
      <c r="AI78" s="8" t="str">
        <f>VLOOKUP($AE78,Products[],MATCH(AI$1,Products[#Headers],0),0)</f>
        <v>Sastry PLC</v>
      </c>
      <c r="AJ78" s="8">
        <f>VLOOKUP($AE78,Products[],MATCH(AJ$1,Products[#Headers],0),0)</f>
        <v>83491</v>
      </c>
      <c r="AK78" s="8">
        <f>VLOOKUP($AE78,Products[],MATCH(AK$1,Products[#Headers],0),0)</f>
        <v>5</v>
      </c>
      <c r="AL78" s="8">
        <f>VLOOKUP($AE78,Products[],MATCH(AL$1,Products[#Headers],0),0)</f>
        <v>93</v>
      </c>
      <c r="AM78" s="8">
        <f>VLOOKUP($AE78,Products[],MATCH(AM$1,Products[#Headers],0),0)</f>
        <v>12</v>
      </c>
      <c r="AN78" s="8" t="str">
        <f>VLOOKUP($AE78,Products[],MATCH(AN$1,Products[#Headers],0),0)</f>
        <v>Japan</v>
      </c>
      <c r="AO78" s="8" t="str">
        <f>VLOOKUP($AE78,Products[],MATCH(AO$1,Products[#Headers],0),0)</f>
        <v>No</v>
      </c>
      <c r="AP78" s="8">
        <f>VLOOKUP($AE78,Products[],MATCH(AP$1,Products[#Headers],0),0)</f>
        <v>3.6</v>
      </c>
      <c r="AQ78" s="8">
        <f>VLOOKUP($AE78,Products[],MATCH(AQ$1,Products[#Headers],0),0)</f>
        <v>45098</v>
      </c>
      <c r="AR78" s="8" t="str">
        <f>VLOOKUP($AE78,Products[],MATCH(AR$1,Products[#Headers],0),0)</f>
        <v>Yes</v>
      </c>
      <c r="AS78" s="8">
        <f>VLOOKUP($AE78,Products[],MATCH(AS$1,Products[#Headers],0),0)</f>
        <v>7063</v>
      </c>
      <c r="AT78" s="8">
        <f>VLOOKUP($AE78,Products[],MATCH(AT$1,Products[#Headers],0),0)</f>
        <v>79</v>
      </c>
      <c r="AU78" s="8">
        <f t="shared" si="5"/>
        <v>79</v>
      </c>
      <c r="AV78" s="8" t="str">
        <f>IFERROR(VLOOKUP($AU78,stores[],MATCH(AV$1,stores[#Headers],0),0),"")</f>
        <v>S079</v>
      </c>
      <c r="AW78" s="8" t="str">
        <f>IFERROR(VLOOKUP($AU78,stores[],MATCH(AW$1,stores[#Headers],0),0),"")</f>
        <v>Yogi, Randhawa and Baral Mart</v>
      </c>
      <c r="AX78" s="8" t="str">
        <f>IFERROR(VLOOKUP($AU78,stores[],MATCH(AX$1,stores[#Headers],0),0),"")</f>
        <v>Chennai</v>
      </c>
      <c r="AY78" s="8" t="str">
        <f>IFERROR(VLOOKUP($AU78,stores[],MATCH(AY$1,stores[#Headers],0),0),"")</f>
        <v>Tamil Nadu</v>
      </c>
      <c r="AZ78" s="8">
        <f>IFERROR(VLOOKUP($AU78,stores[],MATCH(AZ$1,stores[#Headers],0),0),"")</f>
        <v>803476</v>
      </c>
      <c r="BA78" s="8" t="str">
        <f>IFERROR(VLOOKUP($AU78,stores[],MATCH(BA$1,stores[#Headers],0),0),"")</f>
        <v>Bhavika Shenoy</v>
      </c>
      <c r="BB78" s="8">
        <f>IFERROR(VLOOKUP($AU78,stores[],MATCH(BB$1,stores[#Headers],0),0),"")</f>
        <v>2004</v>
      </c>
      <c r="BC78" s="8">
        <f>IFERROR(VLOOKUP($AU78,stores[],MATCH(BC$1,stores[#Headers],0),0),"")</f>
        <v>27</v>
      </c>
      <c r="BD78" s="8">
        <f>IFERROR(VLOOKUP($AU78,stores[],MATCH(BD$1,stores[#Headers],0),0),"")</f>
        <v>1058</v>
      </c>
      <c r="BE78" s="8">
        <f>IFERROR(VLOOKUP($AU78,stores[],MATCH(BE$1,stores[#Headers],0),0),"")</f>
        <v>4.9000000000000004</v>
      </c>
      <c r="BF78" s="8" t="str">
        <f>IFERROR(VLOOKUP($AU78,stores[],MATCH(BF$1,stores[#Headers],0),0),"")</f>
        <v>No</v>
      </c>
      <c r="BG78" s="8">
        <f>IFERROR(VLOOKUP($AU78,stores[],MATCH(BG$1,stores[#Headers],0),0),"")</f>
        <v>765</v>
      </c>
      <c r="BH78" s="8" t="str">
        <f>IFERROR(VLOOKUP($AU78,stores[],MATCH(BH$1,stores[#Headers],0),0),"")</f>
        <v>Retail</v>
      </c>
      <c r="BI78" s="8">
        <f>IFERROR(VLOOKUP($AU78,stores[],MATCH(BI$1,stores[#Headers],0),0),"")</f>
        <v>916490827718</v>
      </c>
      <c r="BJ78" s="8" t="str">
        <f>IFERROR(VLOOKUP($AU78,stores[],MATCH(BJ$1,stores[#Headers],0),0),"")</f>
        <v>golekrishna@sachdev-naik.info</v>
      </c>
    </row>
    <row r="79" spans="1:62" x14ac:dyDescent="0.3">
      <c r="A79" s="8" t="str">
        <v>O1078</v>
      </c>
      <c r="B79" s="8" t="str">
        <v>C018</v>
      </c>
      <c r="C79" s="8" t="str">
        <v>P135</v>
      </c>
      <c r="D79" s="8">
        <v>45529</v>
      </c>
      <c r="E79" s="8">
        <v>3</v>
      </c>
      <c r="F79" s="8">
        <v>12336</v>
      </c>
      <c r="G79" s="8">
        <v>37008</v>
      </c>
      <c r="H79" s="8">
        <v>0.3</v>
      </c>
      <c r="I79" s="8" t="str">
        <v>Net Banking</v>
      </c>
      <c r="J79" s="8" t="str">
        <v>Shipped</v>
      </c>
      <c r="K79" s="8">
        <v>45859</v>
      </c>
      <c r="L79" s="8" t="str">
        <v>Yes</v>
      </c>
      <c r="M79" s="8">
        <v>85</v>
      </c>
      <c r="N79" s="8" t="str">
        <v>No</v>
      </c>
      <c r="O79" s="8" t="str">
        <v>No</v>
      </c>
      <c r="P79" s="8" t="str">
        <f t="shared" si="3"/>
        <v>C018</v>
      </c>
      <c r="Q79" s="8" t="str">
        <f>VLOOKUP($B79,customers[],MATCH(Q$1,customers[#Headers],0),0)</f>
        <v>Owen Mitra</v>
      </c>
      <c r="R79" s="8" t="str">
        <f>VLOOKUP($B79,customers[],MATCH(R$1,customers[#Headers],0),0)</f>
        <v>tacharya@example.com</v>
      </c>
      <c r="S79" s="8">
        <f>VLOOKUP($B79,customers[],MATCH(S$1,customers[#Headers],0),0)</f>
        <v>916995777387</v>
      </c>
      <c r="T79" s="8" t="str">
        <f>VLOOKUP($B79,customers[],MATCH(T$1,customers[#Headers],0),0)</f>
        <v>Mumbai</v>
      </c>
      <c r="U79" s="8" t="str">
        <f>VLOOKUP($B79,customers[],MATCH(U$1,customers[#Headers],0),0)</f>
        <v>Maharashtra</v>
      </c>
      <c r="V79" s="8">
        <f>VLOOKUP($B79,customers[],MATCH(V$1,customers[#Headers],0),0)</f>
        <v>148951</v>
      </c>
      <c r="W79" s="8" t="str">
        <f>VLOOKUP($B79,customers[],MATCH(W$1,customers[#Headers],0),0)</f>
        <v>Female</v>
      </c>
      <c r="X79" s="8">
        <f>VLOOKUP($B79,customers[],MATCH(X$1,customers[#Headers],0),0)</f>
        <v>27585</v>
      </c>
      <c r="Y79" s="8">
        <f>VLOOKUP($B79,customers[],MATCH(Y$1,customers[#Headers],0),0)</f>
        <v>44992</v>
      </c>
      <c r="Z79" s="8" t="str">
        <f>VLOOKUP($B79,customers[],MATCH(Z$1,customers[#Headers],0),0)</f>
        <v>Fashion</v>
      </c>
      <c r="AA79" s="8">
        <f>VLOOKUP($B79,customers[],MATCH(AA$1,customers[#Headers],0),0)</f>
        <v>1927</v>
      </c>
      <c r="AB79" s="8" t="str">
        <f>VLOOKUP($B79,customers[],MATCH(AB$1,customers[#Headers],0),0)</f>
        <v>Married</v>
      </c>
      <c r="AC79" s="8" t="str">
        <f>VLOOKUP($B79,customers[],MATCH(AC$1,customers[#Headers],0),0)</f>
        <v>Business</v>
      </c>
      <c r="AD79" s="8">
        <f>VLOOKUP($B79,customers[],MATCH(AD$1,customers[#Headers],0),0)</f>
        <v>531680</v>
      </c>
      <c r="AE79" s="8" t="str">
        <f t="shared" si="4"/>
        <v>P135</v>
      </c>
      <c r="AF79" s="8" t="str">
        <f>VLOOKUP($AE79,Products[],MATCH(AF$1,Products[#Headers],0),0)</f>
        <v>At Rice</v>
      </c>
      <c r="AG79" s="8" t="str">
        <f>VLOOKUP($AE79,Products[],MATCH(AG$1,Products[#Headers],0),0)</f>
        <v>Grocery</v>
      </c>
      <c r="AH79" s="8" t="str">
        <f>VLOOKUP($AE79,Products[],MATCH(AH$1,Products[#Headers],0),0)</f>
        <v>Cotton</v>
      </c>
      <c r="AI79" s="8" t="str">
        <f>VLOOKUP($AE79,Products[],MATCH(AI$1,Products[#Headers],0),0)</f>
        <v>Chaudry, Yadav and Grover</v>
      </c>
      <c r="AJ79" s="8">
        <f>VLOOKUP($AE79,Products[],MATCH(AJ$1,Products[#Headers],0),0)</f>
        <v>12336</v>
      </c>
      <c r="AK79" s="8">
        <f>VLOOKUP($AE79,Products[],MATCH(AK$1,Products[#Headers],0),0)</f>
        <v>30</v>
      </c>
      <c r="AL79" s="8">
        <f>VLOOKUP($AE79,Products[],MATCH(AL$1,Products[#Headers],0),0)</f>
        <v>404</v>
      </c>
      <c r="AM79" s="8">
        <f>VLOOKUP($AE79,Products[],MATCH(AM$1,Products[#Headers],0),0)</f>
        <v>6</v>
      </c>
      <c r="AN79" s="8" t="str">
        <f>VLOOKUP($AE79,Products[],MATCH(AN$1,Products[#Headers],0),0)</f>
        <v>Vietnam</v>
      </c>
      <c r="AO79" s="8" t="str">
        <f>VLOOKUP($AE79,Products[],MATCH(AO$1,Products[#Headers],0),0)</f>
        <v>Yes</v>
      </c>
      <c r="AP79" s="8">
        <f>VLOOKUP($AE79,Products[],MATCH(AP$1,Products[#Headers],0),0)</f>
        <v>3.6</v>
      </c>
      <c r="AQ79" s="8">
        <f>VLOOKUP($AE79,Products[],MATCH(AQ$1,Products[#Headers],0),0)</f>
        <v>45327</v>
      </c>
      <c r="AR79" s="8" t="str">
        <f>VLOOKUP($AE79,Products[],MATCH(AR$1,Products[#Headers],0),0)</f>
        <v>No</v>
      </c>
      <c r="AS79" s="8">
        <f>VLOOKUP($AE79,Products[],MATCH(AS$1,Products[#Headers],0),0)</f>
        <v>7243</v>
      </c>
      <c r="AT79" s="8">
        <f>VLOOKUP($AE79,Products[],MATCH(AT$1,Products[#Headers],0),0)</f>
        <v>12</v>
      </c>
      <c r="AU79" s="8">
        <f t="shared" si="5"/>
        <v>12</v>
      </c>
      <c r="AV79" s="8" t="str">
        <f>IFERROR(VLOOKUP($AU79,stores[],MATCH(AV$1,stores[#Headers],0),0),"")</f>
        <v>S012</v>
      </c>
      <c r="AW79" s="8" t="str">
        <f>IFERROR(VLOOKUP($AU79,stores[],MATCH(AW$1,stores[#Headers],0),0),"")</f>
        <v>Soman, Keer and Soni Mart</v>
      </c>
      <c r="AX79" s="8" t="str">
        <f>IFERROR(VLOOKUP($AU79,stores[],MATCH(AX$1,stores[#Headers],0),0),"")</f>
        <v>Ahmedabad</v>
      </c>
      <c r="AY79" s="8" t="str">
        <f>IFERROR(VLOOKUP($AU79,stores[],MATCH(AY$1,stores[#Headers],0),0),"")</f>
        <v>Gujarat</v>
      </c>
      <c r="AZ79" s="8">
        <f>IFERROR(VLOOKUP($AU79,stores[],MATCH(AZ$1,stores[#Headers],0),0),"")</f>
        <v>160898</v>
      </c>
      <c r="BA79" s="8" t="str">
        <f>IFERROR(VLOOKUP($AU79,stores[],MATCH(BA$1,stores[#Headers],0),0),"")</f>
        <v>Jai Sen</v>
      </c>
      <c r="BB79" s="8">
        <f>IFERROR(VLOOKUP($AU79,stores[],MATCH(BB$1,stores[#Headers],0),0),"")</f>
        <v>2002</v>
      </c>
      <c r="BC79" s="8">
        <f>IFERROR(VLOOKUP($AU79,stores[],MATCH(BC$1,stores[#Headers],0),0),"")</f>
        <v>86</v>
      </c>
      <c r="BD79" s="8">
        <f>IFERROR(VLOOKUP($AU79,stores[],MATCH(BD$1,stores[#Headers],0),0),"")</f>
        <v>4050</v>
      </c>
      <c r="BE79" s="8">
        <f>IFERROR(VLOOKUP($AU79,stores[],MATCH(BE$1,stores[#Headers],0),0),"")</f>
        <v>3.8</v>
      </c>
      <c r="BF79" s="8" t="str">
        <f>IFERROR(VLOOKUP($AU79,stores[],MATCH(BF$1,stores[#Headers],0),0),"")</f>
        <v>No</v>
      </c>
      <c r="BG79" s="8">
        <f>IFERROR(VLOOKUP($AU79,stores[],MATCH(BG$1,stores[#Headers],0),0),"")</f>
        <v>3523</v>
      </c>
      <c r="BH79" s="8" t="str">
        <f>IFERROR(VLOOKUP($AU79,stores[],MATCH(BH$1,stores[#Headers],0),0),"")</f>
        <v>Franchise</v>
      </c>
      <c r="BI79" s="8">
        <f>IFERROR(VLOOKUP($AU79,stores[],MATCH(BI$1,stores[#Headers],0),0),"")</f>
        <v>912332061632</v>
      </c>
      <c r="BJ79" s="8" t="str">
        <f>IFERROR(VLOOKUP($AU79,stores[],MATCH(BJ$1,stores[#Headers],0),0),"")</f>
        <v>ekaja11@ranganathan-nanda.com</v>
      </c>
    </row>
    <row r="80" spans="1:62" x14ac:dyDescent="0.3">
      <c r="A80" s="8" t="str">
        <v>O1079</v>
      </c>
      <c r="B80" s="8" t="str">
        <v>C054</v>
      </c>
      <c r="C80" s="8" t="str">
        <v>P139</v>
      </c>
      <c r="D80" s="8">
        <v>45694</v>
      </c>
      <c r="E80" s="8">
        <v>4</v>
      </c>
      <c r="F80" s="8">
        <v>49066</v>
      </c>
      <c r="G80" s="8">
        <v>49066</v>
      </c>
      <c r="H80" s="8">
        <v>0.11</v>
      </c>
      <c r="I80" s="8" t="str">
        <v>UPI</v>
      </c>
      <c r="J80" s="8" t="str">
        <v>Pending</v>
      </c>
      <c r="K80" s="8">
        <v>45860</v>
      </c>
      <c r="L80" s="8" t="str">
        <v>Yes</v>
      </c>
      <c r="M80" s="8">
        <v>369</v>
      </c>
      <c r="N80" s="8" t="str">
        <v>No</v>
      </c>
      <c r="O80" s="8" t="str">
        <v>Yes</v>
      </c>
      <c r="P80" s="8" t="str">
        <f t="shared" si="3"/>
        <v>C054</v>
      </c>
      <c r="Q80" s="8" t="str">
        <f>VLOOKUP($B80,customers[],MATCH(Q$1,customers[#Headers],0),0)</f>
        <v>Ishwar Ravel</v>
      </c>
      <c r="R80" s="8" t="str">
        <f>VLOOKUP($B80,customers[],MATCH(R$1,customers[#Headers],0),0)</f>
        <v>naironveer@example.net</v>
      </c>
      <c r="S80" s="8">
        <f>VLOOKUP($B80,customers[],MATCH(S$1,customers[#Headers],0),0)</f>
        <v>5161369681</v>
      </c>
      <c r="T80" s="8" t="str">
        <f>VLOOKUP($B80,customers[],MATCH(T$1,customers[#Headers],0),0)</f>
        <v>Delhi</v>
      </c>
      <c r="U80" s="8" t="str">
        <f>VLOOKUP($B80,customers[],MATCH(U$1,customers[#Headers],0),0)</f>
        <v>Delhi</v>
      </c>
      <c r="V80" s="8">
        <f>VLOOKUP($B80,customers[],MATCH(V$1,customers[#Headers],0),0)</f>
        <v>453521</v>
      </c>
      <c r="W80" s="8" t="str">
        <f>VLOOKUP($B80,customers[],MATCH(W$1,customers[#Headers],0),0)</f>
        <v>Male</v>
      </c>
      <c r="X80" s="8">
        <f>VLOOKUP($B80,customers[],MATCH(X$1,customers[#Headers],0),0)</f>
        <v>34436</v>
      </c>
      <c r="Y80" s="8">
        <f>VLOOKUP($B80,customers[],MATCH(Y$1,customers[#Headers],0),0)</f>
        <v>44382</v>
      </c>
      <c r="Z80" s="8" t="str">
        <f>VLOOKUP($B80,customers[],MATCH(Z$1,customers[#Headers],0),0)</f>
        <v>Fashion</v>
      </c>
      <c r="AA80" s="8">
        <f>VLOOKUP($B80,customers[],MATCH(AA$1,customers[#Headers],0),0)</f>
        <v>6845</v>
      </c>
      <c r="AB80" s="8" t="str">
        <f>VLOOKUP($B80,customers[],MATCH(AB$1,customers[#Headers],0),0)</f>
        <v>Single</v>
      </c>
      <c r="AC80" s="8" t="str">
        <f>VLOOKUP($B80,customers[],MATCH(AC$1,customers[#Headers],0),0)</f>
        <v>Teacher</v>
      </c>
      <c r="AD80" s="8">
        <f>VLOOKUP($B80,customers[],MATCH(AD$1,customers[#Headers],0),0)</f>
        <v>533862</v>
      </c>
      <c r="AE80" s="8" t="str">
        <f t="shared" si="4"/>
        <v>P139</v>
      </c>
      <c r="AF80" s="8" t="str">
        <f>VLOOKUP($AE80,Products[],MATCH(AF$1,Products[#Headers],0),0)</f>
        <v>Officia TV</v>
      </c>
      <c r="AG80" s="8" t="str">
        <f>VLOOKUP($AE80,Products[],MATCH(AG$1,Products[#Headers],0),0)</f>
        <v>Fashion</v>
      </c>
      <c r="AH80" s="8" t="str">
        <f>VLOOKUP($AE80,Products[],MATCH(AH$1,Products[#Headers],0),0)</f>
        <v>Notebook</v>
      </c>
      <c r="AI80" s="8" t="str">
        <f>VLOOKUP($AE80,Products[],MATCH(AI$1,Products[#Headers],0),0)</f>
        <v>Gera, Mishra and Chad</v>
      </c>
      <c r="AJ80" s="8">
        <f>VLOOKUP($AE80,Products[],MATCH(AJ$1,Products[#Headers],0),0)</f>
        <v>49066</v>
      </c>
      <c r="AK80" s="8">
        <f>VLOOKUP($AE80,Products[],MATCH(AK$1,Products[#Headers],0),0)</f>
        <v>11</v>
      </c>
      <c r="AL80" s="8">
        <f>VLOOKUP($AE80,Products[],MATCH(AL$1,Products[#Headers],0),0)</f>
        <v>454</v>
      </c>
      <c r="AM80" s="8">
        <f>VLOOKUP($AE80,Products[],MATCH(AM$1,Products[#Headers],0),0)</f>
        <v>36</v>
      </c>
      <c r="AN80" s="8" t="str">
        <f>VLOOKUP($AE80,Products[],MATCH(AN$1,Products[#Headers],0),0)</f>
        <v>China</v>
      </c>
      <c r="AO80" s="8" t="str">
        <f>VLOOKUP($AE80,Products[],MATCH(AO$1,Products[#Headers],0),0)</f>
        <v>No</v>
      </c>
      <c r="AP80" s="8">
        <f>VLOOKUP($AE80,Products[],MATCH(AP$1,Products[#Headers],0),0)</f>
        <v>2.7</v>
      </c>
      <c r="AQ80" s="8">
        <f>VLOOKUP($AE80,Products[],MATCH(AQ$1,Products[#Headers],0),0)</f>
        <v>45803</v>
      </c>
      <c r="AR80" s="8" t="str">
        <f>VLOOKUP($AE80,Products[],MATCH(AR$1,Products[#Headers],0),0)</f>
        <v>No</v>
      </c>
      <c r="AS80" s="8">
        <f>VLOOKUP($AE80,Products[],MATCH(AS$1,Products[#Headers],0),0)</f>
        <v>9921</v>
      </c>
      <c r="AT80" s="8">
        <f>VLOOKUP($AE80,Products[],MATCH(AT$1,Products[#Headers],0),0)</f>
        <v>131</v>
      </c>
      <c r="AU80" s="8">
        <f t="shared" si="5"/>
        <v>131</v>
      </c>
      <c r="AV80" s="8" t="str">
        <f>IFERROR(VLOOKUP($AU80,stores[],MATCH(AV$1,stores[#Headers],0),0),"")</f>
        <v/>
      </c>
      <c r="AW80" s="8" t="str">
        <f>IFERROR(VLOOKUP($AU80,stores[],MATCH(AW$1,stores[#Headers],0),0),"")</f>
        <v/>
      </c>
      <c r="AX80" s="8" t="str">
        <f>IFERROR(VLOOKUP($AU80,stores[],MATCH(AX$1,stores[#Headers],0),0),"")</f>
        <v/>
      </c>
      <c r="AY80" s="8" t="str">
        <f>IFERROR(VLOOKUP($AU80,stores[],MATCH(AY$1,stores[#Headers],0),0),"")</f>
        <v/>
      </c>
      <c r="AZ80" s="8" t="str">
        <f>IFERROR(VLOOKUP($AU80,stores[],MATCH(AZ$1,stores[#Headers],0),0),"")</f>
        <v/>
      </c>
      <c r="BA80" s="8" t="str">
        <f>IFERROR(VLOOKUP($AU80,stores[],MATCH(BA$1,stores[#Headers],0),0),"")</f>
        <v/>
      </c>
      <c r="BB80" s="8" t="str">
        <f>IFERROR(VLOOKUP($AU80,stores[],MATCH(BB$1,stores[#Headers],0),0),"")</f>
        <v/>
      </c>
      <c r="BC80" s="8" t="str">
        <f>IFERROR(VLOOKUP($AU80,stores[],MATCH(BC$1,stores[#Headers],0),0),"")</f>
        <v/>
      </c>
      <c r="BD80" s="8" t="str">
        <f>IFERROR(VLOOKUP($AU80,stores[],MATCH(BD$1,stores[#Headers],0),0),"")</f>
        <v/>
      </c>
      <c r="BE80" s="8" t="str">
        <f>IFERROR(VLOOKUP($AU80,stores[],MATCH(BE$1,stores[#Headers],0),0),"")</f>
        <v/>
      </c>
      <c r="BF80" s="8" t="str">
        <f>IFERROR(VLOOKUP($AU80,stores[],MATCH(BF$1,stores[#Headers],0),0),"")</f>
        <v/>
      </c>
      <c r="BG80" s="8" t="str">
        <f>IFERROR(VLOOKUP($AU80,stores[],MATCH(BG$1,stores[#Headers],0),0),"")</f>
        <v/>
      </c>
      <c r="BH80" s="8" t="str">
        <f>IFERROR(VLOOKUP($AU80,stores[],MATCH(BH$1,stores[#Headers],0),0),"")</f>
        <v/>
      </c>
      <c r="BI80" s="8" t="str">
        <f>IFERROR(VLOOKUP($AU80,stores[],MATCH(BI$1,stores[#Headers],0),0),"")</f>
        <v/>
      </c>
      <c r="BJ80" s="8" t="str">
        <f>IFERROR(VLOOKUP($AU80,stores[],MATCH(BJ$1,stores[#Headers],0),0),"")</f>
        <v/>
      </c>
    </row>
    <row r="81" spans="1:62" x14ac:dyDescent="0.3">
      <c r="A81" s="8" t="str">
        <v>O1080</v>
      </c>
      <c r="B81" s="8" t="str">
        <v>C059</v>
      </c>
      <c r="C81" s="8" t="str">
        <v>P114</v>
      </c>
      <c r="D81" s="8">
        <v>45652</v>
      </c>
      <c r="E81" s="8">
        <v>2</v>
      </c>
      <c r="F81" s="8">
        <v>54455</v>
      </c>
      <c r="G81" s="8">
        <v>163365</v>
      </c>
      <c r="H81" s="8">
        <v>0.27</v>
      </c>
      <c r="I81" s="8" t="str">
        <v>Credit Card</v>
      </c>
      <c r="J81" s="8" t="str">
        <v>Cancelled</v>
      </c>
      <c r="K81" s="8">
        <v>45866</v>
      </c>
      <c r="L81" s="8" t="str">
        <v>No</v>
      </c>
      <c r="M81" s="8">
        <v>430</v>
      </c>
      <c r="N81" s="8" t="str">
        <v>No</v>
      </c>
      <c r="O81" s="8" t="str">
        <v>No</v>
      </c>
      <c r="P81" s="8" t="str">
        <f t="shared" si="3"/>
        <v>C059</v>
      </c>
      <c r="Q81" s="8" t="str">
        <f>VLOOKUP($B81,customers[],MATCH(Q$1,customers[#Headers],0),0)</f>
        <v>Andrew Patil</v>
      </c>
      <c r="R81" s="8" t="str">
        <f>VLOOKUP($B81,customers[],MATCH(R$1,customers[#Headers],0),0)</f>
        <v>pranit35@example.com</v>
      </c>
      <c r="S81" s="8">
        <f>VLOOKUP($B81,customers[],MATCH(S$1,customers[#Headers],0),0)</f>
        <v>913221418880</v>
      </c>
      <c r="T81" s="8" t="str">
        <f>VLOOKUP($B81,customers[],MATCH(T$1,customers[#Headers],0),0)</f>
        <v>Lucknow</v>
      </c>
      <c r="U81" s="8" t="str">
        <f>VLOOKUP($B81,customers[],MATCH(U$1,customers[#Headers],0),0)</f>
        <v>Uttar Pradesh</v>
      </c>
      <c r="V81" s="8">
        <f>VLOOKUP($B81,customers[],MATCH(V$1,customers[#Headers],0),0)</f>
        <v>929622</v>
      </c>
      <c r="W81" s="8" t="str">
        <f>VLOOKUP($B81,customers[],MATCH(W$1,customers[#Headers],0),0)</f>
        <v>Female</v>
      </c>
      <c r="X81" s="8">
        <f>VLOOKUP($B81,customers[],MATCH(X$1,customers[#Headers],0),0)</f>
        <v>26242</v>
      </c>
      <c r="Y81" s="8">
        <f>VLOOKUP($B81,customers[],MATCH(Y$1,customers[#Headers],0),0)</f>
        <v>44542</v>
      </c>
      <c r="Z81" s="8" t="str">
        <f>VLOOKUP($B81,customers[],MATCH(Z$1,customers[#Headers],0),0)</f>
        <v>Electronics</v>
      </c>
      <c r="AA81" s="8">
        <f>VLOOKUP($B81,customers[],MATCH(AA$1,customers[#Headers],0),0)</f>
        <v>1876</v>
      </c>
      <c r="AB81" s="8" t="str">
        <f>VLOOKUP($B81,customers[],MATCH(AB$1,customers[#Headers],0),0)</f>
        <v>Married</v>
      </c>
      <c r="AC81" s="8" t="str">
        <f>VLOOKUP($B81,customers[],MATCH(AC$1,customers[#Headers],0),0)</f>
        <v>Teacher</v>
      </c>
      <c r="AD81" s="8">
        <f>VLOOKUP($B81,customers[],MATCH(AD$1,customers[#Headers],0),0)</f>
        <v>1727869</v>
      </c>
      <c r="AE81" s="8" t="str">
        <f t="shared" si="4"/>
        <v>P114</v>
      </c>
      <c r="AF81" s="8" t="str">
        <f>VLOOKUP($AE81,Products[],MATCH(AF$1,Products[#Headers],0),0)</f>
        <v>Dolor Shirt</v>
      </c>
      <c r="AG81" s="8" t="str">
        <f>VLOOKUP($AE81,Products[],MATCH(AG$1,Products[#Headers],0),0)</f>
        <v>Electronics</v>
      </c>
      <c r="AH81" s="8" t="str">
        <f>VLOOKUP($AE81,Products[],MATCH(AH$1,Products[#Headers],0),0)</f>
        <v>Cotton</v>
      </c>
      <c r="AI81" s="8" t="str">
        <f>VLOOKUP($AE81,Products[],MATCH(AI$1,Products[#Headers],0),0)</f>
        <v>Sampath, Purohit and Borah</v>
      </c>
      <c r="AJ81" s="8">
        <f>VLOOKUP($AE81,Products[],MATCH(AJ$1,Products[#Headers],0),0)</f>
        <v>54455</v>
      </c>
      <c r="AK81" s="8">
        <f>VLOOKUP($AE81,Products[],MATCH(AK$1,Products[#Headers],0),0)</f>
        <v>27</v>
      </c>
      <c r="AL81" s="8">
        <f>VLOOKUP($AE81,Products[],MATCH(AL$1,Products[#Headers],0),0)</f>
        <v>507</v>
      </c>
      <c r="AM81" s="8">
        <f>VLOOKUP($AE81,Products[],MATCH(AM$1,Products[#Headers],0),0)</f>
        <v>24</v>
      </c>
      <c r="AN81" s="8" t="str">
        <f>VLOOKUP($AE81,Products[],MATCH(AN$1,Products[#Headers],0),0)</f>
        <v>Japan</v>
      </c>
      <c r="AO81" s="8" t="str">
        <f>VLOOKUP($AE81,Products[],MATCH(AO$1,Products[#Headers],0),0)</f>
        <v>Yes</v>
      </c>
      <c r="AP81" s="8">
        <f>VLOOKUP($AE81,Products[],MATCH(AP$1,Products[#Headers],0),0)</f>
        <v>3.6</v>
      </c>
      <c r="AQ81" s="8">
        <f>VLOOKUP($AE81,Products[],MATCH(AQ$1,Products[#Headers],0),0)</f>
        <v>45456</v>
      </c>
      <c r="AR81" s="8" t="str">
        <f>VLOOKUP($AE81,Products[],MATCH(AR$1,Products[#Headers],0),0)</f>
        <v>No</v>
      </c>
      <c r="AS81" s="8">
        <f>VLOOKUP($AE81,Products[],MATCH(AS$1,Products[#Headers],0),0)</f>
        <v>5136</v>
      </c>
      <c r="AT81" s="8">
        <f>VLOOKUP($AE81,Products[],MATCH(AT$1,Products[#Headers],0),0)</f>
        <v>50</v>
      </c>
      <c r="AU81" s="8">
        <f t="shared" si="5"/>
        <v>50</v>
      </c>
      <c r="AV81" s="8" t="str">
        <f>IFERROR(VLOOKUP($AU81,stores[],MATCH(AV$1,stores[#Headers],0),0),"")</f>
        <v>S050</v>
      </c>
      <c r="AW81" s="8" t="str">
        <f>IFERROR(VLOOKUP($AU81,stores[],MATCH(AW$1,stores[#Headers],0),0),"")</f>
        <v>Iyer-Vasa Mart</v>
      </c>
      <c r="AX81" s="8" t="str">
        <f>IFERROR(VLOOKUP($AU81,stores[],MATCH(AX$1,stores[#Headers],0),0),"")</f>
        <v>Delhi</v>
      </c>
      <c r="AY81" s="8" t="str">
        <f>IFERROR(VLOOKUP($AU81,stores[],MATCH(AY$1,stores[#Headers],0),0),"")</f>
        <v>Delhi</v>
      </c>
      <c r="AZ81" s="8">
        <f>IFERROR(VLOOKUP($AU81,stores[],MATCH(AZ$1,stores[#Headers],0),0),"")</f>
        <v>118489</v>
      </c>
      <c r="BA81" s="8" t="str">
        <f>IFERROR(VLOOKUP($AU81,stores[],MATCH(BA$1,stores[#Headers],0),0),"")</f>
        <v>Idika Malhotra</v>
      </c>
      <c r="BB81" s="8">
        <f>IFERROR(VLOOKUP($AU81,stores[],MATCH(BB$1,stores[#Headers],0),0),"")</f>
        <v>2004</v>
      </c>
      <c r="BC81" s="8">
        <f>IFERROR(VLOOKUP($AU81,stores[],MATCH(BC$1,stores[#Headers],0),0),"")</f>
        <v>96</v>
      </c>
      <c r="BD81" s="8">
        <f>IFERROR(VLOOKUP($AU81,stores[],MATCH(BD$1,stores[#Headers],0),0),"")</f>
        <v>10169</v>
      </c>
      <c r="BE81" s="8">
        <f>IFERROR(VLOOKUP($AU81,stores[],MATCH(BE$1,stores[#Headers],0),0),"")</f>
        <v>3.2</v>
      </c>
      <c r="BF81" s="8" t="str">
        <f>IFERROR(VLOOKUP($AU81,stores[],MATCH(BF$1,stores[#Headers],0),0),"")</f>
        <v>Yes</v>
      </c>
      <c r="BG81" s="8">
        <f>IFERROR(VLOOKUP($AU81,stores[],MATCH(BG$1,stores[#Headers],0),0),"")</f>
        <v>4757</v>
      </c>
      <c r="BH81" s="8" t="str">
        <f>IFERROR(VLOOKUP($AU81,stores[],MATCH(BH$1,stores[#Headers],0),0),"")</f>
        <v>Franchise</v>
      </c>
      <c r="BI81" s="8">
        <f>IFERROR(VLOOKUP($AU81,stores[],MATCH(BI$1,stores[#Headers],0),0),"")</f>
        <v>919376904268</v>
      </c>
      <c r="BJ81" s="8" t="str">
        <f>IFERROR(VLOOKUP($AU81,stores[],MATCH(BJ$1,stores[#Headers],0),0),"")</f>
        <v>borayahvi@oak-dada.net</v>
      </c>
    </row>
    <row r="82" spans="1:62" x14ac:dyDescent="0.3">
      <c r="A82" s="8" t="str">
        <v>O1081</v>
      </c>
      <c r="B82" s="8" t="str">
        <v>C057</v>
      </c>
      <c r="C82" s="8" t="str">
        <v>P143</v>
      </c>
      <c r="D82" s="8">
        <v>45512</v>
      </c>
      <c r="E82" s="8">
        <v>4</v>
      </c>
      <c r="F82" s="8">
        <v>35282</v>
      </c>
      <c r="G82" s="8">
        <v>176410</v>
      </c>
      <c r="H82" s="8">
        <v>0.06</v>
      </c>
      <c r="I82" s="8" t="str">
        <v>Debit Card</v>
      </c>
      <c r="J82" s="8" t="str">
        <v>Pending</v>
      </c>
      <c r="K82" s="8">
        <v>45858</v>
      </c>
      <c r="L82" s="8" t="str">
        <v>No</v>
      </c>
      <c r="M82" s="8">
        <v>308</v>
      </c>
      <c r="N82" s="8" t="str">
        <v>Yes</v>
      </c>
      <c r="O82" s="8" t="str">
        <v>No</v>
      </c>
      <c r="P82" s="8" t="str">
        <f t="shared" si="3"/>
        <v>C057</v>
      </c>
      <c r="Q82" s="8" t="str">
        <f>VLOOKUP($B82,customers[],MATCH(Q$1,customers[#Headers],0),0)</f>
        <v>Vamakshi Thaker</v>
      </c>
      <c r="R82" s="8" t="str">
        <f>VLOOKUP($B82,customers[],MATCH(R$1,customers[#Headers],0),0)</f>
        <v>davidseshadri@example.org</v>
      </c>
      <c r="S82" s="8">
        <f>VLOOKUP($B82,customers[],MATCH(S$1,customers[#Headers],0),0)</f>
        <v>1820377889</v>
      </c>
      <c r="T82" s="8" t="str">
        <f>VLOOKUP($B82,customers[],MATCH(T$1,customers[#Headers],0),0)</f>
        <v>Hyderabad</v>
      </c>
      <c r="U82" s="8" t="str">
        <f>VLOOKUP($B82,customers[],MATCH(U$1,customers[#Headers],0),0)</f>
        <v>Telangana</v>
      </c>
      <c r="V82" s="8">
        <f>VLOOKUP($B82,customers[],MATCH(V$1,customers[#Headers],0),0)</f>
        <v>554665</v>
      </c>
      <c r="W82" s="8" t="str">
        <f>VLOOKUP($B82,customers[],MATCH(W$1,customers[#Headers],0),0)</f>
        <v>Female</v>
      </c>
      <c r="X82" s="8">
        <f>VLOOKUP($B82,customers[],MATCH(X$1,customers[#Headers],0),0)</f>
        <v>38622</v>
      </c>
      <c r="Y82" s="8">
        <f>VLOOKUP($B82,customers[],MATCH(Y$1,customers[#Headers],0),0)</f>
        <v>44190</v>
      </c>
      <c r="Z82" s="8" t="str">
        <f>VLOOKUP($B82,customers[],MATCH(Z$1,customers[#Headers],0),0)</f>
        <v>Fashion</v>
      </c>
      <c r="AA82" s="8">
        <f>VLOOKUP($B82,customers[],MATCH(AA$1,customers[#Headers],0),0)</f>
        <v>4664</v>
      </c>
      <c r="AB82" s="8" t="str">
        <f>VLOOKUP($B82,customers[],MATCH(AB$1,customers[#Headers],0),0)</f>
        <v>Single</v>
      </c>
      <c r="AC82" s="8" t="str">
        <f>VLOOKUP($B82,customers[],MATCH(AC$1,customers[#Headers],0),0)</f>
        <v>Teacher</v>
      </c>
      <c r="AD82" s="8">
        <f>VLOOKUP($B82,customers[],MATCH(AD$1,customers[#Headers],0),0)</f>
        <v>936406</v>
      </c>
      <c r="AE82" s="8" t="str">
        <f t="shared" si="4"/>
        <v>P143</v>
      </c>
      <c r="AF82" s="8" t="str">
        <f>VLOOKUP($AE82,Products[],MATCH(AF$1,Products[#Headers],0),0)</f>
        <v>Molestiae TV</v>
      </c>
      <c r="AG82" s="8" t="str">
        <f>VLOOKUP($AE82,Products[],MATCH(AG$1,Products[#Headers],0),0)</f>
        <v>Fashion</v>
      </c>
      <c r="AH82" s="8" t="str">
        <f>VLOOKUP($AE82,Products[],MATCH(AH$1,Products[#Headers],0),0)</f>
        <v>Smart</v>
      </c>
      <c r="AI82" s="8" t="str">
        <f>VLOOKUP($AE82,Products[],MATCH(AI$1,Products[#Headers],0),0)</f>
        <v>Grewal-Sur</v>
      </c>
      <c r="AJ82" s="8">
        <f>VLOOKUP($AE82,Products[],MATCH(AJ$1,Products[#Headers],0),0)</f>
        <v>35282</v>
      </c>
      <c r="AK82" s="8">
        <f>VLOOKUP($AE82,Products[],MATCH(AK$1,Products[#Headers],0),0)</f>
        <v>6</v>
      </c>
      <c r="AL82" s="8">
        <f>VLOOKUP($AE82,Products[],MATCH(AL$1,Products[#Headers],0),0)</f>
        <v>129</v>
      </c>
      <c r="AM82" s="8">
        <f>VLOOKUP($AE82,Products[],MATCH(AM$1,Products[#Headers],0),0)</f>
        <v>36</v>
      </c>
      <c r="AN82" s="8" t="str">
        <f>VLOOKUP($AE82,Products[],MATCH(AN$1,Products[#Headers],0),0)</f>
        <v>India</v>
      </c>
      <c r="AO82" s="8" t="str">
        <f>VLOOKUP($AE82,Products[],MATCH(AO$1,Products[#Headers],0),0)</f>
        <v>Yes</v>
      </c>
      <c r="AP82" s="8">
        <f>VLOOKUP($AE82,Products[],MATCH(AP$1,Products[#Headers],0),0)</f>
        <v>3.7</v>
      </c>
      <c r="AQ82" s="8">
        <f>VLOOKUP($AE82,Products[],MATCH(AQ$1,Products[#Headers],0),0)</f>
        <v>45746</v>
      </c>
      <c r="AR82" s="8" t="str">
        <f>VLOOKUP($AE82,Products[],MATCH(AR$1,Products[#Headers],0),0)</f>
        <v>No</v>
      </c>
      <c r="AS82" s="8">
        <f>VLOOKUP($AE82,Products[],MATCH(AS$1,Products[#Headers],0),0)</f>
        <v>9409</v>
      </c>
      <c r="AT82" s="8">
        <f>VLOOKUP($AE82,Products[],MATCH(AT$1,Products[#Headers],0),0)</f>
        <v>81</v>
      </c>
      <c r="AU82" s="8">
        <f t="shared" si="5"/>
        <v>81</v>
      </c>
      <c r="AV82" s="8" t="str">
        <f>IFERROR(VLOOKUP($AU82,stores[],MATCH(AV$1,stores[#Headers],0),0),"")</f>
        <v>S081</v>
      </c>
      <c r="AW82" s="8" t="str">
        <f>IFERROR(VLOOKUP($AU82,stores[],MATCH(AW$1,stores[#Headers],0),0),"")</f>
        <v>Behl, Saini and Morar Mart</v>
      </c>
      <c r="AX82" s="8" t="str">
        <f>IFERROR(VLOOKUP($AU82,stores[],MATCH(AX$1,stores[#Headers],0),0),"")</f>
        <v>Kolkata</v>
      </c>
      <c r="AY82" s="8" t="str">
        <f>IFERROR(VLOOKUP($AU82,stores[],MATCH(AY$1,stores[#Headers],0),0),"")</f>
        <v>West Bengal</v>
      </c>
      <c r="AZ82" s="8">
        <f>IFERROR(VLOOKUP($AU82,stores[],MATCH(AZ$1,stores[#Headers],0),0),"")</f>
        <v>742123</v>
      </c>
      <c r="BA82" s="8" t="str">
        <f>IFERROR(VLOOKUP($AU82,stores[],MATCH(BA$1,stores[#Headers],0),0),"")</f>
        <v>Zehaan Arora</v>
      </c>
      <c r="BB82" s="8">
        <f>IFERROR(VLOOKUP($AU82,stores[],MATCH(BB$1,stores[#Headers],0),0),"")</f>
        <v>2002</v>
      </c>
      <c r="BC82" s="8">
        <f>IFERROR(VLOOKUP($AU82,stores[],MATCH(BC$1,stores[#Headers],0),0),"")</f>
        <v>35</v>
      </c>
      <c r="BD82" s="8">
        <f>IFERROR(VLOOKUP($AU82,stores[],MATCH(BD$1,stores[#Headers],0),0),"")</f>
        <v>12364</v>
      </c>
      <c r="BE82" s="8">
        <f>IFERROR(VLOOKUP($AU82,stores[],MATCH(BE$1,stores[#Headers],0),0),"")</f>
        <v>5</v>
      </c>
      <c r="BF82" s="8" t="str">
        <f>IFERROR(VLOOKUP($AU82,stores[],MATCH(BF$1,stores[#Headers],0),0),"")</f>
        <v>Yes</v>
      </c>
      <c r="BG82" s="8">
        <f>IFERROR(VLOOKUP($AU82,stores[],MATCH(BG$1,stores[#Headers],0),0),"")</f>
        <v>1226</v>
      </c>
      <c r="BH82" s="8" t="str">
        <f>IFERROR(VLOOKUP($AU82,stores[],MATCH(BH$1,stores[#Headers],0),0),"")</f>
        <v>Outlet</v>
      </c>
      <c r="BI82" s="8">
        <f>IFERROR(VLOOKUP($AU82,stores[],MATCH(BI$1,stores[#Headers],0),0),"")</f>
        <v>7780973397</v>
      </c>
      <c r="BJ82" s="8" t="str">
        <f>IFERROR(VLOOKUP($AU82,stores[],MATCH(BJ$1,stores[#Headers],0),0),"")</f>
        <v>crout@ahuja.net</v>
      </c>
    </row>
    <row r="83" spans="1:62" x14ac:dyDescent="0.3">
      <c r="A83" s="8" t="str">
        <v>O1082</v>
      </c>
      <c r="B83" s="8" t="str">
        <v>C041</v>
      </c>
      <c r="C83" s="8" t="str">
        <v>P123</v>
      </c>
      <c r="D83" s="8">
        <v>45765</v>
      </c>
      <c r="E83" s="8">
        <v>4</v>
      </c>
      <c r="F83" s="8">
        <v>19394</v>
      </c>
      <c r="G83" s="8">
        <v>58182</v>
      </c>
      <c r="H83" s="8">
        <v>0.18</v>
      </c>
      <c r="I83" s="8" t="str">
        <v>UPI</v>
      </c>
      <c r="J83" s="8" t="str">
        <v>Cancelled</v>
      </c>
      <c r="K83" s="8">
        <v>45861</v>
      </c>
      <c r="L83" s="8" t="str">
        <v>Yes</v>
      </c>
      <c r="M83" s="8">
        <v>166</v>
      </c>
      <c r="N83" s="8" t="str">
        <v>No</v>
      </c>
      <c r="O83" s="8" t="str">
        <v>No</v>
      </c>
      <c r="P83" s="8" t="str">
        <f t="shared" si="3"/>
        <v>C041</v>
      </c>
      <c r="Q83" s="8" t="str">
        <f>VLOOKUP($B83,customers[],MATCH(Q$1,customers[#Headers],0),0)</f>
        <v>Anthony Randhawa</v>
      </c>
      <c r="R83" s="8" t="str">
        <f>VLOOKUP($B83,customers[],MATCH(R$1,customers[#Headers],0),0)</f>
        <v>abhiram90@example.net</v>
      </c>
      <c r="S83" s="8">
        <f>VLOOKUP($B83,customers[],MATCH(S$1,customers[#Headers],0),0)</f>
        <v>7439533942</v>
      </c>
      <c r="T83" s="8" t="str">
        <f>VLOOKUP($B83,customers[],MATCH(T$1,customers[#Headers],0),0)</f>
        <v>Lucknow</v>
      </c>
      <c r="U83" s="8" t="str">
        <f>VLOOKUP($B83,customers[],MATCH(U$1,customers[#Headers],0),0)</f>
        <v>Uttar Pradesh</v>
      </c>
      <c r="V83" s="8">
        <f>VLOOKUP($B83,customers[],MATCH(V$1,customers[#Headers],0),0)</f>
        <v>47095</v>
      </c>
      <c r="W83" s="8" t="str">
        <f>VLOOKUP($B83,customers[],MATCH(W$1,customers[#Headers],0),0)</f>
        <v>Male</v>
      </c>
      <c r="X83" s="8">
        <f>VLOOKUP($B83,customers[],MATCH(X$1,customers[#Headers],0),0)</f>
        <v>25014</v>
      </c>
      <c r="Y83" s="8">
        <f>VLOOKUP($B83,customers[],MATCH(Y$1,customers[#Headers],0),0)</f>
        <v>44308</v>
      </c>
      <c r="Z83" s="8" t="str">
        <f>VLOOKUP($B83,customers[],MATCH(Z$1,customers[#Headers],0),0)</f>
        <v>Electronics</v>
      </c>
      <c r="AA83" s="8">
        <f>VLOOKUP($B83,customers[],MATCH(AA$1,customers[#Headers],0),0)</f>
        <v>6968</v>
      </c>
      <c r="AB83" s="8" t="str">
        <f>VLOOKUP($B83,customers[],MATCH(AB$1,customers[#Headers],0),0)</f>
        <v>Married</v>
      </c>
      <c r="AC83" s="8" t="str">
        <f>VLOOKUP($B83,customers[],MATCH(AC$1,customers[#Headers],0),0)</f>
        <v>Teacher</v>
      </c>
      <c r="AD83" s="8">
        <f>VLOOKUP($B83,customers[],MATCH(AD$1,customers[#Headers],0),0)</f>
        <v>628362</v>
      </c>
      <c r="AE83" s="8" t="str">
        <f t="shared" si="4"/>
        <v>P123</v>
      </c>
      <c r="AF83" s="8" t="str">
        <f>VLOOKUP($AE83,Products[],MATCH(AF$1,Products[#Headers],0),0)</f>
        <v>Perspiciatis TV</v>
      </c>
      <c r="AG83" s="8" t="str">
        <f>VLOOKUP($AE83,Products[],MATCH(AG$1,Products[#Headers],0),0)</f>
        <v>Grocery</v>
      </c>
      <c r="AH83" s="8" t="str">
        <f>VLOOKUP($AE83,Products[],MATCH(AH$1,Products[#Headers],0),0)</f>
        <v>Notebook</v>
      </c>
      <c r="AI83" s="8" t="str">
        <f>VLOOKUP($AE83,Products[],MATCH(AI$1,Products[#Headers],0),0)</f>
        <v>Merchant Group</v>
      </c>
      <c r="AJ83" s="8">
        <f>VLOOKUP($AE83,Products[],MATCH(AJ$1,Products[#Headers],0),0)</f>
        <v>19394</v>
      </c>
      <c r="AK83" s="8">
        <f>VLOOKUP($AE83,Products[],MATCH(AK$1,Products[#Headers],0),0)</f>
        <v>18</v>
      </c>
      <c r="AL83" s="8">
        <f>VLOOKUP($AE83,Products[],MATCH(AL$1,Products[#Headers],0),0)</f>
        <v>891</v>
      </c>
      <c r="AM83" s="8">
        <f>VLOOKUP($AE83,Products[],MATCH(AM$1,Products[#Headers],0),0)</f>
        <v>12</v>
      </c>
      <c r="AN83" s="8" t="str">
        <f>VLOOKUP($AE83,Products[],MATCH(AN$1,Products[#Headers],0),0)</f>
        <v>India</v>
      </c>
      <c r="AO83" s="8" t="str">
        <f>VLOOKUP($AE83,Products[],MATCH(AO$1,Products[#Headers],0),0)</f>
        <v>No</v>
      </c>
      <c r="AP83" s="8">
        <f>VLOOKUP($AE83,Products[],MATCH(AP$1,Products[#Headers],0),0)</f>
        <v>4.5</v>
      </c>
      <c r="AQ83" s="8">
        <f>VLOOKUP($AE83,Products[],MATCH(AQ$1,Products[#Headers],0),0)</f>
        <v>44892</v>
      </c>
      <c r="AR83" s="8" t="str">
        <f>VLOOKUP($AE83,Products[],MATCH(AR$1,Products[#Headers],0),0)</f>
        <v>No</v>
      </c>
      <c r="AS83" s="8">
        <f>VLOOKUP($AE83,Products[],MATCH(AS$1,Products[#Headers],0),0)</f>
        <v>6547</v>
      </c>
      <c r="AT83" s="8">
        <f>VLOOKUP($AE83,Products[],MATCH(AT$1,Products[#Headers],0),0)</f>
        <v>61</v>
      </c>
      <c r="AU83" s="8">
        <f t="shared" si="5"/>
        <v>61</v>
      </c>
      <c r="AV83" s="8" t="str">
        <f>IFERROR(VLOOKUP($AU83,stores[],MATCH(AV$1,stores[#Headers],0),0),"")</f>
        <v>S061</v>
      </c>
      <c r="AW83" s="8" t="str">
        <f>IFERROR(VLOOKUP($AU83,stores[],MATCH(AW$1,stores[#Headers],0),0),"")</f>
        <v>Swamy-Guha Mart</v>
      </c>
      <c r="AX83" s="8" t="str">
        <f>IFERROR(VLOOKUP($AU83,stores[],MATCH(AX$1,stores[#Headers],0),0),"")</f>
        <v>Mumbai</v>
      </c>
      <c r="AY83" s="8" t="str">
        <f>IFERROR(VLOOKUP($AU83,stores[],MATCH(AY$1,stores[#Headers],0),0),"")</f>
        <v>Maharashtra</v>
      </c>
      <c r="AZ83" s="8">
        <f>IFERROR(VLOOKUP($AU83,stores[],MATCH(AZ$1,stores[#Headers],0),0),"")</f>
        <v>20802</v>
      </c>
      <c r="BA83" s="8" t="str">
        <f>IFERROR(VLOOKUP($AU83,stores[],MATCH(BA$1,stores[#Headers],0),0),"")</f>
        <v>Baghyawati Luthra</v>
      </c>
      <c r="BB83" s="8">
        <f>IFERROR(VLOOKUP($AU83,stores[],MATCH(BB$1,stores[#Headers],0),0),"")</f>
        <v>2006</v>
      </c>
      <c r="BC83" s="8">
        <f>IFERROR(VLOOKUP($AU83,stores[],MATCH(BC$1,stores[#Headers],0),0),"")</f>
        <v>87</v>
      </c>
      <c r="BD83" s="8">
        <f>IFERROR(VLOOKUP($AU83,stores[],MATCH(BD$1,stores[#Headers],0),0),"")</f>
        <v>15530</v>
      </c>
      <c r="BE83" s="8">
        <f>IFERROR(VLOOKUP($AU83,stores[],MATCH(BE$1,stores[#Headers],0),0),"")</f>
        <v>4.5999999999999996</v>
      </c>
      <c r="BF83" s="8" t="str">
        <f>IFERROR(VLOOKUP($AU83,stores[],MATCH(BF$1,stores[#Headers],0),0),"")</f>
        <v>Yes</v>
      </c>
      <c r="BG83" s="8">
        <f>IFERROR(VLOOKUP($AU83,stores[],MATCH(BG$1,stores[#Headers],0),0),"")</f>
        <v>3216</v>
      </c>
      <c r="BH83" s="8" t="str">
        <f>IFERROR(VLOOKUP($AU83,stores[],MATCH(BH$1,stores[#Headers],0),0),"")</f>
        <v>Retail</v>
      </c>
      <c r="BI83" s="8">
        <f>IFERROR(VLOOKUP($AU83,stores[],MATCH(BI$1,stores[#Headers],0),0),"")</f>
        <v>917031207356</v>
      </c>
      <c r="BJ83" s="8" t="str">
        <f>IFERROR(VLOOKUP($AU83,stores[],MATCH(BJ$1,stores[#Headers],0),0),"")</f>
        <v>wishi57@balay.com</v>
      </c>
    </row>
    <row r="84" spans="1:62" x14ac:dyDescent="0.3">
      <c r="A84" s="8" t="str">
        <v>O1083</v>
      </c>
      <c r="B84" s="8" t="str">
        <v>C051</v>
      </c>
      <c r="C84" s="8" t="str">
        <v>P147</v>
      </c>
      <c r="D84" s="8">
        <v>45525</v>
      </c>
      <c r="E84" s="8">
        <v>1</v>
      </c>
      <c r="F84" s="8">
        <v>72764</v>
      </c>
      <c r="G84" s="8">
        <v>363820</v>
      </c>
      <c r="H84" s="8">
        <v>0.28000000000000003</v>
      </c>
      <c r="I84" s="8" t="str">
        <v>Debit Card</v>
      </c>
      <c r="J84" s="8" t="str">
        <v>Shipped</v>
      </c>
      <c r="K84" s="8">
        <v>45856</v>
      </c>
      <c r="L84" s="8" t="str">
        <v>Yes</v>
      </c>
      <c r="M84" s="8">
        <v>487</v>
      </c>
      <c r="N84" s="8" t="str">
        <v>No</v>
      </c>
      <c r="O84" s="8" t="str">
        <v>Yes</v>
      </c>
      <c r="P84" s="8" t="str">
        <f t="shared" si="3"/>
        <v>C051</v>
      </c>
      <c r="Q84" s="8" t="str">
        <f>VLOOKUP($B84,customers[],MATCH(Q$1,customers[#Headers],0),0)</f>
        <v>Nandini Boase</v>
      </c>
      <c r="R84" s="8" t="str">
        <f>VLOOKUP($B84,customers[],MATCH(R$1,customers[#Headers],0),0)</f>
        <v>azaanchand@example.net</v>
      </c>
      <c r="S84" s="8">
        <f>VLOOKUP($B84,customers[],MATCH(S$1,customers[#Headers],0),0)</f>
        <v>3667525459</v>
      </c>
      <c r="T84" s="8" t="str">
        <f>VLOOKUP($B84,customers[],MATCH(T$1,customers[#Headers],0),0)</f>
        <v>Delhi</v>
      </c>
      <c r="U84" s="8" t="str">
        <f>VLOOKUP($B84,customers[],MATCH(U$1,customers[#Headers],0),0)</f>
        <v>Delhi</v>
      </c>
      <c r="V84" s="8">
        <f>VLOOKUP($B84,customers[],MATCH(V$1,customers[#Headers],0),0)</f>
        <v>22901</v>
      </c>
      <c r="W84" s="8" t="str">
        <f>VLOOKUP($B84,customers[],MATCH(W$1,customers[#Headers],0),0)</f>
        <v>Female</v>
      </c>
      <c r="X84" s="8">
        <f>VLOOKUP($B84,customers[],MATCH(X$1,customers[#Headers],0),0)</f>
        <v>28511</v>
      </c>
      <c r="Y84" s="8">
        <f>VLOOKUP($B84,customers[],MATCH(Y$1,customers[#Headers],0),0)</f>
        <v>45404</v>
      </c>
      <c r="Z84" s="8" t="str">
        <f>VLOOKUP($B84,customers[],MATCH(Z$1,customers[#Headers],0),0)</f>
        <v>Home Appliance</v>
      </c>
      <c r="AA84" s="8">
        <f>VLOOKUP($B84,customers[],MATCH(AA$1,customers[#Headers],0),0)</f>
        <v>7141</v>
      </c>
      <c r="AB84" s="8" t="str">
        <f>VLOOKUP($B84,customers[],MATCH(AB$1,customers[#Headers],0),0)</f>
        <v>Single</v>
      </c>
      <c r="AC84" s="8" t="str">
        <f>VLOOKUP($B84,customers[],MATCH(AC$1,customers[#Headers],0),0)</f>
        <v>Engineer</v>
      </c>
      <c r="AD84" s="8">
        <f>VLOOKUP($B84,customers[],MATCH(AD$1,customers[#Headers],0),0)</f>
        <v>846464</v>
      </c>
      <c r="AE84" s="8" t="str">
        <f t="shared" si="4"/>
        <v>P147</v>
      </c>
      <c r="AF84" s="8" t="str">
        <f>VLOOKUP($AE84,Products[],MATCH(AF$1,Products[#Headers],0),0)</f>
        <v>Earum Laptop</v>
      </c>
      <c r="AG84" s="8" t="str">
        <f>VLOOKUP($AE84,Products[],MATCH(AG$1,Products[#Headers],0),0)</f>
        <v>Electronics</v>
      </c>
      <c r="AH84" s="8" t="str">
        <f>VLOOKUP($AE84,Products[],MATCH(AH$1,Products[#Headers],0),0)</f>
        <v>Notebook</v>
      </c>
      <c r="AI84" s="8" t="str">
        <f>VLOOKUP($AE84,Products[],MATCH(AI$1,Products[#Headers],0),0)</f>
        <v>Tiwari-Talwar</v>
      </c>
      <c r="AJ84" s="8">
        <f>VLOOKUP($AE84,Products[],MATCH(AJ$1,Products[#Headers],0),0)</f>
        <v>72764</v>
      </c>
      <c r="AK84" s="8">
        <f>VLOOKUP($AE84,Products[],MATCH(AK$1,Products[#Headers],0),0)</f>
        <v>28</v>
      </c>
      <c r="AL84" s="8">
        <f>VLOOKUP($AE84,Products[],MATCH(AL$1,Products[#Headers],0),0)</f>
        <v>886</v>
      </c>
      <c r="AM84" s="8">
        <f>VLOOKUP($AE84,Products[],MATCH(AM$1,Products[#Headers],0),0)</f>
        <v>12</v>
      </c>
      <c r="AN84" s="8" t="str">
        <f>VLOOKUP($AE84,Products[],MATCH(AN$1,Products[#Headers],0),0)</f>
        <v>Japan</v>
      </c>
      <c r="AO84" s="8" t="str">
        <f>VLOOKUP($AE84,Products[],MATCH(AO$1,Products[#Headers],0),0)</f>
        <v>No</v>
      </c>
      <c r="AP84" s="8">
        <f>VLOOKUP($AE84,Products[],MATCH(AP$1,Products[#Headers],0),0)</f>
        <v>4.7</v>
      </c>
      <c r="AQ84" s="8">
        <f>VLOOKUP($AE84,Products[],MATCH(AQ$1,Products[#Headers],0),0)</f>
        <v>45394</v>
      </c>
      <c r="AR84" s="8" t="str">
        <f>VLOOKUP($AE84,Products[],MATCH(AR$1,Products[#Headers],0),0)</f>
        <v>No</v>
      </c>
      <c r="AS84" s="8">
        <f>VLOOKUP($AE84,Products[],MATCH(AS$1,Products[#Headers],0),0)</f>
        <v>6554</v>
      </c>
      <c r="AT84" s="8">
        <f>VLOOKUP($AE84,Products[],MATCH(AT$1,Products[#Headers],0),0)</f>
        <v>30</v>
      </c>
      <c r="AU84" s="8">
        <f t="shared" si="5"/>
        <v>30</v>
      </c>
      <c r="AV84" s="8" t="str">
        <f>IFERROR(VLOOKUP($AU84,stores[],MATCH(AV$1,stores[#Headers],0),0),"")</f>
        <v>S030</v>
      </c>
      <c r="AW84" s="8" t="str">
        <f>IFERROR(VLOOKUP($AU84,stores[],MATCH(AW$1,stores[#Headers],0),0),"")</f>
        <v>Desai, Tara and Agrawal Mart</v>
      </c>
      <c r="AX84" s="8" t="str">
        <f>IFERROR(VLOOKUP($AU84,stores[],MATCH(AX$1,stores[#Headers],0),0),"")</f>
        <v>Bangalore</v>
      </c>
      <c r="AY84" s="8" t="str">
        <f>IFERROR(VLOOKUP($AU84,stores[],MATCH(AY$1,stores[#Headers],0),0),"")</f>
        <v>Karnataka</v>
      </c>
      <c r="AZ84" s="8">
        <f>IFERROR(VLOOKUP($AU84,stores[],MATCH(AZ$1,stores[#Headers],0),0),"")</f>
        <v>869782</v>
      </c>
      <c r="BA84" s="8" t="str">
        <f>IFERROR(VLOOKUP($AU84,stores[],MATCH(BA$1,stores[#Headers],0),0),"")</f>
        <v>Kabir Chawla</v>
      </c>
      <c r="BB84" s="8">
        <f>IFERROR(VLOOKUP($AU84,stores[],MATCH(BB$1,stores[#Headers],0),0),"")</f>
        <v>2015</v>
      </c>
      <c r="BC84" s="8">
        <f>IFERROR(VLOOKUP($AU84,stores[],MATCH(BC$1,stores[#Headers],0),0),"")</f>
        <v>14</v>
      </c>
      <c r="BD84" s="8">
        <f>IFERROR(VLOOKUP($AU84,stores[],MATCH(BD$1,stores[#Headers],0),0),"")</f>
        <v>1546</v>
      </c>
      <c r="BE84" s="8">
        <f>IFERROR(VLOOKUP($AU84,stores[],MATCH(BE$1,stores[#Headers],0),0),"")</f>
        <v>4.2</v>
      </c>
      <c r="BF84" s="8" t="str">
        <f>IFERROR(VLOOKUP($AU84,stores[],MATCH(BF$1,stores[#Headers],0),0),"")</f>
        <v>Yes</v>
      </c>
      <c r="BG84" s="8">
        <f>IFERROR(VLOOKUP($AU84,stores[],MATCH(BG$1,stores[#Headers],0),0),"")</f>
        <v>2647</v>
      </c>
      <c r="BH84" s="8" t="str">
        <f>IFERROR(VLOOKUP($AU84,stores[],MATCH(BH$1,stores[#Headers],0),0),"")</f>
        <v>Retail</v>
      </c>
      <c r="BI84" s="8">
        <f>IFERROR(VLOOKUP($AU84,stores[],MATCH(BI$1,stores[#Headers],0),0),"")</f>
        <v>9958669346</v>
      </c>
      <c r="BJ84" s="8" t="str">
        <f>IFERROR(VLOOKUP($AU84,stores[],MATCH(BJ$1,stores[#Headers],0),0),"")</f>
        <v>chaitaly72@sachar.net</v>
      </c>
    </row>
    <row r="85" spans="1:62" x14ac:dyDescent="0.3">
      <c r="A85" s="8" t="str">
        <v>O1084</v>
      </c>
      <c r="B85" s="8" t="str">
        <v>C057</v>
      </c>
      <c r="C85" s="8" t="str">
        <v>P138</v>
      </c>
      <c r="D85" s="8">
        <v>45846</v>
      </c>
      <c r="E85" s="8">
        <v>1</v>
      </c>
      <c r="F85" s="8">
        <v>97904</v>
      </c>
      <c r="G85" s="8">
        <v>391616</v>
      </c>
      <c r="H85" s="8">
        <v>0.27</v>
      </c>
      <c r="I85" s="8" t="str">
        <v>Net Banking</v>
      </c>
      <c r="J85" s="8" t="str">
        <v>Shipped</v>
      </c>
      <c r="K85" s="8">
        <v>45860</v>
      </c>
      <c r="L85" s="8" t="str">
        <v>No</v>
      </c>
      <c r="M85" s="8">
        <v>123</v>
      </c>
      <c r="N85" s="8" t="str">
        <v>No</v>
      </c>
      <c r="O85" s="8" t="str">
        <v>Yes</v>
      </c>
      <c r="P85" s="8" t="str">
        <f t="shared" si="3"/>
        <v>C057</v>
      </c>
      <c r="Q85" s="8" t="str">
        <f>VLOOKUP($B85,customers[],MATCH(Q$1,customers[#Headers],0),0)</f>
        <v>Vamakshi Thaker</v>
      </c>
      <c r="R85" s="8" t="str">
        <f>VLOOKUP($B85,customers[],MATCH(R$1,customers[#Headers],0),0)</f>
        <v>davidseshadri@example.org</v>
      </c>
      <c r="S85" s="8">
        <f>VLOOKUP($B85,customers[],MATCH(S$1,customers[#Headers],0),0)</f>
        <v>1820377889</v>
      </c>
      <c r="T85" s="8" t="str">
        <f>VLOOKUP($B85,customers[],MATCH(T$1,customers[#Headers],0),0)</f>
        <v>Hyderabad</v>
      </c>
      <c r="U85" s="8" t="str">
        <f>VLOOKUP($B85,customers[],MATCH(U$1,customers[#Headers],0),0)</f>
        <v>Telangana</v>
      </c>
      <c r="V85" s="8">
        <f>VLOOKUP($B85,customers[],MATCH(V$1,customers[#Headers],0),0)</f>
        <v>554665</v>
      </c>
      <c r="W85" s="8" t="str">
        <f>VLOOKUP($B85,customers[],MATCH(W$1,customers[#Headers],0),0)</f>
        <v>Female</v>
      </c>
      <c r="X85" s="8">
        <f>VLOOKUP($B85,customers[],MATCH(X$1,customers[#Headers],0),0)</f>
        <v>38622</v>
      </c>
      <c r="Y85" s="8">
        <f>VLOOKUP($B85,customers[],MATCH(Y$1,customers[#Headers],0),0)</f>
        <v>44190</v>
      </c>
      <c r="Z85" s="8" t="str">
        <f>VLOOKUP($B85,customers[],MATCH(Z$1,customers[#Headers],0),0)</f>
        <v>Fashion</v>
      </c>
      <c r="AA85" s="8">
        <f>VLOOKUP($B85,customers[],MATCH(AA$1,customers[#Headers],0),0)</f>
        <v>4664</v>
      </c>
      <c r="AB85" s="8" t="str">
        <f>VLOOKUP($B85,customers[],MATCH(AB$1,customers[#Headers],0),0)</f>
        <v>Single</v>
      </c>
      <c r="AC85" s="8" t="str">
        <f>VLOOKUP($B85,customers[],MATCH(AC$1,customers[#Headers],0),0)</f>
        <v>Teacher</v>
      </c>
      <c r="AD85" s="8">
        <f>VLOOKUP($B85,customers[],MATCH(AD$1,customers[#Headers],0),0)</f>
        <v>936406</v>
      </c>
      <c r="AE85" s="8" t="str">
        <f t="shared" si="4"/>
        <v>P138</v>
      </c>
      <c r="AF85" s="8" t="str">
        <f>VLOOKUP($AE85,Products[],MATCH(AF$1,Products[#Headers],0),0)</f>
        <v>Molestias Phone</v>
      </c>
      <c r="AG85" s="8" t="str">
        <f>VLOOKUP($AE85,Products[],MATCH(AG$1,Products[#Headers],0),0)</f>
        <v>Grocery</v>
      </c>
      <c r="AH85" s="8" t="str">
        <f>VLOOKUP($AE85,Products[],MATCH(AH$1,Products[#Headers],0),0)</f>
        <v>Notebook</v>
      </c>
      <c r="AI85" s="8" t="str">
        <f>VLOOKUP($AE85,Products[],MATCH(AI$1,Products[#Headers],0),0)</f>
        <v>Ramanathan, Comar and Pall</v>
      </c>
      <c r="AJ85" s="8">
        <f>VLOOKUP($AE85,Products[],MATCH(AJ$1,Products[#Headers],0),0)</f>
        <v>97904</v>
      </c>
      <c r="AK85" s="8">
        <f>VLOOKUP($AE85,Products[],MATCH(AK$1,Products[#Headers],0),0)</f>
        <v>27</v>
      </c>
      <c r="AL85" s="8">
        <f>VLOOKUP($AE85,Products[],MATCH(AL$1,Products[#Headers],0),0)</f>
        <v>968</v>
      </c>
      <c r="AM85" s="8">
        <f>VLOOKUP($AE85,Products[],MATCH(AM$1,Products[#Headers],0),0)</f>
        <v>36</v>
      </c>
      <c r="AN85" s="8" t="str">
        <f>VLOOKUP($AE85,Products[],MATCH(AN$1,Products[#Headers],0),0)</f>
        <v>China</v>
      </c>
      <c r="AO85" s="8" t="str">
        <f>VLOOKUP($AE85,Products[],MATCH(AO$1,Products[#Headers],0),0)</f>
        <v>No</v>
      </c>
      <c r="AP85" s="8">
        <f>VLOOKUP($AE85,Products[],MATCH(AP$1,Products[#Headers],0),0)</f>
        <v>4.0999999999999996</v>
      </c>
      <c r="AQ85" s="8">
        <f>VLOOKUP($AE85,Products[],MATCH(AQ$1,Products[#Headers],0),0)</f>
        <v>45305</v>
      </c>
      <c r="AR85" s="8" t="str">
        <f>VLOOKUP($AE85,Products[],MATCH(AR$1,Products[#Headers],0),0)</f>
        <v>No</v>
      </c>
      <c r="AS85" s="8">
        <f>VLOOKUP($AE85,Products[],MATCH(AS$1,Products[#Headers],0),0)</f>
        <v>7687</v>
      </c>
      <c r="AT85" s="8">
        <f>VLOOKUP($AE85,Products[],MATCH(AT$1,Products[#Headers],0),0)</f>
        <v>74</v>
      </c>
      <c r="AU85" s="8">
        <f t="shared" si="5"/>
        <v>74</v>
      </c>
      <c r="AV85" s="8" t="str">
        <f>IFERROR(VLOOKUP($AU85,stores[],MATCH(AV$1,stores[#Headers],0),0),"")</f>
        <v>S074</v>
      </c>
      <c r="AW85" s="8" t="str">
        <f>IFERROR(VLOOKUP($AU85,stores[],MATCH(AW$1,stores[#Headers],0),0),"")</f>
        <v>Madan Inc Mart</v>
      </c>
      <c r="AX85" s="8" t="str">
        <f>IFERROR(VLOOKUP($AU85,stores[],MATCH(AX$1,stores[#Headers],0),0),"")</f>
        <v>Pune</v>
      </c>
      <c r="AY85" s="8" t="str">
        <f>IFERROR(VLOOKUP($AU85,stores[],MATCH(AY$1,stores[#Headers],0),0),"")</f>
        <v>Maharashtra</v>
      </c>
      <c r="AZ85" s="8">
        <f>IFERROR(VLOOKUP($AU85,stores[],MATCH(AZ$1,stores[#Headers],0),0),"")</f>
        <v>16451</v>
      </c>
      <c r="BA85" s="8" t="str">
        <f>IFERROR(VLOOKUP($AU85,stores[],MATCH(BA$1,stores[#Headers],0),0),"")</f>
        <v>Brinda Raju</v>
      </c>
      <c r="BB85" s="8">
        <f>IFERROR(VLOOKUP($AU85,stores[],MATCH(BB$1,stores[#Headers],0),0),"")</f>
        <v>2015</v>
      </c>
      <c r="BC85" s="8">
        <f>IFERROR(VLOOKUP($AU85,stores[],MATCH(BC$1,stores[#Headers],0),0),"")</f>
        <v>5</v>
      </c>
      <c r="BD85" s="8">
        <f>IFERROR(VLOOKUP($AU85,stores[],MATCH(BD$1,stores[#Headers],0),0),"")</f>
        <v>11870</v>
      </c>
      <c r="BE85" s="8">
        <f>IFERROR(VLOOKUP($AU85,stores[],MATCH(BE$1,stores[#Headers],0),0),"")</f>
        <v>4.8</v>
      </c>
      <c r="BF85" s="8" t="str">
        <f>IFERROR(VLOOKUP($AU85,stores[],MATCH(BF$1,stores[#Headers],0),0),"")</f>
        <v>Yes</v>
      </c>
      <c r="BG85" s="8">
        <f>IFERROR(VLOOKUP($AU85,stores[],MATCH(BG$1,stores[#Headers],0),0),"")</f>
        <v>1568</v>
      </c>
      <c r="BH85" s="8" t="str">
        <f>IFERROR(VLOOKUP($AU85,stores[],MATCH(BH$1,stores[#Headers],0),0),"")</f>
        <v>Franchise</v>
      </c>
      <c r="BI85" s="8">
        <f>IFERROR(VLOOKUP($AU85,stores[],MATCH(BI$1,stores[#Headers],0),0),"")</f>
        <v>916815798123</v>
      </c>
      <c r="BJ85" s="8" t="str">
        <f>IFERROR(VLOOKUP($AU85,stores[],MATCH(BJ$1,stores[#Headers],0),0),"")</f>
        <v>cbains@wagle.com</v>
      </c>
    </row>
    <row r="86" spans="1:62" x14ac:dyDescent="0.3">
      <c r="A86" s="8" t="str">
        <v>O1085</v>
      </c>
      <c r="B86" s="8" t="str">
        <v>C092</v>
      </c>
      <c r="C86" s="8" t="str">
        <v>P155</v>
      </c>
      <c r="D86" s="8">
        <v>45837</v>
      </c>
      <c r="E86" s="8">
        <v>4</v>
      </c>
      <c r="F86" s="8">
        <v>56076</v>
      </c>
      <c r="G86" s="8">
        <v>56076</v>
      </c>
      <c r="H86" s="8">
        <v>0.2</v>
      </c>
      <c r="I86" s="8" t="str">
        <v>Net Banking</v>
      </c>
      <c r="J86" s="8" t="str">
        <v>Cancelled</v>
      </c>
      <c r="K86" s="8">
        <v>45867</v>
      </c>
      <c r="L86" s="8" t="str">
        <v>No</v>
      </c>
      <c r="M86" s="8">
        <v>273</v>
      </c>
      <c r="N86" s="8" t="str">
        <v>No</v>
      </c>
      <c r="O86" s="8" t="str">
        <v>Yes</v>
      </c>
      <c r="P86" s="8" t="str">
        <f t="shared" si="3"/>
        <v>C092</v>
      </c>
      <c r="Q86" s="8" t="str">
        <f>VLOOKUP($B86,customers[],MATCH(Q$1,customers[#Headers],0),0)</f>
        <v>Ranveer Dalal</v>
      </c>
      <c r="R86" s="8" t="str">
        <f>VLOOKUP($B86,customers[],MATCH(R$1,customers[#Headers],0),0)</f>
        <v>skibe@example.net</v>
      </c>
      <c r="S86" s="8">
        <f>VLOOKUP($B86,customers[],MATCH(S$1,customers[#Headers],0),0)</f>
        <v>3638546785</v>
      </c>
      <c r="T86" s="8" t="str">
        <f>VLOOKUP($B86,customers[],MATCH(T$1,customers[#Headers],0),0)</f>
        <v>Pune</v>
      </c>
      <c r="U86" s="8" t="str">
        <f>VLOOKUP($B86,customers[],MATCH(U$1,customers[#Headers],0),0)</f>
        <v>Maharashtra</v>
      </c>
      <c r="V86" s="8">
        <f>VLOOKUP($B86,customers[],MATCH(V$1,customers[#Headers],0),0)</f>
        <v>458771</v>
      </c>
      <c r="W86" s="8" t="str">
        <f>VLOOKUP($B86,customers[],MATCH(W$1,customers[#Headers],0),0)</f>
        <v>Female</v>
      </c>
      <c r="X86" s="8">
        <f>VLOOKUP($B86,customers[],MATCH(X$1,customers[#Headers],0),0)</f>
        <v>33417</v>
      </c>
      <c r="Y86" s="8">
        <f>VLOOKUP($B86,customers[],MATCH(Y$1,customers[#Headers],0),0)</f>
        <v>45022</v>
      </c>
      <c r="Z86" s="8" t="str">
        <f>VLOOKUP($B86,customers[],MATCH(Z$1,customers[#Headers],0),0)</f>
        <v>Electronics</v>
      </c>
      <c r="AA86" s="8">
        <f>VLOOKUP($B86,customers[],MATCH(AA$1,customers[#Headers],0),0)</f>
        <v>6982</v>
      </c>
      <c r="AB86" s="8" t="str">
        <f>VLOOKUP($B86,customers[],MATCH(AB$1,customers[#Headers],0),0)</f>
        <v>Married</v>
      </c>
      <c r="AC86" s="8" t="str">
        <f>VLOOKUP($B86,customers[],MATCH(AC$1,customers[#Headers],0),0)</f>
        <v>Engineer</v>
      </c>
      <c r="AD86" s="8">
        <f>VLOOKUP($B86,customers[],MATCH(AD$1,customers[#Headers],0),0)</f>
        <v>1109164</v>
      </c>
      <c r="AE86" s="8" t="str">
        <f t="shared" si="4"/>
        <v>P155</v>
      </c>
      <c r="AF86" s="8" t="str">
        <f>VLOOKUP($AE86,Products[],MATCH(AF$1,Products[#Headers],0),0)</f>
        <v>Odio Washing Machine</v>
      </c>
      <c r="AG86" s="8" t="str">
        <f>VLOOKUP($AE86,Products[],MATCH(AG$1,Products[#Headers],0),0)</f>
        <v>Fashion</v>
      </c>
      <c r="AH86" s="8" t="str">
        <f>VLOOKUP($AE86,Products[],MATCH(AH$1,Products[#Headers],0),0)</f>
        <v>Notebook</v>
      </c>
      <c r="AI86" s="8" t="str">
        <f>VLOOKUP($AE86,Products[],MATCH(AI$1,Products[#Headers],0),0)</f>
        <v>Pall-Chahal</v>
      </c>
      <c r="AJ86" s="8">
        <f>VLOOKUP($AE86,Products[],MATCH(AJ$1,Products[#Headers],0),0)</f>
        <v>56076</v>
      </c>
      <c r="AK86" s="8">
        <f>VLOOKUP($AE86,Products[],MATCH(AK$1,Products[#Headers],0),0)</f>
        <v>20</v>
      </c>
      <c r="AL86" s="8">
        <f>VLOOKUP($AE86,Products[],MATCH(AL$1,Products[#Headers],0),0)</f>
        <v>621</v>
      </c>
      <c r="AM86" s="8">
        <f>VLOOKUP($AE86,Products[],MATCH(AM$1,Products[#Headers],0),0)</f>
        <v>36</v>
      </c>
      <c r="AN86" s="8" t="str">
        <f>VLOOKUP($AE86,Products[],MATCH(AN$1,Products[#Headers],0),0)</f>
        <v>Japan</v>
      </c>
      <c r="AO86" s="8" t="str">
        <f>VLOOKUP($AE86,Products[],MATCH(AO$1,Products[#Headers],0),0)</f>
        <v>No</v>
      </c>
      <c r="AP86" s="8">
        <f>VLOOKUP($AE86,Products[],MATCH(AP$1,Products[#Headers],0),0)</f>
        <v>3</v>
      </c>
      <c r="AQ86" s="8">
        <f>VLOOKUP($AE86,Products[],MATCH(AQ$1,Products[#Headers],0),0)</f>
        <v>45441</v>
      </c>
      <c r="AR86" s="8" t="str">
        <f>VLOOKUP($AE86,Products[],MATCH(AR$1,Products[#Headers],0),0)</f>
        <v>Yes</v>
      </c>
      <c r="AS86" s="8">
        <f>VLOOKUP($AE86,Products[],MATCH(AS$1,Products[#Headers],0),0)</f>
        <v>6656</v>
      </c>
      <c r="AT86" s="8">
        <f>VLOOKUP($AE86,Products[],MATCH(AT$1,Products[#Headers],0),0)</f>
        <v>94</v>
      </c>
      <c r="AU86" s="8">
        <f t="shared" si="5"/>
        <v>94</v>
      </c>
      <c r="AV86" s="8" t="str">
        <f>IFERROR(VLOOKUP($AU86,stores[],MATCH(AV$1,stores[#Headers],0),0),"")</f>
        <v>S094</v>
      </c>
      <c r="AW86" s="8" t="str">
        <f>IFERROR(VLOOKUP($AU86,stores[],MATCH(AW$1,stores[#Headers],0),0),"")</f>
        <v>Sahni-Dube Mart</v>
      </c>
      <c r="AX86" s="8" t="str">
        <f>IFERROR(VLOOKUP($AU86,stores[],MATCH(AX$1,stores[#Headers],0),0),"")</f>
        <v>Hyderabad</v>
      </c>
      <c r="AY86" s="8" t="str">
        <f>IFERROR(VLOOKUP($AU86,stores[],MATCH(AY$1,stores[#Headers],0),0),"")</f>
        <v>Telangana</v>
      </c>
      <c r="AZ86" s="8">
        <f>IFERROR(VLOOKUP($AU86,stores[],MATCH(AZ$1,stores[#Headers],0),0),"")</f>
        <v>220102</v>
      </c>
      <c r="BA86" s="8" t="str">
        <f>IFERROR(VLOOKUP($AU86,stores[],MATCH(BA$1,stores[#Headers],0),0),"")</f>
        <v>Rajeshri Deshpande</v>
      </c>
      <c r="BB86" s="8">
        <f>IFERROR(VLOOKUP($AU86,stores[],MATCH(BB$1,stores[#Headers],0),0),"")</f>
        <v>2008</v>
      </c>
      <c r="BC86" s="8">
        <f>IFERROR(VLOOKUP($AU86,stores[],MATCH(BC$1,stores[#Headers],0),0),"")</f>
        <v>77</v>
      </c>
      <c r="BD86" s="8">
        <f>IFERROR(VLOOKUP($AU86,stores[],MATCH(BD$1,stores[#Headers],0),0),"")</f>
        <v>3019</v>
      </c>
      <c r="BE86" s="8">
        <f>IFERROR(VLOOKUP($AU86,stores[],MATCH(BE$1,stores[#Headers],0),0),"")</f>
        <v>3.3</v>
      </c>
      <c r="BF86" s="8" t="str">
        <f>IFERROR(VLOOKUP($AU86,stores[],MATCH(BF$1,stores[#Headers],0),0),"")</f>
        <v>Yes</v>
      </c>
      <c r="BG86" s="8">
        <f>IFERROR(VLOOKUP($AU86,stores[],MATCH(BG$1,stores[#Headers],0),0),"")</f>
        <v>1202</v>
      </c>
      <c r="BH86" s="8" t="str">
        <f>IFERROR(VLOOKUP($AU86,stores[],MATCH(BH$1,stores[#Headers],0),0),"")</f>
        <v>Outlet</v>
      </c>
      <c r="BI86" s="8">
        <f>IFERROR(VLOOKUP($AU86,stores[],MATCH(BI$1,stores[#Headers],0),0),"")</f>
        <v>912679692786</v>
      </c>
      <c r="BJ86" s="8" t="str">
        <f>IFERROR(VLOOKUP($AU86,stores[],MATCH(BJ$1,stores[#Headers],0),0),"")</f>
        <v>wrajagopalan@grewal.org</v>
      </c>
    </row>
    <row r="87" spans="1:62" x14ac:dyDescent="0.3">
      <c r="A87" s="8" t="str">
        <v>O1086</v>
      </c>
      <c r="B87" s="8" t="str">
        <v>C047</v>
      </c>
      <c r="C87" s="8" t="str">
        <v>P190</v>
      </c>
      <c r="D87" s="8">
        <v>45649</v>
      </c>
      <c r="E87" s="8">
        <v>5</v>
      </c>
      <c r="F87" s="8">
        <v>10335</v>
      </c>
      <c r="G87" s="8">
        <v>51675</v>
      </c>
      <c r="H87" s="8">
        <v>0.26</v>
      </c>
      <c r="I87" s="8" t="str">
        <v>Credit Card</v>
      </c>
      <c r="J87" s="8" t="str">
        <v>Delivered</v>
      </c>
      <c r="K87" s="8">
        <v>45864</v>
      </c>
      <c r="L87" s="8" t="str">
        <v>Yes</v>
      </c>
      <c r="M87" s="8">
        <v>336</v>
      </c>
      <c r="N87" s="8" t="str">
        <v>No</v>
      </c>
      <c r="O87" s="8" t="str">
        <v>Yes</v>
      </c>
      <c r="P87" s="8" t="str">
        <f t="shared" si="3"/>
        <v>C047</v>
      </c>
      <c r="Q87" s="8" t="str">
        <f>VLOOKUP($B87,customers[],MATCH(Q$1,customers[#Headers],0),0)</f>
        <v>Caleb Verma</v>
      </c>
      <c r="R87" s="8" t="str">
        <f>VLOOKUP($B87,customers[],MATCH(R$1,customers[#Headers],0),0)</f>
        <v>tara00@example.com</v>
      </c>
      <c r="S87" s="8">
        <f>VLOOKUP($B87,customers[],MATCH(S$1,customers[#Headers],0),0)</f>
        <v>6177115921</v>
      </c>
      <c r="T87" s="8" t="str">
        <f>VLOOKUP($B87,customers[],MATCH(T$1,customers[#Headers],0),0)</f>
        <v>Mumbai</v>
      </c>
      <c r="U87" s="8" t="str">
        <f>VLOOKUP($B87,customers[],MATCH(U$1,customers[#Headers],0),0)</f>
        <v>Maharashtra</v>
      </c>
      <c r="V87" s="8">
        <f>VLOOKUP($B87,customers[],MATCH(V$1,customers[#Headers],0),0)</f>
        <v>499856</v>
      </c>
      <c r="W87" s="8" t="str">
        <f>VLOOKUP($B87,customers[],MATCH(W$1,customers[#Headers],0),0)</f>
        <v>Male</v>
      </c>
      <c r="X87" s="8">
        <f>VLOOKUP($B87,customers[],MATCH(X$1,customers[#Headers],0),0)</f>
        <v>36596</v>
      </c>
      <c r="Y87" s="8">
        <f>VLOOKUP($B87,customers[],MATCH(Y$1,customers[#Headers],0),0)</f>
        <v>45676</v>
      </c>
      <c r="Z87" s="8" t="str">
        <f>VLOOKUP($B87,customers[],MATCH(Z$1,customers[#Headers],0),0)</f>
        <v>Fashion</v>
      </c>
      <c r="AA87" s="8">
        <f>VLOOKUP($B87,customers[],MATCH(AA$1,customers[#Headers],0),0)</f>
        <v>4716</v>
      </c>
      <c r="AB87" s="8" t="str">
        <f>VLOOKUP($B87,customers[],MATCH(AB$1,customers[#Headers],0),0)</f>
        <v>Single</v>
      </c>
      <c r="AC87" s="8" t="str">
        <f>VLOOKUP($B87,customers[],MATCH(AC$1,customers[#Headers],0),0)</f>
        <v>Teacher</v>
      </c>
      <c r="AD87" s="8">
        <f>VLOOKUP($B87,customers[],MATCH(AD$1,customers[#Headers],0),0)</f>
        <v>626974</v>
      </c>
      <c r="AE87" s="8" t="str">
        <f t="shared" si="4"/>
        <v>P190</v>
      </c>
      <c r="AF87" s="8" t="str">
        <f>VLOOKUP($AE87,Products[],MATCH(AF$1,Products[#Headers],0),0)</f>
        <v>Sapiente Laptop</v>
      </c>
      <c r="AG87" s="8" t="str">
        <f>VLOOKUP($AE87,Products[],MATCH(AG$1,Products[#Headers],0),0)</f>
        <v>Fashion</v>
      </c>
      <c r="AH87" s="8" t="str">
        <f>VLOOKUP($AE87,Products[],MATCH(AH$1,Products[#Headers],0),0)</f>
        <v>LED</v>
      </c>
      <c r="AI87" s="8" t="str">
        <f>VLOOKUP($AE87,Products[],MATCH(AI$1,Products[#Headers],0),0)</f>
        <v>Mane, Bala and Mitra</v>
      </c>
      <c r="AJ87" s="8">
        <f>VLOOKUP($AE87,Products[],MATCH(AJ$1,Products[#Headers],0),0)</f>
        <v>10335</v>
      </c>
      <c r="AK87" s="8">
        <f>VLOOKUP($AE87,Products[],MATCH(AK$1,Products[#Headers],0),0)</f>
        <v>26</v>
      </c>
      <c r="AL87" s="8">
        <f>VLOOKUP($AE87,Products[],MATCH(AL$1,Products[#Headers],0),0)</f>
        <v>652</v>
      </c>
      <c r="AM87" s="8">
        <f>VLOOKUP($AE87,Products[],MATCH(AM$1,Products[#Headers],0),0)</f>
        <v>36</v>
      </c>
      <c r="AN87" s="8" t="str">
        <f>VLOOKUP($AE87,Products[],MATCH(AN$1,Products[#Headers],0),0)</f>
        <v>Vietnam</v>
      </c>
      <c r="AO87" s="8" t="str">
        <f>VLOOKUP($AE87,Products[],MATCH(AO$1,Products[#Headers],0),0)</f>
        <v>Yes</v>
      </c>
      <c r="AP87" s="8">
        <f>VLOOKUP($AE87,Products[],MATCH(AP$1,Products[#Headers],0),0)</f>
        <v>4.9000000000000004</v>
      </c>
      <c r="AQ87" s="8">
        <f>VLOOKUP($AE87,Products[],MATCH(AQ$1,Products[#Headers],0),0)</f>
        <v>45078</v>
      </c>
      <c r="AR87" s="8" t="str">
        <f>VLOOKUP($AE87,Products[],MATCH(AR$1,Products[#Headers],0),0)</f>
        <v>Yes</v>
      </c>
      <c r="AS87" s="8">
        <f>VLOOKUP($AE87,Products[],MATCH(AS$1,Products[#Headers],0),0)</f>
        <v>8180</v>
      </c>
      <c r="AT87" s="8">
        <f>VLOOKUP($AE87,Products[],MATCH(AT$1,Products[#Headers],0),0)</f>
        <v>8</v>
      </c>
      <c r="AU87" s="8">
        <f t="shared" si="5"/>
        <v>8</v>
      </c>
      <c r="AV87" s="8" t="str">
        <f>IFERROR(VLOOKUP($AU87,stores[],MATCH(AV$1,stores[#Headers],0),0),"")</f>
        <v>S008</v>
      </c>
      <c r="AW87" s="8" t="str">
        <f>IFERROR(VLOOKUP($AU87,stores[],MATCH(AW$1,stores[#Headers],0),0),"")</f>
        <v>Palan LLC Mart</v>
      </c>
      <c r="AX87" s="8" t="str">
        <f>IFERROR(VLOOKUP($AU87,stores[],MATCH(AX$1,stores[#Headers],0),0),"")</f>
        <v>Delhi</v>
      </c>
      <c r="AY87" s="8" t="str">
        <f>IFERROR(VLOOKUP($AU87,stores[],MATCH(AY$1,stores[#Headers],0),0),"")</f>
        <v>Delhi</v>
      </c>
      <c r="AZ87" s="8">
        <f>IFERROR(VLOOKUP($AU87,stores[],MATCH(AZ$1,stores[#Headers],0),0),"")</f>
        <v>157043</v>
      </c>
      <c r="BA87" s="8" t="str">
        <f>IFERROR(VLOOKUP($AU87,stores[],MATCH(BA$1,stores[#Headers],0),0),"")</f>
        <v>Ekansh Palla</v>
      </c>
      <c r="BB87" s="8">
        <f>IFERROR(VLOOKUP($AU87,stores[],MATCH(BB$1,stores[#Headers],0),0),"")</f>
        <v>2018</v>
      </c>
      <c r="BC87" s="8">
        <f>IFERROR(VLOOKUP($AU87,stores[],MATCH(BC$1,stores[#Headers],0),0),"")</f>
        <v>49</v>
      </c>
      <c r="BD87" s="8">
        <f>IFERROR(VLOOKUP($AU87,stores[],MATCH(BD$1,stores[#Headers],0),0),"")</f>
        <v>18441</v>
      </c>
      <c r="BE87" s="8">
        <f>IFERROR(VLOOKUP($AU87,stores[],MATCH(BE$1,stores[#Headers],0),0),"")</f>
        <v>3.6</v>
      </c>
      <c r="BF87" s="8" t="str">
        <f>IFERROR(VLOOKUP($AU87,stores[],MATCH(BF$1,stores[#Headers],0),0),"")</f>
        <v>Yes</v>
      </c>
      <c r="BG87" s="8">
        <f>IFERROR(VLOOKUP($AU87,stores[],MATCH(BG$1,stores[#Headers],0),0),"")</f>
        <v>3151</v>
      </c>
      <c r="BH87" s="8" t="str">
        <f>IFERROR(VLOOKUP($AU87,stores[],MATCH(BH$1,stores[#Headers],0),0),"")</f>
        <v>Outlet</v>
      </c>
      <c r="BI87" s="8">
        <f>IFERROR(VLOOKUP($AU87,stores[],MATCH(BI$1,stores[#Headers],0),0),"")</f>
        <v>1006762676</v>
      </c>
      <c r="BJ87" s="8" t="str">
        <f>IFERROR(VLOOKUP($AU87,stores[],MATCH(BJ$1,stores[#Headers],0),0),"")</f>
        <v>keya17@kar.com</v>
      </c>
    </row>
    <row r="88" spans="1:62" x14ac:dyDescent="0.3">
      <c r="A88" s="8" t="str">
        <v>O1087</v>
      </c>
      <c r="B88" s="8" t="str">
        <v>C083</v>
      </c>
      <c r="C88" s="8" t="str">
        <v>P179</v>
      </c>
      <c r="D88" s="8">
        <v>45667</v>
      </c>
      <c r="E88" s="8">
        <v>1</v>
      </c>
      <c r="F88" s="8">
        <v>59299</v>
      </c>
      <c r="G88" s="8">
        <v>296495</v>
      </c>
      <c r="H88" s="8">
        <v>0.24</v>
      </c>
      <c r="I88" s="8" t="str">
        <v>Net Banking</v>
      </c>
      <c r="J88" s="8" t="str">
        <v>Pending</v>
      </c>
      <c r="K88" s="8">
        <v>45857</v>
      </c>
      <c r="L88" s="8" t="str">
        <v>No</v>
      </c>
      <c r="M88" s="8">
        <v>54</v>
      </c>
      <c r="N88" s="8" t="str">
        <v>Yes</v>
      </c>
      <c r="O88" s="8" t="str">
        <v>Yes</v>
      </c>
      <c r="P88" s="8" t="str">
        <f t="shared" si="3"/>
        <v>C083</v>
      </c>
      <c r="Q88" s="8" t="str">
        <f>VLOOKUP($B88,customers[],MATCH(Q$1,customers[#Headers],0),0)</f>
        <v>Aarini Grewal</v>
      </c>
      <c r="R88" s="8" t="str">
        <f>VLOOKUP($B88,customers[],MATCH(R$1,customers[#Headers],0),0)</f>
        <v>nazarethchakrika@example.net</v>
      </c>
      <c r="S88" s="8">
        <f>VLOOKUP($B88,customers[],MATCH(S$1,customers[#Headers],0),0)</f>
        <v>3296685161</v>
      </c>
      <c r="T88" s="8" t="str">
        <f>VLOOKUP($B88,customers[],MATCH(T$1,customers[#Headers],0),0)</f>
        <v>Jaipur</v>
      </c>
      <c r="U88" s="8" t="str">
        <f>VLOOKUP($B88,customers[],MATCH(U$1,customers[#Headers],0),0)</f>
        <v>Rajasthan</v>
      </c>
      <c r="V88" s="8">
        <f>VLOOKUP($B88,customers[],MATCH(V$1,customers[#Headers],0),0)</f>
        <v>275304</v>
      </c>
      <c r="W88" s="8" t="str">
        <f>VLOOKUP($B88,customers[],MATCH(W$1,customers[#Headers],0),0)</f>
        <v>Male</v>
      </c>
      <c r="X88" s="8">
        <f>VLOOKUP($B88,customers[],MATCH(X$1,customers[#Headers],0),0)</f>
        <v>31281</v>
      </c>
      <c r="Y88" s="8">
        <f>VLOOKUP($B88,customers[],MATCH(Y$1,customers[#Headers],0),0)</f>
        <v>44759</v>
      </c>
      <c r="Z88" s="8" t="str">
        <f>VLOOKUP($B88,customers[],MATCH(Z$1,customers[#Headers],0),0)</f>
        <v>Grocery</v>
      </c>
      <c r="AA88" s="8">
        <f>VLOOKUP($B88,customers[],MATCH(AA$1,customers[#Headers],0),0)</f>
        <v>3077</v>
      </c>
      <c r="AB88" s="8" t="str">
        <f>VLOOKUP($B88,customers[],MATCH(AB$1,customers[#Headers],0),0)</f>
        <v>Single</v>
      </c>
      <c r="AC88" s="8" t="str">
        <f>VLOOKUP($B88,customers[],MATCH(AC$1,customers[#Headers],0),0)</f>
        <v>Teacher</v>
      </c>
      <c r="AD88" s="8">
        <f>VLOOKUP($B88,customers[],MATCH(AD$1,customers[#Headers],0),0)</f>
        <v>995038</v>
      </c>
      <c r="AE88" s="8" t="str">
        <f t="shared" si="4"/>
        <v>P179</v>
      </c>
      <c r="AF88" s="8" t="str">
        <f>VLOOKUP($AE88,Products[],MATCH(AF$1,Products[#Headers],0),0)</f>
        <v>Delectus Laptop</v>
      </c>
      <c r="AG88" s="8" t="str">
        <f>VLOOKUP($AE88,Products[],MATCH(AG$1,Products[#Headers],0),0)</f>
        <v>Home Appliance</v>
      </c>
      <c r="AH88" s="8" t="str">
        <f>VLOOKUP($AE88,Products[],MATCH(AH$1,Products[#Headers],0),0)</f>
        <v>Android</v>
      </c>
      <c r="AI88" s="8" t="str">
        <f>VLOOKUP($AE88,Products[],MATCH(AI$1,Products[#Headers],0),0)</f>
        <v>Kara, Venkataraman and Saxena</v>
      </c>
      <c r="AJ88" s="8">
        <f>VLOOKUP($AE88,Products[],MATCH(AJ$1,Products[#Headers],0),0)</f>
        <v>59299</v>
      </c>
      <c r="AK88" s="8">
        <f>VLOOKUP($AE88,Products[],MATCH(AK$1,Products[#Headers],0),0)</f>
        <v>24</v>
      </c>
      <c r="AL88" s="8">
        <f>VLOOKUP($AE88,Products[],MATCH(AL$1,Products[#Headers],0),0)</f>
        <v>5</v>
      </c>
      <c r="AM88" s="8">
        <f>VLOOKUP($AE88,Products[],MATCH(AM$1,Products[#Headers],0),0)</f>
        <v>6</v>
      </c>
      <c r="AN88" s="8" t="str">
        <f>VLOOKUP($AE88,Products[],MATCH(AN$1,Products[#Headers],0),0)</f>
        <v>India</v>
      </c>
      <c r="AO88" s="8" t="str">
        <f>VLOOKUP($AE88,Products[],MATCH(AO$1,Products[#Headers],0),0)</f>
        <v>No</v>
      </c>
      <c r="AP88" s="8">
        <f>VLOOKUP($AE88,Products[],MATCH(AP$1,Products[#Headers],0),0)</f>
        <v>3</v>
      </c>
      <c r="AQ88" s="8">
        <f>VLOOKUP($AE88,Products[],MATCH(AQ$1,Products[#Headers],0),0)</f>
        <v>44773</v>
      </c>
      <c r="AR88" s="8" t="str">
        <f>VLOOKUP($AE88,Products[],MATCH(AR$1,Products[#Headers],0),0)</f>
        <v>Yes</v>
      </c>
      <c r="AS88" s="8">
        <f>VLOOKUP($AE88,Products[],MATCH(AS$1,Products[#Headers],0),0)</f>
        <v>9992</v>
      </c>
      <c r="AT88" s="8">
        <f>VLOOKUP($AE88,Products[],MATCH(AT$1,Products[#Headers],0),0)</f>
        <v>88</v>
      </c>
      <c r="AU88" s="8">
        <f t="shared" si="5"/>
        <v>88</v>
      </c>
      <c r="AV88" s="8" t="str">
        <f>IFERROR(VLOOKUP($AU88,stores[],MATCH(AV$1,stores[#Headers],0),0),"")</f>
        <v>S088</v>
      </c>
      <c r="AW88" s="8" t="str">
        <f>IFERROR(VLOOKUP($AU88,stores[],MATCH(AW$1,stores[#Headers],0),0),"")</f>
        <v>Muni Ltd Mart</v>
      </c>
      <c r="AX88" s="8" t="str">
        <f>IFERROR(VLOOKUP($AU88,stores[],MATCH(AX$1,stores[#Headers],0),0),"")</f>
        <v>Delhi</v>
      </c>
      <c r="AY88" s="8" t="str">
        <f>IFERROR(VLOOKUP($AU88,stores[],MATCH(AY$1,stores[#Headers],0),0),"")</f>
        <v>Delhi</v>
      </c>
      <c r="AZ88" s="8">
        <f>IFERROR(VLOOKUP($AU88,stores[],MATCH(AZ$1,stores[#Headers],0),0),"")</f>
        <v>533448</v>
      </c>
      <c r="BA88" s="8" t="str">
        <f>IFERROR(VLOOKUP($AU88,stores[],MATCH(BA$1,stores[#Headers],0),0),"")</f>
        <v>Ridhi Dalal</v>
      </c>
      <c r="BB88" s="8">
        <f>IFERROR(VLOOKUP($AU88,stores[],MATCH(BB$1,stores[#Headers],0),0),"")</f>
        <v>2003</v>
      </c>
      <c r="BC88" s="8">
        <f>IFERROR(VLOOKUP($AU88,stores[],MATCH(BC$1,stores[#Headers],0),0),"")</f>
        <v>47</v>
      </c>
      <c r="BD88" s="8">
        <f>IFERROR(VLOOKUP($AU88,stores[],MATCH(BD$1,stores[#Headers],0),0),"")</f>
        <v>7735</v>
      </c>
      <c r="BE88" s="8">
        <f>IFERROR(VLOOKUP($AU88,stores[],MATCH(BE$1,stores[#Headers],0),0),"")</f>
        <v>4.9000000000000004</v>
      </c>
      <c r="BF88" s="8" t="str">
        <f>IFERROR(VLOOKUP($AU88,stores[],MATCH(BF$1,stores[#Headers],0),0),"")</f>
        <v>No</v>
      </c>
      <c r="BG88" s="8">
        <f>IFERROR(VLOOKUP($AU88,stores[],MATCH(BG$1,stores[#Headers],0),0),"")</f>
        <v>4924</v>
      </c>
      <c r="BH88" s="8" t="str">
        <f>IFERROR(VLOOKUP($AU88,stores[],MATCH(BH$1,stores[#Headers],0),0),"")</f>
        <v>Franchise</v>
      </c>
      <c r="BI88" s="8">
        <f>IFERROR(VLOOKUP($AU88,stores[],MATCH(BI$1,stores[#Headers],0),0),"")</f>
        <v>2241098813</v>
      </c>
      <c r="BJ88" s="8" t="str">
        <f>IFERROR(VLOOKUP($AU88,stores[],MATCH(BJ$1,stores[#Headers],0),0),"")</f>
        <v>eiravati42@mander.com</v>
      </c>
    </row>
    <row r="89" spans="1:62" x14ac:dyDescent="0.3">
      <c r="A89" s="8" t="str">
        <v>O1088</v>
      </c>
      <c r="B89" s="8" t="str">
        <v>C034</v>
      </c>
      <c r="C89" s="8" t="str">
        <v>P129</v>
      </c>
      <c r="D89" s="8">
        <v>45714</v>
      </c>
      <c r="E89" s="8">
        <v>5</v>
      </c>
      <c r="F89" s="8">
        <v>39710</v>
      </c>
      <c r="G89" s="8">
        <v>198550</v>
      </c>
      <c r="H89" s="8">
        <v>0.25</v>
      </c>
      <c r="I89" s="8" t="str">
        <v>Cash on Delivery</v>
      </c>
      <c r="J89" s="8" t="str">
        <v>Shipped</v>
      </c>
      <c r="K89" s="8">
        <v>45857</v>
      </c>
      <c r="L89" s="8" t="str">
        <v>No</v>
      </c>
      <c r="M89" s="8">
        <v>191</v>
      </c>
      <c r="N89" s="8" t="str">
        <v>No</v>
      </c>
      <c r="O89" s="8" t="str">
        <v>No</v>
      </c>
      <c r="P89" s="8" t="str">
        <f t="shared" si="3"/>
        <v>C034</v>
      </c>
      <c r="Q89" s="8" t="str">
        <f>VLOOKUP($B89,customers[],MATCH(Q$1,customers[#Headers],0),0)</f>
        <v>Nandini Bansal</v>
      </c>
      <c r="R89" s="8" t="str">
        <f>VLOOKUP($B89,customers[],MATCH(R$1,customers[#Headers],0),0)</f>
        <v>uchakrabarti@example.com</v>
      </c>
      <c r="S89" s="8">
        <f>VLOOKUP($B89,customers[],MATCH(S$1,customers[#Headers],0),0)</f>
        <v>1680876038</v>
      </c>
      <c r="T89" s="8" t="str">
        <f>VLOOKUP($B89,customers[],MATCH(T$1,customers[#Headers],0),0)</f>
        <v>Pune</v>
      </c>
      <c r="U89" s="8" t="str">
        <f>VLOOKUP($B89,customers[],MATCH(U$1,customers[#Headers],0),0)</f>
        <v>Maharashtra</v>
      </c>
      <c r="V89" s="8">
        <f>VLOOKUP($B89,customers[],MATCH(V$1,customers[#Headers],0),0)</f>
        <v>977034</v>
      </c>
      <c r="W89" s="8" t="str">
        <f>VLOOKUP($B89,customers[],MATCH(W$1,customers[#Headers],0),0)</f>
        <v>Male</v>
      </c>
      <c r="X89" s="8">
        <f>VLOOKUP($B89,customers[],MATCH(X$1,customers[#Headers],0),0)</f>
        <v>35398</v>
      </c>
      <c r="Y89" s="8">
        <f>VLOOKUP($B89,customers[],MATCH(Y$1,customers[#Headers],0),0)</f>
        <v>44435</v>
      </c>
      <c r="Z89" s="8" t="str">
        <f>VLOOKUP($B89,customers[],MATCH(Z$1,customers[#Headers],0),0)</f>
        <v>Electronics</v>
      </c>
      <c r="AA89" s="8">
        <f>VLOOKUP($B89,customers[],MATCH(AA$1,customers[#Headers],0),0)</f>
        <v>3972</v>
      </c>
      <c r="AB89" s="8" t="str">
        <f>VLOOKUP($B89,customers[],MATCH(AB$1,customers[#Headers],0),0)</f>
        <v>Single</v>
      </c>
      <c r="AC89" s="8" t="str">
        <f>VLOOKUP($B89,customers[],MATCH(AC$1,customers[#Headers],0),0)</f>
        <v>Business</v>
      </c>
      <c r="AD89" s="8">
        <f>VLOOKUP($B89,customers[],MATCH(AD$1,customers[#Headers],0),0)</f>
        <v>1218463</v>
      </c>
      <c r="AE89" s="8" t="str">
        <f t="shared" si="4"/>
        <v>P129</v>
      </c>
      <c r="AF89" s="8" t="str">
        <f>VLOOKUP($AE89,Products[],MATCH(AF$1,Products[#Headers],0),0)</f>
        <v>Corrupti Phone</v>
      </c>
      <c r="AG89" s="8" t="str">
        <f>VLOOKUP($AE89,Products[],MATCH(AG$1,Products[#Headers],0),0)</f>
        <v>Grocery</v>
      </c>
      <c r="AH89" s="8" t="str">
        <f>VLOOKUP($AE89,Products[],MATCH(AH$1,Products[#Headers],0),0)</f>
        <v>Organic</v>
      </c>
      <c r="AI89" s="8" t="str">
        <f>VLOOKUP($AE89,Products[],MATCH(AI$1,Products[#Headers],0),0)</f>
        <v>Gala, Kohli and Varty</v>
      </c>
      <c r="AJ89" s="8">
        <f>VLOOKUP($AE89,Products[],MATCH(AJ$1,Products[#Headers],0),0)</f>
        <v>39710</v>
      </c>
      <c r="AK89" s="8">
        <f>VLOOKUP($AE89,Products[],MATCH(AK$1,Products[#Headers],0),0)</f>
        <v>25</v>
      </c>
      <c r="AL89" s="8">
        <f>VLOOKUP($AE89,Products[],MATCH(AL$1,Products[#Headers],0),0)</f>
        <v>985</v>
      </c>
      <c r="AM89" s="8">
        <f>VLOOKUP($AE89,Products[],MATCH(AM$1,Products[#Headers],0),0)</f>
        <v>36</v>
      </c>
      <c r="AN89" s="8" t="str">
        <f>VLOOKUP($AE89,Products[],MATCH(AN$1,Products[#Headers],0),0)</f>
        <v>Vietnam</v>
      </c>
      <c r="AO89" s="8" t="str">
        <f>VLOOKUP($AE89,Products[],MATCH(AO$1,Products[#Headers],0),0)</f>
        <v>No</v>
      </c>
      <c r="AP89" s="8">
        <f>VLOOKUP($AE89,Products[],MATCH(AP$1,Products[#Headers],0),0)</f>
        <v>4.5999999999999996</v>
      </c>
      <c r="AQ89" s="8">
        <f>VLOOKUP($AE89,Products[],MATCH(AQ$1,Products[#Headers],0),0)</f>
        <v>45030</v>
      </c>
      <c r="AR89" s="8" t="str">
        <f>VLOOKUP($AE89,Products[],MATCH(AR$1,Products[#Headers],0),0)</f>
        <v>Yes</v>
      </c>
      <c r="AS89" s="8">
        <f>VLOOKUP($AE89,Products[],MATCH(AS$1,Products[#Headers],0),0)</f>
        <v>7303</v>
      </c>
      <c r="AT89" s="8">
        <f>VLOOKUP($AE89,Products[],MATCH(AT$1,Products[#Headers],0),0)</f>
        <v>157</v>
      </c>
      <c r="AU89" s="8">
        <f t="shared" si="5"/>
        <v>157</v>
      </c>
      <c r="AV89" s="8" t="str">
        <f>IFERROR(VLOOKUP($AU89,stores[],MATCH(AV$1,stores[#Headers],0),0),"")</f>
        <v/>
      </c>
      <c r="AW89" s="8" t="str">
        <f>IFERROR(VLOOKUP($AU89,stores[],MATCH(AW$1,stores[#Headers],0),0),"")</f>
        <v/>
      </c>
      <c r="AX89" s="8" t="str">
        <f>IFERROR(VLOOKUP($AU89,stores[],MATCH(AX$1,stores[#Headers],0),0),"")</f>
        <v/>
      </c>
      <c r="AY89" s="8" t="str">
        <f>IFERROR(VLOOKUP($AU89,stores[],MATCH(AY$1,stores[#Headers],0),0),"")</f>
        <v/>
      </c>
      <c r="AZ89" s="8" t="str">
        <f>IFERROR(VLOOKUP($AU89,stores[],MATCH(AZ$1,stores[#Headers],0),0),"")</f>
        <v/>
      </c>
      <c r="BA89" s="8" t="str">
        <f>IFERROR(VLOOKUP($AU89,stores[],MATCH(BA$1,stores[#Headers],0),0),"")</f>
        <v/>
      </c>
      <c r="BB89" s="8" t="str">
        <f>IFERROR(VLOOKUP($AU89,stores[],MATCH(BB$1,stores[#Headers],0),0),"")</f>
        <v/>
      </c>
      <c r="BC89" s="8" t="str">
        <f>IFERROR(VLOOKUP($AU89,stores[],MATCH(BC$1,stores[#Headers],0),0),"")</f>
        <v/>
      </c>
      <c r="BD89" s="8" t="str">
        <f>IFERROR(VLOOKUP($AU89,stores[],MATCH(BD$1,stores[#Headers],0),0),"")</f>
        <v/>
      </c>
      <c r="BE89" s="8" t="str">
        <f>IFERROR(VLOOKUP($AU89,stores[],MATCH(BE$1,stores[#Headers],0),0),"")</f>
        <v/>
      </c>
      <c r="BF89" s="8" t="str">
        <f>IFERROR(VLOOKUP($AU89,stores[],MATCH(BF$1,stores[#Headers],0),0),"")</f>
        <v/>
      </c>
      <c r="BG89" s="8" t="str">
        <f>IFERROR(VLOOKUP($AU89,stores[],MATCH(BG$1,stores[#Headers],0),0),"")</f>
        <v/>
      </c>
      <c r="BH89" s="8" t="str">
        <f>IFERROR(VLOOKUP($AU89,stores[],MATCH(BH$1,stores[#Headers],0),0),"")</f>
        <v/>
      </c>
      <c r="BI89" s="8" t="str">
        <f>IFERROR(VLOOKUP($AU89,stores[],MATCH(BI$1,stores[#Headers],0),0),"")</f>
        <v/>
      </c>
      <c r="BJ89" s="8" t="str">
        <f>IFERROR(VLOOKUP($AU89,stores[],MATCH(BJ$1,stores[#Headers],0),0),"")</f>
        <v/>
      </c>
    </row>
    <row r="90" spans="1:62" x14ac:dyDescent="0.3">
      <c r="A90" s="8" t="str">
        <v>O1089</v>
      </c>
      <c r="B90" s="8" t="str">
        <v>C099</v>
      </c>
      <c r="C90" s="8" t="str">
        <v>P187</v>
      </c>
      <c r="D90" s="8">
        <v>45685</v>
      </c>
      <c r="E90" s="8">
        <v>5</v>
      </c>
      <c r="F90" s="8">
        <v>52931</v>
      </c>
      <c r="G90" s="8">
        <v>264655</v>
      </c>
      <c r="H90" s="8">
        <v>0.28000000000000003</v>
      </c>
      <c r="I90" s="8" t="str">
        <v>Debit Card</v>
      </c>
      <c r="J90" s="8" t="str">
        <v>Pending</v>
      </c>
      <c r="K90" s="8">
        <v>45858</v>
      </c>
      <c r="L90" s="8" t="str">
        <v>Yes</v>
      </c>
      <c r="M90" s="8">
        <v>247</v>
      </c>
      <c r="N90" s="8" t="str">
        <v>Yes</v>
      </c>
      <c r="O90" s="8" t="str">
        <v>No</v>
      </c>
      <c r="P90" s="8" t="str">
        <f t="shared" si="3"/>
        <v>C099</v>
      </c>
      <c r="Q90" s="8" t="str">
        <f>VLOOKUP($B90,customers[],MATCH(Q$1,customers[#Headers],0),0)</f>
        <v>Frederick Merchant</v>
      </c>
      <c r="R90" s="8" t="str">
        <f>VLOOKUP($B90,customers[],MATCH(R$1,customers[#Headers],0),0)</f>
        <v>ethanbutala@example.com</v>
      </c>
      <c r="S90" s="8">
        <f>VLOOKUP($B90,customers[],MATCH(S$1,customers[#Headers],0),0)</f>
        <v>916265511047</v>
      </c>
      <c r="T90" s="8" t="str">
        <f>VLOOKUP($B90,customers[],MATCH(T$1,customers[#Headers],0),0)</f>
        <v>Pune</v>
      </c>
      <c r="U90" s="8" t="str">
        <f>VLOOKUP($B90,customers[],MATCH(U$1,customers[#Headers],0),0)</f>
        <v>Maharashtra</v>
      </c>
      <c r="V90" s="8">
        <f>VLOOKUP($B90,customers[],MATCH(V$1,customers[#Headers],0),0)</f>
        <v>412126</v>
      </c>
      <c r="W90" s="8" t="str">
        <f>VLOOKUP($B90,customers[],MATCH(W$1,customers[#Headers],0),0)</f>
        <v>Male</v>
      </c>
      <c r="X90" s="8">
        <f>VLOOKUP($B90,customers[],MATCH(X$1,customers[#Headers],0),0)</f>
        <v>32904</v>
      </c>
      <c r="Y90" s="8">
        <f>VLOOKUP($B90,customers[],MATCH(Y$1,customers[#Headers],0),0)</f>
        <v>45758</v>
      </c>
      <c r="Z90" s="8" t="str">
        <f>VLOOKUP($B90,customers[],MATCH(Z$1,customers[#Headers],0),0)</f>
        <v>Grocery</v>
      </c>
      <c r="AA90" s="8">
        <f>VLOOKUP($B90,customers[],MATCH(AA$1,customers[#Headers],0),0)</f>
        <v>8141</v>
      </c>
      <c r="AB90" s="8" t="str">
        <f>VLOOKUP($B90,customers[],MATCH(AB$1,customers[#Headers],0),0)</f>
        <v>Married</v>
      </c>
      <c r="AC90" s="8" t="str">
        <f>VLOOKUP($B90,customers[],MATCH(AC$1,customers[#Headers],0),0)</f>
        <v>Engineer</v>
      </c>
      <c r="AD90" s="8">
        <f>VLOOKUP($B90,customers[],MATCH(AD$1,customers[#Headers],0),0)</f>
        <v>395147</v>
      </c>
      <c r="AE90" s="8" t="str">
        <f t="shared" si="4"/>
        <v>P187</v>
      </c>
      <c r="AF90" s="8" t="str">
        <f>VLOOKUP($AE90,Products[],MATCH(AF$1,Products[#Headers],0),0)</f>
        <v>Commodi Phone</v>
      </c>
      <c r="AG90" s="8" t="str">
        <f>VLOOKUP($AE90,Products[],MATCH(AG$1,Products[#Headers],0),0)</f>
        <v>Electronics</v>
      </c>
      <c r="AH90" s="8" t="str">
        <f>VLOOKUP($AE90,Products[],MATCH(AH$1,Products[#Headers],0),0)</f>
        <v>Android</v>
      </c>
      <c r="AI90" s="8" t="str">
        <f>VLOOKUP($AE90,Products[],MATCH(AI$1,Products[#Headers],0),0)</f>
        <v>Dey Inc</v>
      </c>
      <c r="AJ90" s="8">
        <f>VLOOKUP($AE90,Products[],MATCH(AJ$1,Products[#Headers],0),0)</f>
        <v>52931</v>
      </c>
      <c r="AK90" s="8">
        <f>VLOOKUP($AE90,Products[],MATCH(AK$1,Products[#Headers],0),0)</f>
        <v>28</v>
      </c>
      <c r="AL90" s="8">
        <f>VLOOKUP($AE90,Products[],MATCH(AL$1,Products[#Headers],0),0)</f>
        <v>450</v>
      </c>
      <c r="AM90" s="8">
        <f>VLOOKUP($AE90,Products[],MATCH(AM$1,Products[#Headers],0),0)</f>
        <v>36</v>
      </c>
      <c r="AN90" s="8" t="str">
        <f>VLOOKUP($AE90,Products[],MATCH(AN$1,Products[#Headers],0),0)</f>
        <v>Vietnam</v>
      </c>
      <c r="AO90" s="8" t="str">
        <f>VLOOKUP($AE90,Products[],MATCH(AO$1,Products[#Headers],0),0)</f>
        <v>Yes</v>
      </c>
      <c r="AP90" s="8">
        <f>VLOOKUP($AE90,Products[],MATCH(AP$1,Products[#Headers],0),0)</f>
        <v>3.7</v>
      </c>
      <c r="AQ90" s="8">
        <f>VLOOKUP($AE90,Products[],MATCH(AQ$1,Products[#Headers],0),0)</f>
        <v>45674</v>
      </c>
      <c r="AR90" s="8" t="str">
        <f>VLOOKUP($AE90,Products[],MATCH(AR$1,Products[#Headers],0),0)</f>
        <v>No</v>
      </c>
      <c r="AS90" s="8">
        <f>VLOOKUP($AE90,Products[],MATCH(AS$1,Products[#Headers],0),0)</f>
        <v>7019</v>
      </c>
      <c r="AT90" s="8">
        <f>VLOOKUP($AE90,Products[],MATCH(AT$1,Products[#Headers],0),0)</f>
        <v>148</v>
      </c>
      <c r="AU90" s="8">
        <f t="shared" si="5"/>
        <v>148</v>
      </c>
      <c r="AV90" s="8" t="str">
        <f>IFERROR(VLOOKUP($AU90,stores[],MATCH(AV$1,stores[#Headers],0),0),"")</f>
        <v/>
      </c>
      <c r="AW90" s="8" t="str">
        <f>IFERROR(VLOOKUP($AU90,stores[],MATCH(AW$1,stores[#Headers],0),0),"")</f>
        <v/>
      </c>
      <c r="AX90" s="8" t="str">
        <f>IFERROR(VLOOKUP($AU90,stores[],MATCH(AX$1,stores[#Headers],0),0),"")</f>
        <v/>
      </c>
      <c r="AY90" s="8" t="str">
        <f>IFERROR(VLOOKUP($AU90,stores[],MATCH(AY$1,stores[#Headers],0),0),"")</f>
        <v/>
      </c>
      <c r="AZ90" s="8" t="str">
        <f>IFERROR(VLOOKUP($AU90,stores[],MATCH(AZ$1,stores[#Headers],0),0),"")</f>
        <v/>
      </c>
      <c r="BA90" s="8" t="str">
        <f>IFERROR(VLOOKUP($AU90,stores[],MATCH(BA$1,stores[#Headers],0),0),"")</f>
        <v/>
      </c>
      <c r="BB90" s="8" t="str">
        <f>IFERROR(VLOOKUP($AU90,stores[],MATCH(BB$1,stores[#Headers],0),0),"")</f>
        <v/>
      </c>
      <c r="BC90" s="8" t="str">
        <f>IFERROR(VLOOKUP($AU90,stores[],MATCH(BC$1,stores[#Headers],0),0),"")</f>
        <v/>
      </c>
      <c r="BD90" s="8" t="str">
        <f>IFERROR(VLOOKUP($AU90,stores[],MATCH(BD$1,stores[#Headers],0),0),"")</f>
        <v/>
      </c>
      <c r="BE90" s="8" t="str">
        <f>IFERROR(VLOOKUP($AU90,stores[],MATCH(BE$1,stores[#Headers],0),0),"")</f>
        <v/>
      </c>
      <c r="BF90" s="8" t="str">
        <f>IFERROR(VLOOKUP($AU90,stores[],MATCH(BF$1,stores[#Headers],0),0),"")</f>
        <v/>
      </c>
      <c r="BG90" s="8" t="str">
        <f>IFERROR(VLOOKUP($AU90,stores[],MATCH(BG$1,stores[#Headers],0),0),"")</f>
        <v/>
      </c>
      <c r="BH90" s="8" t="str">
        <f>IFERROR(VLOOKUP($AU90,stores[],MATCH(BH$1,stores[#Headers],0),0),"")</f>
        <v/>
      </c>
      <c r="BI90" s="8" t="str">
        <f>IFERROR(VLOOKUP($AU90,stores[],MATCH(BI$1,stores[#Headers],0),0),"")</f>
        <v/>
      </c>
      <c r="BJ90" s="8" t="str">
        <f>IFERROR(VLOOKUP($AU90,stores[],MATCH(BJ$1,stores[#Headers],0),0),"")</f>
        <v/>
      </c>
    </row>
    <row r="91" spans="1:62" x14ac:dyDescent="0.3">
      <c r="A91" s="8" t="str">
        <v>O1090</v>
      </c>
      <c r="B91" s="8" t="str">
        <v>C054</v>
      </c>
      <c r="C91" s="8" t="str">
        <v>P111</v>
      </c>
      <c r="D91" s="8">
        <v>45736</v>
      </c>
      <c r="E91" s="8">
        <v>1</v>
      </c>
      <c r="F91" s="8">
        <v>90766</v>
      </c>
      <c r="G91" s="8">
        <v>181532</v>
      </c>
      <c r="H91" s="8">
        <v>0.14000000000000001</v>
      </c>
      <c r="I91" s="8" t="str">
        <v>UPI</v>
      </c>
      <c r="J91" s="8" t="str">
        <v>Pending</v>
      </c>
      <c r="K91" s="8">
        <v>45864</v>
      </c>
      <c r="L91" s="8" t="str">
        <v>No</v>
      </c>
      <c r="M91" s="8">
        <v>233</v>
      </c>
      <c r="N91" s="8" t="str">
        <v>Yes</v>
      </c>
      <c r="O91" s="8" t="str">
        <v>No</v>
      </c>
      <c r="P91" s="8" t="str">
        <f t="shared" si="3"/>
        <v>C054</v>
      </c>
      <c r="Q91" s="8" t="str">
        <f>VLOOKUP($B91,customers[],MATCH(Q$1,customers[#Headers],0),0)</f>
        <v>Ishwar Ravel</v>
      </c>
      <c r="R91" s="8" t="str">
        <f>VLOOKUP($B91,customers[],MATCH(R$1,customers[#Headers],0),0)</f>
        <v>naironveer@example.net</v>
      </c>
      <c r="S91" s="8">
        <f>VLOOKUP($B91,customers[],MATCH(S$1,customers[#Headers],0),0)</f>
        <v>5161369681</v>
      </c>
      <c r="T91" s="8" t="str">
        <f>VLOOKUP($B91,customers[],MATCH(T$1,customers[#Headers],0),0)</f>
        <v>Delhi</v>
      </c>
      <c r="U91" s="8" t="str">
        <f>VLOOKUP($B91,customers[],MATCH(U$1,customers[#Headers],0),0)</f>
        <v>Delhi</v>
      </c>
      <c r="V91" s="8">
        <f>VLOOKUP($B91,customers[],MATCH(V$1,customers[#Headers],0),0)</f>
        <v>453521</v>
      </c>
      <c r="W91" s="8" t="str">
        <f>VLOOKUP($B91,customers[],MATCH(W$1,customers[#Headers],0),0)</f>
        <v>Male</v>
      </c>
      <c r="X91" s="8">
        <f>VLOOKUP($B91,customers[],MATCH(X$1,customers[#Headers],0),0)</f>
        <v>34436</v>
      </c>
      <c r="Y91" s="8">
        <f>VLOOKUP($B91,customers[],MATCH(Y$1,customers[#Headers],0),0)</f>
        <v>44382</v>
      </c>
      <c r="Z91" s="8" t="str">
        <f>VLOOKUP($B91,customers[],MATCH(Z$1,customers[#Headers],0),0)</f>
        <v>Fashion</v>
      </c>
      <c r="AA91" s="8">
        <f>VLOOKUP($B91,customers[],MATCH(AA$1,customers[#Headers],0),0)</f>
        <v>6845</v>
      </c>
      <c r="AB91" s="8" t="str">
        <f>VLOOKUP($B91,customers[],MATCH(AB$1,customers[#Headers],0),0)</f>
        <v>Single</v>
      </c>
      <c r="AC91" s="8" t="str">
        <f>VLOOKUP($B91,customers[],MATCH(AC$1,customers[#Headers],0),0)</f>
        <v>Teacher</v>
      </c>
      <c r="AD91" s="8">
        <f>VLOOKUP($B91,customers[],MATCH(AD$1,customers[#Headers],0),0)</f>
        <v>533862</v>
      </c>
      <c r="AE91" s="8" t="str">
        <f t="shared" si="4"/>
        <v>P111</v>
      </c>
      <c r="AF91" s="8" t="str">
        <f>VLOOKUP($AE91,Products[],MATCH(AF$1,Products[#Headers],0),0)</f>
        <v>Ducimus TV</v>
      </c>
      <c r="AG91" s="8" t="str">
        <f>VLOOKUP($AE91,Products[],MATCH(AG$1,Products[#Headers],0),0)</f>
        <v>Grocery</v>
      </c>
      <c r="AH91" s="8" t="str">
        <f>VLOOKUP($AE91,Products[],MATCH(AH$1,Products[#Headers],0),0)</f>
        <v>Android</v>
      </c>
      <c r="AI91" s="8" t="str">
        <f>VLOOKUP($AE91,Products[],MATCH(AI$1,Products[#Headers],0),0)</f>
        <v>Bala, Shenoy and Kadakia</v>
      </c>
      <c r="AJ91" s="8">
        <f>VLOOKUP($AE91,Products[],MATCH(AJ$1,Products[#Headers],0),0)</f>
        <v>90766</v>
      </c>
      <c r="AK91" s="8">
        <f>VLOOKUP($AE91,Products[],MATCH(AK$1,Products[#Headers],0),0)</f>
        <v>14</v>
      </c>
      <c r="AL91" s="8">
        <f>VLOOKUP($AE91,Products[],MATCH(AL$1,Products[#Headers],0),0)</f>
        <v>716</v>
      </c>
      <c r="AM91" s="8">
        <f>VLOOKUP($AE91,Products[],MATCH(AM$1,Products[#Headers],0),0)</f>
        <v>36</v>
      </c>
      <c r="AN91" s="8" t="str">
        <f>VLOOKUP($AE91,Products[],MATCH(AN$1,Products[#Headers],0),0)</f>
        <v>Vietnam</v>
      </c>
      <c r="AO91" s="8" t="str">
        <f>VLOOKUP($AE91,Products[],MATCH(AO$1,Products[#Headers],0),0)</f>
        <v>No</v>
      </c>
      <c r="AP91" s="8">
        <f>VLOOKUP($AE91,Products[],MATCH(AP$1,Products[#Headers],0),0)</f>
        <v>3.6</v>
      </c>
      <c r="AQ91" s="8">
        <f>VLOOKUP($AE91,Products[],MATCH(AQ$1,Products[#Headers],0),0)</f>
        <v>45440</v>
      </c>
      <c r="AR91" s="8" t="str">
        <f>VLOOKUP($AE91,Products[],MATCH(AR$1,Products[#Headers],0),0)</f>
        <v>Yes</v>
      </c>
      <c r="AS91" s="8">
        <f>VLOOKUP($AE91,Products[],MATCH(AS$1,Products[#Headers],0),0)</f>
        <v>8079</v>
      </c>
      <c r="AT91" s="8">
        <f>VLOOKUP($AE91,Products[],MATCH(AT$1,Products[#Headers],0),0)</f>
        <v>71</v>
      </c>
      <c r="AU91" s="8">
        <f t="shared" si="5"/>
        <v>71</v>
      </c>
      <c r="AV91" s="8" t="str">
        <f>IFERROR(VLOOKUP($AU91,stores[],MATCH(AV$1,stores[#Headers],0),0),"")</f>
        <v>S071</v>
      </c>
      <c r="AW91" s="8" t="str">
        <f>IFERROR(VLOOKUP($AU91,stores[],MATCH(AW$1,stores[#Headers],0),0),"")</f>
        <v>Thaman-Chana Mart</v>
      </c>
      <c r="AX91" s="8" t="str">
        <f>IFERROR(VLOOKUP($AU91,stores[],MATCH(AX$1,stores[#Headers],0),0),"")</f>
        <v>Bangalore</v>
      </c>
      <c r="AY91" s="8" t="str">
        <f>IFERROR(VLOOKUP($AU91,stores[],MATCH(AY$1,stores[#Headers],0),0),"")</f>
        <v>Karnataka</v>
      </c>
      <c r="AZ91" s="8">
        <f>IFERROR(VLOOKUP($AU91,stores[],MATCH(AZ$1,stores[#Headers],0),0),"")</f>
        <v>646225</v>
      </c>
      <c r="BA91" s="8" t="str">
        <f>IFERROR(VLOOKUP($AU91,stores[],MATCH(BA$1,stores[#Headers],0),0),"")</f>
        <v>Vamakshi Bawa</v>
      </c>
      <c r="BB91" s="8">
        <f>IFERROR(VLOOKUP($AU91,stores[],MATCH(BB$1,stores[#Headers],0),0),"")</f>
        <v>2005</v>
      </c>
      <c r="BC91" s="8">
        <f>IFERROR(VLOOKUP($AU91,stores[],MATCH(BC$1,stores[#Headers],0),0),"")</f>
        <v>35</v>
      </c>
      <c r="BD91" s="8">
        <f>IFERROR(VLOOKUP($AU91,stores[],MATCH(BD$1,stores[#Headers],0),0),"")</f>
        <v>11420</v>
      </c>
      <c r="BE91" s="8">
        <f>IFERROR(VLOOKUP($AU91,stores[],MATCH(BE$1,stores[#Headers],0),0),"")</f>
        <v>4.5999999999999996</v>
      </c>
      <c r="BF91" s="8" t="str">
        <f>IFERROR(VLOOKUP($AU91,stores[],MATCH(BF$1,stores[#Headers],0),0),"")</f>
        <v>No</v>
      </c>
      <c r="BG91" s="8">
        <f>IFERROR(VLOOKUP($AU91,stores[],MATCH(BG$1,stores[#Headers],0),0),"")</f>
        <v>731</v>
      </c>
      <c r="BH91" s="8" t="str">
        <f>IFERROR(VLOOKUP($AU91,stores[],MATCH(BH$1,stores[#Headers],0),0),"")</f>
        <v>Outlet</v>
      </c>
      <c r="BI91" s="8">
        <f>IFERROR(VLOOKUP($AU91,stores[],MATCH(BI$1,stores[#Headers],0),0),"")</f>
        <v>6416862278</v>
      </c>
      <c r="BJ91" s="8" t="str">
        <f>IFERROR(VLOOKUP($AU91,stores[],MATCH(BJ$1,stores[#Headers],0),0),"")</f>
        <v>vinayarana@hayre.com</v>
      </c>
    </row>
    <row r="92" spans="1:62" x14ac:dyDescent="0.3">
      <c r="A92" s="8" t="str">
        <v>O1091</v>
      </c>
      <c r="B92" s="8" t="str">
        <v>C045</v>
      </c>
      <c r="C92" s="8" t="str">
        <v>P161</v>
      </c>
      <c r="D92" s="8">
        <v>45518</v>
      </c>
      <c r="E92" s="8">
        <v>1</v>
      </c>
      <c r="F92" s="8">
        <v>98254</v>
      </c>
      <c r="G92" s="8">
        <v>393016</v>
      </c>
      <c r="H92" s="8">
        <v>0.15</v>
      </c>
      <c r="I92" s="8" t="str">
        <v>Net Banking</v>
      </c>
      <c r="J92" s="8" t="str">
        <v>Pending</v>
      </c>
      <c r="K92" s="8">
        <v>45869</v>
      </c>
      <c r="L92" s="8" t="str">
        <v>Yes</v>
      </c>
      <c r="M92" s="8">
        <v>153</v>
      </c>
      <c r="N92" s="8" t="str">
        <v>Yes</v>
      </c>
      <c r="O92" s="8" t="str">
        <v>Yes</v>
      </c>
      <c r="P92" s="8" t="str">
        <f t="shared" si="3"/>
        <v>C045</v>
      </c>
      <c r="Q92" s="8" t="str">
        <f>VLOOKUP($B92,customers[],MATCH(Q$1,customers[#Headers],0),0)</f>
        <v>Darsh Rao</v>
      </c>
      <c r="R92" s="8" t="str">
        <f>VLOOKUP($B92,customers[],MATCH(R$1,customers[#Headers],0),0)</f>
        <v>ranveer17@example.org</v>
      </c>
      <c r="S92" s="8">
        <f>VLOOKUP($B92,customers[],MATCH(S$1,customers[#Headers],0),0)</f>
        <v>3900532931</v>
      </c>
      <c r="T92" s="8" t="str">
        <f>VLOOKUP($B92,customers[],MATCH(T$1,customers[#Headers],0),0)</f>
        <v>Chennai</v>
      </c>
      <c r="U92" s="8" t="str">
        <f>VLOOKUP($B92,customers[],MATCH(U$1,customers[#Headers],0),0)</f>
        <v>Tamil Nadu</v>
      </c>
      <c r="V92" s="8">
        <f>VLOOKUP($B92,customers[],MATCH(V$1,customers[#Headers],0),0)</f>
        <v>933529</v>
      </c>
      <c r="W92" s="8" t="str">
        <f>VLOOKUP($B92,customers[],MATCH(W$1,customers[#Headers],0),0)</f>
        <v>Male</v>
      </c>
      <c r="X92" s="8">
        <f>VLOOKUP($B92,customers[],MATCH(X$1,customers[#Headers],0),0)</f>
        <v>21818</v>
      </c>
      <c r="Y92" s="8">
        <f>VLOOKUP($B92,customers[],MATCH(Y$1,customers[#Headers],0),0)</f>
        <v>44889</v>
      </c>
      <c r="Z92" s="8" t="str">
        <f>VLOOKUP($B92,customers[],MATCH(Z$1,customers[#Headers],0),0)</f>
        <v>Grocery</v>
      </c>
      <c r="AA92" s="8">
        <f>VLOOKUP($B92,customers[],MATCH(AA$1,customers[#Headers],0),0)</f>
        <v>9000</v>
      </c>
      <c r="AB92" s="8" t="str">
        <f>VLOOKUP($B92,customers[],MATCH(AB$1,customers[#Headers],0),0)</f>
        <v>Married</v>
      </c>
      <c r="AC92" s="8" t="str">
        <f>VLOOKUP($B92,customers[],MATCH(AC$1,customers[#Headers],0),0)</f>
        <v>Student</v>
      </c>
      <c r="AD92" s="8">
        <f>VLOOKUP($B92,customers[],MATCH(AD$1,customers[#Headers],0),0)</f>
        <v>1892611</v>
      </c>
      <c r="AE92" s="8" t="str">
        <f t="shared" si="4"/>
        <v>P161</v>
      </c>
      <c r="AF92" s="8" t="str">
        <f>VLOOKUP($AE92,Products[],MATCH(AF$1,Products[#Headers],0),0)</f>
        <v>Veritatis Washing Machine</v>
      </c>
      <c r="AG92" s="8" t="str">
        <f>VLOOKUP($AE92,Products[],MATCH(AG$1,Products[#Headers],0),0)</f>
        <v>Electronics</v>
      </c>
      <c r="AH92" s="8" t="str">
        <f>VLOOKUP($AE92,Products[],MATCH(AH$1,Products[#Headers],0),0)</f>
        <v>Cotton</v>
      </c>
      <c r="AI92" s="8" t="str">
        <f>VLOOKUP($AE92,Products[],MATCH(AI$1,Products[#Headers],0),0)</f>
        <v>Deshmukh Group</v>
      </c>
      <c r="AJ92" s="8">
        <f>VLOOKUP($AE92,Products[],MATCH(AJ$1,Products[#Headers],0),0)</f>
        <v>98254</v>
      </c>
      <c r="AK92" s="8">
        <f>VLOOKUP($AE92,Products[],MATCH(AK$1,Products[#Headers],0),0)</f>
        <v>15</v>
      </c>
      <c r="AL92" s="8">
        <f>VLOOKUP($AE92,Products[],MATCH(AL$1,Products[#Headers],0),0)</f>
        <v>226</v>
      </c>
      <c r="AM92" s="8">
        <f>VLOOKUP($AE92,Products[],MATCH(AM$1,Products[#Headers],0),0)</f>
        <v>24</v>
      </c>
      <c r="AN92" s="8" t="str">
        <f>VLOOKUP($AE92,Products[],MATCH(AN$1,Products[#Headers],0),0)</f>
        <v>China</v>
      </c>
      <c r="AO92" s="8" t="str">
        <f>VLOOKUP($AE92,Products[],MATCH(AO$1,Products[#Headers],0),0)</f>
        <v>Yes</v>
      </c>
      <c r="AP92" s="8">
        <f>VLOOKUP($AE92,Products[],MATCH(AP$1,Products[#Headers],0),0)</f>
        <v>3.8</v>
      </c>
      <c r="AQ92" s="8">
        <f>VLOOKUP($AE92,Products[],MATCH(AQ$1,Products[#Headers],0),0)</f>
        <v>44851</v>
      </c>
      <c r="AR92" s="8" t="str">
        <f>VLOOKUP($AE92,Products[],MATCH(AR$1,Products[#Headers],0),0)</f>
        <v>Yes</v>
      </c>
      <c r="AS92" s="8">
        <f>VLOOKUP($AE92,Products[],MATCH(AS$1,Products[#Headers],0),0)</f>
        <v>9694</v>
      </c>
      <c r="AT92" s="8">
        <f>VLOOKUP($AE92,Products[],MATCH(AT$1,Products[#Headers],0),0)</f>
        <v>54</v>
      </c>
      <c r="AU92" s="8">
        <f t="shared" si="5"/>
        <v>54</v>
      </c>
      <c r="AV92" s="8" t="str">
        <f>IFERROR(VLOOKUP($AU92,stores[],MATCH(AV$1,stores[#Headers],0),0),"")</f>
        <v>S054</v>
      </c>
      <c r="AW92" s="8" t="str">
        <f>IFERROR(VLOOKUP($AU92,stores[],MATCH(AW$1,stores[#Headers],0),0),"")</f>
        <v>Chaudhuri-Nanda Mart</v>
      </c>
      <c r="AX92" s="8" t="str">
        <f>IFERROR(VLOOKUP($AU92,stores[],MATCH(AX$1,stores[#Headers],0),0),"")</f>
        <v>Hyderabad</v>
      </c>
      <c r="AY92" s="8" t="str">
        <f>IFERROR(VLOOKUP($AU92,stores[],MATCH(AY$1,stores[#Headers],0),0),"")</f>
        <v>Telangana</v>
      </c>
      <c r="AZ92" s="8">
        <f>IFERROR(VLOOKUP($AU92,stores[],MATCH(AZ$1,stores[#Headers],0),0),"")</f>
        <v>942843</v>
      </c>
      <c r="BA92" s="8" t="str">
        <f>IFERROR(VLOOKUP($AU92,stores[],MATCH(BA$1,stores[#Headers],0),0),"")</f>
        <v>Urishilla Oza</v>
      </c>
      <c r="BB92" s="8">
        <f>IFERROR(VLOOKUP($AU92,stores[],MATCH(BB$1,stores[#Headers],0),0),"")</f>
        <v>2004</v>
      </c>
      <c r="BC92" s="8">
        <f>IFERROR(VLOOKUP($AU92,stores[],MATCH(BC$1,stores[#Headers],0),0),"")</f>
        <v>79</v>
      </c>
      <c r="BD92" s="8">
        <f>IFERROR(VLOOKUP($AU92,stores[],MATCH(BD$1,stores[#Headers],0),0),"")</f>
        <v>4570</v>
      </c>
      <c r="BE92" s="8">
        <f>IFERROR(VLOOKUP($AU92,stores[],MATCH(BE$1,stores[#Headers],0),0),"")</f>
        <v>3.3</v>
      </c>
      <c r="BF92" s="8" t="str">
        <f>IFERROR(VLOOKUP($AU92,stores[],MATCH(BF$1,stores[#Headers],0),0),"")</f>
        <v>Yes</v>
      </c>
      <c r="BG92" s="8">
        <f>IFERROR(VLOOKUP($AU92,stores[],MATCH(BG$1,stores[#Headers],0),0),"")</f>
        <v>4182</v>
      </c>
      <c r="BH92" s="8" t="str">
        <f>IFERROR(VLOOKUP($AU92,stores[],MATCH(BH$1,stores[#Headers],0),0),"")</f>
        <v>Franchise</v>
      </c>
      <c r="BI92" s="8">
        <f>IFERROR(VLOOKUP($AU92,stores[],MATCH(BI$1,stores[#Headers],0),0),"")</f>
        <v>2763655647</v>
      </c>
      <c r="BJ92" s="8" t="str">
        <f>IFERROR(VLOOKUP($AU92,stores[],MATCH(BJ$1,stores[#Headers],0),0),"")</f>
        <v>karankarnik@madan.net</v>
      </c>
    </row>
    <row r="93" spans="1:62" x14ac:dyDescent="0.3">
      <c r="A93" s="8" t="str">
        <v>O1092</v>
      </c>
      <c r="B93" s="8" t="str">
        <v>C003</v>
      </c>
      <c r="C93" s="8" t="str">
        <v>P144</v>
      </c>
      <c r="D93" s="8">
        <v>45709</v>
      </c>
      <c r="E93" s="8">
        <v>1</v>
      </c>
      <c r="F93" s="8">
        <v>29538</v>
      </c>
      <c r="G93" s="8">
        <v>59076</v>
      </c>
      <c r="H93" s="8">
        <v>0.24</v>
      </c>
      <c r="I93" s="8" t="str">
        <v>Debit Card</v>
      </c>
      <c r="J93" s="8" t="str">
        <v>Shipped</v>
      </c>
      <c r="K93" s="8">
        <v>45856</v>
      </c>
      <c r="L93" s="8" t="str">
        <v>Yes</v>
      </c>
      <c r="M93" s="8">
        <v>169</v>
      </c>
      <c r="N93" s="8" t="str">
        <v>No</v>
      </c>
      <c r="O93" s="8" t="str">
        <v>No</v>
      </c>
      <c r="P93" s="8" t="str">
        <f t="shared" si="3"/>
        <v>C003</v>
      </c>
      <c r="Q93" s="8" t="str">
        <f>VLOOKUP($B93,customers[],MATCH(Q$1,customers[#Headers],0),0)</f>
        <v>Chakradev Kari</v>
      </c>
      <c r="R93" s="8" t="str">
        <f>VLOOKUP($B93,customers[],MATCH(R$1,customers[#Headers],0),0)</f>
        <v>fariq31@example.com</v>
      </c>
      <c r="S93" s="8">
        <f>VLOOKUP($B93,customers[],MATCH(S$1,customers[#Headers],0),0)</f>
        <v>7525534192</v>
      </c>
      <c r="T93" s="8" t="str">
        <f>VLOOKUP($B93,customers[],MATCH(T$1,customers[#Headers],0),0)</f>
        <v>Hyderabad</v>
      </c>
      <c r="U93" s="8" t="str">
        <f>VLOOKUP($B93,customers[],MATCH(U$1,customers[#Headers],0),0)</f>
        <v>Telangana</v>
      </c>
      <c r="V93" s="8">
        <f>VLOOKUP($B93,customers[],MATCH(V$1,customers[#Headers],0),0)</f>
        <v>276483</v>
      </c>
      <c r="W93" s="8" t="str">
        <f>VLOOKUP($B93,customers[],MATCH(W$1,customers[#Headers],0),0)</f>
        <v>Male</v>
      </c>
      <c r="X93" s="8">
        <f>VLOOKUP($B93,customers[],MATCH(X$1,customers[#Headers],0),0)</f>
        <v>38764</v>
      </c>
      <c r="Y93" s="8">
        <f>VLOOKUP($B93,customers[],MATCH(Y$1,customers[#Headers],0),0)</f>
        <v>45035</v>
      </c>
      <c r="Z93" s="8" t="str">
        <f>VLOOKUP($B93,customers[],MATCH(Z$1,customers[#Headers],0),0)</f>
        <v>Home Appliance</v>
      </c>
      <c r="AA93" s="8">
        <f>VLOOKUP($B93,customers[],MATCH(AA$1,customers[#Headers],0),0)</f>
        <v>9028</v>
      </c>
      <c r="AB93" s="8" t="str">
        <f>VLOOKUP($B93,customers[],MATCH(AB$1,customers[#Headers],0),0)</f>
        <v>Married</v>
      </c>
      <c r="AC93" s="8" t="str">
        <f>VLOOKUP($B93,customers[],MATCH(AC$1,customers[#Headers],0),0)</f>
        <v>Doctor</v>
      </c>
      <c r="AD93" s="8">
        <f>VLOOKUP($B93,customers[],MATCH(AD$1,customers[#Headers],0),0)</f>
        <v>1142059</v>
      </c>
      <c r="AE93" s="8" t="str">
        <f t="shared" si="4"/>
        <v>P144</v>
      </c>
      <c r="AF93" s="8" t="str">
        <f>VLOOKUP($AE93,Products[],MATCH(AF$1,Products[#Headers],0),0)</f>
        <v>Quidem Washing Machine</v>
      </c>
      <c r="AG93" s="8" t="str">
        <f>VLOOKUP($AE93,Products[],MATCH(AG$1,Products[#Headers],0),0)</f>
        <v>Electronics</v>
      </c>
      <c r="AH93" s="8" t="str">
        <f>VLOOKUP($AE93,Products[],MATCH(AH$1,Products[#Headers],0),0)</f>
        <v>Organic</v>
      </c>
      <c r="AI93" s="8" t="str">
        <f>VLOOKUP($AE93,Products[],MATCH(AI$1,Products[#Headers],0),0)</f>
        <v>Ghose, Ganesan and Suri</v>
      </c>
      <c r="AJ93" s="8">
        <f>VLOOKUP($AE93,Products[],MATCH(AJ$1,Products[#Headers],0),0)</f>
        <v>29538</v>
      </c>
      <c r="AK93" s="8">
        <f>VLOOKUP($AE93,Products[],MATCH(AK$1,Products[#Headers],0),0)</f>
        <v>24</v>
      </c>
      <c r="AL93" s="8">
        <f>VLOOKUP($AE93,Products[],MATCH(AL$1,Products[#Headers],0),0)</f>
        <v>44</v>
      </c>
      <c r="AM93" s="8">
        <f>VLOOKUP($AE93,Products[],MATCH(AM$1,Products[#Headers],0),0)</f>
        <v>24</v>
      </c>
      <c r="AN93" s="8" t="str">
        <f>VLOOKUP($AE93,Products[],MATCH(AN$1,Products[#Headers],0),0)</f>
        <v>Japan</v>
      </c>
      <c r="AO93" s="8" t="str">
        <f>VLOOKUP($AE93,Products[],MATCH(AO$1,Products[#Headers],0),0)</f>
        <v>Yes</v>
      </c>
      <c r="AP93" s="8">
        <f>VLOOKUP($AE93,Products[],MATCH(AP$1,Products[#Headers],0),0)</f>
        <v>2.7</v>
      </c>
      <c r="AQ93" s="8">
        <f>VLOOKUP($AE93,Products[],MATCH(AQ$1,Products[#Headers],0),0)</f>
        <v>45207</v>
      </c>
      <c r="AR93" s="8" t="str">
        <f>VLOOKUP($AE93,Products[],MATCH(AR$1,Products[#Headers],0),0)</f>
        <v>No</v>
      </c>
      <c r="AS93" s="8">
        <f>VLOOKUP($AE93,Products[],MATCH(AS$1,Products[#Headers],0),0)</f>
        <v>7581</v>
      </c>
      <c r="AT93" s="8">
        <f>VLOOKUP($AE93,Products[],MATCH(AT$1,Products[#Headers],0),0)</f>
        <v>11</v>
      </c>
      <c r="AU93" s="8">
        <f t="shared" si="5"/>
        <v>11</v>
      </c>
      <c r="AV93" s="8" t="str">
        <f>IFERROR(VLOOKUP($AU93,stores[],MATCH(AV$1,stores[#Headers],0),0),"")</f>
        <v>S011</v>
      </c>
      <c r="AW93" s="8" t="str">
        <f>IFERROR(VLOOKUP($AU93,stores[],MATCH(AW$1,stores[#Headers],0),0),"")</f>
        <v>Suresh-Lanka Mart</v>
      </c>
      <c r="AX93" s="8" t="str">
        <f>IFERROR(VLOOKUP($AU93,stores[],MATCH(AX$1,stores[#Headers],0),0),"")</f>
        <v>Kolkata</v>
      </c>
      <c r="AY93" s="8" t="str">
        <f>IFERROR(VLOOKUP($AU93,stores[],MATCH(AY$1,stores[#Headers],0),0),"")</f>
        <v>West Bengal</v>
      </c>
      <c r="AZ93" s="8">
        <f>IFERROR(VLOOKUP($AU93,stores[],MATCH(AZ$1,stores[#Headers],0),0),"")</f>
        <v>862565</v>
      </c>
      <c r="BA93" s="8" t="str">
        <f>IFERROR(VLOOKUP($AU93,stores[],MATCH(BA$1,stores[#Headers],0),0),"")</f>
        <v>Sanaya Basu</v>
      </c>
      <c r="BB93" s="8">
        <f>IFERROR(VLOOKUP($AU93,stores[],MATCH(BB$1,stores[#Headers],0),0),"")</f>
        <v>2007</v>
      </c>
      <c r="BC93" s="8">
        <f>IFERROR(VLOOKUP($AU93,stores[],MATCH(BC$1,stores[#Headers],0),0),"")</f>
        <v>91</v>
      </c>
      <c r="BD93" s="8">
        <f>IFERROR(VLOOKUP($AU93,stores[],MATCH(BD$1,stores[#Headers],0),0),"")</f>
        <v>13868</v>
      </c>
      <c r="BE93" s="8">
        <f>IFERROR(VLOOKUP($AU93,stores[],MATCH(BE$1,stores[#Headers],0),0),"")</f>
        <v>4</v>
      </c>
      <c r="BF93" s="8" t="str">
        <f>IFERROR(VLOOKUP($AU93,stores[],MATCH(BF$1,stores[#Headers],0),0),"")</f>
        <v>No</v>
      </c>
      <c r="BG93" s="8">
        <f>IFERROR(VLOOKUP($AU93,stores[],MATCH(BG$1,stores[#Headers],0),0),"")</f>
        <v>3893</v>
      </c>
      <c r="BH93" s="8" t="str">
        <f>IFERROR(VLOOKUP($AU93,stores[],MATCH(BH$1,stores[#Headers],0),0),"")</f>
        <v>Franchise</v>
      </c>
      <c r="BI93" s="8">
        <f>IFERROR(VLOOKUP($AU93,stores[],MATCH(BI$1,stores[#Headers],0),0),"")</f>
        <v>7743490211</v>
      </c>
      <c r="BJ93" s="8" t="str">
        <f>IFERROR(VLOOKUP($AU93,stores[],MATCH(BJ$1,stores[#Headers],0),0),"")</f>
        <v>odika93@bhat.biz</v>
      </c>
    </row>
    <row r="94" spans="1:62" x14ac:dyDescent="0.3">
      <c r="A94" s="8" t="str">
        <v>O1093</v>
      </c>
      <c r="B94" s="8" t="str">
        <v>C030</v>
      </c>
      <c r="C94" s="8" t="str">
        <v>P152</v>
      </c>
      <c r="D94" s="8">
        <v>45657</v>
      </c>
      <c r="E94" s="8">
        <v>2</v>
      </c>
      <c r="F94" s="8">
        <v>92604</v>
      </c>
      <c r="G94" s="8">
        <v>185208</v>
      </c>
      <c r="H94" s="8">
        <v>0.28999999999999998</v>
      </c>
      <c r="I94" s="8" t="str">
        <v>Net Banking</v>
      </c>
      <c r="J94" s="8" t="str">
        <v>Cancelled</v>
      </c>
      <c r="K94" s="8">
        <v>45858</v>
      </c>
      <c r="L94" s="8" t="str">
        <v>Yes</v>
      </c>
      <c r="M94" s="8">
        <v>377</v>
      </c>
      <c r="N94" s="8" t="str">
        <v>Yes</v>
      </c>
      <c r="O94" s="8" t="str">
        <v>No</v>
      </c>
      <c r="P94" s="8" t="str">
        <f t="shared" si="3"/>
        <v>C030</v>
      </c>
      <c r="Q94" s="8" t="str">
        <f>VLOOKUP($B94,customers[],MATCH(Q$1,customers[#Headers],0),0)</f>
        <v>Manthan Modi</v>
      </c>
      <c r="R94" s="8" t="str">
        <f>VLOOKUP($B94,customers[],MATCH(R$1,customers[#Headers],0),0)</f>
        <v>kotharijagat@example.net</v>
      </c>
      <c r="S94" s="8">
        <f>VLOOKUP($B94,customers[],MATCH(S$1,customers[#Headers],0),0)</f>
        <v>9993867749</v>
      </c>
      <c r="T94" s="8" t="str">
        <f>VLOOKUP($B94,customers[],MATCH(T$1,customers[#Headers],0),0)</f>
        <v>Jaipur</v>
      </c>
      <c r="U94" s="8" t="str">
        <f>VLOOKUP($B94,customers[],MATCH(U$1,customers[#Headers],0),0)</f>
        <v>Rajasthan</v>
      </c>
      <c r="V94" s="8">
        <f>VLOOKUP($B94,customers[],MATCH(V$1,customers[#Headers],0),0)</f>
        <v>499091</v>
      </c>
      <c r="W94" s="8" t="str">
        <f>VLOOKUP($B94,customers[],MATCH(W$1,customers[#Headers],0),0)</f>
        <v>Female</v>
      </c>
      <c r="X94" s="8">
        <f>VLOOKUP($B94,customers[],MATCH(X$1,customers[#Headers],0),0)</f>
        <v>26912</v>
      </c>
      <c r="Y94" s="8">
        <f>VLOOKUP($B94,customers[],MATCH(Y$1,customers[#Headers],0),0)</f>
        <v>44683</v>
      </c>
      <c r="Z94" s="8" t="str">
        <f>VLOOKUP($B94,customers[],MATCH(Z$1,customers[#Headers],0),0)</f>
        <v>Grocery</v>
      </c>
      <c r="AA94" s="8">
        <f>VLOOKUP($B94,customers[],MATCH(AA$1,customers[#Headers],0),0)</f>
        <v>6835</v>
      </c>
      <c r="AB94" s="8" t="str">
        <f>VLOOKUP($B94,customers[],MATCH(AB$1,customers[#Headers],0),0)</f>
        <v>Married</v>
      </c>
      <c r="AC94" s="8" t="str">
        <f>VLOOKUP($B94,customers[],MATCH(AC$1,customers[#Headers],0),0)</f>
        <v>Engineer</v>
      </c>
      <c r="AD94" s="8">
        <f>VLOOKUP($B94,customers[],MATCH(AD$1,customers[#Headers],0),0)</f>
        <v>1612147</v>
      </c>
      <c r="AE94" s="8" t="str">
        <f t="shared" si="4"/>
        <v>P152</v>
      </c>
      <c r="AF94" s="8" t="str">
        <f>VLOOKUP($AE94,Products[],MATCH(AF$1,Products[#Headers],0),0)</f>
        <v>Rem Shirt</v>
      </c>
      <c r="AG94" s="8" t="str">
        <f>VLOOKUP($AE94,Products[],MATCH(AG$1,Products[#Headers],0),0)</f>
        <v>Electronics</v>
      </c>
      <c r="AH94" s="8" t="str">
        <f>VLOOKUP($AE94,Products[],MATCH(AH$1,Products[#Headers],0),0)</f>
        <v>Cotton</v>
      </c>
      <c r="AI94" s="8" t="str">
        <f>VLOOKUP($AE94,Products[],MATCH(AI$1,Products[#Headers],0),0)</f>
        <v>Loyal PLC</v>
      </c>
      <c r="AJ94" s="8">
        <f>VLOOKUP($AE94,Products[],MATCH(AJ$1,Products[#Headers],0),0)</f>
        <v>92604</v>
      </c>
      <c r="AK94" s="8">
        <f>VLOOKUP($AE94,Products[],MATCH(AK$1,Products[#Headers],0),0)</f>
        <v>29</v>
      </c>
      <c r="AL94" s="8">
        <f>VLOOKUP($AE94,Products[],MATCH(AL$1,Products[#Headers],0),0)</f>
        <v>316</v>
      </c>
      <c r="AM94" s="8">
        <f>VLOOKUP($AE94,Products[],MATCH(AM$1,Products[#Headers],0),0)</f>
        <v>24</v>
      </c>
      <c r="AN94" s="8" t="str">
        <f>VLOOKUP($AE94,Products[],MATCH(AN$1,Products[#Headers],0),0)</f>
        <v>Vietnam</v>
      </c>
      <c r="AO94" s="8" t="str">
        <f>VLOOKUP($AE94,Products[],MATCH(AO$1,Products[#Headers],0),0)</f>
        <v>Yes</v>
      </c>
      <c r="AP94" s="8">
        <f>VLOOKUP($AE94,Products[],MATCH(AP$1,Products[#Headers],0),0)</f>
        <v>3</v>
      </c>
      <c r="AQ94" s="8">
        <f>VLOOKUP($AE94,Products[],MATCH(AQ$1,Products[#Headers],0),0)</f>
        <v>45328</v>
      </c>
      <c r="AR94" s="8" t="str">
        <f>VLOOKUP($AE94,Products[],MATCH(AR$1,Products[#Headers],0),0)</f>
        <v>Yes</v>
      </c>
      <c r="AS94" s="8">
        <f>VLOOKUP($AE94,Products[],MATCH(AS$1,Products[#Headers],0),0)</f>
        <v>7567</v>
      </c>
      <c r="AT94" s="8">
        <f>VLOOKUP($AE94,Products[],MATCH(AT$1,Products[#Headers],0),0)</f>
        <v>123</v>
      </c>
      <c r="AU94" s="8">
        <f t="shared" si="5"/>
        <v>123</v>
      </c>
      <c r="AV94" s="8" t="str">
        <f>IFERROR(VLOOKUP($AU94,stores[],MATCH(AV$1,stores[#Headers],0),0),"")</f>
        <v/>
      </c>
      <c r="AW94" s="8" t="str">
        <f>IFERROR(VLOOKUP($AU94,stores[],MATCH(AW$1,stores[#Headers],0),0),"")</f>
        <v/>
      </c>
      <c r="AX94" s="8" t="str">
        <f>IFERROR(VLOOKUP($AU94,stores[],MATCH(AX$1,stores[#Headers],0),0),"")</f>
        <v/>
      </c>
      <c r="AY94" s="8" t="str">
        <f>IFERROR(VLOOKUP($AU94,stores[],MATCH(AY$1,stores[#Headers],0),0),"")</f>
        <v/>
      </c>
      <c r="AZ94" s="8" t="str">
        <f>IFERROR(VLOOKUP($AU94,stores[],MATCH(AZ$1,stores[#Headers],0),0),"")</f>
        <v/>
      </c>
      <c r="BA94" s="8" t="str">
        <f>IFERROR(VLOOKUP($AU94,stores[],MATCH(BA$1,stores[#Headers],0),0),"")</f>
        <v/>
      </c>
      <c r="BB94" s="8" t="str">
        <f>IFERROR(VLOOKUP($AU94,stores[],MATCH(BB$1,stores[#Headers],0),0),"")</f>
        <v/>
      </c>
      <c r="BC94" s="8" t="str">
        <f>IFERROR(VLOOKUP($AU94,stores[],MATCH(BC$1,stores[#Headers],0),0),"")</f>
        <v/>
      </c>
      <c r="BD94" s="8" t="str">
        <f>IFERROR(VLOOKUP($AU94,stores[],MATCH(BD$1,stores[#Headers],0),0),"")</f>
        <v/>
      </c>
      <c r="BE94" s="8" t="str">
        <f>IFERROR(VLOOKUP($AU94,stores[],MATCH(BE$1,stores[#Headers],0),0),"")</f>
        <v/>
      </c>
      <c r="BF94" s="8" t="str">
        <f>IFERROR(VLOOKUP($AU94,stores[],MATCH(BF$1,stores[#Headers],0),0),"")</f>
        <v/>
      </c>
      <c r="BG94" s="8" t="str">
        <f>IFERROR(VLOOKUP($AU94,stores[],MATCH(BG$1,stores[#Headers],0),0),"")</f>
        <v/>
      </c>
      <c r="BH94" s="8" t="str">
        <f>IFERROR(VLOOKUP($AU94,stores[],MATCH(BH$1,stores[#Headers],0),0),"")</f>
        <v/>
      </c>
      <c r="BI94" s="8" t="str">
        <f>IFERROR(VLOOKUP($AU94,stores[],MATCH(BI$1,stores[#Headers],0),0),"")</f>
        <v/>
      </c>
      <c r="BJ94" s="8" t="str">
        <f>IFERROR(VLOOKUP($AU94,stores[],MATCH(BJ$1,stores[#Headers],0),0),"")</f>
        <v/>
      </c>
    </row>
    <row r="95" spans="1:62" x14ac:dyDescent="0.3">
      <c r="A95" s="8" t="str">
        <v>O1094</v>
      </c>
      <c r="B95" s="8" t="str">
        <v>C076</v>
      </c>
      <c r="C95" s="8" t="str">
        <v>P155</v>
      </c>
      <c r="D95" s="8">
        <v>45580</v>
      </c>
      <c r="E95" s="8">
        <v>4</v>
      </c>
      <c r="F95" s="8">
        <v>56076</v>
      </c>
      <c r="G95" s="8">
        <v>56076</v>
      </c>
      <c r="H95" s="8">
        <v>0.2</v>
      </c>
      <c r="I95" s="8" t="str">
        <v>Debit Card</v>
      </c>
      <c r="J95" s="8" t="str">
        <v>Shipped</v>
      </c>
      <c r="K95" s="8">
        <v>45862</v>
      </c>
      <c r="L95" s="8" t="str">
        <v>No</v>
      </c>
      <c r="M95" s="8">
        <v>385</v>
      </c>
      <c r="N95" s="8" t="str">
        <v>Yes</v>
      </c>
      <c r="O95" s="8" t="str">
        <v>Yes</v>
      </c>
      <c r="P95" s="8" t="str">
        <f t="shared" si="3"/>
        <v>C076</v>
      </c>
      <c r="Q95" s="8" t="str">
        <f>VLOOKUP($B95,customers[],MATCH(Q$1,customers[#Headers],0),0)</f>
        <v>Jagat Dave</v>
      </c>
      <c r="R95" s="8" t="str">
        <f>VLOOKUP($B95,customers[],MATCH(R$1,customers[#Headers],0),0)</f>
        <v>rameshkashvi@example.com</v>
      </c>
      <c r="S95" s="8">
        <f>VLOOKUP($B95,customers[],MATCH(S$1,customers[#Headers],0),0)</f>
        <v>5239868000</v>
      </c>
      <c r="T95" s="8" t="str">
        <f>VLOOKUP($B95,customers[],MATCH(T$1,customers[#Headers],0),0)</f>
        <v>Bangalore</v>
      </c>
      <c r="U95" s="8" t="str">
        <f>VLOOKUP($B95,customers[],MATCH(U$1,customers[#Headers],0),0)</f>
        <v>Karnataka</v>
      </c>
      <c r="V95" s="8">
        <f>VLOOKUP($B95,customers[],MATCH(V$1,customers[#Headers],0),0)</f>
        <v>578729</v>
      </c>
      <c r="W95" s="8" t="str">
        <f>VLOOKUP($B95,customers[],MATCH(W$1,customers[#Headers],0),0)</f>
        <v>Male</v>
      </c>
      <c r="X95" s="8">
        <f>VLOOKUP($B95,customers[],MATCH(X$1,customers[#Headers],0),0)</f>
        <v>34560</v>
      </c>
      <c r="Y95" s="8">
        <f>VLOOKUP($B95,customers[],MATCH(Y$1,customers[#Headers],0),0)</f>
        <v>44462</v>
      </c>
      <c r="Z95" s="8" t="str">
        <f>VLOOKUP($B95,customers[],MATCH(Z$1,customers[#Headers],0),0)</f>
        <v>Home Appliance</v>
      </c>
      <c r="AA95" s="8">
        <f>VLOOKUP($B95,customers[],MATCH(AA$1,customers[#Headers],0),0)</f>
        <v>6375</v>
      </c>
      <c r="AB95" s="8" t="str">
        <f>VLOOKUP($B95,customers[],MATCH(AB$1,customers[#Headers],0),0)</f>
        <v>Single</v>
      </c>
      <c r="AC95" s="8" t="str">
        <f>VLOOKUP($B95,customers[],MATCH(AC$1,customers[#Headers],0),0)</f>
        <v>Doctor</v>
      </c>
      <c r="AD95" s="8">
        <f>VLOOKUP($B95,customers[],MATCH(AD$1,customers[#Headers],0),0)</f>
        <v>334697</v>
      </c>
      <c r="AE95" s="8" t="str">
        <f t="shared" si="4"/>
        <v>P155</v>
      </c>
      <c r="AF95" s="8" t="str">
        <f>VLOOKUP($AE95,Products[],MATCH(AF$1,Products[#Headers],0),0)</f>
        <v>Odio Washing Machine</v>
      </c>
      <c r="AG95" s="8" t="str">
        <f>VLOOKUP($AE95,Products[],MATCH(AG$1,Products[#Headers],0),0)</f>
        <v>Fashion</v>
      </c>
      <c r="AH95" s="8" t="str">
        <f>VLOOKUP($AE95,Products[],MATCH(AH$1,Products[#Headers],0),0)</f>
        <v>Notebook</v>
      </c>
      <c r="AI95" s="8" t="str">
        <f>VLOOKUP($AE95,Products[],MATCH(AI$1,Products[#Headers],0),0)</f>
        <v>Pall-Chahal</v>
      </c>
      <c r="AJ95" s="8">
        <f>VLOOKUP($AE95,Products[],MATCH(AJ$1,Products[#Headers],0),0)</f>
        <v>56076</v>
      </c>
      <c r="AK95" s="8">
        <f>VLOOKUP($AE95,Products[],MATCH(AK$1,Products[#Headers],0),0)</f>
        <v>20</v>
      </c>
      <c r="AL95" s="8">
        <f>VLOOKUP($AE95,Products[],MATCH(AL$1,Products[#Headers],0),0)</f>
        <v>621</v>
      </c>
      <c r="AM95" s="8">
        <f>VLOOKUP($AE95,Products[],MATCH(AM$1,Products[#Headers],0),0)</f>
        <v>36</v>
      </c>
      <c r="AN95" s="8" t="str">
        <f>VLOOKUP($AE95,Products[],MATCH(AN$1,Products[#Headers],0),0)</f>
        <v>Japan</v>
      </c>
      <c r="AO95" s="8" t="str">
        <f>VLOOKUP($AE95,Products[],MATCH(AO$1,Products[#Headers],0),0)</f>
        <v>No</v>
      </c>
      <c r="AP95" s="8">
        <f>VLOOKUP($AE95,Products[],MATCH(AP$1,Products[#Headers],0),0)</f>
        <v>3</v>
      </c>
      <c r="AQ95" s="8">
        <f>VLOOKUP($AE95,Products[],MATCH(AQ$1,Products[#Headers],0),0)</f>
        <v>45441</v>
      </c>
      <c r="AR95" s="8" t="str">
        <f>VLOOKUP($AE95,Products[],MATCH(AR$1,Products[#Headers],0),0)</f>
        <v>Yes</v>
      </c>
      <c r="AS95" s="8">
        <f>VLOOKUP($AE95,Products[],MATCH(AS$1,Products[#Headers],0),0)</f>
        <v>6656</v>
      </c>
      <c r="AT95" s="8">
        <f>VLOOKUP($AE95,Products[],MATCH(AT$1,Products[#Headers],0),0)</f>
        <v>94</v>
      </c>
      <c r="AU95" s="8">
        <f t="shared" si="5"/>
        <v>94</v>
      </c>
      <c r="AV95" s="8" t="str">
        <f>IFERROR(VLOOKUP($AU95,stores[],MATCH(AV$1,stores[#Headers],0),0),"")</f>
        <v>S094</v>
      </c>
      <c r="AW95" s="8" t="str">
        <f>IFERROR(VLOOKUP($AU95,stores[],MATCH(AW$1,stores[#Headers],0),0),"")</f>
        <v>Sahni-Dube Mart</v>
      </c>
      <c r="AX95" s="8" t="str">
        <f>IFERROR(VLOOKUP($AU95,stores[],MATCH(AX$1,stores[#Headers],0),0),"")</f>
        <v>Hyderabad</v>
      </c>
      <c r="AY95" s="8" t="str">
        <f>IFERROR(VLOOKUP($AU95,stores[],MATCH(AY$1,stores[#Headers],0),0),"")</f>
        <v>Telangana</v>
      </c>
      <c r="AZ95" s="8">
        <f>IFERROR(VLOOKUP($AU95,stores[],MATCH(AZ$1,stores[#Headers],0),0),"")</f>
        <v>220102</v>
      </c>
      <c r="BA95" s="8" t="str">
        <f>IFERROR(VLOOKUP($AU95,stores[],MATCH(BA$1,stores[#Headers],0),0),"")</f>
        <v>Rajeshri Deshpande</v>
      </c>
      <c r="BB95" s="8">
        <f>IFERROR(VLOOKUP($AU95,stores[],MATCH(BB$1,stores[#Headers],0),0),"")</f>
        <v>2008</v>
      </c>
      <c r="BC95" s="8">
        <f>IFERROR(VLOOKUP($AU95,stores[],MATCH(BC$1,stores[#Headers],0),0),"")</f>
        <v>77</v>
      </c>
      <c r="BD95" s="8">
        <f>IFERROR(VLOOKUP($AU95,stores[],MATCH(BD$1,stores[#Headers],0),0),"")</f>
        <v>3019</v>
      </c>
      <c r="BE95" s="8">
        <f>IFERROR(VLOOKUP($AU95,stores[],MATCH(BE$1,stores[#Headers],0),0),"")</f>
        <v>3.3</v>
      </c>
      <c r="BF95" s="8" t="str">
        <f>IFERROR(VLOOKUP($AU95,stores[],MATCH(BF$1,stores[#Headers],0),0),"")</f>
        <v>Yes</v>
      </c>
      <c r="BG95" s="8">
        <f>IFERROR(VLOOKUP($AU95,stores[],MATCH(BG$1,stores[#Headers],0),0),"")</f>
        <v>1202</v>
      </c>
      <c r="BH95" s="8" t="str">
        <f>IFERROR(VLOOKUP($AU95,stores[],MATCH(BH$1,stores[#Headers],0),0),"")</f>
        <v>Outlet</v>
      </c>
      <c r="BI95" s="8">
        <f>IFERROR(VLOOKUP($AU95,stores[],MATCH(BI$1,stores[#Headers],0),0),"")</f>
        <v>912679692786</v>
      </c>
      <c r="BJ95" s="8" t="str">
        <f>IFERROR(VLOOKUP($AU95,stores[],MATCH(BJ$1,stores[#Headers],0),0),"")</f>
        <v>wrajagopalan@grewal.org</v>
      </c>
    </row>
    <row r="96" spans="1:62" x14ac:dyDescent="0.3">
      <c r="A96" s="8" t="str">
        <v>O1095</v>
      </c>
      <c r="B96" s="8" t="str">
        <v>C069</v>
      </c>
      <c r="C96" s="8" t="str">
        <v>P124</v>
      </c>
      <c r="D96" s="8">
        <v>45590</v>
      </c>
      <c r="E96" s="8">
        <v>3</v>
      </c>
      <c r="F96" s="8">
        <v>43565</v>
      </c>
      <c r="G96" s="8">
        <v>130695</v>
      </c>
      <c r="H96" s="8">
        <v>0.26</v>
      </c>
      <c r="I96" s="8" t="str">
        <v>Debit Card</v>
      </c>
      <c r="J96" s="8" t="str">
        <v>Cancelled</v>
      </c>
      <c r="K96" s="8">
        <v>45862</v>
      </c>
      <c r="L96" s="8" t="str">
        <v>Yes</v>
      </c>
      <c r="M96" s="8">
        <v>134</v>
      </c>
      <c r="N96" s="8" t="str">
        <v>No</v>
      </c>
      <c r="O96" s="8" t="str">
        <v>No</v>
      </c>
      <c r="P96" s="8" t="str">
        <f t="shared" si="3"/>
        <v>C069</v>
      </c>
      <c r="Q96" s="8" t="str">
        <f>VLOOKUP($B96,customers[],MATCH(Q$1,customers[#Headers],0),0)</f>
        <v>Ryan Das</v>
      </c>
      <c r="R96" s="8" t="str">
        <f>VLOOKUP($B96,customers[],MATCH(R$1,customers[#Headers],0),0)</f>
        <v>ethanseth@example.org</v>
      </c>
      <c r="S96" s="8">
        <f>VLOOKUP($B96,customers[],MATCH(S$1,customers[#Headers],0),0)</f>
        <v>7155188442</v>
      </c>
      <c r="T96" s="8" t="str">
        <f>VLOOKUP($B96,customers[],MATCH(T$1,customers[#Headers],0),0)</f>
        <v>Mumbai</v>
      </c>
      <c r="U96" s="8" t="str">
        <f>VLOOKUP($B96,customers[],MATCH(U$1,customers[#Headers],0),0)</f>
        <v>Maharashtra</v>
      </c>
      <c r="V96" s="8">
        <f>VLOOKUP($B96,customers[],MATCH(V$1,customers[#Headers],0),0)</f>
        <v>583132</v>
      </c>
      <c r="W96" s="8" t="str">
        <f>VLOOKUP($B96,customers[],MATCH(W$1,customers[#Headers],0),0)</f>
        <v>Female</v>
      </c>
      <c r="X96" s="8">
        <f>VLOOKUP($B96,customers[],MATCH(X$1,customers[#Headers],0),0)</f>
        <v>27632</v>
      </c>
      <c r="Y96" s="8">
        <f>VLOOKUP($B96,customers[],MATCH(Y$1,customers[#Headers],0),0)</f>
        <v>45562</v>
      </c>
      <c r="Z96" s="8" t="str">
        <f>VLOOKUP($B96,customers[],MATCH(Z$1,customers[#Headers],0),0)</f>
        <v>Grocery</v>
      </c>
      <c r="AA96" s="8">
        <f>VLOOKUP($B96,customers[],MATCH(AA$1,customers[#Headers],0),0)</f>
        <v>9531</v>
      </c>
      <c r="AB96" s="8" t="str">
        <f>VLOOKUP($B96,customers[],MATCH(AB$1,customers[#Headers],0),0)</f>
        <v>Single</v>
      </c>
      <c r="AC96" s="8" t="str">
        <f>VLOOKUP($B96,customers[],MATCH(AC$1,customers[#Headers],0),0)</f>
        <v>Business</v>
      </c>
      <c r="AD96" s="8">
        <f>VLOOKUP($B96,customers[],MATCH(AD$1,customers[#Headers],0),0)</f>
        <v>1236784</v>
      </c>
      <c r="AE96" s="8" t="str">
        <f t="shared" si="4"/>
        <v>P124</v>
      </c>
      <c r="AF96" s="8" t="str">
        <f>VLOOKUP($AE96,Products[],MATCH(AF$1,Products[#Headers],0),0)</f>
        <v>Cum Laptop</v>
      </c>
      <c r="AG96" s="8" t="str">
        <f>VLOOKUP($AE96,Products[],MATCH(AG$1,Products[#Headers],0),0)</f>
        <v>Grocery</v>
      </c>
      <c r="AH96" s="8" t="str">
        <f>VLOOKUP($AE96,Products[],MATCH(AH$1,Products[#Headers],0),0)</f>
        <v>LED</v>
      </c>
      <c r="AI96" s="8" t="str">
        <f>VLOOKUP($AE96,Products[],MATCH(AI$1,Products[#Headers],0),0)</f>
        <v>Dhar, Pall and Muni</v>
      </c>
      <c r="AJ96" s="8">
        <f>VLOOKUP($AE96,Products[],MATCH(AJ$1,Products[#Headers],0),0)</f>
        <v>43565</v>
      </c>
      <c r="AK96" s="8">
        <f>VLOOKUP($AE96,Products[],MATCH(AK$1,Products[#Headers],0),0)</f>
        <v>26</v>
      </c>
      <c r="AL96" s="8">
        <f>VLOOKUP($AE96,Products[],MATCH(AL$1,Products[#Headers],0),0)</f>
        <v>879</v>
      </c>
      <c r="AM96" s="8">
        <f>VLOOKUP($AE96,Products[],MATCH(AM$1,Products[#Headers],0),0)</f>
        <v>36</v>
      </c>
      <c r="AN96" s="8" t="str">
        <f>VLOOKUP($AE96,Products[],MATCH(AN$1,Products[#Headers],0),0)</f>
        <v>Vietnam</v>
      </c>
      <c r="AO96" s="8" t="str">
        <f>VLOOKUP($AE96,Products[],MATCH(AO$1,Products[#Headers],0),0)</f>
        <v>No</v>
      </c>
      <c r="AP96" s="8">
        <f>VLOOKUP($AE96,Products[],MATCH(AP$1,Products[#Headers],0),0)</f>
        <v>4.7</v>
      </c>
      <c r="AQ96" s="8">
        <f>VLOOKUP($AE96,Products[],MATCH(AQ$1,Products[#Headers],0),0)</f>
        <v>45291</v>
      </c>
      <c r="AR96" s="8" t="str">
        <f>VLOOKUP($AE96,Products[],MATCH(AR$1,Products[#Headers],0),0)</f>
        <v>Yes</v>
      </c>
      <c r="AS96" s="8">
        <f>VLOOKUP($AE96,Products[],MATCH(AS$1,Products[#Headers],0),0)</f>
        <v>2122</v>
      </c>
      <c r="AT96" s="8">
        <f>VLOOKUP($AE96,Products[],MATCH(AT$1,Products[#Headers],0),0)</f>
        <v>58</v>
      </c>
      <c r="AU96" s="8">
        <f t="shared" si="5"/>
        <v>58</v>
      </c>
      <c r="AV96" s="8" t="str">
        <f>IFERROR(VLOOKUP($AU96,stores[],MATCH(AV$1,stores[#Headers],0),0),"")</f>
        <v>S058</v>
      </c>
      <c r="AW96" s="8" t="str">
        <f>IFERROR(VLOOKUP($AU96,stores[],MATCH(AW$1,stores[#Headers],0),0),"")</f>
        <v>Chawla LLC Mart</v>
      </c>
      <c r="AX96" s="8" t="str">
        <f>IFERROR(VLOOKUP($AU96,stores[],MATCH(AX$1,stores[#Headers],0),0),"")</f>
        <v>Chennai</v>
      </c>
      <c r="AY96" s="8" t="str">
        <f>IFERROR(VLOOKUP($AU96,stores[],MATCH(AY$1,stores[#Headers],0),0),"")</f>
        <v>Tamil Nadu</v>
      </c>
      <c r="AZ96" s="8">
        <f>IFERROR(VLOOKUP($AU96,stores[],MATCH(AZ$1,stores[#Headers],0),0),"")</f>
        <v>164334</v>
      </c>
      <c r="BA96" s="8" t="str">
        <f>IFERROR(VLOOKUP($AU96,stores[],MATCH(BA$1,stores[#Headers],0),0),"")</f>
        <v>Jonathan Deep</v>
      </c>
      <c r="BB96" s="8">
        <f>IFERROR(VLOOKUP($AU96,stores[],MATCH(BB$1,stores[#Headers],0),0),"")</f>
        <v>2008</v>
      </c>
      <c r="BC96" s="8">
        <f>IFERROR(VLOOKUP($AU96,stores[],MATCH(BC$1,stores[#Headers],0),0),"")</f>
        <v>27</v>
      </c>
      <c r="BD96" s="8">
        <f>IFERROR(VLOOKUP($AU96,stores[],MATCH(BD$1,stores[#Headers],0),0),"")</f>
        <v>2018</v>
      </c>
      <c r="BE96" s="8">
        <f>IFERROR(VLOOKUP($AU96,stores[],MATCH(BE$1,stores[#Headers],0),0),"")</f>
        <v>4.9000000000000004</v>
      </c>
      <c r="BF96" s="8" t="str">
        <f>IFERROR(VLOOKUP($AU96,stores[],MATCH(BF$1,stores[#Headers],0),0),"")</f>
        <v>No</v>
      </c>
      <c r="BG96" s="8">
        <f>IFERROR(VLOOKUP($AU96,stores[],MATCH(BG$1,stores[#Headers],0),0),"")</f>
        <v>2546</v>
      </c>
      <c r="BH96" s="8" t="str">
        <f>IFERROR(VLOOKUP($AU96,stores[],MATCH(BH$1,stores[#Headers],0),0),"")</f>
        <v>Retail</v>
      </c>
      <c r="BI96" s="8">
        <f>IFERROR(VLOOKUP($AU96,stores[],MATCH(BI$1,stores[#Headers],0),0),"")</f>
        <v>2005577848</v>
      </c>
      <c r="BJ96" s="8" t="str">
        <f>IFERROR(VLOOKUP($AU96,stores[],MATCH(BJ$1,stores[#Headers],0),0),"")</f>
        <v>sdeshmukh@goel.net</v>
      </c>
    </row>
    <row r="97" spans="1:62" x14ac:dyDescent="0.3">
      <c r="A97" s="8" t="str">
        <v>O1096</v>
      </c>
      <c r="B97" s="8" t="str">
        <v>C077</v>
      </c>
      <c r="C97" s="8" t="str">
        <v>P150</v>
      </c>
      <c r="D97" s="8">
        <v>45848</v>
      </c>
      <c r="E97" s="8">
        <v>5</v>
      </c>
      <c r="F97" s="8">
        <v>98841</v>
      </c>
      <c r="G97" s="8">
        <v>395364</v>
      </c>
      <c r="H97" s="8">
        <v>0.18</v>
      </c>
      <c r="I97" s="8" t="str">
        <v>Cash on Delivery</v>
      </c>
      <c r="J97" s="8" t="str">
        <v>Delivered</v>
      </c>
      <c r="K97" s="8">
        <v>45864</v>
      </c>
      <c r="L97" s="8" t="str">
        <v>No</v>
      </c>
      <c r="M97" s="8">
        <v>180</v>
      </c>
      <c r="N97" s="8" t="str">
        <v>No</v>
      </c>
      <c r="O97" s="8" t="str">
        <v>Yes</v>
      </c>
      <c r="P97" s="8" t="str">
        <f t="shared" si="3"/>
        <v>C077</v>
      </c>
      <c r="Q97" s="8" t="str">
        <f>VLOOKUP($B97,customers[],MATCH(Q$1,customers[#Headers],0),0)</f>
        <v>Eiravati Gaba</v>
      </c>
      <c r="R97" s="8" t="str">
        <f>VLOOKUP($B97,customers[],MATCH(R$1,customers[#Headers],0),0)</f>
        <v>lmistry@example.com</v>
      </c>
      <c r="S97" s="8">
        <f>VLOOKUP($B97,customers[],MATCH(S$1,customers[#Headers],0),0)</f>
        <v>8879470551</v>
      </c>
      <c r="T97" s="8" t="str">
        <f>VLOOKUP($B97,customers[],MATCH(T$1,customers[#Headers],0),0)</f>
        <v>Jaipur</v>
      </c>
      <c r="U97" s="8" t="str">
        <f>VLOOKUP($B97,customers[],MATCH(U$1,customers[#Headers],0),0)</f>
        <v>Rajasthan</v>
      </c>
      <c r="V97" s="8">
        <f>VLOOKUP($B97,customers[],MATCH(V$1,customers[#Headers],0),0)</f>
        <v>940974</v>
      </c>
      <c r="W97" s="8" t="str">
        <f>VLOOKUP($B97,customers[],MATCH(W$1,customers[#Headers],0),0)</f>
        <v>Female</v>
      </c>
      <c r="X97" s="8">
        <f>VLOOKUP($B97,customers[],MATCH(X$1,customers[#Headers],0),0)</f>
        <v>38042</v>
      </c>
      <c r="Y97" s="8">
        <f>VLOOKUP($B97,customers[],MATCH(Y$1,customers[#Headers],0),0)</f>
        <v>45825</v>
      </c>
      <c r="Z97" s="8" t="str">
        <f>VLOOKUP($B97,customers[],MATCH(Z$1,customers[#Headers],0),0)</f>
        <v>Fashion</v>
      </c>
      <c r="AA97" s="8">
        <f>VLOOKUP($B97,customers[],MATCH(AA$1,customers[#Headers],0),0)</f>
        <v>8990</v>
      </c>
      <c r="AB97" s="8" t="str">
        <f>VLOOKUP($B97,customers[],MATCH(AB$1,customers[#Headers],0),0)</f>
        <v>Married</v>
      </c>
      <c r="AC97" s="8" t="str">
        <f>VLOOKUP($B97,customers[],MATCH(AC$1,customers[#Headers],0),0)</f>
        <v>Business</v>
      </c>
      <c r="AD97" s="8">
        <f>VLOOKUP($B97,customers[],MATCH(AD$1,customers[#Headers],0),0)</f>
        <v>330580</v>
      </c>
      <c r="AE97" s="8" t="str">
        <f t="shared" si="4"/>
        <v>P150</v>
      </c>
      <c r="AF97" s="8" t="str">
        <f>VLOOKUP($AE97,Products[],MATCH(AF$1,Products[#Headers],0),0)</f>
        <v>Aliquid Phone</v>
      </c>
      <c r="AG97" s="8" t="str">
        <f>VLOOKUP($AE97,Products[],MATCH(AG$1,Products[#Headers],0),0)</f>
        <v>Grocery</v>
      </c>
      <c r="AH97" s="8" t="str">
        <f>VLOOKUP($AE97,Products[],MATCH(AH$1,Products[#Headers],0),0)</f>
        <v>Notebook</v>
      </c>
      <c r="AI97" s="8" t="str">
        <f>VLOOKUP($AE97,Products[],MATCH(AI$1,Products[#Headers],0),0)</f>
        <v>Kar-Yogi</v>
      </c>
      <c r="AJ97" s="8">
        <f>VLOOKUP($AE97,Products[],MATCH(AJ$1,Products[#Headers],0),0)</f>
        <v>98841</v>
      </c>
      <c r="AK97" s="8">
        <f>VLOOKUP($AE97,Products[],MATCH(AK$1,Products[#Headers],0),0)</f>
        <v>18</v>
      </c>
      <c r="AL97" s="8">
        <f>VLOOKUP($AE97,Products[],MATCH(AL$1,Products[#Headers],0),0)</f>
        <v>888</v>
      </c>
      <c r="AM97" s="8">
        <f>VLOOKUP($AE97,Products[],MATCH(AM$1,Products[#Headers],0),0)</f>
        <v>6</v>
      </c>
      <c r="AN97" s="8" t="str">
        <f>VLOOKUP($AE97,Products[],MATCH(AN$1,Products[#Headers],0),0)</f>
        <v>Vietnam</v>
      </c>
      <c r="AO97" s="8" t="str">
        <f>VLOOKUP($AE97,Products[],MATCH(AO$1,Products[#Headers],0),0)</f>
        <v>No</v>
      </c>
      <c r="AP97" s="8">
        <f>VLOOKUP($AE97,Products[],MATCH(AP$1,Products[#Headers],0),0)</f>
        <v>3.4</v>
      </c>
      <c r="AQ97" s="8">
        <f>VLOOKUP($AE97,Products[],MATCH(AQ$1,Products[#Headers],0),0)</f>
        <v>45207</v>
      </c>
      <c r="AR97" s="8" t="str">
        <f>VLOOKUP($AE97,Products[],MATCH(AR$1,Products[#Headers],0),0)</f>
        <v>Yes</v>
      </c>
      <c r="AS97" s="8">
        <f>VLOOKUP($AE97,Products[],MATCH(AS$1,Products[#Headers],0),0)</f>
        <v>3536</v>
      </c>
      <c r="AT97" s="8">
        <f>VLOOKUP($AE97,Products[],MATCH(AT$1,Products[#Headers],0),0)</f>
        <v>10</v>
      </c>
      <c r="AU97" s="8">
        <f t="shared" si="5"/>
        <v>10</v>
      </c>
      <c r="AV97" s="8" t="str">
        <f>IFERROR(VLOOKUP($AU97,stores[],MATCH(AV$1,stores[#Headers],0),0),"")</f>
        <v>S010</v>
      </c>
      <c r="AW97" s="8" t="str">
        <f>IFERROR(VLOOKUP($AU97,stores[],MATCH(AW$1,stores[#Headers],0),0),"")</f>
        <v>Zachariah, Lanka and Manda Mart</v>
      </c>
      <c r="AX97" s="8" t="str">
        <f>IFERROR(VLOOKUP($AU97,stores[],MATCH(AX$1,stores[#Headers],0),0),"")</f>
        <v>Delhi</v>
      </c>
      <c r="AY97" s="8" t="str">
        <f>IFERROR(VLOOKUP($AU97,stores[],MATCH(AY$1,stores[#Headers],0),0),"")</f>
        <v>Delhi</v>
      </c>
      <c r="AZ97" s="8">
        <f>IFERROR(VLOOKUP($AU97,stores[],MATCH(AZ$1,stores[#Headers],0),0),"")</f>
        <v>310698</v>
      </c>
      <c r="BA97" s="8" t="str">
        <f>IFERROR(VLOOKUP($AU97,stores[],MATCH(BA$1,stores[#Headers],0),0),"")</f>
        <v>Mitesh Bhagat</v>
      </c>
      <c r="BB97" s="8">
        <f>IFERROR(VLOOKUP($AU97,stores[],MATCH(BB$1,stores[#Headers],0),0),"")</f>
        <v>2008</v>
      </c>
      <c r="BC97" s="8">
        <f>IFERROR(VLOOKUP($AU97,stores[],MATCH(BC$1,stores[#Headers],0),0),"")</f>
        <v>88</v>
      </c>
      <c r="BD97" s="8">
        <f>IFERROR(VLOOKUP($AU97,stores[],MATCH(BD$1,stores[#Headers],0),0),"")</f>
        <v>5157</v>
      </c>
      <c r="BE97" s="8">
        <f>IFERROR(VLOOKUP($AU97,stores[],MATCH(BE$1,stores[#Headers],0),0),"")</f>
        <v>4.4000000000000004</v>
      </c>
      <c r="BF97" s="8" t="str">
        <f>IFERROR(VLOOKUP($AU97,stores[],MATCH(BF$1,stores[#Headers],0),0),"")</f>
        <v>Yes</v>
      </c>
      <c r="BG97" s="8">
        <f>IFERROR(VLOOKUP($AU97,stores[],MATCH(BG$1,stores[#Headers],0),0),"")</f>
        <v>2545</v>
      </c>
      <c r="BH97" s="8" t="str">
        <f>IFERROR(VLOOKUP($AU97,stores[],MATCH(BH$1,stores[#Headers],0),0),"")</f>
        <v>Retail</v>
      </c>
      <c r="BI97" s="8">
        <f>IFERROR(VLOOKUP($AU97,stores[],MATCH(BI$1,stores[#Headers],0),0),"")</f>
        <v>614973103</v>
      </c>
      <c r="BJ97" s="8" t="str">
        <f>IFERROR(VLOOKUP($AU97,stores[],MATCH(BJ$1,stores[#Headers],0),0),"")</f>
        <v>bishakhabumb@dalia-morar.biz</v>
      </c>
    </row>
    <row r="98" spans="1:62" x14ac:dyDescent="0.3">
      <c r="A98" s="8" t="str">
        <v>O1097</v>
      </c>
      <c r="B98" s="8" t="str">
        <v>C087</v>
      </c>
      <c r="C98" s="8" t="str">
        <v>P191</v>
      </c>
      <c r="D98" s="8">
        <v>45761</v>
      </c>
      <c r="E98" s="8">
        <v>3</v>
      </c>
      <c r="F98" s="8">
        <v>31432</v>
      </c>
      <c r="G98" s="8">
        <v>157160</v>
      </c>
      <c r="H98" s="8">
        <v>0.28999999999999998</v>
      </c>
      <c r="I98" s="8" t="str">
        <v>Cash on Delivery</v>
      </c>
      <c r="J98" s="8" t="str">
        <v>Delivered</v>
      </c>
      <c r="K98" s="8">
        <v>45862</v>
      </c>
      <c r="L98" s="8" t="str">
        <v>Yes</v>
      </c>
      <c r="M98" s="8">
        <v>160</v>
      </c>
      <c r="N98" s="8" t="str">
        <v>Yes</v>
      </c>
      <c r="O98" s="8" t="str">
        <v>Yes</v>
      </c>
      <c r="P98" s="8" t="str">
        <f t="shared" si="3"/>
        <v>C087</v>
      </c>
      <c r="Q98" s="8" t="str">
        <f>VLOOKUP($B98,customers[],MATCH(Q$1,customers[#Headers],0),0)</f>
        <v>Urmi Balay</v>
      </c>
      <c r="R98" s="8" t="str">
        <f>VLOOKUP($B98,customers[],MATCH(R$1,customers[#Headers],0),0)</f>
        <v>nilima22@example.net</v>
      </c>
      <c r="S98" s="8">
        <f>VLOOKUP($B98,customers[],MATCH(S$1,customers[#Headers],0),0)</f>
        <v>6567661825</v>
      </c>
      <c r="T98" s="8" t="str">
        <f>VLOOKUP($B98,customers[],MATCH(T$1,customers[#Headers],0),0)</f>
        <v>Delhi</v>
      </c>
      <c r="U98" s="8" t="str">
        <f>VLOOKUP($B98,customers[],MATCH(U$1,customers[#Headers],0),0)</f>
        <v>Delhi</v>
      </c>
      <c r="V98" s="8">
        <f>VLOOKUP($B98,customers[],MATCH(V$1,customers[#Headers],0),0)</f>
        <v>286823</v>
      </c>
      <c r="W98" s="8" t="str">
        <f>VLOOKUP($B98,customers[],MATCH(W$1,customers[#Headers],0),0)</f>
        <v>Male</v>
      </c>
      <c r="X98" s="8">
        <f>VLOOKUP($B98,customers[],MATCH(X$1,customers[#Headers],0),0)</f>
        <v>21834</v>
      </c>
      <c r="Y98" s="8">
        <f>VLOOKUP($B98,customers[],MATCH(Y$1,customers[#Headers],0),0)</f>
        <v>44098</v>
      </c>
      <c r="Z98" s="8" t="str">
        <f>VLOOKUP($B98,customers[],MATCH(Z$1,customers[#Headers],0),0)</f>
        <v>Home Appliance</v>
      </c>
      <c r="AA98" s="8">
        <f>VLOOKUP($B98,customers[],MATCH(AA$1,customers[#Headers],0),0)</f>
        <v>2168</v>
      </c>
      <c r="AB98" s="8" t="str">
        <f>VLOOKUP($B98,customers[],MATCH(AB$1,customers[#Headers],0),0)</f>
        <v>Married</v>
      </c>
      <c r="AC98" s="8" t="str">
        <f>VLOOKUP($B98,customers[],MATCH(AC$1,customers[#Headers],0),0)</f>
        <v>Engineer</v>
      </c>
      <c r="AD98" s="8">
        <f>VLOOKUP($B98,customers[],MATCH(AD$1,customers[#Headers],0),0)</f>
        <v>1382729</v>
      </c>
      <c r="AE98" s="8" t="str">
        <f t="shared" si="4"/>
        <v>P191</v>
      </c>
      <c r="AF98" s="8" t="str">
        <f>VLOOKUP($AE98,Products[],MATCH(AF$1,Products[#Headers],0),0)</f>
        <v>Quas Shirt</v>
      </c>
      <c r="AG98" s="8" t="str">
        <f>VLOOKUP($AE98,Products[],MATCH(AG$1,Products[#Headers],0),0)</f>
        <v>Electronics</v>
      </c>
      <c r="AH98" s="8" t="str">
        <f>VLOOKUP($AE98,Products[],MATCH(AH$1,Products[#Headers],0),0)</f>
        <v>LED</v>
      </c>
      <c r="AI98" s="8" t="str">
        <f>VLOOKUP($AE98,Products[],MATCH(AI$1,Products[#Headers],0),0)</f>
        <v>Upadhyay, Gulati and Ramanathan</v>
      </c>
      <c r="AJ98" s="8">
        <f>VLOOKUP($AE98,Products[],MATCH(AJ$1,Products[#Headers],0),0)</f>
        <v>31432</v>
      </c>
      <c r="AK98" s="8">
        <f>VLOOKUP($AE98,Products[],MATCH(AK$1,Products[#Headers],0),0)</f>
        <v>29</v>
      </c>
      <c r="AL98" s="8">
        <f>VLOOKUP($AE98,Products[],MATCH(AL$1,Products[#Headers],0),0)</f>
        <v>660</v>
      </c>
      <c r="AM98" s="8">
        <f>VLOOKUP($AE98,Products[],MATCH(AM$1,Products[#Headers],0),0)</f>
        <v>24</v>
      </c>
      <c r="AN98" s="8" t="str">
        <f>VLOOKUP($AE98,Products[],MATCH(AN$1,Products[#Headers],0),0)</f>
        <v>Vietnam</v>
      </c>
      <c r="AO98" s="8" t="str">
        <f>VLOOKUP($AE98,Products[],MATCH(AO$1,Products[#Headers],0),0)</f>
        <v>No</v>
      </c>
      <c r="AP98" s="8">
        <f>VLOOKUP($AE98,Products[],MATCH(AP$1,Products[#Headers],0),0)</f>
        <v>4.9000000000000004</v>
      </c>
      <c r="AQ98" s="8">
        <f>VLOOKUP($AE98,Products[],MATCH(AQ$1,Products[#Headers],0),0)</f>
        <v>45218</v>
      </c>
      <c r="AR98" s="8" t="str">
        <f>VLOOKUP($AE98,Products[],MATCH(AR$1,Products[#Headers],0),0)</f>
        <v>Yes</v>
      </c>
      <c r="AS98" s="8">
        <f>VLOOKUP($AE98,Products[],MATCH(AS$1,Products[#Headers],0),0)</f>
        <v>3514</v>
      </c>
      <c r="AT98" s="8">
        <f>VLOOKUP($AE98,Products[],MATCH(AT$1,Products[#Headers],0),0)</f>
        <v>39</v>
      </c>
      <c r="AU98" s="8">
        <f t="shared" si="5"/>
        <v>39</v>
      </c>
      <c r="AV98" s="8" t="str">
        <f>IFERROR(VLOOKUP($AU98,stores[],MATCH(AV$1,stores[#Headers],0),0),"")</f>
        <v>S039</v>
      </c>
      <c r="AW98" s="8" t="str">
        <f>IFERROR(VLOOKUP($AU98,stores[],MATCH(AW$1,stores[#Headers],0),0),"")</f>
        <v>Bhavsar, Krishna and Chaudhari Mart</v>
      </c>
      <c r="AX98" s="8" t="str">
        <f>IFERROR(VLOOKUP($AU98,stores[],MATCH(AX$1,stores[#Headers],0),0),"")</f>
        <v>Lucknow</v>
      </c>
      <c r="AY98" s="8" t="str">
        <f>IFERROR(VLOOKUP($AU98,stores[],MATCH(AY$1,stores[#Headers],0),0),"")</f>
        <v>Uttar Pradesh</v>
      </c>
      <c r="AZ98" s="8">
        <f>IFERROR(VLOOKUP($AU98,stores[],MATCH(AZ$1,stores[#Headers],0),0),"")</f>
        <v>975523</v>
      </c>
      <c r="BA98" s="8" t="str">
        <f>IFERROR(VLOOKUP($AU98,stores[],MATCH(BA$1,stores[#Headers],0),0),"")</f>
        <v>Bhavani Boase</v>
      </c>
      <c r="BB98" s="8">
        <f>IFERROR(VLOOKUP($AU98,stores[],MATCH(BB$1,stores[#Headers],0),0),"")</f>
        <v>2020</v>
      </c>
      <c r="BC98" s="8">
        <f>IFERROR(VLOOKUP($AU98,stores[],MATCH(BC$1,stores[#Headers],0),0),"")</f>
        <v>14</v>
      </c>
      <c r="BD98" s="8">
        <f>IFERROR(VLOOKUP($AU98,stores[],MATCH(BD$1,stores[#Headers],0),0),"")</f>
        <v>17257</v>
      </c>
      <c r="BE98" s="8">
        <f>IFERROR(VLOOKUP($AU98,stores[],MATCH(BE$1,stores[#Headers],0),0),"")</f>
        <v>3.9</v>
      </c>
      <c r="BF98" s="8" t="str">
        <f>IFERROR(VLOOKUP($AU98,stores[],MATCH(BF$1,stores[#Headers],0),0),"")</f>
        <v>No</v>
      </c>
      <c r="BG98" s="8">
        <f>IFERROR(VLOOKUP($AU98,stores[],MATCH(BG$1,stores[#Headers],0),0),"")</f>
        <v>954</v>
      </c>
      <c r="BH98" s="8" t="str">
        <f>IFERROR(VLOOKUP($AU98,stores[],MATCH(BH$1,stores[#Headers],0),0),"")</f>
        <v>Franchise</v>
      </c>
      <c r="BI98" s="8">
        <f>IFERROR(VLOOKUP($AU98,stores[],MATCH(BI$1,stores[#Headers],0),0),"")</f>
        <v>915775949299</v>
      </c>
      <c r="BJ98" s="8" t="str">
        <f>IFERROR(VLOOKUP($AU98,stores[],MATCH(BJ$1,stores[#Headers],0),0),"")</f>
        <v>diya62@munshi.com</v>
      </c>
    </row>
    <row r="99" spans="1:62" x14ac:dyDescent="0.3">
      <c r="A99" s="8" t="str">
        <v>O1098</v>
      </c>
      <c r="B99" s="8" t="str">
        <v>C040</v>
      </c>
      <c r="C99" s="8" t="str">
        <v>P115</v>
      </c>
      <c r="D99" s="8">
        <v>45612</v>
      </c>
      <c r="E99" s="8">
        <v>2</v>
      </c>
      <c r="F99" s="8">
        <v>67949</v>
      </c>
      <c r="G99" s="8">
        <v>203847</v>
      </c>
      <c r="H99" s="8">
        <v>0.05</v>
      </c>
      <c r="I99" s="8" t="str">
        <v>Debit Card</v>
      </c>
      <c r="J99" s="8" t="str">
        <v>Cancelled</v>
      </c>
      <c r="K99" s="8">
        <v>45865</v>
      </c>
      <c r="L99" s="8" t="str">
        <v>No</v>
      </c>
      <c r="M99" s="8">
        <v>305</v>
      </c>
      <c r="N99" s="8" t="str">
        <v>Yes</v>
      </c>
      <c r="O99" s="8" t="str">
        <v>No</v>
      </c>
      <c r="P99" s="8" t="str">
        <f t="shared" si="3"/>
        <v>C040</v>
      </c>
      <c r="Q99" s="8" t="str">
        <f>VLOOKUP($B99,customers[],MATCH(Q$1,customers[#Headers],0),0)</f>
        <v>Aadhya Andra</v>
      </c>
      <c r="R99" s="8" t="str">
        <f>VLOOKUP($B99,customers[],MATCH(R$1,customers[#Headers],0),0)</f>
        <v>rmani@example.net</v>
      </c>
      <c r="S99" s="8">
        <f>VLOOKUP($B99,customers[],MATCH(S$1,customers[#Headers],0),0)</f>
        <v>911759464743</v>
      </c>
      <c r="T99" s="8" t="str">
        <f>VLOOKUP($B99,customers[],MATCH(T$1,customers[#Headers],0),0)</f>
        <v>Lucknow</v>
      </c>
      <c r="U99" s="8" t="str">
        <f>VLOOKUP($B99,customers[],MATCH(U$1,customers[#Headers],0),0)</f>
        <v>Uttar Pradesh</v>
      </c>
      <c r="V99" s="8">
        <f>VLOOKUP($B99,customers[],MATCH(V$1,customers[#Headers],0),0)</f>
        <v>713695</v>
      </c>
      <c r="W99" s="8" t="str">
        <f>VLOOKUP($B99,customers[],MATCH(W$1,customers[#Headers],0),0)</f>
        <v>Male</v>
      </c>
      <c r="X99" s="8">
        <f>VLOOKUP($B99,customers[],MATCH(X$1,customers[#Headers],0),0)</f>
        <v>36035</v>
      </c>
      <c r="Y99" s="8">
        <f>VLOOKUP($B99,customers[],MATCH(Y$1,customers[#Headers],0),0)</f>
        <v>44947</v>
      </c>
      <c r="Z99" s="8" t="str">
        <f>VLOOKUP($B99,customers[],MATCH(Z$1,customers[#Headers],0),0)</f>
        <v>Home Appliance</v>
      </c>
      <c r="AA99" s="8">
        <f>VLOOKUP($B99,customers[],MATCH(AA$1,customers[#Headers],0),0)</f>
        <v>6715</v>
      </c>
      <c r="AB99" s="8" t="str">
        <f>VLOOKUP($B99,customers[],MATCH(AB$1,customers[#Headers],0),0)</f>
        <v>Single</v>
      </c>
      <c r="AC99" s="8" t="str">
        <f>VLOOKUP($B99,customers[],MATCH(AC$1,customers[#Headers],0),0)</f>
        <v>Student</v>
      </c>
      <c r="AD99" s="8">
        <f>VLOOKUP($B99,customers[],MATCH(AD$1,customers[#Headers],0),0)</f>
        <v>716351</v>
      </c>
      <c r="AE99" s="8" t="str">
        <f t="shared" si="4"/>
        <v>P115</v>
      </c>
      <c r="AF99" s="8" t="str">
        <f>VLOOKUP($AE99,Products[],MATCH(AF$1,Products[#Headers],0),0)</f>
        <v>Sapiente TV</v>
      </c>
      <c r="AG99" s="8" t="str">
        <f>VLOOKUP($AE99,Products[],MATCH(AG$1,Products[#Headers],0),0)</f>
        <v>Fashion</v>
      </c>
      <c r="AH99" s="8" t="str">
        <f>VLOOKUP($AE99,Products[],MATCH(AH$1,Products[#Headers],0),0)</f>
        <v>Android</v>
      </c>
      <c r="AI99" s="8" t="str">
        <f>VLOOKUP($AE99,Products[],MATCH(AI$1,Products[#Headers],0),0)</f>
        <v>Rattan-Warrior</v>
      </c>
      <c r="AJ99" s="8">
        <f>VLOOKUP($AE99,Products[],MATCH(AJ$1,Products[#Headers],0),0)</f>
        <v>67949</v>
      </c>
      <c r="AK99" s="8">
        <f>VLOOKUP($AE99,Products[],MATCH(AK$1,Products[#Headers],0),0)</f>
        <v>5</v>
      </c>
      <c r="AL99" s="8">
        <f>VLOOKUP($AE99,Products[],MATCH(AL$1,Products[#Headers],0),0)</f>
        <v>673</v>
      </c>
      <c r="AM99" s="8">
        <f>VLOOKUP($AE99,Products[],MATCH(AM$1,Products[#Headers],0),0)</f>
        <v>36</v>
      </c>
      <c r="AN99" s="8" t="str">
        <f>VLOOKUP($AE99,Products[],MATCH(AN$1,Products[#Headers],0),0)</f>
        <v>Japan</v>
      </c>
      <c r="AO99" s="8" t="str">
        <f>VLOOKUP($AE99,Products[],MATCH(AO$1,Products[#Headers],0),0)</f>
        <v>Yes</v>
      </c>
      <c r="AP99" s="8">
        <f>VLOOKUP($AE99,Products[],MATCH(AP$1,Products[#Headers],0),0)</f>
        <v>3</v>
      </c>
      <c r="AQ99" s="8">
        <f>VLOOKUP($AE99,Products[],MATCH(AQ$1,Products[#Headers],0),0)</f>
        <v>45545</v>
      </c>
      <c r="AR99" s="8" t="str">
        <f>VLOOKUP($AE99,Products[],MATCH(AR$1,Products[#Headers],0),0)</f>
        <v>No</v>
      </c>
      <c r="AS99" s="8">
        <f>VLOOKUP($AE99,Products[],MATCH(AS$1,Products[#Headers],0),0)</f>
        <v>9168</v>
      </c>
      <c r="AT99" s="8">
        <f>VLOOKUP($AE99,Products[],MATCH(AT$1,Products[#Headers],0),0)</f>
        <v>153</v>
      </c>
      <c r="AU99" s="8">
        <f t="shared" si="5"/>
        <v>153</v>
      </c>
      <c r="AV99" s="8" t="str">
        <f>IFERROR(VLOOKUP($AU99,stores[],MATCH(AV$1,stores[#Headers],0),0),"")</f>
        <v/>
      </c>
      <c r="AW99" s="8" t="str">
        <f>IFERROR(VLOOKUP($AU99,stores[],MATCH(AW$1,stores[#Headers],0),0),"")</f>
        <v/>
      </c>
      <c r="AX99" s="8" t="str">
        <f>IFERROR(VLOOKUP($AU99,stores[],MATCH(AX$1,stores[#Headers],0),0),"")</f>
        <v/>
      </c>
      <c r="AY99" s="8" t="str">
        <f>IFERROR(VLOOKUP($AU99,stores[],MATCH(AY$1,stores[#Headers],0),0),"")</f>
        <v/>
      </c>
      <c r="AZ99" s="8" t="str">
        <f>IFERROR(VLOOKUP($AU99,stores[],MATCH(AZ$1,stores[#Headers],0),0),"")</f>
        <v/>
      </c>
      <c r="BA99" s="8" t="str">
        <f>IFERROR(VLOOKUP($AU99,stores[],MATCH(BA$1,stores[#Headers],0),0),"")</f>
        <v/>
      </c>
      <c r="BB99" s="8" t="str">
        <f>IFERROR(VLOOKUP($AU99,stores[],MATCH(BB$1,stores[#Headers],0),0),"")</f>
        <v/>
      </c>
      <c r="BC99" s="8" t="str">
        <f>IFERROR(VLOOKUP($AU99,stores[],MATCH(BC$1,stores[#Headers],0),0),"")</f>
        <v/>
      </c>
      <c r="BD99" s="8" t="str">
        <f>IFERROR(VLOOKUP($AU99,stores[],MATCH(BD$1,stores[#Headers],0),0),"")</f>
        <v/>
      </c>
      <c r="BE99" s="8" t="str">
        <f>IFERROR(VLOOKUP($AU99,stores[],MATCH(BE$1,stores[#Headers],0),0),"")</f>
        <v/>
      </c>
      <c r="BF99" s="8" t="str">
        <f>IFERROR(VLOOKUP($AU99,stores[],MATCH(BF$1,stores[#Headers],0),0),"")</f>
        <v/>
      </c>
      <c r="BG99" s="8" t="str">
        <f>IFERROR(VLOOKUP($AU99,stores[],MATCH(BG$1,stores[#Headers],0),0),"")</f>
        <v/>
      </c>
      <c r="BH99" s="8" t="str">
        <f>IFERROR(VLOOKUP($AU99,stores[],MATCH(BH$1,stores[#Headers],0),0),"")</f>
        <v/>
      </c>
      <c r="BI99" s="8" t="str">
        <f>IFERROR(VLOOKUP($AU99,stores[],MATCH(BI$1,stores[#Headers],0),0),"")</f>
        <v/>
      </c>
      <c r="BJ99" s="8" t="str">
        <f>IFERROR(VLOOKUP($AU99,stores[],MATCH(BJ$1,stores[#Headers],0),0),"")</f>
        <v/>
      </c>
    </row>
    <row r="100" spans="1:62" x14ac:dyDescent="0.3">
      <c r="A100" s="8" t="str">
        <v>O1099</v>
      </c>
      <c r="B100" s="8" t="str">
        <v>C055</v>
      </c>
      <c r="C100" s="8" t="str">
        <v>P124</v>
      </c>
      <c r="D100" s="8">
        <v>45594</v>
      </c>
      <c r="E100" s="8">
        <v>4</v>
      </c>
      <c r="F100" s="8">
        <v>43565</v>
      </c>
      <c r="G100" s="8">
        <v>217825</v>
      </c>
      <c r="H100" s="8">
        <v>0.26</v>
      </c>
      <c r="I100" s="8" t="str">
        <v>Debit Card</v>
      </c>
      <c r="J100" s="8" t="str">
        <v>Shipped</v>
      </c>
      <c r="K100" s="8">
        <v>45860</v>
      </c>
      <c r="L100" s="8" t="str">
        <v>No</v>
      </c>
      <c r="M100" s="8">
        <v>147</v>
      </c>
      <c r="N100" s="8" t="str">
        <v>Yes</v>
      </c>
      <c r="O100" s="8" t="str">
        <v>Yes</v>
      </c>
      <c r="P100" s="8" t="str">
        <f t="shared" si="3"/>
        <v>C055</v>
      </c>
      <c r="Q100" s="8" t="str">
        <f>VLOOKUP($B100,customers[],MATCH(Q$1,customers[#Headers],0),0)</f>
        <v>Ikshita Panchal</v>
      </c>
      <c r="R100" s="8" t="str">
        <f>VLOOKUP($B100,customers[],MATCH(R$1,customers[#Headers],0),0)</f>
        <v>warinderchauhan@example.org</v>
      </c>
      <c r="S100" s="8">
        <f>VLOOKUP($B100,customers[],MATCH(S$1,customers[#Headers],0),0)</f>
        <v>3292127799</v>
      </c>
      <c r="T100" s="8" t="str">
        <f>VLOOKUP($B100,customers[],MATCH(T$1,customers[#Headers],0),0)</f>
        <v>Mumbai</v>
      </c>
      <c r="U100" s="8" t="str">
        <f>VLOOKUP($B100,customers[],MATCH(U$1,customers[#Headers],0),0)</f>
        <v>Maharashtra</v>
      </c>
      <c r="V100" s="8">
        <f>VLOOKUP($B100,customers[],MATCH(V$1,customers[#Headers],0),0)</f>
        <v>995527</v>
      </c>
      <c r="W100" s="8" t="str">
        <f>VLOOKUP($B100,customers[],MATCH(W$1,customers[#Headers],0),0)</f>
        <v>Female</v>
      </c>
      <c r="X100" s="8">
        <f>VLOOKUP($B100,customers[],MATCH(X$1,customers[#Headers],0),0)</f>
        <v>23445</v>
      </c>
      <c r="Y100" s="8">
        <f>VLOOKUP($B100,customers[],MATCH(Y$1,customers[#Headers],0),0)</f>
        <v>45484</v>
      </c>
      <c r="Z100" s="8" t="str">
        <f>VLOOKUP($B100,customers[],MATCH(Z$1,customers[#Headers],0),0)</f>
        <v>Electronics</v>
      </c>
      <c r="AA100" s="8">
        <f>VLOOKUP($B100,customers[],MATCH(AA$1,customers[#Headers],0),0)</f>
        <v>7811</v>
      </c>
      <c r="AB100" s="8" t="str">
        <f>VLOOKUP($B100,customers[],MATCH(AB$1,customers[#Headers],0),0)</f>
        <v>Single</v>
      </c>
      <c r="AC100" s="8" t="str">
        <f>VLOOKUP($B100,customers[],MATCH(AC$1,customers[#Headers],0),0)</f>
        <v>Doctor</v>
      </c>
      <c r="AD100" s="8">
        <f>VLOOKUP($B100,customers[],MATCH(AD$1,customers[#Headers],0),0)</f>
        <v>1912506</v>
      </c>
      <c r="AE100" s="8" t="str">
        <f t="shared" si="4"/>
        <v>P124</v>
      </c>
      <c r="AF100" s="8" t="str">
        <f>VLOOKUP($AE100,Products[],MATCH(AF$1,Products[#Headers],0),0)</f>
        <v>Cum Laptop</v>
      </c>
      <c r="AG100" s="8" t="str">
        <f>VLOOKUP($AE100,Products[],MATCH(AG$1,Products[#Headers],0),0)</f>
        <v>Grocery</v>
      </c>
      <c r="AH100" s="8" t="str">
        <f>VLOOKUP($AE100,Products[],MATCH(AH$1,Products[#Headers],0),0)</f>
        <v>LED</v>
      </c>
      <c r="AI100" s="8" t="str">
        <f>VLOOKUP($AE100,Products[],MATCH(AI$1,Products[#Headers],0),0)</f>
        <v>Dhar, Pall and Muni</v>
      </c>
      <c r="AJ100" s="8">
        <f>VLOOKUP($AE100,Products[],MATCH(AJ$1,Products[#Headers],0),0)</f>
        <v>43565</v>
      </c>
      <c r="AK100" s="8">
        <f>VLOOKUP($AE100,Products[],MATCH(AK$1,Products[#Headers],0),0)</f>
        <v>26</v>
      </c>
      <c r="AL100" s="8">
        <f>VLOOKUP($AE100,Products[],MATCH(AL$1,Products[#Headers],0),0)</f>
        <v>879</v>
      </c>
      <c r="AM100" s="8">
        <f>VLOOKUP($AE100,Products[],MATCH(AM$1,Products[#Headers],0),0)</f>
        <v>36</v>
      </c>
      <c r="AN100" s="8" t="str">
        <f>VLOOKUP($AE100,Products[],MATCH(AN$1,Products[#Headers],0),0)</f>
        <v>Vietnam</v>
      </c>
      <c r="AO100" s="8" t="str">
        <f>VLOOKUP($AE100,Products[],MATCH(AO$1,Products[#Headers],0),0)</f>
        <v>No</v>
      </c>
      <c r="AP100" s="8">
        <f>VLOOKUP($AE100,Products[],MATCH(AP$1,Products[#Headers],0),0)</f>
        <v>4.7</v>
      </c>
      <c r="AQ100" s="8">
        <f>VLOOKUP($AE100,Products[],MATCH(AQ$1,Products[#Headers],0),0)</f>
        <v>45291</v>
      </c>
      <c r="AR100" s="8" t="str">
        <f>VLOOKUP($AE100,Products[],MATCH(AR$1,Products[#Headers],0),0)</f>
        <v>Yes</v>
      </c>
      <c r="AS100" s="8">
        <f>VLOOKUP($AE100,Products[],MATCH(AS$1,Products[#Headers],0),0)</f>
        <v>2122</v>
      </c>
      <c r="AT100" s="8">
        <f>VLOOKUP($AE100,Products[],MATCH(AT$1,Products[#Headers],0),0)</f>
        <v>58</v>
      </c>
      <c r="AU100" s="8">
        <f t="shared" si="5"/>
        <v>58</v>
      </c>
      <c r="AV100" s="8" t="str">
        <f>IFERROR(VLOOKUP($AU100,stores[],MATCH(AV$1,stores[#Headers],0),0),"")</f>
        <v>S058</v>
      </c>
      <c r="AW100" s="8" t="str">
        <f>IFERROR(VLOOKUP($AU100,stores[],MATCH(AW$1,stores[#Headers],0),0),"")</f>
        <v>Chawla LLC Mart</v>
      </c>
      <c r="AX100" s="8" t="str">
        <f>IFERROR(VLOOKUP($AU100,stores[],MATCH(AX$1,stores[#Headers],0),0),"")</f>
        <v>Chennai</v>
      </c>
      <c r="AY100" s="8" t="str">
        <f>IFERROR(VLOOKUP($AU100,stores[],MATCH(AY$1,stores[#Headers],0),0),"")</f>
        <v>Tamil Nadu</v>
      </c>
      <c r="AZ100" s="8">
        <f>IFERROR(VLOOKUP($AU100,stores[],MATCH(AZ$1,stores[#Headers],0),0),"")</f>
        <v>164334</v>
      </c>
      <c r="BA100" s="8" t="str">
        <f>IFERROR(VLOOKUP($AU100,stores[],MATCH(BA$1,stores[#Headers],0),0),"")</f>
        <v>Jonathan Deep</v>
      </c>
      <c r="BB100" s="8">
        <f>IFERROR(VLOOKUP($AU100,stores[],MATCH(BB$1,stores[#Headers],0),0),"")</f>
        <v>2008</v>
      </c>
      <c r="BC100" s="8">
        <f>IFERROR(VLOOKUP($AU100,stores[],MATCH(BC$1,stores[#Headers],0),0),"")</f>
        <v>27</v>
      </c>
      <c r="BD100" s="8">
        <f>IFERROR(VLOOKUP($AU100,stores[],MATCH(BD$1,stores[#Headers],0),0),"")</f>
        <v>2018</v>
      </c>
      <c r="BE100" s="8">
        <f>IFERROR(VLOOKUP($AU100,stores[],MATCH(BE$1,stores[#Headers],0),0),"")</f>
        <v>4.9000000000000004</v>
      </c>
      <c r="BF100" s="8" t="str">
        <f>IFERROR(VLOOKUP($AU100,stores[],MATCH(BF$1,stores[#Headers],0),0),"")</f>
        <v>No</v>
      </c>
      <c r="BG100" s="8">
        <f>IFERROR(VLOOKUP($AU100,stores[],MATCH(BG$1,stores[#Headers],0),0),"")</f>
        <v>2546</v>
      </c>
      <c r="BH100" s="8" t="str">
        <f>IFERROR(VLOOKUP($AU100,stores[],MATCH(BH$1,stores[#Headers],0),0),"")</f>
        <v>Retail</v>
      </c>
      <c r="BI100" s="8">
        <f>IFERROR(VLOOKUP($AU100,stores[],MATCH(BI$1,stores[#Headers],0),0),"")</f>
        <v>2005577848</v>
      </c>
      <c r="BJ100" s="8" t="str">
        <f>IFERROR(VLOOKUP($AU100,stores[],MATCH(BJ$1,stores[#Headers],0),0),"")</f>
        <v>sdeshmukh@goel.net</v>
      </c>
    </row>
    <row r="101" spans="1:62" x14ac:dyDescent="0.3">
      <c r="A101" s="8" t="str">
        <v>O1100</v>
      </c>
      <c r="B101" s="8" t="str">
        <v>C041</v>
      </c>
      <c r="C101" s="8" t="str">
        <v>P158</v>
      </c>
      <c r="D101" s="8">
        <v>45518</v>
      </c>
      <c r="E101" s="8">
        <v>5</v>
      </c>
      <c r="F101" s="8">
        <v>92731</v>
      </c>
      <c r="G101" s="8">
        <v>92731</v>
      </c>
      <c r="H101" s="8">
        <v>0.12</v>
      </c>
      <c r="I101" s="8" t="str">
        <v>UPI</v>
      </c>
      <c r="J101" s="8" t="str">
        <v>Delivered</v>
      </c>
      <c r="K101" s="8">
        <v>45859</v>
      </c>
      <c r="L101" s="8" t="str">
        <v>No</v>
      </c>
      <c r="M101" s="8">
        <v>69</v>
      </c>
      <c r="N101" s="8" t="str">
        <v>Yes</v>
      </c>
      <c r="O101" s="8" t="str">
        <v>No</v>
      </c>
      <c r="P101" s="8" t="str">
        <f t="shared" si="3"/>
        <v>C041</v>
      </c>
      <c r="Q101" s="8" t="str">
        <f>VLOOKUP($B101,customers[],MATCH(Q$1,customers[#Headers],0),0)</f>
        <v>Anthony Randhawa</v>
      </c>
      <c r="R101" s="8" t="str">
        <f>VLOOKUP($B101,customers[],MATCH(R$1,customers[#Headers],0),0)</f>
        <v>abhiram90@example.net</v>
      </c>
      <c r="S101" s="8">
        <f>VLOOKUP($B101,customers[],MATCH(S$1,customers[#Headers],0),0)</f>
        <v>7439533942</v>
      </c>
      <c r="T101" s="8" t="str">
        <f>VLOOKUP($B101,customers[],MATCH(T$1,customers[#Headers],0),0)</f>
        <v>Lucknow</v>
      </c>
      <c r="U101" s="8" t="str">
        <f>VLOOKUP($B101,customers[],MATCH(U$1,customers[#Headers],0),0)</f>
        <v>Uttar Pradesh</v>
      </c>
      <c r="V101" s="8">
        <f>VLOOKUP($B101,customers[],MATCH(V$1,customers[#Headers],0),0)</f>
        <v>47095</v>
      </c>
      <c r="W101" s="8" t="str">
        <f>VLOOKUP($B101,customers[],MATCH(W$1,customers[#Headers],0),0)</f>
        <v>Male</v>
      </c>
      <c r="X101" s="8">
        <f>VLOOKUP($B101,customers[],MATCH(X$1,customers[#Headers],0),0)</f>
        <v>25014</v>
      </c>
      <c r="Y101" s="8">
        <f>VLOOKUP($B101,customers[],MATCH(Y$1,customers[#Headers],0),0)</f>
        <v>44308</v>
      </c>
      <c r="Z101" s="8" t="str">
        <f>VLOOKUP($B101,customers[],MATCH(Z$1,customers[#Headers],0),0)</f>
        <v>Electronics</v>
      </c>
      <c r="AA101" s="8">
        <f>VLOOKUP($B101,customers[],MATCH(AA$1,customers[#Headers],0),0)</f>
        <v>6968</v>
      </c>
      <c r="AB101" s="8" t="str">
        <f>VLOOKUP($B101,customers[],MATCH(AB$1,customers[#Headers],0),0)</f>
        <v>Married</v>
      </c>
      <c r="AC101" s="8" t="str">
        <f>VLOOKUP($B101,customers[],MATCH(AC$1,customers[#Headers],0),0)</f>
        <v>Teacher</v>
      </c>
      <c r="AD101" s="8">
        <f>VLOOKUP($B101,customers[],MATCH(AD$1,customers[#Headers],0),0)</f>
        <v>628362</v>
      </c>
      <c r="AE101" s="8" t="str">
        <f t="shared" si="4"/>
        <v>P158</v>
      </c>
      <c r="AF101" s="8" t="str">
        <f>VLOOKUP($AE101,Products[],MATCH(AF$1,Products[#Headers],0),0)</f>
        <v>Deserunt Washing Machine</v>
      </c>
      <c r="AG101" s="8" t="str">
        <f>VLOOKUP($AE101,Products[],MATCH(AG$1,Products[#Headers],0),0)</f>
        <v>Home Appliance</v>
      </c>
      <c r="AH101" s="8" t="str">
        <f>VLOOKUP($AE101,Products[],MATCH(AH$1,Products[#Headers],0),0)</f>
        <v>Organic</v>
      </c>
      <c r="AI101" s="8" t="str">
        <f>VLOOKUP($AE101,Products[],MATCH(AI$1,Products[#Headers],0),0)</f>
        <v>Jhaveri Inc</v>
      </c>
      <c r="AJ101" s="8">
        <f>VLOOKUP($AE101,Products[],MATCH(AJ$1,Products[#Headers],0),0)</f>
        <v>92731</v>
      </c>
      <c r="AK101" s="8">
        <f>VLOOKUP($AE101,Products[],MATCH(AK$1,Products[#Headers],0),0)</f>
        <v>12</v>
      </c>
      <c r="AL101" s="8">
        <f>VLOOKUP($AE101,Products[],MATCH(AL$1,Products[#Headers],0),0)</f>
        <v>512</v>
      </c>
      <c r="AM101" s="8">
        <f>VLOOKUP($AE101,Products[],MATCH(AM$1,Products[#Headers],0),0)</f>
        <v>24</v>
      </c>
      <c r="AN101" s="8" t="str">
        <f>VLOOKUP($AE101,Products[],MATCH(AN$1,Products[#Headers],0),0)</f>
        <v>India</v>
      </c>
      <c r="AO101" s="8" t="str">
        <f>VLOOKUP($AE101,Products[],MATCH(AO$1,Products[#Headers],0),0)</f>
        <v>No</v>
      </c>
      <c r="AP101" s="8">
        <f>VLOOKUP($AE101,Products[],MATCH(AP$1,Products[#Headers],0),0)</f>
        <v>4.7</v>
      </c>
      <c r="AQ101" s="8">
        <f>VLOOKUP($AE101,Products[],MATCH(AQ$1,Products[#Headers],0),0)</f>
        <v>45644</v>
      </c>
      <c r="AR101" s="8" t="str">
        <f>VLOOKUP($AE101,Products[],MATCH(AR$1,Products[#Headers],0),0)</f>
        <v>Yes</v>
      </c>
      <c r="AS101" s="8">
        <f>VLOOKUP($AE101,Products[],MATCH(AS$1,Products[#Headers],0),0)</f>
        <v>8148</v>
      </c>
      <c r="AT101" s="8">
        <f>VLOOKUP($AE101,Products[],MATCH(AT$1,Products[#Headers],0),0)</f>
        <v>8</v>
      </c>
      <c r="AU101" s="8">
        <f t="shared" si="5"/>
        <v>8</v>
      </c>
      <c r="AV101" s="8" t="str">
        <f>IFERROR(VLOOKUP($AU101,stores[],MATCH(AV$1,stores[#Headers],0),0),"")</f>
        <v>S008</v>
      </c>
      <c r="AW101" s="8" t="str">
        <f>IFERROR(VLOOKUP($AU101,stores[],MATCH(AW$1,stores[#Headers],0),0),"")</f>
        <v>Palan LLC Mart</v>
      </c>
      <c r="AX101" s="8" t="str">
        <f>IFERROR(VLOOKUP($AU101,stores[],MATCH(AX$1,stores[#Headers],0),0),"")</f>
        <v>Delhi</v>
      </c>
      <c r="AY101" s="8" t="str">
        <f>IFERROR(VLOOKUP($AU101,stores[],MATCH(AY$1,stores[#Headers],0),0),"")</f>
        <v>Delhi</v>
      </c>
      <c r="AZ101" s="8">
        <f>IFERROR(VLOOKUP($AU101,stores[],MATCH(AZ$1,stores[#Headers],0),0),"")</f>
        <v>157043</v>
      </c>
      <c r="BA101" s="8" t="str">
        <f>IFERROR(VLOOKUP($AU101,stores[],MATCH(BA$1,stores[#Headers],0),0),"")</f>
        <v>Ekansh Palla</v>
      </c>
      <c r="BB101" s="8">
        <f>IFERROR(VLOOKUP($AU101,stores[],MATCH(BB$1,stores[#Headers],0),0),"")</f>
        <v>2018</v>
      </c>
      <c r="BC101" s="8">
        <f>IFERROR(VLOOKUP($AU101,stores[],MATCH(BC$1,stores[#Headers],0),0),"")</f>
        <v>49</v>
      </c>
      <c r="BD101" s="8">
        <f>IFERROR(VLOOKUP($AU101,stores[],MATCH(BD$1,stores[#Headers],0),0),"")</f>
        <v>18441</v>
      </c>
      <c r="BE101" s="8">
        <f>IFERROR(VLOOKUP($AU101,stores[],MATCH(BE$1,stores[#Headers],0),0),"")</f>
        <v>3.6</v>
      </c>
      <c r="BF101" s="8" t="str">
        <f>IFERROR(VLOOKUP($AU101,stores[],MATCH(BF$1,stores[#Headers],0),0),"")</f>
        <v>Yes</v>
      </c>
      <c r="BG101" s="8">
        <f>IFERROR(VLOOKUP($AU101,stores[],MATCH(BG$1,stores[#Headers],0),0),"")</f>
        <v>3151</v>
      </c>
      <c r="BH101" s="8" t="str">
        <f>IFERROR(VLOOKUP($AU101,stores[],MATCH(BH$1,stores[#Headers],0),0),"")</f>
        <v>Outlet</v>
      </c>
      <c r="BI101" s="8">
        <f>IFERROR(VLOOKUP($AU101,stores[],MATCH(BI$1,stores[#Headers],0),0),"")</f>
        <v>1006762676</v>
      </c>
      <c r="BJ101" s="8" t="str">
        <f>IFERROR(VLOOKUP($AU101,stores[],MATCH(BJ$1,stores[#Headers],0),0),"")</f>
        <v>keya17@kar.com</v>
      </c>
    </row>
  </sheetData>
  <autoFilter ref="AU1:BJ1" xr:uid="{6FBFA323-057F-4CB3-B345-FAC31C3D824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13FE-1CE0-435E-BC1F-78DB4CC79F8D}">
  <sheetPr>
    <tabColor theme="3" tint="-0.249977111117893"/>
  </sheetPr>
  <dimension ref="A3:W67"/>
  <sheetViews>
    <sheetView showGridLines="0" topLeftCell="E8" zoomScale="87" workbookViewId="0">
      <selection activeCell="O26" sqref="O26"/>
    </sheetView>
  </sheetViews>
  <sheetFormatPr defaultRowHeight="14.4" x14ac:dyDescent="0.3"/>
  <cols>
    <col min="1" max="1" width="13.109375" bestFit="1" customWidth="1"/>
    <col min="2" max="2" width="15.21875" bestFit="1" customWidth="1"/>
    <col min="3" max="4" width="6.21875" bestFit="1" customWidth="1"/>
    <col min="5" max="5" width="8" bestFit="1" customWidth="1"/>
    <col min="6" max="6" width="13.109375" bestFit="1" customWidth="1"/>
    <col min="7" max="7" width="15.21875" bestFit="1" customWidth="1"/>
    <col min="8" max="8" width="13.109375" bestFit="1" customWidth="1"/>
    <col min="9" max="9" width="15.21875" bestFit="1" customWidth="1"/>
    <col min="10" max="10" width="7.5546875" bestFit="1" customWidth="1"/>
    <col min="11" max="11" width="6.33203125" bestFit="1" customWidth="1"/>
    <col min="12" max="12" width="33.5546875" bestFit="1" customWidth="1"/>
    <col min="13" max="13" width="13.5546875" bestFit="1" customWidth="1"/>
    <col min="16" max="16" width="10.88671875" bestFit="1" customWidth="1"/>
  </cols>
  <sheetData>
    <row r="3" spans="1:23" x14ac:dyDescent="0.3">
      <c r="A3" s="2" t="s">
        <v>1219</v>
      </c>
      <c r="B3" s="2" t="s">
        <v>1238</v>
      </c>
      <c r="C3" s="2" t="s">
        <v>1239</v>
      </c>
      <c r="D3" s="2" t="s">
        <v>1240</v>
      </c>
      <c r="E3" s="2" t="s">
        <v>1241</v>
      </c>
      <c r="F3" s="2" t="s">
        <v>1227</v>
      </c>
      <c r="W3" s="11" t="s">
        <v>1219</v>
      </c>
    </row>
    <row r="4" spans="1:23" x14ac:dyDescent="0.3">
      <c r="A4" s="12">
        <v>100</v>
      </c>
      <c r="B4" s="25">
        <v>0.18390000000000004</v>
      </c>
      <c r="C4" s="12">
        <v>249.75</v>
      </c>
      <c r="D4" s="23">
        <v>45002</v>
      </c>
      <c r="E4" s="22">
        <v>16189582</v>
      </c>
      <c r="F4" s="23">
        <v>-2694893.8694999991</v>
      </c>
      <c r="W4" s="11" t="s">
        <v>1220</v>
      </c>
    </row>
    <row r="5" spans="1:23" x14ac:dyDescent="0.3">
      <c r="A5" s="13"/>
      <c r="B5" s="13"/>
      <c r="C5" s="13"/>
      <c r="D5" s="13"/>
      <c r="E5" s="13"/>
      <c r="F5" s="13"/>
      <c r="W5" t="s">
        <v>1221</v>
      </c>
    </row>
    <row r="6" spans="1:23" x14ac:dyDescent="0.3">
      <c r="W6" s="11" t="s">
        <v>1222</v>
      </c>
    </row>
    <row r="7" spans="1:23" x14ac:dyDescent="0.3">
      <c r="W7" t="s">
        <v>1223</v>
      </c>
    </row>
    <row r="8" spans="1:23" x14ac:dyDescent="0.3">
      <c r="W8" s="11" t="s">
        <v>1230</v>
      </c>
    </row>
    <row r="9" spans="1:23" x14ac:dyDescent="0.3">
      <c r="W9" s="11" t="s">
        <v>1231</v>
      </c>
    </row>
    <row r="10" spans="1:23" x14ac:dyDescent="0.3">
      <c r="W10" t="s">
        <v>1232</v>
      </c>
    </row>
    <row r="11" spans="1:23" x14ac:dyDescent="0.3">
      <c r="B11" s="15" t="s">
        <v>1245</v>
      </c>
      <c r="W11" t="s">
        <v>1233</v>
      </c>
    </row>
    <row r="12" spans="1:23" x14ac:dyDescent="0.3">
      <c r="B12" t="s">
        <v>300</v>
      </c>
      <c r="C12" t="s">
        <v>321</v>
      </c>
      <c r="D12" t="s">
        <v>292</v>
      </c>
      <c r="E12" t="s">
        <v>285</v>
      </c>
      <c r="F12" t="s">
        <v>317</v>
      </c>
      <c r="G12" t="s">
        <v>272</v>
      </c>
      <c r="H12" t="s">
        <v>348</v>
      </c>
      <c r="I12" t="s">
        <v>327</v>
      </c>
      <c r="J12" t="s">
        <v>305</v>
      </c>
      <c r="K12" t="s">
        <v>310</v>
      </c>
      <c r="L12" t="s">
        <v>1243</v>
      </c>
      <c r="W12" s="11" t="s">
        <v>1234</v>
      </c>
    </row>
    <row r="13" spans="1:23" x14ac:dyDescent="0.3">
      <c r="A13" t="s">
        <v>1244</v>
      </c>
      <c r="B13" s="17">
        <v>554765</v>
      </c>
      <c r="C13" s="17">
        <v>984489</v>
      </c>
      <c r="D13" s="17">
        <v>1038969</v>
      </c>
      <c r="E13" s="17">
        <v>1187489</v>
      </c>
      <c r="F13" s="17">
        <v>1299362</v>
      </c>
      <c r="G13" s="17">
        <v>1562489</v>
      </c>
      <c r="H13" s="17">
        <v>1965577</v>
      </c>
      <c r="I13" s="17">
        <v>2121333</v>
      </c>
      <c r="J13" s="17">
        <v>2431637</v>
      </c>
      <c r="K13" s="17">
        <v>3043472</v>
      </c>
      <c r="L13" s="17">
        <v>16189582</v>
      </c>
      <c r="W13" t="s">
        <v>1235</v>
      </c>
    </row>
    <row r="14" spans="1:23" x14ac:dyDescent="0.3">
      <c r="W14" t="s">
        <v>1236</v>
      </c>
    </row>
    <row r="15" spans="1:23" x14ac:dyDescent="0.3">
      <c r="W15" t="s">
        <v>1228</v>
      </c>
    </row>
    <row r="16" spans="1:23" x14ac:dyDescent="0.3">
      <c r="W16" t="s">
        <v>1229</v>
      </c>
    </row>
    <row r="17" spans="1:23" x14ac:dyDescent="0.3">
      <c r="W17" t="s">
        <v>1227</v>
      </c>
    </row>
    <row r="22" spans="1:23" x14ac:dyDescent="0.3">
      <c r="L22" s="15" t="s">
        <v>1274</v>
      </c>
      <c r="M22" t="s">
        <v>1228</v>
      </c>
      <c r="O22" s="2" t="s">
        <v>1275</v>
      </c>
      <c r="P22" s="2" t="s">
        <v>1276</v>
      </c>
      <c r="Q22" s="2" t="s">
        <v>1266</v>
      </c>
    </row>
    <row r="23" spans="1:23" x14ac:dyDescent="0.3">
      <c r="A23" s="15" t="s">
        <v>1242</v>
      </c>
      <c r="B23" t="s">
        <v>1244</v>
      </c>
      <c r="F23" s="15" t="s">
        <v>1242</v>
      </c>
      <c r="G23" t="s">
        <v>1244</v>
      </c>
      <c r="L23" s="16" t="s">
        <v>682</v>
      </c>
      <c r="M23" s="20">
        <v>926040</v>
      </c>
      <c r="O23" s="2">
        <v>1</v>
      </c>
      <c r="P23" s="2" t="str">
        <f>L23</f>
        <v>Loyal PLC</v>
      </c>
      <c r="Q23" s="2">
        <f>M23</f>
        <v>926040</v>
      </c>
    </row>
    <row r="24" spans="1:23" x14ac:dyDescent="0.3">
      <c r="A24" s="16" t="s">
        <v>295</v>
      </c>
      <c r="B24" s="20">
        <v>4612379</v>
      </c>
      <c r="F24" s="16" t="s">
        <v>565</v>
      </c>
      <c r="G24" s="20">
        <v>4307164</v>
      </c>
      <c r="L24" s="16" t="s">
        <v>678</v>
      </c>
      <c r="M24" s="20">
        <v>790728</v>
      </c>
      <c r="O24" s="2">
        <v>2</v>
      </c>
      <c r="P24" s="2" t="str">
        <f t="shared" ref="P24:P33" si="0">L24</f>
        <v>Kar-Yogi</v>
      </c>
      <c r="Q24" s="2">
        <f t="shared" ref="Q24:Q33" si="1">M24</f>
        <v>790728</v>
      </c>
    </row>
    <row r="25" spans="1:23" x14ac:dyDescent="0.3">
      <c r="A25" s="16" t="s">
        <v>275</v>
      </c>
      <c r="B25" s="20">
        <v>4442628</v>
      </c>
      <c r="F25" s="16" t="s">
        <v>574</v>
      </c>
      <c r="G25" s="20">
        <v>3359867</v>
      </c>
      <c r="L25" s="16" t="s">
        <v>758</v>
      </c>
      <c r="M25" s="20">
        <v>741034</v>
      </c>
      <c r="O25" s="2">
        <v>3</v>
      </c>
      <c r="P25" s="2" t="str">
        <f t="shared" si="0"/>
        <v>Dey Inc</v>
      </c>
      <c r="Q25" s="2">
        <f t="shared" si="1"/>
        <v>741034</v>
      </c>
    </row>
    <row r="26" spans="1:23" x14ac:dyDescent="0.3">
      <c r="A26" s="16" t="s">
        <v>281</v>
      </c>
      <c r="B26" s="20">
        <v>4100483</v>
      </c>
      <c r="F26" s="16" t="s">
        <v>570</v>
      </c>
      <c r="G26" s="20">
        <v>2886681</v>
      </c>
      <c r="L26" s="16" t="s">
        <v>696</v>
      </c>
      <c r="M26" s="20">
        <v>649117</v>
      </c>
      <c r="O26" s="2">
        <v>4</v>
      </c>
      <c r="P26" s="2" t="str">
        <f t="shared" si="0"/>
        <v>Jhaveri Inc</v>
      </c>
      <c r="Q26" s="2">
        <f t="shared" si="1"/>
        <v>649117</v>
      </c>
    </row>
    <row r="27" spans="1:23" x14ac:dyDescent="0.3">
      <c r="A27" s="16" t="s">
        <v>287</v>
      </c>
      <c r="B27" s="20">
        <v>3034092</v>
      </c>
      <c r="F27" s="16" t="s">
        <v>560</v>
      </c>
      <c r="G27" s="20">
        <v>5635870</v>
      </c>
      <c r="L27" s="16" t="s">
        <v>654</v>
      </c>
      <c r="M27" s="20">
        <v>637858</v>
      </c>
      <c r="O27" s="2">
        <v>5</v>
      </c>
      <c r="P27" s="2" t="str">
        <f t="shared" si="0"/>
        <v>Gera, Mishra and Chad</v>
      </c>
      <c r="Q27" s="2">
        <f t="shared" si="1"/>
        <v>637858</v>
      </c>
    </row>
    <row r="28" spans="1:23" x14ac:dyDescent="0.3">
      <c r="A28" s="16" t="s">
        <v>1243</v>
      </c>
      <c r="B28" s="20">
        <v>16189582</v>
      </c>
      <c r="L28" s="16" t="s">
        <v>684</v>
      </c>
      <c r="M28" s="20">
        <v>500946</v>
      </c>
      <c r="O28" s="2">
        <v>6</v>
      </c>
      <c r="P28" s="2" t="str">
        <f t="shared" si="0"/>
        <v>Sastry PLC</v>
      </c>
      <c r="Q28" s="2">
        <f t="shared" si="1"/>
        <v>500946</v>
      </c>
    </row>
    <row r="29" spans="1:23" x14ac:dyDescent="0.3">
      <c r="L29" s="16" t="s">
        <v>702</v>
      </c>
      <c r="M29" s="20">
        <v>491270</v>
      </c>
      <c r="O29" s="2">
        <v>7</v>
      </c>
      <c r="P29" s="2" t="str">
        <f t="shared" si="0"/>
        <v>Deshmukh Group</v>
      </c>
      <c r="Q29" s="2">
        <f t="shared" si="1"/>
        <v>491270</v>
      </c>
    </row>
    <row r="30" spans="1:23" x14ac:dyDescent="0.3">
      <c r="L30" s="16" t="s">
        <v>688</v>
      </c>
      <c r="M30" s="20">
        <v>448608</v>
      </c>
      <c r="O30" s="2">
        <v>8</v>
      </c>
      <c r="P30" s="2" t="str">
        <f t="shared" si="0"/>
        <v>Pall-Chahal</v>
      </c>
      <c r="Q30" s="2">
        <f t="shared" si="1"/>
        <v>448608</v>
      </c>
    </row>
    <row r="31" spans="1:23" x14ac:dyDescent="0.3">
      <c r="L31" s="16" t="s">
        <v>641</v>
      </c>
      <c r="M31" s="20">
        <v>446675</v>
      </c>
      <c r="O31" s="2">
        <v>9</v>
      </c>
      <c r="P31" s="2" t="str">
        <f t="shared" si="0"/>
        <v>Sankaran, Randhawa and Balakrishnan</v>
      </c>
      <c r="Q31" s="2">
        <f t="shared" si="1"/>
        <v>446675</v>
      </c>
    </row>
    <row r="32" spans="1:23" x14ac:dyDescent="0.3">
      <c r="L32" s="16" t="s">
        <v>708</v>
      </c>
      <c r="M32" s="20">
        <v>433734</v>
      </c>
      <c r="O32" s="2">
        <v>10</v>
      </c>
      <c r="P32" s="2" t="str">
        <f t="shared" si="0"/>
        <v>Luthra, Sachdeva and Prashad</v>
      </c>
      <c r="Q32" s="2">
        <f t="shared" si="1"/>
        <v>433734</v>
      </c>
    </row>
    <row r="34" spans="1:11" x14ac:dyDescent="0.3">
      <c r="B34" s="15" t="s">
        <v>1245</v>
      </c>
    </row>
    <row r="35" spans="1:11" x14ac:dyDescent="0.3">
      <c r="B35" t="s">
        <v>558</v>
      </c>
      <c r="C35" t="s">
        <v>563</v>
      </c>
      <c r="D35" t="s">
        <v>602</v>
      </c>
      <c r="E35" t="s">
        <v>588</v>
      </c>
      <c r="F35" t="s">
        <v>606</v>
      </c>
      <c r="G35" t="s">
        <v>572</v>
      </c>
    </row>
    <row r="36" spans="1:11" x14ac:dyDescent="0.3">
      <c r="A36" t="s">
        <v>1244</v>
      </c>
      <c r="B36" s="17">
        <v>1773553</v>
      </c>
      <c r="C36" s="17">
        <v>2052131</v>
      </c>
      <c r="D36" s="17">
        <v>2055017</v>
      </c>
      <c r="E36" s="17">
        <v>2343455</v>
      </c>
      <c r="F36" s="17">
        <v>3239446</v>
      </c>
      <c r="G36" s="17">
        <v>4725980</v>
      </c>
    </row>
    <row r="37" spans="1:11" x14ac:dyDescent="0.3">
      <c r="B37" s="24">
        <f>B36/SUM($B$36:$G$36)</f>
        <v>0.10954902974023666</v>
      </c>
      <c r="C37" s="24">
        <f t="shared" ref="C37:G37" si="2">C36/SUM($B$36:$G$36)</f>
        <v>0.12675626832119569</v>
      </c>
      <c r="D37" s="24">
        <f t="shared" si="2"/>
        <v>0.12693453110772102</v>
      </c>
      <c r="E37" s="24">
        <f t="shared" si="2"/>
        <v>0.14475080332524953</v>
      </c>
      <c r="F37" s="24">
        <f t="shared" si="2"/>
        <v>0.20009448051222076</v>
      </c>
      <c r="G37" s="24">
        <f t="shared" si="2"/>
        <v>0.29191488699337637</v>
      </c>
    </row>
    <row r="39" spans="1:11" x14ac:dyDescent="0.3">
      <c r="B39" t="s">
        <v>1264</v>
      </c>
      <c r="D39" s="2" t="str" cm="1">
        <f t="array" ref="D39">INDEX(B35:G35,0,COUNTA(B35:G35))</f>
        <v>Cotton</v>
      </c>
      <c r="F39" s="31" t="s">
        <v>1270</v>
      </c>
      <c r="G39" s="31"/>
      <c r="H39" s="31" t="str">
        <f>B35</f>
        <v>Organic</v>
      </c>
    </row>
    <row r="40" spans="1:11" x14ac:dyDescent="0.3">
      <c r="B40" t="s">
        <v>1266</v>
      </c>
      <c r="D40" s="21">
        <f>MAX(B36:G36)</f>
        <v>4725980</v>
      </c>
      <c r="F40" s="31" t="s">
        <v>1266</v>
      </c>
      <c r="G40" s="31"/>
      <c r="H40" s="32">
        <f t="shared" ref="H40:H41" si="3">B36</f>
        <v>1773553</v>
      </c>
    </row>
    <row r="41" spans="1:11" x14ac:dyDescent="0.3">
      <c r="B41" t="s">
        <v>1265</v>
      </c>
      <c r="D41" s="26">
        <f>MAX(B37:G37)</f>
        <v>0.29191488699337637</v>
      </c>
      <c r="F41" s="31" t="s">
        <v>1265</v>
      </c>
      <c r="G41" s="31"/>
      <c r="H41" s="33">
        <f t="shared" si="3"/>
        <v>0.10954902974023666</v>
      </c>
    </row>
    <row r="46" spans="1:11" x14ac:dyDescent="0.3">
      <c r="A46" s="15" t="s">
        <v>1242</v>
      </c>
      <c r="B46" t="s">
        <v>1244</v>
      </c>
      <c r="H46" s="15" t="s">
        <v>1242</v>
      </c>
      <c r="I46" t="s">
        <v>1244</v>
      </c>
    </row>
    <row r="47" spans="1:11" x14ac:dyDescent="0.3">
      <c r="A47" s="16" t="s">
        <v>1246</v>
      </c>
      <c r="B47" s="17">
        <v>7628203</v>
      </c>
      <c r="H47" s="16" t="s">
        <v>301</v>
      </c>
      <c r="I47" s="20">
        <v>554765</v>
      </c>
      <c r="K47" t="str">
        <f>H47</f>
        <v>Karnataka</v>
      </c>
    </row>
    <row r="48" spans="1:11" x14ac:dyDescent="0.3">
      <c r="A48" s="18" t="s">
        <v>1248</v>
      </c>
      <c r="B48" s="17">
        <v>4073460</v>
      </c>
      <c r="H48" s="16" t="s">
        <v>322</v>
      </c>
      <c r="I48" s="20">
        <v>984489</v>
      </c>
      <c r="K48" t="str">
        <f t="shared" ref="K48:K55" si="4">H48</f>
        <v>Tamil Nadu</v>
      </c>
    </row>
    <row r="49" spans="1:11" x14ac:dyDescent="0.3">
      <c r="A49" s="19" t="s">
        <v>1252</v>
      </c>
      <c r="B49" s="17">
        <v>636728</v>
      </c>
      <c r="H49" s="16" t="s">
        <v>293</v>
      </c>
      <c r="I49" s="20">
        <v>1038969</v>
      </c>
      <c r="K49" t="str">
        <f t="shared" si="4"/>
        <v>Uttar Pradesh</v>
      </c>
    </row>
    <row r="50" spans="1:11" x14ac:dyDescent="0.3">
      <c r="A50" s="19" t="s">
        <v>1253</v>
      </c>
      <c r="B50" s="17">
        <v>2358853</v>
      </c>
      <c r="H50" s="16" t="s">
        <v>286</v>
      </c>
      <c r="I50" s="20">
        <v>1187489</v>
      </c>
      <c r="K50" t="str">
        <f t="shared" si="4"/>
        <v>Telangana</v>
      </c>
    </row>
    <row r="51" spans="1:11" x14ac:dyDescent="0.3">
      <c r="A51" s="19" t="s">
        <v>1254</v>
      </c>
      <c r="B51" s="17">
        <v>1077879</v>
      </c>
      <c r="H51" s="16" t="s">
        <v>318</v>
      </c>
      <c r="I51" s="20">
        <v>1299362</v>
      </c>
      <c r="K51" t="str">
        <f t="shared" si="4"/>
        <v>Gujarat</v>
      </c>
    </row>
    <row r="52" spans="1:11" x14ac:dyDescent="0.3">
      <c r="A52" s="18" t="s">
        <v>1249</v>
      </c>
      <c r="B52" s="17">
        <v>3554743</v>
      </c>
      <c r="H52" s="16" t="s">
        <v>327</v>
      </c>
      <c r="I52" s="20">
        <v>2121333</v>
      </c>
      <c r="K52" t="str">
        <f t="shared" si="4"/>
        <v>Delhi</v>
      </c>
    </row>
    <row r="53" spans="1:11" x14ac:dyDescent="0.3">
      <c r="A53" s="19" t="s">
        <v>1255</v>
      </c>
      <c r="B53" s="17">
        <v>1675260</v>
      </c>
      <c r="H53" s="16" t="s">
        <v>306</v>
      </c>
      <c r="I53" s="20">
        <v>2431637</v>
      </c>
      <c r="K53" t="str">
        <f t="shared" si="4"/>
        <v>West Bengal</v>
      </c>
    </row>
    <row r="54" spans="1:11" x14ac:dyDescent="0.3">
      <c r="A54" s="19" t="s">
        <v>1256</v>
      </c>
      <c r="B54" s="17">
        <v>1033926</v>
      </c>
      <c r="H54" s="16" t="s">
        <v>311</v>
      </c>
      <c r="I54" s="20">
        <v>3043472</v>
      </c>
      <c r="K54" t="str">
        <f t="shared" si="4"/>
        <v>Rajasthan</v>
      </c>
    </row>
    <row r="55" spans="1:11" x14ac:dyDescent="0.3">
      <c r="A55" s="19" t="s">
        <v>1257</v>
      </c>
      <c r="B55" s="17">
        <v>845557</v>
      </c>
      <c r="H55" s="16" t="s">
        <v>273</v>
      </c>
      <c r="I55" s="20">
        <v>3528066</v>
      </c>
      <c r="K55" t="str">
        <f t="shared" si="4"/>
        <v>Maharashtra</v>
      </c>
    </row>
    <row r="56" spans="1:11" x14ac:dyDescent="0.3">
      <c r="A56" s="16" t="s">
        <v>1247</v>
      </c>
      <c r="B56" s="17">
        <v>8561379</v>
      </c>
    </row>
    <row r="57" spans="1:11" x14ac:dyDescent="0.3">
      <c r="A57" s="18" t="s">
        <v>1250</v>
      </c>
      <c r="B57" s="17">
        <v>4012382</v>
      </c>
    </row>
    <row r="58" spans="1:11" x14ac:dyDescent="0.3">
      <c r="A58" s="19" t="s">
        <v>1258</v>
      </c>
      <c r="B58" s="17">
        <v>1212054</v>
      </c>
    </row>
    <row r="59" spans="1:11" x14ac:dyDescent="0.3">
      <c r="A59" s="19" t="s">
        <v>1259</v>
      </c>
      <c r="B59" s="17">
        <v>1644276</v>
      </c>
    </row>
    <row r="60" spans="1:11" x14ac:dyDescent="0.3">
      <c r="A60" s="19" t="s">
        <v>1260</v>
      </c>
      <c r="B60" s="17">
        <v>1156052</v>
      </c>
    </row>
    <row r="61" spans="1:11" x14ac:dyDescent="0.3">
      <c r="A61" s="18" t="s">
        <v>1251</v>
      </c>
      <c r="B61" s="17">
        <v>3602598</v>
      </c>
    </row>
    <row r="62" spans="1:11" x14ac:dyDescent="0.3">
      <c r="A62" s="19" t="s">
        <v>1261</v>
      </c>
      <c r="B62" s="17">
        <v>1045945</v>
      </c>
    </row>
    <row r="63" spans="1:11" x14ac:dyDescent="0.3">
      <c r="A63" s="19" t="s">
        <v>1262</v>
      </c>
      <c r="B63" s="17">
        <v>1246230</v>
      </c>
    </row>
    <row r="64" spans="1:11" x14ac:dyDescent="0.3">
      <c r="A64" s="19" t="s">
        <v>1263</v>
      </c>
      <c r="B64" s="17">
        <v>1310423</v>
      </c>
    </row>
    <row r="65" spans="1:2" x14ac:dyDescent="0.3">
      <c r="A65" s="18" t="s">
        <v>1248</v>
      </c>
      <c r="B65" s="17">
        <v>946399</v>
      </c>
    </row>
    <row r="66" spans="1:2" x14ac:dyDescent="0.3">
      <c r="A66" s="19" t="s">
        <v>1252</v>
      </c>
      <c r="B66" s="17">
        <v>946399</v>
      </c>
    </row>
    <row r="67" spans="1:2" x14ac:dyDescent="0.3">
      <c r="A67" s="16" t="s">
        <v>1243</v>
      </c>
      <c r="B67" s="17">
        <v>16189582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790D-F76D-4B79-B492-C046D15F2D40}">
  <sheetPr>
    <tabColor theme="8"/>
  </sheetPr>
  <dimension ref="AB6:AJ26"/>
  <sheetViews>
    <sheetView showGridLines="0" tabSelected="1" zoomScale="71" zoomScaleNormal="60" workbookViewId="0">
      <selection activeCell="AC22" sqref="AC22"/>
    </sheetView>
  </sheetViews>
  <sheetFormatPr defaultRowHeight="14.4" x14ac:dyDescent="0.3"/>
  <cols>
    <col min="27" max="27" width="5.109375" customWidth="1"/>
    <col min="29" max="29" width="7.88671875" customWidth="1"/>
    <col min="31" max="31" width="7.77734375" customWidth="1"/>
    <col min="32" max="32" width="11.77734375" customWidth="1"/>
    <col min="35" max="35" width="4.77734375" customWidth="1"/>
  </cols>
  <sheetData>
    <row r="6" spans="28:36" x14ac:dyDescent="0.3">
      <c r="AB6" s="37" t="s">
        <v>1273</v>
      </c>
      <c r="AC6" s="37"/>
      <c r="AD6" s="37"/>
      <c r="AE6" s="37"/>
      <c r="AF6" s="37"/>
      <c r="AG6" s="37"/>
    </row>
    <row r="7" spans="28:36" x14ac:dyDescent="0.3">
      <c r="AB7" s="37"/>
      <c r="AC7" s="37"/>
      <c r="AD7" s="37"/>
      <c r="AE7" s="37"/>
      <c r="AF7" s="37"/>
      <c r="AG7" s="37"/>
    </row>
    <row r="9" spans="28:36" x14ac:dyDescent="0.3">
      <c r="AC9" s="28" t="str">
        <f>'All Pivot Table'!D39</f>
        <v>Cotton</v>
      </c>
      <c r="AD9" t="s">
        <v>1267</v>
      </c>
      <c r="AG9" s="29">
        <f>'All Pivot Table'!D40</f>
        <v>4725980</v>
      </c>
      <c r="AH9" t="s">
        <v>1268</v>
      </c>
      <c r="AI9" s="30">
        <f>'All Pivot Table'!D41</f>
        <v>0.29191488699337637</v>
      </c>
      <c r="AJ9" t="s">
        <v>1269</v>
      </c>
    </row>
    <row r="10" spans="28:36" x14ac:dyDescent="0.3">
      <c r="AC10" t="str">
        <f>'All Pivot Table'!H39</f>
        <v>Organic</v>
      </c>
      <c r="AD10" t="s">
        <v>1272</v>
      </c>
      <c r="AF10" s="29" t="str">
        <f>TEXT('All Pivot Table'!H40,"#,##0.0,,\M") &amp;
 " (" &amp; ROUND('All Pivot Table'!H41,2)*100 &amp;
"%)"</f>
        <v>1.8M (11%)</v>
      </c>
      <c r="AG10" t="s">
        <v>1271</v>
      </c>
    </row>
    <row r="13" spans="28:36" x14ac:dyDescent="0.3">
      <c r="AC13" s="36" t="s">
        <v>1277</v>
      </c>
      <c r="AD13" s="36"/>
      <c r="AE13" s="36"/>
      <c r="AF13" s="36"/>
      <c r="AG13" s="27">
        <v>3</v>
      </c>
    </row>
    <row r="15" spans="28:36" x14ac:dyDescent="0.3">
      <c r="AC15" t="str">
        <f>'All Pivot Table'!L22</f>
        <v>Brand Name</v>
      </c>
      <c r="AG15" t="str">
        <f>'All Pivot Table'!M22</f>
        <v>Total Revenue</v>
      </c>
    </row>
    <row r="16" spans="28:36" x14ac:dyDescent="0.3">
      <c r="AC16" t="str" cm="1">
        <f t="array" ref="AC16:AC18">_xlfn._xlws.FILTER(_xlfn._xlws.FILTER('All Pivot Table'!O23:Q32,'All Pivot Table'!O23:O32&lt;=Dashboard!AG13),{0,1,0})</f>
        <v>Loyal PLC</v>
      </c>
      <c r="AG16" s="35" cm="1">
        <f t="array" ref="AG16:AG18">_xlfn._xlws.FILTER(_xlfn._xlws.FILTER('All Pivot Table'!O23:Q32,'All Pivot Table'!O23:O32&lt;=Dashboard!AG13),{0,0,1})</f>
        <v>926040</v>
      </c>
    </row>
    <row r="17" spans="29:33" x14ac:dyDescent="0.3">
      <c r="AC17" t="str">
        <v>Kar-Yogi</v>
      </c>
      <c r="AG17" s="35">
        <v>790728</v>
      </c>
    </row>
    <row r="18" spans="29:33" x14ac:dyDescent="0.3">
      <c r="AC18" t="str">
        <v>Dey Inc</v>
      </c>
      <c r="AG18" s="35">
        <v>741034</v>
      </c>
    </row>
    <row r="19" spans="29:33" x14ac:dyDescent="0.3">
      <c r="AG19" s="35"/>
    </row>
    <row r="20" spans="29:33" x14ac:dyDescent="0.3">
      <c r="AG20" s="35"/>
    </row>
    <row r="21" spans="29:33" x14ac:dyDescent="0.3">
      <c r="AG21" s="35"/>
    </row>
    <row r="22" spans="29:33" x14ac:dyDescent="0.3">
      <c r="AG22" s="35"/>
    </row>
    <row r="23" spans="29:33" x14ac:dyDescent="0.3">
      <c r="AG23" s="35"/>
    </row>
    <row r="24" spans="29:33" x14ac:dyDescent="0.3">
      <c r="AG24" s="35"/>
    </row>
    <row r="25" spans="29:33" x14ac:dyDescent="0.3">
      <c r="AG25" s="35"/>
    </row>
    <row r="26" spans="29:33" x14ac:dyDescent="0.3">
      <c r="AG26" s="34"/>
    </row>
  </sheetData>
  <mergeCells count="2">
    <mergeCell ref="AB6:AG7"/>
    <mergeCell ref="AC13:AF13"/>
  </mergeCells>
  <dataValidations count="1">
    <dataValidation type="list" allowBlank="1" showInputMessage="1" showErrorMessage="1" sqref="AG13" xr:uid="{B6D33A59-77CB-4EFE-BE00-D56FD64C5EE6}">
      <formula1>"3,5,10"</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E129-0F4B-4E04-9516-9936480F8A8A}">
  <sheetPr>
    <tabColor theme="5" tint="0.39997558519241921"/>
  </sheetPr>
  <dimension ref="A1:BN103"/>
  <sheetViews>
    <sheetView topLeftCell="BD1" zoomScale="92" zoomScaleNormal="170" workbookViewId="0">
      <selection activeCell="BP20" sqref="BP20"/>
    </sheetView>
  </sheetViews>
  <sheetFormatPr defaultRowHeight="14.4" x14ac:dyDescent="0.3"/>
  <cols>
    <col min="2" max="2" width="12" bestFit="1" customWidth="1"/>
    <col min="3" max="3" width="15.33203125" bestFit="1" customWidth="1"/>
    <col min="4" max="4" width="13.88671875" bestFit="1" customWidth="1"/>
    <col min="5" max="5" width="14.109375" bestFit="1" customWidth="1"/>
    <col min="6" max="6" width="12.77734375" bestFit="1" customWidth="1"/>
    <col min="7" max="7" width="13.109375" bestFit="1" customWidth="1"/>
    <col min="8" max="8" width="16.5546875" bestFit="1" customWidth="1"/>
    <col min="9" max="9" width="19.33203125" bestFit="1" customWidth="1"/>
    <col min="10" max="10" width="18.109375" bestFit="1" customWidth="1"/>
    <col min="11" max="11" width="15.44140625" bestFit="1" customWidth="1"/>
    <col min="12" max="12" width="16.109375" bestFit="1" customWidth="1"/>
    <col min="13" max="13" width="9.77734375" bestFit="1" customWidth="1"/>
    <col min="14" max="14" width="19.5546875" bestFit="1" customWidth="1"/>
    <col min="15" max="15" width="16.33203125" bestFit="1" customWidth="1"/>
    <col min="16" max="16" width="16.21875" bestFit="1" customWidth="1"/>
    <col min="17" max="17" width="16.33203125" bestFit="1" customWidth="1"/>
    <col min="18" max="18" width="20.77734375" bestFit="1" customWidth="1"/>
    <col min="19" max="19" width="31.44140625" bestFit="1" customWidth="1"/>
    <col min="20" max="20" width="12" bestFit="1" customWidth="1"/>
    <col min="21" max="21" width="10.6640625" bestFit="1" customWidth="1"/>
    <col min="22" max="23" width="12.21875" bestFit="1" customWidth="1"/>
    <col min="24" max="24" width="11.5546875" bestFit="1" customWidth="1"/>
    <col min="25" max="25" width="15.33203125" bestFit="1" customWidth="1"/>
    <col min="26" max="26" width="18.109375" bestFit="1" customWidth="1"/>
    <col min="27" max="27" width="21" bestFit="1" customWidth="1"/>
    <col min="28" max="28" width="16.77734375" bestFit="1" customWidth="1"/>
    <col min="29" max="29" width="16.6640625" bestFit="1" customWidth="1"/>
    <col min="30" max="30" width="15.109375" bestFit="1" customWidth="1"/>
    <col min="31" max="31" width="17.88671875" bestFit="1" customWidth="1"/>
    <col min="32" max="32" width="14.88671875" bestFit="1" customWidth="1"/>
    <col min="33" max="33" width="25.77734375" bestFit="1" customWidth="1"/>
    <col min="34" max="34" width="14.33203125" bestFit="1" customWidth="1"/>
    <col min="35" max="35" width="16.21875" bestFit="1" customWidth="1"/>
    <col min="36" max="36" width="32.6640625" bestFit="1" customWidth="1"/>
    <col min="37" max="37" width="9.5546875" bestFit="1" customWidth="1"/>
    <col min="38" max="38" width="12.77734375" bestFit="1" customWidth="1"/>
    <col min="39" max="39" width="13.109375" bestFit="1" customWidth="1"/>
    <col min="40" max="40" width="20" bestFit="1" customWidth="1"/>
    <col min="41" max="41" width="12" bestFit="1" customWidth="1"/>
    <col min="42" max="42" width="14.44140625" bestFit="1" customWidth="1"/>
    <col min="43" max="43" width="10.77734375" bestFit="1" customWidth="1"/>
    <col min="44" max="44" width="15.44140625" bestFit="1" customWidth="1"/>
    <col min="45" max="45" width="14.6640625" bestFit="1" customWidth="1"/>
    <col min="46" max="46" width="13.33203125" bestFit="1" customWidth="1"/>
    <col min="47" max="47" width="12.109375" bestFit="1" customWidth="1"/>
    <col min="48" max="48" width="15.88671875" bestFit="1" customWidth="1"/>
    <col min="49" max="49" width="11.6640625" bestFit="1" customWidth="1"/>
    <col min="50" max="50" width="31.33203125" bestFit="1" customWidth="1"/>
    <col min="51" max="51" width="10.6640625" bestFit="1" customWidth="1"/>
    <col min="52" max="52" width="12.21875" bestFit="1" customWidth="1"/>
    <col min="53" max="53" width="13.21875" bestFit="1" customWidth="1"/>
    <col min="54" max="54" width="17" bestFit="1" customWidth="1"/>
    <col min="55" max="55" width="18.6640625" bestFit="1" customWidth="1"/>
    <col min="56" max="56" width="14.5546875" bestFit="1" customWidth="1"/>
    <col min="57" max="57" width="19.109375" bestFit="1" customWidth="1"/>
    <col min="58" max="58" width="15.21875" bestFit="1" customWidth="1"/>
    <col min="59" max="59" width="17.77734375" bestFit="1" customWidth="1"/>
    <col min="60" max="60" width="13" bestFit="1" customWidth="1"/>
    <col min="61" max="61" width="14" bestFit="1" customWidth="1"/>
    <col min="62" max="62" width="19" bestFit="1" customWidth="1"/>
    <col min="63" max="63" width="29.6640625" bestFit="1" customWidth="1"/>
    <col min="65" max="65" width="16.6640625" bestFit="1" customWidth="1"/>
  </cols>
  <sheetData>
    <row r="1" spans="1:66" x14ac:dyDescent="0.3">
      <c r="A1" t="s">
        <v>1215</v>
      </c>
      <c r="B1">
        <f>COUNTBLANK(Combined_data[OrderID])</f>
        <v>0</v>
      </c>
      <c r="C1">
        <f>COUNTBLANK(Combined_data[CustomerID])</f>
        <v>0</v>
      </c>
      <c r="D1">
        <f>COUNTBLANK(Combined_data[ProductID])</f>
        <v>0</v>
      </c>
      <c r="E1">
        <f>COUNTBLANK(Combined_data[OrderDate])</f>
        <v>0</v>
      </c>
      <c r="F1">
        <f>COUNTBLANK(Combined_data[Quantity])</f>
        <v>0</v>
      </c>
      <c r="G1">
        <f>COUNTBLANK(Combined_data[UnitPrice])</f>
        <v>0</v>
      </c>
      <c r="H1">
        <f>COUNTBLANK(Combined_data[TotalAmount])</f>
        <v>0</v>
      </c>
      <c r="I1">
        <f>COUNTBLANK(Combined_data[DiscountApplied])</f>
        <v>0</v>
      </c>
      <c r="J1">
        <f>COUNTBLANK(Combined_data[PaymentMode])</f>
        <v>0</v>
      </c>
      <c r="K1">
        <f>COUNTBLANK(Combined_data[OrderStatus])</f>
        <v>0</v>
      </c>
      <c r="L1">
        <f>COUNTBLANK(Combined_data[DeliveryDate])</f>
        <v>0</v>
      </c>
      <c r="M1">
        <f>COUNTBLANK(Combined_data[IsGift])</f>
        <v>0</v>
      </c>
      <c r="N1">
        <f>COUNTBLANK(Combined_data[ShippingCharges])</f>
        <v>0</v>
      </c>
      <c r="O1">
        <f>COUNTBLANK(Combined_data[CouponUsed])</f>
        <v>0</v>
      </c>
      <c r="P1">
        <f>COUNTBLANK(Combined_data[ReviewGiven])</f>
        <v>0</v>
      </c>
      <c r="Q1">
        <f>COUNTBLANK(Combined_data[CustomerID2])</f>
        <v>0</v>
      </c>
      <c r="R1">
        <f>COUNTBLANK(Combined_data[CustomerName])</f>
        <v>0</v>
      </c>
      <c r="S1">
        <f>COUNTBLANK(Combined_data[Email])</f>
        <v>0</v>
      </c>
      <c r="T1">
        <f>COUNTBLANK(Combined_data[Phone])</f>
        <v>0</v>
      </c>
      <c r="U1">
        <f>COUNTBLANK(Combined_data[City])</f>
        <v>0</v>
      </c>
      <c r="V1">
        <f>COUNTBLANK(Combined_data[State])</f>
        <v>0</v>
      </c>
      <c r="W1">
        <f>COUNTBLANK(Combined_data[Pincode])</f>
        <v>0</v>
      </c>
      <c r="X1">
        <f>COUNTBLANK(Combined_data[Gender])</f>
        <v>0</v>
      </c>
      <c r="Y1">
        <f>COUNTBLANK(Combined_data[DateOfBirth])</f>
        <v>0</v>
      </c>
      <c r="Z1">
        <f>COUNTBLANK(Combined_data[CustomerSince])</f>
        <v>0</v>
      </c>
      <c r="AA1">
        <f>COUNTBLANK(Combined_data[PreferredCategory])</f>
        <v>0</v>
      </c>
      <c r="AB1">
        <f>COUNTBLANK(Combined_data[LoyaltyPoints])</f>
        <v>0</v>
      </c>
      <c r="AC1">
        <f>COUNTBLANK(Combined_data[MaritalStatus])</f>
        <v>0</v>
      </c>
      <c r="AD1">
        <f>COUNTBLANK(Combined_data[Occupation])</f>
        <v>0</v>
      </c>
      <c r="AE1">
        <f>COUNTBLANK(Combined_data[AnnualIncome])</f>
        <v>0</v>
      </c>
      <c r="AF1">
        <f>COUNTBLANK(Combined_data[ProductID3])</f>
        <v>0</v>
      </c>
      <c r="AG1">
        <f>COUNTBLANK(Combined_data[ProductName])</f>
        <v>0</v>
      </c>
      <c r="AH1">
        <f>COUNTBLANK(Combined_data[Category])</f>
        <v>0</v>
      </c>
      <c r="AI1">
        <f>COUNTBLANK(Combined_data[SubCategory])</f>
        <v>0</v>
      </c>
      <c r="AJ1">
        <f>COUNTBLANK(Combined_data[Brand])</f>
        <v>0</v>
      </c>
      <c r="AK1">
        <f>COUNTBLANK(Combined_data[Price])</f>
        <v>0</v>
      </c>
      <c r="AL1">
        <f>COUNTBLANK(Combined_data[Discount])</f>
        <v>0</v>
      </c>
      <c r="AM1">
        <f>COUNTBLANK(Combined_data[StockQty])</f>
        <v>0</v>
      </c>
      <c r="AN1">
        <f>COUNTBLANK(Combined_data[WarrantyMonths])</f>
        <v>0</v>
      </c>
      <c r="AO1">
        <f>COUNTBLANK(Combined_data[MadeIn])</f>
        <v>0</v>
      </c>
      <c r="AP1">
        <f>COUNTBLANK(Combined_data[IsAvailable])</f>
        <v>0</v>
      </c>
      <c r="AQ1">
        <f>COUNTBLANK(Combined_data[Rating])</f>
        <v>0</v>
      </c>
      <c r="AR1">
        <f>COUNTBLANK(Combined_data[LaunchDate])</f>
        <v>0</v>
      </c>
      <c r="AS1">
        <f>COUNTBLANK(Combined_data[Returnable])</f>
        <v>0</v>
      </c>
      <c r="AT1">
        <f>COUNTBLANK(Combined_data[HSNCode])</f>
        <v>0</v>
      </c>
      <c r="AU1">
        <f>COUNTBLANK(Combined_data[Store ID])</f>
        <v>0</v>
      </c>
      <c r="AV1">
        <f>COUNTBLANK(Combined_data[New StoreID])</f>
        <v>0</v>
      </c>
      <c r="AW1">
        <f>COUNTBLANK(Combined_data[StoreID])</f>
        <v>45</v>
      </c>
      <c r="AX1">
        <f>COUNTBLANK(Combined_data[StoreName])</f>
        <v>45</v>
      </c>
      <c r="AY1">
        <f>COUNTBLANK(Combined_data[City4])</f>
        <v>45</v>
      </c>
      <c r="AZ1">
        <f>COUNTBLANK(Combined_data[State5])</f>
        <v>45</v>
      </c>
      <c r="BA1">
        <f>COUNTBLANK(Combined_data[Pincode6])</f>
        <v>45</v>
      </c>
      <c r="BB1">
        <f>COUNTBLANK(Combined_data[Manager])</f>
        <v>45</v>
      </c>
      <c r="BC1">
        <f>COUNTBLANK(Combined_data[EstablishedYear])</f>
        <v>45</v>
      </c>
      <c r="BD1">
        <f>COUNTBLANK(Combined_data[Employees])</f>
        <v>45</v>
      </c>
      <c r="BE1">
        <f>COUNTBLANK(Combined_data[MonthlyFootfall])</f>
        <v>45</v>
      </c>
      <c r="BF1">
        <f>COUNTBLANK(Combined_data[StoreRating])</f>
        <v>45</v>
      </c>
      <c r="BG1">
        <f>COUNTBLANK(Combined_data[OnlineEnabled])</f>
        <v>45</v>
      </c>
      <c r="BH1">
        <f>COUNTBLANK(Combined_data[AreaSqFt])</f>
        <v>45</v>
      </c>
      <c r="BI1">
        <f>COUNTBLANK(Combined_data[StoreType])</f>
        <v>45</v>
      </c>
      <c r="BJ1">
        <f>COUNTBLANK(Combined_data[ContactNumber])</f>
        <v>45</v>
      </c>
      <c r="BK1">
        <f>COUNTBLANK(Combined_data[Email7])</f>
        <v>45</v>
      </c>
      <c r="BL1">
        <f>COUNTBLANK(Combined_data[Reveune])</f>
        <v>0</v>
      </c>
      <c r="BM1">
        <f>COUNTBLANK(Combined_data[Final Amount])</f>
        <v>0</v>
      </c>
      <c r="BN1">
        <f>COUNTBLANK(Combined_data[Profit])</f>
        <v>0</v>
      </c>
    </row>
    <row r="2" spans="1:66" x14ac:dyDescent="0.3">
      <c r="A2" t="s">
        <v>1216</v>
      </c>
      <c r="B2">
        <f>COUNTA(Combined_data[OrderID])</f>
        <v>100</v>
      </c>
      <c r="C2">
        <f>COUNTA(Combined_data[CustomerID])</f>
        <v>100</v>
      </c>
      <c r="D2">
        <f>COUNTA(Combined_data[ProductID])</f>
        <v>100</v>
      </c>
      <c r="E2">
        <f>COUNTA(Combined_data[OrderDate])</f>
        <v>100</v>
      </c>
      <c r="F2">
        <f>COUNTA(Combined_data[Quantity])</f>
        <v>100</v>
      </c>
      <c r="G2">
        <f>COUNTA(Combined_data[UnitPrice])</f>
        <v>100</v>
      </c>
      <c r="H2">
        <f>COUNTA(Combined_data[TotalAmount])</f>
        <v>100</v>
      </c>
      <c r="I2">
        <f>COUNTA(Combined_data[DiscountApplied])</f>
        <v>100</v>
      </c>
      <c r="J2">
        <f>COUNTA(Combined_data[PaymentMode])</f>
        <v>100</v>
      </c>
      <c r="K2">
        <f>COUNTA(Combined_data[OrderStatus])</f>
        <v>100</v>
      </c>
      <c r="L2">
        <f>COUNTA(Combined_data[DeliveryDate])</f>
        <v>100</v>
      </c>
      <c r="M2">
        <f>COUNTA(Combined_data[IsGift])</f>
        <v>100</v>
      </c>
      <c r="N2">
        <f>COUNTA(Combined_data[ShippingCharges])</f>
        <v>100</v>
      </c>
      <c r="O2">
        <f>COUNTA(Combined_data[CouponUsed])</f>
        <v>100</v>
      </c>
      <c r="P2">
        <f>COUNTA(Combined_data[ReviewGiven])</f>
        <v>100</v>
      </c>
      <c r="Q2">
        <f>COUNTA(Combined_data[CustomerID2])</f>
        <v>100</v>
      </c>
      <c r="R2">
        <f>COUNTA(Combined_data[CustomerName])</f>
        <v>100</v>
      </c>
      <c r="S2">
        <f>COUNTA(Combined_data[Email])</f>
        <v>100</v>
      </c>
      <c r="T2">
        <f>COUNTA(Combined_data[Phone])</f>
        <v>100</v>
      </c>
      <c r="U2">
        <f>COUNTA(Combined_data[City])</f>
        <v>100</v>
      </c>
      <c r="V2">
        <f>COUNTA(Combined_data[State])</f>
        <v>100</v>
      </c>
      <c r="W2">
        <f>COUNTA(Combined_data[Pincode])</f>
        <v>100</v>
      </c>
      <c r="X2">
        <f>COUNTA(Combined_data[Gender])</f>
        <v>100</v>
      </c>
      <c r="Y2">
        <f>COUNTA(Combined_data[DateOfBirth])</f>
        <v>100</v>
      </c>
      <c r="Z2">
        <f>COUNTA(Combined_data[CustomerSince])</f>
        <v>100</v>
      </c>
      <c r="AA2">
        <f>COUNTA(Combined_data[PreferredCategory])</f>
        <v>100</v>
      </c>
      <c r="AB2">
        <f>COUNTA(Combined_data[LoyaltyPoints])</f>
        <v>100</v>
      </c>
      <c r="AC2">
        <f>COUNTA(Combined_data[MaritalStatus])</f>
        <v>100</v>
      </c>
      <c r="AD2">
        <f>COUNTA(Combined_data[Occupation])</f>
        <v>100</v>
      </c>
      <c r="AE2">
        <f>COUNTA(Combined_data[AnnualIncome])</f>
        <v>100</v>
      </c>
      <c r="AF2">
        <f>COUNTA(Combined_data[ProductID3])</f>
        <v>100</v>
      </c>
      <c r="AG2">
        <f>COUNTA(Combined_data[ProductName])</f>
        <v>100</v>
      </c>
      <c r="AH2">
        <f>COUNTA(Combined_data[Category])</f>
        <v>100</v>
      </c>
      <c r="AI2">
        <f>COUNTA(Combined_data[SubCategory])</f>
        <v>100</v>
      </c>
      <c r="AJ2">
        <f>COUNTA(Combined_data[Brand])</f>
        <v>100</v>
      </c>
      <c r="AK2">
        <f>COUNTA(Combined_data[Price])</f>
        <v>100</v>
      </c>
      <c r="AL2">
        <f>COUNTA(Combined_data[Discount])</f>
        <v>100</v>
      </c>
      <c r="AM2">
        <f>COUNTA(Combined_data[StockQty])</f>
        <v>100</v>
      </c>
      <c r="AN2">
        <f>COUNTA(Combined_data[WarrantyMonths])</f>
        <v>100</v>
      </c>
      <c r="AO2">
        <f>COUNTA(Combined_data[MadeIn])</f>
        <v>100</v>
      </c>
      <c r="AP2">
        <f>COUNTA(Combined_data[IsAvailable])</f>
        <v>100</v>
      </c>
      <c r="AQ2">
        <f>COUNTA(Combined_data[Rating])</f>
        <v>100</v>
      </c>
      <c r="AR2">
        <f>COUNTA(Combined_data[LaunchDate])</f>
        <v>100</v>
      </c>
      <c r="AS2">
        <f>COUNTA(Combined_data[Returnable])</f>
        <v>100</v>
      </c>
      <c r="AT2">
        <f>COUNTA(Combined_data[HSNCode])</f>
        <v>100</v>
      </c>
      <c r="AU2">
        <f>COUNTA(Combined_data[Store ID])</f>
        <v>100</v>
      </c>
      <c r="AV2">
        <f>COUNTA(Combined_data[New StoreID])</f>
        <v>100</v>
      </c>
      <c r="AW2">
        <f>COUNTA(Combined_data[StoreID])</f>
        <v>100</v>
      </c>
      <c r="AX2">
        <f>COUNTA(Combined_data[StoreName])</f>
        <v>100</v>
      </c>
      <c r="AY2">
        <f>COUNTA(Combined_data[City4])</f>
        <v>100</v>
      </c>
      <c r="AZ2">
        <f>COUNTA(Combined_data[State5])</f>
        <v>100</v>
      </c>
      <c r="BA2">
        <f>COUNTA(Combined_data[Pincode6])</f>
        <v>100</v>
      </c>
      <c r="BB2">
        <f>COUNTA(Combined_data[Manager])</f>
        <v>100</v>
      </c>
      <c r="BC2">
        <f>COUNTA(Combined_data[EstablishedYear])</f>
        <v>100</v>
      </c>
      <c r="BD2">
        <f>COUNTA(Combined_data[Employees])</f>
        <v>100</v>
      </c>
      <c r="BE2">
        <f>COUNTA(Combined_data[MonthlyFootfall])</f>
        <v>100</v>
      </c>
      <c r="BF2">
        <f>COUNTA(Combined_data[StoreRating])</f>
        <v>100</v>
      </c>
      <c r="BG2">
        <f>COUNTA(Combined_data[OnlineEnabled])</f>
        <v>100</v>
      </c>
      <c r="BH2">
        <f>COUNTA(Combined_data[AreaSqFt])</f>
        <v>100</v>
      </c>
      <c r="BI2">
        <f>COUNTA(Combined_data[StoreType])</f>
        <v>100</v>
      </c>
      <c r="BJ2">
        <f>COUNTA(Combined_data[ContactNumber])</f>
        <v>100</v>
      </c>
      <c r="BK2">
        <f>COUNTA(Combined_data[Email7])</f>
        <v>100</v>
      </c>
      <c r="BL2">
        <f>COUNTA(Combined_data[Reveune])</f>
        <v>100</v>
      </c>
      <c r="BM2">
        <f>COUNTA(Combined_data[Final Amount])</f>
        <v>100</v>
      </c>
      <c r="BN2">
        <f>COUNTA(Combined_data[Profit])</f>
        <v>100</v>
      </c>
    </row>
    <row r="3" spans="1:66" x14ac:dyDescent="0.3">
      <c r="B3" s="2" t="s">
        <v>0</v>
      </c>
      <c r="C3" s="2" t="s">
        <v>1</v>
      </c>
      <c r="D3" s="2" t="s">
        <v>2</v>
      </c>
      <c r="E3" s="2" t="s">
        <v>3</v>
      </c>
      <c r="F3" s="2" t="s">
        <v>4</v>
      </c>
      <c r="G3" s="2" t="s">
        <v>5</v>
      </c>
      <c r="H3" s="2" t="s">
        <v>6</v>
      </c>
      <c r="I3" s="2" t="s">
        <v>7</v>
      </c>
      <c r="J3" s="2" t="s">
        <v>8</v>
      </c>
      <c r="K3" s="2" t="s">
        <v>9</v>
      </c>
      <c r="L3" s="2" t="s">
        <v>10</v>
      </c>
      <c r="M3" s="2" t="s">
        <v>11</v>
      </c>
      <c r="N3" s="2" t="s">
        <v>12</v>
      </c>
      <c r="O3" s="2" t="s">
        <v>13</v>
      </c>
      <c r="P3" s="2" t="s">
        <v>14</v>
      </c>
      <c r="Q3" s="2" t="s">
        <v>1207</v>
      </c>
      <c r="R3" s="2" t="s">
        <v>255</v>
      </c>
      <c r="S3" s="2" t="s">
        <v>256</v>
      </c>
      <c r="T3" s="2" t="s">
        <v>257</v>
      </c>
      <c r="U3" s="2" t="s">
        <v>258</v>
      </c>
      <c r="V3" s="2" t="s">
        <v>259</v>
      </c>
      <c r="W3" s="2" t="s">
        <v>260</v>
      </c>
      <c r="X3" s="2" t="s">
        <v>261</v>
      </c>
      <c r="Y3" s="2" t="s">
        <v>262</v>
      </c>
      <c r="Z3" s="2" t="s">
        <v>263</v>
      </c>
      <c r="AA3" s="2" t="s">
        <v>264</v>
      </c>
      <c r="AB3" s="2" t="s">
        <v>265</v>
      </c>
      <c r="AC3" s="2" t="s">
        <v>266</v>
      </c>
      <c r="AD3" s="2" t="s">
        <v>267</v>
      </c>
      <c r="AE3" s="2" t="s">
        <v>268</v>
      </c>
      <c r="AF3" s="2" t="s">
        <v>1208</v>
      </c>
      <c r="AG3" s="2" t="s">
        <v>542</v>
      </c>
      <c r="AH3" s="2" t="s">
        <v>543</v>
      </c>
      <c r="AI3" s="2" t="s">
        <v>544</v>
      </c>
      <c r="AJ3" s="2" t="s">
        <v>545</v>
      </c>
      <c r="AK3" s="2" t="s">
        <v>546</v>
      </c>
      <c r="AL3" s="2" t="s">
        <v>547</v>
      </c>
      <c r="AM3" s="2" t="s">
        <v>548</v>
      </c>
      <c r="AN3" s="2" t="s">
        <v>549</v>
      </c>
      <c r="AO3" s="2" t="s">
        <v>550</v>
      </c>
      <c r="AP3" s="2" t="s">
        <v>551</v>
      </c>
      <c r="AQ3" s="2" t="s">
        <v>552</v>
      </c>
      <c r="AR3" s="2" t="s">
        <v>553</v>
      </c>
      <c r="AS3" s="2" t="s">
        <v>554</v>
      </c>
      <c r="AT3" s="2" t="s">
        <v>555</v>
      </c>
      <c r="AU3" s="2" t="s">
        <v>1205</v>
      </c>
      <c r="AV3" s="2" t="s">
        <v>1206</v>
      </c>
      <c r="AW3" s="2" t="s">
        <v>792</v>
      </c>
      <c r="AX3" s="2" t="s">
        <v>793</v>
      </c>
      <c r="AY3" s="2" t="s">
        <v>1209</v>
      </c>
      <c r="AZ3" s="2" t="s">
        <v>1210</v>
      </c>
      <c r="BA3" s="2" t="s">
        <v>1211</v>
      </c>
      <c r="BB3" s="2" t="s">
        <v>794</v>
      </c>
      <c r="BC3" s="2" t="s">
        <v>795</v>
      </c>
      <c r="BD3" s="2" t="s">
        <v>796</v>
      </c>
      <c r="BE3" s="2" t="s">
        <v>797</v>
      </c>
      <c r="BF3" s="2" t="s">
        <v>798</v>
      </c>
      <c r="BG3" s="2" t="s">
        <v>799</v>
      </c>
      <c r="BH3" s="2" t="s">
        <v>800</v>
      </c>
      <c r="BI3" s="2" t="s">
        <v>801</v>
      </c>
      <c r="BJ3" s="2" t="s">
        <v>802</v>
      </c>
      <c r="BK3" s="2" t="s">
        <v>1212</v>
      </c>
      <c r="BL3" s="2" t="s">
        <v>1224</v>
      </c>
      <c r="BM3" s="2" t="s">
        <v>1225</v>
      </c>
      <c r="BN3" s="2" t="s">
        <v>1226</v>
      </c>
    </row>
    <row r="4" spans="1:66" x14ac:dyDescent="0.3">
      <c r="B4" s="2" t="str">
        <f>'All Combined Data'!A2</f>
        <v>O1001</v>
      </c>
      <c r="C4" s="2" t="str">
        <f>'All Combined Data'!B2</f>
        <v>C085</v>
      </c>
      <c r="D4" s="2" t="str">
        <f>'All Combined Data'!C2</f>
        <v>P180</v>
      </c>
      <c r="E4" s="14">
        <f>'All Combined Data'!D2</f>
        <v>45687</v>
      </c>
      <c r="F4" s="2">
        <f>'All Combined Data'!E2</f>
        <v>5</v>
      </c>
      <c r="G4" s="2">
        <f>'All Combined Data'!F2</f>
        <v>31647</v>
      </c>
      <c r="H4" s="2">
        <f>'All Combined Data'!G2</f>
        <v>94941</v>
      </c>
      <c r="I4" s="2">
        <f>'All Combined Data'!H2</f>
        <v>0.14000000000000001</v>
      </c>
      <c r="J4" s="2" t="str">
        <f>'All Combined Data'!I2</f>
        <v>Cash on Delivery</v>
      </c>
      <c r="K4" s="2" t="str">
        <f>'All Combined Data'!J2</f>
        <v>Delivered</v>
      </c>
      <c r="L4" s="14">
        <f>'All Combined Data'!K2</f>
        <v>45859</v>
      </c>
      <c r="M4" s="2" t="str">
        <f>'All Combined Data'!L2</f>
        <v>Yes</v>
      </c>
      <c r="N4" s="2">
        <f>'All Combined Data'!M2</f>
        <v>41</v>
      </c>
      <c r="O4" s="2" t="str">
        <f>'All Combined Data'!N2</f>
        <v>Yes</v>
      </c>
      <c r="P4" s="2" t="str">
        <f>'All Combined Data'!O2</f>
        <v>No</v>
      </c>
      <c r="Q4" s="2" t="str">
        <f>'All Combined Data'!P2</f>
        <v>C085</v>
      </c>
      <c r="R4" s="2" t="str">
        <f>'All Combined Data'!Q2</f>
        <v>Urishilla Yogi</v>
      </c>
      <c r="S4" s="2" t="str">
        <f>'All Combined Data'!R2</f>
        <v>yugbumb@example.net</v>
      </c>
      <c r="T4" s="2">
        <f>'All Combined Data'!S2</f>
        <v>8519108839</v>
      </c>
      <c r="U4" s="2" t="str">
        <f>'All Combined Data'!T2</f>
        <v>Jaipur</v>
      </c>
      <c r="V4" s="2" t="str">
        <f>'All Combined Data'!U2</f>
        <v>Rajasthan</v>
      </c>
      <c r="W4" s="2">
        <f>'All Combined Data'!V2</f>
        <v>258713</v>
      </c>
      <c r="X4" s="2" t="str">
        <f>'All Combined Data'!W2</f>
        <v>Female</v>
      </c>
      <c r="Y4" s="14">
        <f>'All Combined Data'!X2</f>
        <v>36242</v>
      </c>
      <c r="Z4" s="2">
        <f>'All Combined Data'!Y2</f>
        <v>45546</v>
      </c>
      <c r="AA4" s="2" t="str">
        <f>'All Combined Data'!Z2</f>
        <v>Electronics</v>
      </c>
      <c r="AB4" s="2">
        <f>'All Combined Data'!AA2</f>
        <v>7805</v>
      </c>
      <c r="AC4" s="2" t="str">
        <f>'All Combined Data'!AB2</f>
        <v>Single</v>
      </c>
      <c r="AD4" s="2" t="str">
        <f>'All Combined Data'!AC2</f>
        <v>Student</v>
      </c>
      <c r="AE4" s="2">
        <f>'All Combined Data'!AD2</f>
        <v>309231</v>
      </c>
      <c r="AF4" s="2" t="str">
        <f>'All Combined Data'!AE2</f>
        <v>P180</v>
      </c>
      <c r="AG4" s="2" t="str">
        <f>'All Combined Data'!AF2</f>
        <v>Accusamus TV</v>
      </c>
      <c r="AH4" s="2" t="str">
        <f>'All Combined Data'!AG2</f>
        <v>Grocery</v>
      </c>
      <c r="AI4" s="2" t="str">
        <f>'All Combined Data'!AH2</f>
        <v>Cotton</v>
      </c>
      <c r="AJ4" s="2" t="str">
        <f>'All Combined Data'!AI2</f>
        <v>Oza, Dara and Sami</v>
      </c>
      <c r="AK4" s="2">
        <f>'All Combined Data'!AJ2</f>
        <v>31647</v>
      </c>
      <c r="AL4" s="2">
        <f>'All Combined Data'!AK2</f>
        <v>14</v>
      </c>
      <c r="AM4" s="2">
        <f>'All Combined Data'!AL2</f>
        <v>124</v>
      </c>
      <c r="AN4" s="2">
        <f>'All Combined Data'!AM2</f>
        <v>6</v>
      </c>
      <c r="AO4" s="2" t="str">
        <f>'All Combined Data'!AN2</f>
        <v>China</v>
      </c>
      <c r="AP4" s="2" t="str">
        <f>'All Combined Data'!AO2</f>
        <v>No</v>
      </c>
      <c r="AQ4" s="2">
        <f>'All Combined Data'!AP2</f>
        <v>4.0999999999999996</v>
      </c>
      <c r="AR4" s="14">
        <f>'All Combined Data'!AQ2</f>
        <v>45837</v>
      </c>
      <c r="AS4" s="2" t="str">
        <f>'All Combined Data'!AR2</f>
        <v>No</v>
      </c>
      <c r="AT4" s="2">
        <f>'All Combined Data'!AS2</f>
        <v>2030</v>
      </c>
      <c r="AU4" s="2">
        <f>'All Combined Data'!AT2</f>
        <v>161</v>
      </c>
      <c r="AV4" s="2">
        <f>'All Combined Data'!AU2</f>
        <v>161</v>
      </c>
      <c r="AW4" s="2" t="str">
        <f>'All Combined Data'!AV2</f>
        <v/>
      </c>
      <c r="AX4" s="2" t="str">
        <f>'All Combined Data'!AW2</f>
        <v/>
      </c>
      <c r="AY4" s="2" t="str">
        <f>'All Combined Data'!AX2</f>
        <v/>
      </c>
      <c r="AZ4" s="2" t="str">
        <f>'All Combined Data'!AY2</f>
        <v/>
      </c>
      <c r="BA4" s="2" t="str">
        <f>'All Combined Data'!AZ2</f>
        <v/>
      </c>
      <c r="BB4" s="2" t="str">
        <f>'All Combined Data'!BA2</f>
        <v/>
      </c>
      <c r="BC4" s="2" t="str">
        <f>'All Combined Data'!BB2</f>
        <v/>
      </c>
      <c r="BD4" s="2" t="str">
        <f>'All Combined Data'!BC2</f>
        <v/>
      </c>
      <c r="BE4" s="2" t="str">
        <f>'All Combined Data'!BD2</f>
        <v/>
      </c>
      <c r="BF4" s="2" t="str">
        <f>'All Combined Data'!BE2</f>
        <v/>
      </c>
      <c r="BG4" s="2" t="str">
        <f>'All Combined Data'!BF2</f>
        <v/>
      </c>
      <c r="BH4" s="2" t="str">
        <f>'All Combined Data'!BG2</f>
        <v/>
      </c>
      <c r="BI4" s="2" t="str">
        <f>'All Combined Data'!BH2</f>
        <v/>
      </c>
      <c r="BJ4" s="2" t="str">
        <f>'All Combined Data'!BI2</f>
        <v/>
      </c>
      <c r="BK4" s="2" t="str">
        <f>'All Combined Data'!BJ2</f>
        <v/>
      </c>
      <c r="BL4" s="2">
        <f>Combined_data[[#This Row],[Quantity]]*Combined_data[[#This Row],[UnitPrice]]</f>
        <v>158235</v>
      </c>
      <c r="BM4" s="2">
        <f>Combined_data[[#This Row],[TotalAmount]]*(100-Combined_data[[#This Row],[DiscountApplied]])/100</f>
        <v>94808.082599999994</v>
      </c>
      <c r="BN4" s="2">
        <f>Combined_data[[#This Row],[Reveune]]-Combined_data[[#This Row],[Final Amount]]</f>
        <v>63426.917400000006</v>
      </c>
    </row>
    <row r="5" spans="1:66" x14ac:dyDescent="0.3">
      <c r="B5" s="2" t="str">
        <f>'All Combined Data'!A3</f>
        <v>O1002</v>
      </c>
      <c r="C5" s="2" t="str">
        <f>'All Combined Data'!B3</f>
        <v>C084</v>
      </c>
      <c r="D5" s="2" t="str">
        <f>'All Combined Data'!C3</f>
        <v>P127</v>
      </c>
      <c r="E5" s="14">
        <f>'All Combined Data'!D3</f>
        <v>45802</v>
      </c>
      <c r="F5" s="2">
        <f>'All Combined Data'!E3</f>
        <v>5</v>
      </c>
      <c r="G5" s="2">
        <f>'All Combined Data'!F3</f>
        <v>24100</v>
      </c>
      <c r="H5" s="2">
        <f>'All Combined Data'!G3</f>
        <v>96400</v>
      </c>
      <c r="I5" s="2">
        <f>'All Combined Data'!H3</f>
        <v>0.1</v>
      </c>
      <c r="J5" s="2" t="str">
        <f>'All Combined Data'!I3</f>
        <v>Cash on Delivery</v>
      </c>
      <c r="K5" s="2" t="str">
        <f>'All Combined Data'!J3</f>
        <v>Delivered</v>
      </c>
      <c r="L5" s="14">
        <f>'All Combined Data'!K3</f>
        <v>45858</v>
      </c>
      <c r="M5" s="2" t="str">
        <f>'All Combined Data'!L3</f>
        <v>No</v>
      </c>
      <c r="N5" s="2">
        <f>'All Combined Data'!M3</f>
        <v>455</v>
      </c>
      <c r="O5" s="2" t="str">
        <f>'All Combined Data'!N3</f>
        <v>No</v>
      </c>
      <c r="P5" s="2" t="str">
        <f>'All Combined Data'!O3</f>
        <v>No</v>
      </c>
      <c r="Q5" s="2" t="str">
        <f>'All Combined Data'!P3</f>
        <v>C084</v>
      </c>
      <c r="R5" s="2" t="str">
        <f>'All Combined Data'!Q3</f>
        <v>Amara Narayan</v>
      </c>
      <c r="S5" s="2" t="str">
        <f>'All Combined Data'!R3</f>
        <v>advay45@example.net</v>
      </c>
      <c r="T5" s="2">
        <f>'All Combined Data'!S3</f>
        <v>910174268414</v>
      </c>
      <c r="U5" s="2" t="str">
        <f>'All Combined Data'!T3</f>
        <v>Kolkata</v>
      </c>
      <c r="V5" s="2" t="str">
        <f>'All Combined Data'!U3</f>
        <v>West Bengal</v>
      </c>
      <c r="W5" s="2">
        <f>'All Combined Data'!V3</f>
        <v>933272</v>
      </c>
      <c r="X5" s="2" t="str">
        <f>'All Combined Data'!W3</f>
        <v>Male</v>
      </c>
      <c r="Y5" s="14">
        <f>'All Combined Data'!X3</f>
        <v>33056</v>
      </c>
      <c r="Z5" s="2">
        <f>'All Combined Data'!Y3</f>
        <v>45188</v>
      </c>
      <c r="AA5" s="2" t="str">
        <f>'All Combined Data'!Z3</f>
        <v>Grocery</v>
      </c>
      <c r="AB5" s="2">
        <f>'All Combined Data'!AA3</f>
        <v>5455</v>
      </c>
      <c r="AC5" s="2" t="str">
        <f>'All Combined Data'!AB3</f>
        <v>Married</v>
      </c>
      <c r="AD5" s="2" t="str">
        <f>'All Combined Data'!AC3</f>
        <v>Business</v>
      </c>
      <c r="AE5" s="2">
        <f>'All Combined Data'!AD3</f>
        <v>783546</v>
      </c>
      <c r="AF5" s="2" t="str">
        <f>'All Combined Data'!AE3</f>
        <v>P127</v>
      </c>
      <c r="AG5" s="2" t="str">
        <f>'All Combined Data'!AF3</f>
        <v>Odio Rice</v>
      </c>
      <c r="AH5" s="2" t="str">
        <f>'All Combined Data'!AG3</f>
        <v>Grocery</v>
      </c>
      <c r="AI5" s="2" t="str">
        <f>'All Combined Data'!AH3</f>
        <v>Notebook</v>
      </c>
      <c r="AJ5" s="2" t="str">
        <f>'All Combined Data'!AI3</f>
        <v>Bhavsar-Mital</v>
      </c>
      <c r="AK5" s="2">
        <f>'All Combined Data'!AJ3</f>
        <v>24100</v>
      </c>
      <c r="AL5" s="2">
        <f>'All Combined Data'!AK3</f>
        <v>10</v>
      </c>
      <c r="AM5" s="2">
        <f>'All Combined Data'!AL3</f>
        <v>179</v>
      </c>
      <c r="AN5" s="2">
        <f>'All Combined Data'!AM3</f>
        <v>6</v>
      </c>
      <c r="AO5" s="2" t="str">
        <f>'All Combined Data'!AN3</f>
        <v>Japan</v>
      </c>
      <c r="AP5" s="2" t="str">
        <f>'All Combined Data'!AO3</f>
        <v>Yes</v>
      </c>
      <c r="AQ5" s="2">
        <f>'All Combined Data'!AP3</f>
        <v>3.7</v>
      </c>
      <c r="AR5" s="14">
        <f>'All Combined Data'!AQ3</f>
        <v>44828</v>
      </c>
      <c r="AS5" s="2" t="str">
        <f>'All Combined Data'!AR3</f>
        <v>Yes</v>
      </c>
      <c r="AT5" s="2">
        <f>'All Combined Data'!AS3</f>
        <v>4805</v>
      </c>
      <c r="AU5" s="2">
        <f>'All Combined Data'!AT3</f>
        <v>44</v>
      </c>
      <c r="AV5" s="2">
        <f>'All Combined Data'!AU3</f>
        <v>44</v>
      </c>
      <c r="AW5" s="2" t="str">
        <f>'All Combined Data'!AV3</f>
        <v>S044</v>
      </c>
      <c r="AX5" s="2" t="str">
        <f>'All Combined Data'!AW3</f>
        <v>Edwin Ltd Mart</v>
      </c>
      <c r="AY5" s="2" t="str">
        <f>'All Combined Data'!AX3</f>
        <v>Pune</v>
      </c>
      <c r="AZ5" s="2" t="str">
        <f>'All Combined Data'!AY3</f>
        <v>Maharashtra</v>
      </c>
      <c r="BA5" s="2">
        <f>'All Combined Data'!AZ3</f>
        <v>30299</v>
      </c>
      <c r="BB5" s="2" t="str">
        <f>'All Combined Data'!BA3</f>
        <v>Krish Vala</v>
      </c>
      <c r="BC5" s="2">
        <f>'All Combined Data'!BB3</f>
        <v>2021</v>
      </c>
      <c r="BD5" s="2">
        <f>'All Combined Data'!BC3</f>
        <v>11</v>
      </c>
      <c r="BE5" s="2">
        <f>'All Combined Data'!BD3</f>
        <v>6876</v>
      </c>
      <c r="BF5" s="2">
        <f>'All Combined Data'!BE3</f>
        <v>3.4</v>
      </c>
      <c r="BG5" s="2" t="str">
        <f>'All Combined Data'!BF3</f>
        <v>Yes</v>
      </c>
      <c r="BH5" s="2">
        <f>'All Combined Data'!BG3</f>
        <v>3784</v>
      </c>
      <c r="BI5" s="2" t="str">
        <f>'All Combined Data'!BH3</f>
        <v>Retail</v>
      </c>
      <c r="BJ5" s="2">
        <f>'All Combined Data'!BI3</f>
        <v>919202428699</v>
      </c>
      <c r="BK5" s="2" t="str">
        <f>'All Combined Data'!BJ3</f>
        <v>manderfrederick@sen.info</v>
      </c>
      <c r="BL5" s="2">
        <f>Combined_data[[#This Row],[Quantity]]*Combined_data[[#This Row],[UnitPrice]]</f>
        <v>120500</v>
      </c>
      <c r="BM5" s="2">
        <f>Combined_data[[#This Row],[TotalAmount]]*(100-Combined_data[[#This Row],[DiscountApplied]])/100</f>
        <v>96303.6</v>
      </c>
      <c r="BN5" s="2">
        <f>Combined_data[[#This Row],[Reveune]]-Combined_data[[#This Row],[Final Amount]]</f>
        <v>24196.399999999994</v>
      </c>
    </row>
    <row r="6" spans="1:66" x14ac:dyDescent="0.3">
      <c r="B6" s="2" t="str">
        <f>'All Combined Data'!A4</f>
        <v>O1003</v>
      </c>
      <c r="C6" s="2" t="str">
        <f>'All Combined Data'!B4</f>
        <v>C062</v>
      </c>
      <c r="D6" s="2" t="str">
        <f>'All Combined Data'!C4</f>
        <v>P132</v>
      </c>
      <c r="E6" s="14">
        <f>'All Combined Data'!D4</f>
        <v>45697</v>
      </c>
      <c r="F6" s="2">
        <f>'All Combined Data'!E4</f>
        <v>4</v>
      </c>
      <c r="G6" s="2">
        <f>'All Combined Data'!F4</f>
        <v>89335</v>
      </c>
      <c r="H6" s="2">
        <f>'All Combined Data'!G4</f>
        <v>268005</v>
      </c>
      <c r="I6" s="2">
        <f>'All Combined Data'!H4</f>
        <v>0.28999999999999998</v>
      </c>
      <c r="J6" s="2" t="str">
        <f>'All Combined Data'!I4</f>
        <v>Net Banking</v>
      </c>
      <c r="K6" s="2" t="str">
        <f>'All Combined Data'!J4</f>
        <v>Delivered</v>
      </c>
      <c r="L6" s="14">
        <f>'All Combined Data'!K4</f>
        <v>45862</v>
      </c>
      <c r="M6" s="2" t="str">
        <f>'All Combined Data'!L4</f>
        <v>Yes</v>
      </c>
      <c r="N6" s="2">
        <f>'All Combined Data'!M4</f>
        <v>80</v>
      </c>
      <c r="O6" s="2" t="str">
        <f>'All Combined Data'!N4</f>
        <v>No</v>
      </c>
      <c r="P6" s="2" t="str">
        <f>'All Combined Data'!O4</f>
        <v>No</v>
      </c>
      <c r="Q6" s="2" t="str">
        <f>'All Combined Data'!P4</f>
        <v>C062</v>
      </c>
      <c r="R6" s="2" t="str">
        <f>'All Combined Data'!Q4</f>
        <v>Udarsh Bala</v>
      </c>
      <c r="S6" s="2" t="str">
        <f>'All Combined Data'!R4</f>
        <v>hardik52@example.org</v>
      </c>
      <c r="T6" s="2">
        <f>'All Combined Data'!S4</f>
        <v>914727790104</v>
      </c>
      <c r="U6" s="2" t="str">
        <f>'All Combined Data'!T4</f>
        <v>Kolkata</v>
      </c>
      <c r="V6" s="2" t="str">
        <f>'All Combined Data'!U4</f>
        <v>West Bengal</v>
      </c>
      <c r="W6" s="2">
        <f>'All Combined Data'!V4</f>
        <v>289861</v>
      </c>
      <c r="X6" s="2" t="str">
        <f>'All Combined Data'!W4</f>
        <v>Female</v>
      </c>
      <c r="Y6" s="14">
        <f>'All Combined Data'!X4</f>
        <v>28908</v>
      </c>
      <c r="Z6" s="2">
        <f>'All Combined Data'!Y4</f>
        <v>44766</v>
      </c>
      <c r="AA6" s="2" t="str">
        <f>'All Combined Data'!Z4</f>
        <v>Electronics</v>
      </c>
      <c r="AB6" s="2">
        <f>'All Combined Data'!AA4</f>
        <v>5020</v>
      </c>
      <c r="AC6" s="2" t="str">
        <f>'All Combined Data'!AB4</f>
        <v>Married</v>
      </c>
      <c r="AD6" s="2" t="str">
        <f>'All Combined Data'!AC4</f>
        <v>Business</v>
      </c>
      <c r="AE6" s="2">
        <f>'All Combined Data'!AD4</f>
        <v>884055</v>
      </c>
      <c r="AF6" s="2" t="str">
        <f>'All Combined Data'!AE4</f>
        <v>P132</v>
      </c>
      <c r="AG6" s="2" t="str">
        <f>'All Combined Data'!AF4</f>
        <v>Ea Rice</v>
      </c>
      <c r="AH6" s="2" t="str">
        <f>'All Combined Data'!AG4</f>
        <v>Home Appliance</v>
      </c>
      <c r="AI6" s="2" t="str">
        <f>'All Combined Data'!AH4</f>
        <v>Cotton</v>
      </c>
      <c r="AJ6" s="2" t="str">
        <f>'All Combined Data'!AI4</f>
        <v>Sankaran, Randhawa and Balakrishnan</v>
      </c>
      <c r="AK6" s="2">
        <f>'All Combined Data'!AJ4</f>
        <v>89335</v>
      </c>
      <c r="AL6" s="2">
        <f>'All Combined Data'!AK4</f>
        <v>29</v>
      </c>
      <c r="AM6" s="2">
        <f>'All Combined Data'!AL4</f>
        <v>738</v>
      </c>
      <c r="AN6" s="2">
        <f>'All Combined Data'!AM4</f>
        <v>12</v>
      </c>
      <c r="AO6" s="2" t="str">
        <f>'All Combined Data'!AN4</f>
        <v>India</v>
      </c>
      <c r="AP6" s="2" t="str">
        <f>'All Combined Data'!AO4</f>
        <v>Yes</v>
      </c>
      <c r="AQ6" s="2">
        <f>'All Combined Data'!AP4</f>
        <v>3.3</v>
      </c>
      <c r="AR6" s="14">
        <f>'All Combined Data'!AQ4</f>
        <v>45712</v>
      </c>
      <c r="AS6" s="2" t="str">
        <f>'All Combined Data'!AR4</f>
        <v>No</v>
      </c>
      <c r="AT6" s="2">
        <f>'All Combined Data'!AS4</f>
        <v>1547</v>
      </c>
      <c r="AU6" s="2">
        <f>'All Combined Data'!AT4</f>
        <v>163</v>
      </c>
      <c r="AV6" s="2">
        <f>'All Combined Data'!AU4</f>
        <v>163</v>
      </c>
      <c r="AW6" s="2" t="str">
        <f>'All Combined Data'!AV4</f>
        <v/>
      </c>
      <c r="AX6" s="2" t="str">
        <f>'All Combined Data'!AW4</f>
        <v/>
      </c>
      <c r="AY6" s="2" t="str">
        <f>'All Combined Data'!AX4</f>
        <v/>
      </c>
      <c r="AZ6" s="2" t="str">
        <f>'All Combined Data'!AY4</f>
        <v/>
      </c>
      <c r="BA6" s="2" t="str">
        <f>'All Combined Data'!AZ4</f>
        <v/>
      </c>
      <c r="BB6" s="2" t="str">
        <f>'All Combined Data'!BA4</f>
        <v/>
      </c>
      <c r="BC6" s="2" t="str">
        <f>'All Combined Data'!BB4</f>
        <v/>
      </c>
      <c r="BD6" s="2" t="str">
        <f>'All Combined Data'!BC4</f>
        <v/>
      </c>
      <c r="BE6" s="2" t="str">
        <f>'All Combined Data'!BD4</f>
        <v/>
      </c>
      <c r="BF6" s="2" t="str">
        <f>'All Combined Data'!BE4</f>
        <v/>
      </c>
      <c r="BG6" s="2" t="str">
        <f>'All Combined Data'!BF4</f>
        <v/>
      </c>
      <c r="BH6" s="2" t="str">
        <f>'All Combined Data'!BG4</f>
        <v/>
      </c>
      <c r="BI6" s="2" t="str">
        <f>'All Combined Data'!BH4</f>
        <v/>
      </c>
      <c r="BJ6" s="2" t="str">
        <f>'All Combined Data'!BI4</f>
        <v/>
      </c>
      <c r="BK6" s="2" t="str">
        <f>'All Combined Data'!BJ4</f>
        <v/>
      </c>
      <c r="BL6" s="2">
        <f>Combined_data[[#This Row],[Quantity]]*Combined_data[[#This Row],[UnitPrice]]</f>
        <v>357340</v>
      </c>
      <c r="BM6" s="2">
        <f>Combined_data[[#This Row],[TotalAmount]]*(100-Combined_data[[#This Row],[DiscountApplied]])/100</f>
        <v>267227.7855</v>
      </c>
      <c r="BN6" s="2">
        <f>Combined_data[[#This Row],[Reveune]]-Combined_data[[#This Row],[Final Amount]]</f>
        <v>90112.214500000002</v>
      </c>
    </row>
    <row r="7" spans="1:66" x14ac:dyDescent="0.3">
      <c r="B7" s="2" t="str">
        <f>'All Combined Data'!A5</f>
        <v>O1004</v>
      </c>
      <c r="C7" s="2" t="str">
        <f>'All Combined Data'!B5</f>
        <v>C062</v>
      </c>
      <c r="D7" s="2" t="str">
        <f>'All Combined Data'!C5</f>
        <v>P160</v>
      </c>
      <c r="E7" s="14">
        <f>'All Combined Data'!D5</f>
        <v>45640</v>
      </c>
      <c r="F7" s="2">
        <f>'All Combined Data'!E5</f>
        <v>2</v>
      </c>
      <c r="G7" s="2">
        <f>'All Combined Data'!F5</f>
        <v>90888</v>
      </c>
      <c r="H7" s="2">
        <f>'All Combined Data'!G5</f>
        <v>272664</v>
      </c>
      <c r="I7" s="2">
        <f>'All Combined Data'!H5</f>
        <v>0.16</v>
      </c>
      <c r="J7" s="2" t="str">
        <f>'All Combined Data'!I5</f>
        <v>Cash on Delivery</v>
      </c>
      <c r="K7" s="2" t="str">
        <f>'All Combined Data'!J5</f>
        <v>Shipped</v>
      </c>
      <c r="L7" s="14">
        <f>'All Combined Data'!K5</f>
        <v>45869</v>
      </c>
      <c r="M7" s="2" t="str">
        <f>'All Combined Data'!L5</f>
        <v>No</v>
      </c>
      <c r="N7" s="2">
        <f>'All Combined Data'!M5</f>
        <v>441</v>
      </c>
      <c r="O7" s="2" t="str">
        <f>'All Combined Data'!N5</f>
        <v>No</v>
      </c>
      <c r="P7" s="2" t="str">
        <f>'All Combined Data'!O5</f>
        <v>No</v>
      </c>
      <c r="Q7" s="2" t="str">
        <f>'All Combined Data'!P5</f>
        <v>C062</v>
      </c>
      <c r="R7" s="2" t="str">
        <f>'All Combined Data'!Q5</f>
        <v>Udarsh Bala</v>
      </c>
      <c r="S7" s="2" t="str">
        <f>'All Combined Data'!R5</f>
        <v>hardik52@example.org</v>
      </c>
      <c r="T7" s="2">
        <f>'All Combined Data'!S5</f>
        <v>914727790104</v>
      </c>
      <c r="U7" s="2" t="str">
        <f>'All Combined Data'!T5</f>
        <v>Kolkata</v>
      </c>
      <c r="V7" s="2" t="str">
        <f>'All Combined Data'!U5</f>
        <v>West Bengal</v>
      </c>
      <c r="W7" s="2">
        <f>'All Combined Data'!V5</f>
        <v>289861</v>
      </c>
      <c r="X7" s="2" t="str">
        <f>'All Combined Data'!W5</f>
        <v>Female</v>
      </c>
      <c r="Y7" s="14">
        <f>'All Combined Data'!X5</f>
        <v>28908</v>
      </c>
      <c r="Z7" s="2">
        <f>'All Combined Data'!Y5</f>
        <v>44766</v>
      </c>
      <c r="AA7" s="2" t="str">
        <f>'All Combined Data'!Z5</f>
        <v>Electronics</v>
      </c>
      <c r="AB7" s="2">
        <f>'All Combined Data'!AA5</f>
        <v>5020</v>
      </c>
      <c r="AC7" s="2" t="str">
        <f>'All Combined Data'!AB5</f>
        <v>Married</v>
      </c>
      <c r="AD7" s="2" t="str">
        <f>'All Combined Data'!AC5</f>
        <v>Business</v>
      </c>
      <c r="AE7" s="2">
        <f>'All Combined Data'!AD5</f>
        <v>884055</v>
      </c>
      <c r="AF7" s="2" t="str">
        <f>'All Combined Data'!AE5</f>
        <v>P160</v>
      </c>
      <c r="AG7" s="2" t="str">
        <f>'All Combined Data'!AF5</f>
        <v>Voluptatibus Rice</v>
      </c>
      <c r="AH7" s="2" t="str">
        <f>'All Combined Data'!AG5</f>
        <v>Home Appliance</v>
      </c>
      <c r="AI7" s="2" t="str">
        <f>'All Combined Data'!AH5</f>
        <v>Android</v>
      </c>
      <c r="AJ7" s="2" t="str">
        <f>'All Combined Data'!AI5</f>
        <v>Mann-Loke</v>
      </c>
      <c r="AK7" s="2">
        <f>'All Combined Data'!AJ5</f>
        <v>90888</v>
      </c>
      <c r="AL7" s="2">
        <f>'All Combined Data'!AK5</f>
        <v>16</v>
      </c>
      <c r="AM7" s="2">
        <f>'All Combined Data'!AL5</f>
        <v>90</v>
      </c>
      <c r="AN7" s="2">
        <f>'All Combined Data'!AM5</f>
        <v>36</v>
      </c>
      <c r="AO7" s="2" t="str">
        <f>'All Combined Data'!AN5</f>
        <v>India</v>
      </c>
      <c r="AP7" s="2" t="str">
        <f>'All Combined Data'!AO5</f>
        <v>Yes</v>
      </c>
      <c r="AQ7" s="2">
        <f>'All Combined Data'!AP5</f>
        <v>3.6</v>
      </c>
      <c r="AR7" s="14">
        <f>'All Combined Data'!AQ5</f>
        <v>45558</v>
      </c>
      <c r="AS7" s="2" t="str">
        <f>'All Combined Data'!AR5</f>
        <v>No</v>
      </c>
      <c r="AT7" s="2">
        <f>'All Combined Data'!AS5</f>
        <v>9585</v>
      </c>
      <c r="AU7" s="2">
        <f>'All Combined Data'!AT5</f>
        <v>34</v>
      </c>
      <c r="AV7" s="2">
        <f>'All Combined Data'!AU5</f>
        <v>34</v>
      </c>
      <c r="AW7" s="2" t="str">
        <f>'All Combined Data'!AV5</f>
        <v>S034</v>
      </c>
      <c r="AX7" s="2" t="str">
        <f>'All Combined Data'!AW5</f>
        <v>Naidu PLC Mart</v>
      </c>
      <c r="AY7" s="2" t="str">
        <f>'All Combined Data'!AX5</f>
        <v>Jaipur</v>
      </c>
      <c r="AZ7" s="2" t="str">
        <f>'All Combined Data'!AY5</f>
        <v>Rajasthan</v>
      </c>
      <c r="BA7" s="2">
        <f>'All Combined Data'!AZ5</f>
        <v>947985</v>
      </c>
      <c r="BB7" s="2" t="str">
        <f>'All Combined Data'!BA5</f>
        <v>Eesha Vora</v>
      </c>
      <c r="BC7" s="2">
        <f>'All Combined Data'!BB5</f>
        <v>2018</v>
      </c>
      <c r="BD7" s="2">
        <f>'All Combined Data'!BC5</f>
        <v>86</v>
      </c>
      <c r="BE7" s="2">
        <f>'All Combined Data'!BD5</f>
        <v>3166</v>
      </c>
      <c r="BF7" s="2">
        <f>'All Combined Data'!BE5</f>
        <v>3.6</v>
      </c>
      <c r="BG7" s="2" t="str">
        <f>'All Combined Data'!BF5</f>
        <v>No</v>
      </c>
      <c r="BH7" s="2">
        <f>'All Combined Data'!BG5</f>
        <v>2454</v>
      </c>
      <c r="BI7" s="2" t="str">
        <f>'All Combined Data'!BH5</f>
        <v>Retail</v>
      </c>
      <c r="BJ7" s="2">
        <f>'All Combined Data'!BI5</f>
        <v>912818268861</v>
      </c>
      <c r="BK7" s="2" t="str">
        <f>'All Combined Data'!BJ5</f>
        <v>timothy35@patel-memon.com</v>
      </c>
      <c r="BL7" s="2">
        <f>Combined_data[[#This Row],[Quantity]]*Combined_data[[#This Row],[UnitPrice]]</f>
        <v>181776</v>
      </c>
      <c r="BM7" s="2">
        <f>Combined_data[[#This Row],[TotalAmount]]*(100-Combined_data[[#This Row],[DiscountApplied]])/100</f>
        <v>272227.73759999999</v>
      </c>
      <c r="BN7" s="2">
        <f>Combined_data[[#This Row],[Reveune]]-Combined_data[[#This Row],[Final Amount]]</f>
        <v>-90451.737599999993</v>
      </c>
    </row>
    <row r="8" spans="1:66" x14ac:dyDescent="0.3">
      <c r="B8" s="2" t="str">
        <f>'All Combined Data'!A6</f>
        <v>O1005</v>
      </c>
      <c r="C8" s="2" t="str">
        <f>'All Combined Data'!B6</f>
        <v>C052</v>
      </c>
      <c r="D8" s="2" t="str">
        <f>'All Combined Data'!C6</f>
        <v>P117</v>
      </c>
      <c r="E8" s="14">
        <f>'All Combined Data'!D6</f>
        <v>45735</v>
      </c>
      <c r="F8" s="2">
        <f>'All Combined Data'!E6</f>
        <v>3</v>
      </c>
      <c r="G8" s="2">
        <f>'All Combined Data'!F6</f>
        <v>72884</v>
      </c>
      <c r="H8" s="2">
        <f>'All Combined Data'!G6</f>
        <v>364420</v>
      </c>
      <c r="I8" s="2">
        <f>'All Combined Data'!H6</f>
        <v>0.18</v>
      </c>
      <c r="J8" s="2" t="str">
        <f>'All Combined Data'!I6</f>
        <v>Cash on Delivery</v>
      </c>
      <c r="K8" s="2" t="str">
        <f>'All Combined Data'!J6</f>
        <v>Delivered</v>
      </c>
      <c r="L8" s="14">
        <f>'All Combined Data'!K6</f>
        <v>45856</v>
      </c>
      <c r="M8" s="2" t="str">
        <f>'All Combined Data'!L6</f>
        <v>No</v>
      </c>
      <c r="N8" s="2">
        <f>'All Combined Data'!M6</f>
        <v>123</v>
      </c>
      <c r="O8" s="2" t="str">
        <f>'All Combined Data'!N6</f>
        <v>No</v>
      </c>
      <c r="P8" s="2" t="str">
        <f>'All Combined Data'!O6</f>
        <v>Yes</v>
      </c>
      <c r="Q8" s="2" t="str">
        <f>'All Combined Data'!P6</f>
        <v>C052</v>
      </c>
      <c r="R8" s="2" t="str">
        <f>'All Combined Data'!Q6</f>
        <v>Vedika Sathe</v>
      </c>
      <c r="S8" s="2" t="str">
        <f>'All Combined Data'!R6</f>
        <v>nmahajan@example.net</v>
      </c>
      <c r="T8" s="2">
        <f>'All Combined Data'!S6</f>
        <v>915614978403</v>
      </c>
      <c r="U8" s="2" t="str">
        <f>'All Combined Data'!T6</f>
        <v>Kolkata</v>
      </c>
      <c r="V8" s="2" t="str">
        <f>'All Combined Data'!U6</f>
        <v>West Bengal</v>
      </c>
      <c r="W8" s="2">
        <f>'All Combined Data'!V6</f>
        <v>900343</v>
      </c>
      <c r="X8" s="2" t="str">
        <f>'All Combined Data'!W6</f>
        <v>Male</v>
      </c>
      <c r="Y8" s="14">
        <f>'All Combined Data'!X6</f>
        <v>25158</v>
      </c>
      <c r="Z8" s="2">
        <f>'All Combined Data'!Y6</f>
        <v>44821</v>
      </c>
      <c r="AA8" s="2" t="str">
        <f>'All Combined Data'!Z6</f>
        <v>Fashion</v>
      </c>
      <c r="AB8" s="2">
        <f>'All Combined Data'!AA6</f>
        <v>3541</v>
      </c>
      <c r="AC8" s="2" t="str">
        <f>'All Combined Data'!AB6</f>
        <v>Single</v>
      </c>
      <c r="AD8" s="2" t="str">
        <f>'All Combined Data'!AC6</f>
        <v>Engineer</v>
      </c>
      <c r="AE8" s="2">
        <f>'All Combined Data'!AD6</f>
        <v>941717</v>
      </c>
      <c r="AF8" s="2" t="str">
        <f>'All Combined Data'!AE6</f>
        <v>P117</v>
      </c>
      <c r="AG8" s="2" t="str">
        <f>'All Combined Data'!AF6</f>
        <v>Quidem Rice</v>
      </c>
      <c r="AH8" s="2" t="str">
        <f>'All Combined Data'!AG6</f>
        <v>Fashion</v>
      </c>
      <c r="AI8" s="2" t="str">
        <f>'All Combined Data'!AH6</f>
        <v>LED</v>
      </c>
      <c r="AJ8" s="2" t="str">
        <f>'All Combined Data'!AI6</f>
        <v>Chada, Chopra and Kothari</v>
      </c>
      <c r="AK8" s="2">
        <f>'All Combined Data'!AJ6</f>
        <v>72884</v>
      </c>
      <c r="AL8" s="2">
        <f>'All Combined Data'!AK6</f>
        <v>18</v>
      </c>
      <c r="AM8" s="2">
        <f>'All Combined Data'!AL6</f>
        <v>95</v>
      </c>
      <c r="AN8" s="2">
        <f>'All Combined Data'!AM6</f>
        <v>12</v>
      </c>
      <c r="AO8" s="2" t="str">
        <f>'All Combined Data'!AN6</f>
        <v>India</v>
      </c>
      <c r="AP8" s="2" t="str">
        <f>'All Combined Data'!AO6</f>
        <v>No</v>
      </c>
      <c r="AQ8" s="2">
        <f>'All Combined Data'!AP6</f>
        <v>4.9000000000000004</v>
      </c>
      <c r="AR8" s="14">
        <f>'All Combined Data'!AQ6</f>
        <v>45780</v>
      </c>
      <c r="AS8" s="2" t="str">
        <f>'All Combined Data'!AR6</f>
        <v>Yes</v>
      </c>
      <c r="AT8" s="2">
        <f>'All Combined Data'!AS6</f>
        <v>9166</v>
      </c>
      <c r="AU8" s="2">
        <f>'All Combined Data'!AT6</f>
        <v>185</v>
      </c>
      <c r="AV8" s="2">
        <f>'All Combined Data'!AU6</f>
        <v>185</v>
      </c>
      <c r="AW8" s="2" t="str">
        <f>'All Combined Data'!AV6</f>
        <v/>
      </c>
      <c r="AX8" s="2" t="str">
        <f>'All Combined Data'!AW6</f>
        <v/>
      </c>
      <c r="AY8" s="2" t="str">
        <f>'All Combined Data'!AX6</f>
        <v/>
      </c>
      <c r="AZ8" s="2" t="str">
        <f>'All Combined Data'!AY6</f>
        <v/>
      </c>
      <c r="BA8" s="2" t="str">
        <f>'All Combined Data'!AZ6</f>
        <v/>
      </c>
      <c r="BB8" s="2" t="str">
        <f>'All Combined Data'!BA6</f>
        <v/>
      </c>
      <c r="BC8" s="2" t="str">
        <f>'All Combined Data'!BB6</f>
        <v/>
      </c>
      <c r="BD8" s="2" t="str">
        <f>'All Combined Data'!BC6</f>
        <v/>
      </c>
      <c r="BE8" s="2" t="str">
        <f>'All Combined Data'!BD6</f>
        <v/>
      </c>
      <c r="BF8" s="2" t="str">
        <f>'All Combined Data'!BE6</f>
        <v/>
      </c>
      <c r="BG8" s="2" t="str">
        <f>'All Combined Data'!BF6</f>
        <v/>
      </c>
      <c r="BH8" s="2" t="str">
        <f>'All Combined Data'!BG6</f>
        <v/>
      </c>
      <c r="BI8" s="2" t="str">
        <f>'All Combined Data'!BH6</f>
        <v/>
      </c>
      <c r="BJ8" s="2" t="str">
        <f>'All Combined Data'!BI6</f>
        <v/>
      </c>
      <c r="BK8" s="2" t="str">
        <f>'All Combined Data'!BJ6</f>
        <v/>
      </c>
      <c r="BL8" s="2">
        <f>Combined_data[[#This Row],[Quantity]]*Combined_data[[#This Row],[UnitPrice]]</f>
        <v>218652</v>
      </c>
      <c r="BM8" s="2">
        <f>Combined_data[[#This Row],[TotalAmount]]*(100-Combined_data[[#This Row],[DiscountApplied]])/100</f>
        <v>363764.04399999999</v>
      </c>
      <c r="BN8" s="2">
        <f>Combined_data[[#This Row],[Reveune]]-Combined_data[[#This Row],[Final Amount]]</f>
        <v>-145112.04399999999</v>
      </c>
    </row>
    <row r="9" spans="1:66" x14ac:dyDescent="0.3">
      <c r="B9" s="2" t="str">
        <f>'All Combined Data'!A7</f>
        <v>O1006</v>
      </c>
      <c r="C9" s="2" t="str">
        <f>'All Combined Data'!B7</f>
        <v>C035</v>
      </c>
      <c r="D9" s="2" t="str">
        <f>'All Combined Data'!C7</f>
        <v>P158</v>
      </c>
      <c r="E9" s="14">
        <f>'All Combined Data'!D7</f>
        <v>45609</v>
      </c>
      <c r="F9" s="2">
        <f>'All Combined Data'!E7</f>
        <v>2</v>
      </c>
      <c r="G9" s="2">
        <f>'All Combined Data'!F7</f>
        <v>92731</v>
      </c>
      <c r="H9" s="2">
        <f>'All Combined Data'!G7</f>
        <v>185462</v>
      </c>
      <c r="I9" s="2">
        <f>'All Combined Data'!H7</f>
        <v>0.12</v>
      </c>
      <c r="J9" s="2" t="str">
        <f>'All Combined Data'!I7</f>
        <v>Credit Card</v>
      </c>
      <c r="K9" s="2" t="str">
        <f>'All Combined Data'!J7</f>
        <v>Delivered</v>
      </c>
      <c r="L9" s="14">
        <f>'All Combined Data'!K7</f>
        <v>45865</v>
      </c>
      <c r="M9" s="2" t="str">
        <f>'All Combined Data'!L7</f>
        <v>No</v>
      </c>
      <c r="N9" s="2">
        <f>'All Combined Data'!M7</f>
        <v>484</v>
      </c>
      <c r="O9" s="2" t="str">
        <f>'All Combined Data'!N7</f>
        <v>No</v>
      </c>
      <c r="P9" s="2" t="str">
        <f>'All Combined Data'!O7</f>
        <v>No</v>
      </c>
      <c r="Q9" s="2" t="str">
        <f>'All Combined Data'!P7</f>
        <v>C035</v>
      </c>
      <c r="R9" s="2" t="str">
        <f>'All Combined Data'!Q7</f>
        <v>Raksha Sundaram</v>
      </c>
      <c r="S9" s="2" t="str">
        <f>'All Combined Data'!R7</f>
        <v>balakrishnanwriddhish@example.net</v>
      </c>
      <c r="T9" s="2">
        <f>'All Combined Data'!S7</f>
        <v>914808613171</v>
      </c>
      <c r="U9" s="2" t="str">
        <f>'All Combined Data'!T7</f>
        <v>Ahmedabad</v>
      </c>
      <c r="V9" s="2" t="str">
        <f>'All Combined Data'!U7</f>
        <v>Gujarat</v>
      </c>
      <c r="W9" s="2">
        <f>'All Combined Data'!V7</f>
        <v>748467</v>
      </c>
      <c r="X9" s="2" t="str">
        <f>'All Combined Data'!W7</f>
        <v>Male</v>
      </c>
      <c r="Y9" s="14">
        <f>'All Combined Data'!X7</f>
        <v>33485</v>
      </c>
      <c r="Z9" s="2">
        <f>'All Combined Data'!Y7</f>
        <v>44785</v>
      </c>
      <c r="AA9" s="2" t="str">
        <f>'All Combined Data'!Z7</f>
        <v>Grocery</v>
      </c>
      <c r="AB9" s="2">
        <f>'All Combined Data'!AA7</f>
        <v>1060</v>
      </c>
      <c r="AC9" s="2" t="str">
        <f>'All Combined Data'!AB7</f>
        <v>Single</v>
      </c>
      <c r="AD9" s="2" t="str">
        <f>'All Combined Data'!AC7</f>
        <v>Business</v>
      </c>
      <c r="AE9" s="2">
        <f>'All Combined Data'!AD7</f>
        <v>204520</v>
      </c>
      <c r="AF9" s="2" t="str">
        <f>'All Combined Data'!AE7</f>
        <v>P158</v>
      </c>
      <c r="AG9" s="2" t="str">
        <f>'All Combined Data'!AF7</f>
        <v>Deserunt Washing Machine</v>
      </c>
      <c r="AH9" s="2" t="str">
        <f>'All Combined Data'!AG7</f>
        <v>Home Appliance</v>
      </c>
      <c r="AI9" s="2" t="str">
        <f>'All Combined Data'!AH7</f>
        <v>Organic</v>
      </c>
      <c r="AJ9" s="2" t="str">
        <f>'All Combined Data'!AI7</f>
        <v>Jhaveri Inc</v>
      </c>
      <c r="AK9" s="2">
        <f>'All Combined Data'!AJ7</f>
        <v>92731</v>
      </c>
      <c r="AL9" s="2">
        <f>'All Combined Data'!AK7</f>
        <v>12</v>
      </c>
      <c r="AM9" s="2">
        <f>'All Combined Data'!AL7</f>
        <v>512</v>
      </c>
      <c r="AN9" s="2">
        <f>'All Combined Data'!AM7</f>
        <v>24</v>
      </c>
      <c r="AO9" s="2" t="str">
        <f>'All Combined Data'!AN7</f>
        <v>India</v>
      </c>
      <c r="AP9" s="2" t="str">
        <f>'All Combined Data'!AO7</f>
        <v>No</v>
      </c>
      <c r="AQ9" s="2">
        <f>'All Combined Data'!AP7</f>
        <v>4.7</v>
      </c>
      <c r="AR9" s="14">
        <f>'All Combined Data'!AQ7</f>
        <v>45644</v>
      </c>
      <c r="AS9" s="2" t="str">
        <f>'All Combined Data'!AR7</f>
        <v>Yes</v>
      </c>
      <c r="AT9" s="2">
        <f>'All Combined Data'!AS7</f>
        <v>8148</v>
      </c>
      <c r="AU9" s="2">
        <f>'All Combined Data'!AT7</f>
        <v>8</v>
      </c>
      <c r="AV9" s="2">
        <f>'All Combined Data'!AU7</f>
        <v>8</v>
      </c>
      <c r="AW9" s="2" t="str">
        <f>'All Combined Data'!AV7</f>
        <v>S008</v>
      </c>
      <c r="AX9" s="2" t="str">
        <f>'All Combined Data'!AW7</f>
        <v>Palan LLC Mart</v>
      </c>
      <c r="AY9" s="2" t="str">
        <f>'All Combined Data'!AX7</f>
        <v>Delhi</v>
      </c>
      <c r="AZ9" s="2" t="str">
        <f>'All Combined Data'!AY7</f>
        <v>Delhi</v>
      </c>
      <c r="BA9" s="2">
        <f>'All Combined Data'!AZ7</f>
        <v>157043</v>
      </c>
      <c r="BB9" s="2" t="str">
        <f>'All Combined Data'!BA7</f>
        <v>Ekansh Palla</v>
      </c>
      <c r="BC9" s="2">
        <f>'All Combined Data'!BB7</f>
        <v>2018</v>
      </c>
      <c r="BD9" s="2">
        <f>'All Combined Data'!BC7</f>
        <v>49</v>
      </c>
      <c r="BE9" s="2">
        <f>'All Combined Data'!BD7</f>
        <v>18441</v>
      </c>
      <c r="BF9" s="2">
        <f>'All Combined Data'!BE7</f>
        <v>3.6</v>
      </c>
      <c r="BG9" s="2" t="str">
        <f>'All Combined Data'!BF7</f>
        <v>Yes</v>
      </c>
      <c r="BH9" s="2">
        <f>'All Combined Data'!BG7</f>
        <v>3151</v>
      </c>
      <c r="BI9" s="2" t="str">
        <f>'All Combined Data'!BH7</f>
        <v>Outlet</v>
      </c>
      <c r="BJ9" s="2">
        <f>'All Combined Data'!BI7</f>
        <v>1006762676</v>
      </c>
      <c r="BK9" s="2" t="str">
        <f>'All Combined Data'!BJ7</f>
        <v>keya17@kar.com</v>
      </c>
      <c r="BL9" s="2">
        <f>Combined_data[[#This Row],[Quantity]]*Combined_data[[#This Row],[UnitPrice]]</f>
        <v>185462</v>
      </c>
      <c r="BM9" s="2">
        <f>Combined_data[[#This Row],[TotalAmount]]*(100-Combined_data[[#This Row],[DiscountApplied]])/100</f>
        <v>185239.44559999998</v>
      </c>
      <c r="BN9" s="2">
        <f>Combined_data[[#This Row],[Reveune]]-Combined_data[[#This Row],[Final Amount]]</f>
        <v>222.55440000002272</v>
      </c>
    </row>
    <row r="10" spans="1:66" x14ac:dyDescent="0.3">
      <c r="B10" s="2" t="str">
        <f>'All Combined Data'!A8</f>
        <v>O1007</v>
      </c>
      <c r="C10" s="2" t="str">
        <f>'All Combined Data'!B8</f>
        <v>C032</v>
      </c>
      <c r="D10" s="2" t="str">
        <f>'All Combined Data'!C8</f>
        <v>P121</v>
      </c>
      <c r="E10" s="14">
        <f>'All Combined Data'!D8</f>
        <v>45772</v>
      </c>
      <c r="F10" s="2">
        <f>'All Combined Data'!E8</f>
        <v>3</v>
      </c>
      <c r="G10" s="2">
        <f>'All Combined Data'!F8</f>
        <v>25227</v>
      </c>
      <c r="H10" s="2">
        <f>'All Combined Data'!G8</f>
        <v>126135</v>
      </c>
      <c r="I10" s="2">
        <f>'All Combined Data'!H8</f>
        <v>0.27</v>
      </c>
      <c r="J10" s="2" t="str">
        <f>'All Combined Data'!I8</f>
        <v>UPI</v>
      </c>
      <c r="K10" s="2" t="str">
        <f>'All Combined Data'!J8</f>
        <v>Shipped</v>
      </c>
      <c r="L10" s="14">
        <f>'All Combined Data'!K8</f>
        <v>45860</v>
      </c>
      <c r="M10" s="2" t="str">
        <f>'All Combined Data'!L8</f>
        <v>Yes</v>
      </c>
      <c r="N10" s="2">
        <f>'All Combined Data'!M8</f>
        <v>255</v>
      </c>
      <c r="O10" s="2" t="str">
        <f>'All Combined Data'!N8</f>
        <v>No</v>
      </c>
      <c r="P10" s="2" t="str">
        <f>'All Combined Data'!O8</f>
        <v>No</v>
      </c>
      <c r="Q10" s="2" t="str">
        <f>'All Combined Data'!P8</f>
        <v>C032</v>
      </c>
      <c r="R10" s="2" t="str">
        <f>'All Combined Data'!Q8</f>
        <v>Amaira Dhar</v>
      </c>
      <c r="S10" s="2" t="str">
        <f>'All Combined Data'!R8</f>
        <v>bhasinnoah@example.com</v>
      </c>
      <c r="T10" s="2">
        <f>'All Combined Data'!S8</f>
        <v>9471746488</v>
      </c>
      <c r="U10" s="2" t="str">
        <f>'All Combined Data'!T8</f>
        <v>Hyderabad</v>
      </c>
      <c r="V10" s="2" t="str">
        <f>'All Combined Data'!U8</f>
        <v>Telangana</v>
      </c>
      <c r="W10" s="2">
        <f>'All Combined Data'!V8</f>
        <v>719065</v>
      </c>
      <c r="X10" s="2" t="str">
        <f>'All Combined Data'!W8</f>
        <v>Female</v>
      </c>
      <c r="Y10" s="14">
        <f>'All Combined Data'!X8</f>
        <v>36753</v>
      </c>
      <c r="Z10" s="2">
        <f>'All Combined Data'!Y8</f>
        <v>44805</v>
      </c>
      <c r="AA10" s="2" t="str">
        <f>'All Combined Data'!Z8</f>
        <v>Home Appliance</v>
      </c>
      <c r="AB10" s="2">
        <f>'All Combined Data'!AA8</f>
        <v>7012</v>
      </c>
      <c r="AC10" s="2" t="str">
        <f>'All Combined Data'!AB8</f>
        <v>Single</v>
      </c>
      <c r="AD10" s="2" t="str">
        <f>'All Combined Data'!AC8</f>
        <v>Teacher</v>
      </c>
      <c r="AE10" s="2">
        <f>'All Combined Data'!AD8</f>
        <v>1170201</v>
      </c>
      <c r="AF10" s="2" t="str">
        <f>'All Combined Data'!AE8</f>
        <v>P121</v>
      </c>
      <c r="AG10" s="2" t="str">
        <f>'All Combined Data'!AF8</f>
        <v>Quas Washing Machine</v>
      </c>
      <c r="AH10" s="2" t="str">
        <f>'All Combined Data'!AG8</f>
        <v>Grocery</v>
      </c>
      <c r="AI10" s="2" t="str">
        <f>'All Combined Data'!AH8</f>
        <v>Cotton</v>
      </c>
      <c r="AJ10" s="2" t="str">
        <f>'All Combined Data'!AI8</f>
        <v>Kant, Sehgal and Prasad</v>
      </c>
      <c r="AK10" s="2">
        <f>'All Combined Data'!AJ8</f>
        <v>25227</v>
      </c>
      <c r="AL10" s="2">
        <f>'All Combined Data'!AK8</f>
        <v>27</v>
      </c>
      <c r="AM10" s="2">
        <f>'All Combined Data'!AL8</f>
        <v>244</v>
      </c>
      <c r="AN10" s="2">
        <f>'All Combined Data'!AM8</f>
        <v>36</v>
      </c>
      <c r="AO10" s="2" t="str">
        <f>'All Combined Data'!AN8</f>
        <v>China</v>
      </c>
      <c r="AP10" s="2" t="str">
        <f>'All Combined Data'!AO8</f>
        <v>No</v>
      </c>
      <c r="AQ10" s="2">
        <f>'All Combined Data'!AP8</f>
        <v>2.6</v>
      </c>
      <c r="AR10" s="14">
        <f>'All Combined Data'!AQ8</f>
        <v>45366</v>
      </c>
      <c r="AS10" s="2" t="str">
        <f>'All Combined Data'!AR8</f>
        <v>No</v>
      </c>
      <c r="AT10" s="2">
        <f>'All Combined Data'!AS8</f>
        <v>7247</v>
      </c>
      <c r="AU10" s="2">
        <f>'All Combined Data'!AT8</f>
        <v>147</v>
      </c>
      <c r="AV10" s="2">
        <f>'All Combined Data'!AU8</f>
        <v>147</v>
      </c>
      <c r="AW10" s="2" t="str">
        <f>'All Combined Data'!AV8</f>
        <v/>
      </c>
      <c r="AX10" s="2" t="str">
        <f>'All Combined Data'!AW8</f>
        <v/>
      </c>
      <c r="AY10" s="2" t="str">
        <f>'All Combined Data'!AX8</f>
        <v/>
      </c>
      <c r="AZ10" s="2" t="str">
        <f>'All Combined Data'!AY8</f>
        <v/>
      </c>
      <c r="BA10" s="2" t="str">
        <f>'All Combined Data'!AZ8</f>
        <v/>
      </c>
      <c r="BB10" s="2" t="str">
        <f>'All Combined Data'!BA8</f>
        <v/>
      </c>
      <c r="BC10" s="2" t="str">
        <f>'All Combined Data'!BB8</f>
        <v/>
      </c>
      <c r="BD10" s="2" t="str">
        <f>'All Combined Data'!BC8</f>
        <v/>
      </c>
      <c r="BE10" s="2" t="str">
        <f>'All Combined Data'!BD8</f>
        <v/>
      </c>
      <c r="BF10" s="2" t="str">
        <f>'All Combined Data'!BE8</f>
        <v/>
      </c>
      <c r="BG10" s="2" t="str">
        <f>'All Combined Data'!BF8</f>
        <v/>
      </c>
      <c r="BH10" s="2" t="str">
        <f>'All Combined Data'!BG8</f>
        <v/>
      </c>
      <c r="BI10" s="2" t="str">
        <f>'All Combined Data'!BH8</f>
        <v/>
      </c>
      <c r="BJ10" s="2" t="str">
        <f>'All Combined Data'!BI8</f>
        <v/>
      </c>
      <c r="BK10" s="2" t="str">
        <f>'All Combined Data'!BJ8</f>
        <v/>
      </c>
      <c r="BL10" s="2">
        <f>Combined_data[[#This Row],[Quantity]]*Combined_data[[#This Row],[UnitPrice]]</f>
        <v>75681</v>
      </c>
      <c r="BM10" s="2">
        <f>Combined_data[[#This Row],[TotalAmount]]*(100-Combined_data[[#This Row],[DiscountApplied]])/100</f>
        <v>125794.43550000001</v>
      </c>
      <c r="BN10" s="2">
        <f>Combined_data[[#This Row],[Reveune]]-Combined_data[[#This Row],[Final Amount]]</f>
        <v>-50113.435500000007</v>
      </c>
    </row>
    <row r="11" spans="1:66" x14ac:dyDescent="0.3">
      <c r="B11" s="2" t="str">
        <f>'All Combined Data'!A9</f>
        <v>O1008</v>
      </c>
      <c r="C11" s="2" t="str">
        <f>'All Combined Data'!B9</f>
        <v>C040</v>
      </c>
      <c r="D11" s="2" t="str">
        <f>'All Combined Data'!C9</f>
        <v>P164</v>
      </c>
      <c r="E11" s="14">
        <f>'All Combined Data'!D9</f>
        <v>45511</v>
      </c>
      <c r="F11" s="2">
        <f>'All Combined Data'!E9</f>
        <v>1</v>
      </c>
      <c r="G11" s="2">
        <f>'All Combined Data'!F9</f>
        <v>61962</v>
      </c>
      <c r="H11" s="2">
        <f>'All Combined Data'!G9</f>
        <v>61962</v>
      </c>
      <c r="I11" s="2">
        <f>'All Combined Data'!H9</f>
        <v>0.19</v>
      </c>
      <c r="J11" s="2" t="str">
        <f>'All Combined Data'!I9</f>
        <v>Net Banking</v>
      </c>
      <c r="K11" s="2" t="str">
        <f>'All Combined Data'!J9</f>
        <v>Cancelled</v>
      </c>
      <c r="L11" s="14">
        <f>'All Combined Data'!K9</f>
        <v>45860</v>
      </c>
      <c r="M11" s="2" t="str">
        <f>'All Combined Data'!L9</f>
        <v>Yes</v>
      </c>
      <c r="N11" s="2">
        <f>'All Combined Data'!M9</f>
        <v>110</v>
      </c>
      <c r="O11" s="2" t="str">
        <f>'All Combined Data'!N9</f>
        <v>No</v>
      </c>
      <c r="P11" s="2" t="str">
        <f>'All Combined Data'!O9</f>
        <v>Yes</v>
      </c>
      <c r="Q11" s="2" t="str">
        <f>'All Combined Data'!P9</f>
        <v>C040</v>
      </c>
      <c r="R11" s="2" t="str">
        <f>'All Combined Data'!Q9</f>
        <v>Aadhya Andra</v>
      </c>
      <c r="S11" s="2" t="str">
        <f>'All Combined Data'!R9</f>
        <v>rmani@example.net</v>
      </c>
      <c r="T11" s="2">
        <f>'All Combined Data'!S9</f>
        <v>911759464743</v>
      </c>
      <c r="U11" s="2" t="str">
        <f>'All Combined Data'!T9</f>
        <v>Lucknow</v>
      </c>
      <c r="V11" s="2" t="str">
        <f>'All Combined Data'!U9</f>
        <v>Uttar Pradesh</v>
      </c>
      <c r="W11" s="2">
        <f>'All Combined Data'!V9</f>
        <v>713695</v>
      </c>
      <c r="X11" s="2" t="str">
        <f>'All Combined Data'!W9</f>
        <v>Male</v>
      </c>
      <c r="Y11" s="14">
        <f>'All Combined Data'!X9</f>
        <v>36035</v>
      </c>
      <c r="Z11" s="2">
        <f>'All Combined Data'!Y9</f>
        <v>44947</v>
      </c>
      <c r="AA11" s="2" t="str">
        <f>'All Combined Data'!Z9</f>
        <v>Home Appliance</v>
      </c>
      <c r="AB11" s="2">
        <f>'All Combined Data'!AA9</f>
        <v>6715</v>
      </c>
      <c r="AC11" s="2" t="str">
        <f>'All Combined Data'!AB9</f>
        <v>Single</v>
      </c>
      <c r="AD11" s="2" t="str">
        <f>'All Combined Data'!AC9</f>
        <v>Student</v>
      </c>
      <c r="AE11" s="2">
        <f>'All Combined Data'!AD9</f>
        <v>716351</v>
      </c>
      <c r="AF11" s="2" t="str">
        <f>'All Combined Data'!AE9</f>
        <v>P164</v>
      </c>
      <c r="AG11" s="2" t="str">
        <f>'All Combined Data'!AF9</f>
        <v>Repellat Washing Machine</v>
      </c>
      <c r="AH11" s="2" t="str">
        <f>'All Combined Data'!AG9</f>
        <v>Home Appliance</v>
      </c>
      <c r="AI11" s="2" t="str">
        <f>'All Combined Data'!AH9</f>
        <v>LED</v>
      </c>
      <c r="AJ11" s="2" t="str">
        <f>'All Combined Data'!AI9</f>
        <v>Luthra, Sachdeva and Prashad</v>
      </c>
      <c r="AK11" s="2">
        <f>'All Combined Data'!AJ9</f>
        <v>61962</v>
      </c>
      <c r="AL11" s="2">
        <f>'All Combined Data'!AK9</f>
        <v>19</v>
      </c>
      <c r="AM11" s="2">
        <f>'All Combined Data'!AL9</f>
        <v>646</v>
      </c>
      <c r="AN11" s="2">
        <f>'All Combined Data'!AM9</f>
        <v>24</v>
      </c>
      <c r="AO11" s="2" t="str">
        <f>'All Combined Data'!AN9</f>
        <v>Vietnam</v>
      </c>
      <c r="AP11" s="2" t="str">
        <f>'All Combined Data'!AO9</f>
        <v>Yes</v>
      </c>
      <c r="AQ11" s="2">
        <f>'All Combined Data'!AP9</f>
        <v>3.4</v>
      </c>
      <c r="AR11" s="14">
        <f>'All Combined Data'!AQ9</f>
        <v>45461</v>
      </c>
      <c r="AS11" s="2" t="str">
        <f>'All Combined Data'!AR9</f>
        <v>Yes</v>
      </c>
      <c r="AT11" s="2">
        <f>'All Combined Data'!AS9</f>
        <v>6086</v>
      </c>
      <c r="AU11" s="2">
        <f>'All Combined Data'!AT9</f>
        <v>26</v>
      </c>
      <c r="AV11" s="2">
        <f>'All Combined Data'!AU9</f>
        <v>26</v>
      </c>
      <c r="AW11" s="2" t="str">
        <f>'All Combined Data'!AV9</f>
        <v>S026</v>
      </c>
      <c r="AX11" s="2" t="str">
        <f>'All Combined Data'!AW9</f>
        <v>Sarma, Golla and Raghavan Mart</v>
      </c>
      <c r="AY11" s="2" t="str">
        <f>'All Combined Data'!AX9</f>
        <v>Hyderabad</v>
      </c>
      <c r="AZ11" s="2" t="str">
        <f>'All Combined Data'!AY9</f>
        <v>Telangana</v>
      </c>
      <c r="BA11" s="2">
        <f>'All Combined Data'!AZ9</f>
        <v>902771</v>
      </c>
      <c r="BB11" s="2" t="str">
        <f>'All Combined Data'!BA9</f>
        <v>Ridhi Batra</v>
      </c>
      <c r="BC11" s="2">
        <f>'All Combined Data'!BB9</f>
        <v>2008</v>
      </c>
      <c r="BD11" s="2">
        <f>'All Combined Data'!BC9</f>
        <v>87</v>
      </c>
      <c r="BE11" s="2">
        <f>'All Combined Data'!BD9</f>
        <v>3760</v>
      </c>
      <c r="BF11" s="2">
        <f>'All Combined Data'!BE9</f>
        <v>3.5</v>
      </c>
      <c r="BG11" s="2" t="str">
        <f>'All Combined Data'!BF9</f>
        <v>No</v>
      </c>
      <c r="BH11" s="2">
        <f>'All Combined Data'!BG9</f>
        <v>719</v>
      </c>
      <c r="BI11" s="2" t="str">
        <f>'All Combined Data'!BH9</f>
        <v>Outlet</v>
      </c>
      <c r="BJ11" s="2">
        <f>'All Combined Data'!BI9</f>
        <v>914508993588</v>
      </c>
      <c r="BK11" s="2" t="str">
        <f>'All Combined Data'!BJ9</f>
        <v>santyuvraj@pal-rajan.com</v>
      </c>
      <c r="BL11" s="2">
        <f>Combined_data[[#This Row],[Quantity]]*Combined_data[[#This Row],[UnitPrice]]</f>
        <v>61962</v>
      </c>
      <c r="BM11" s="2">
        <f>Combined_data[[#This Row],[TotalAmount]]*(100-Combined_data[[#This Row],[DiscountApplied]])/100</f>
        <v>61844.272199999999</v>
      </c>
      <c r="BN11" s="2">
        <f>Combined_data[[#This Row],[Reveune]]-Combined_data[[#This Row],[Final Amount]]</f>
        <v>117.72780000000057</v>
      </c>
    </row>
    <row r="12" spans="1:66" x14ac:dyDescent="0.3">
      <c r="B12" s="2" t="str">
        <f>'All Combined Data'!A10</f>
        <v>O1009</v>
      </c>
      <c r="C12" s="2" t="str">
        <f>'All Combined Data'!B10</f>
        <v>C007</v>
      </c>
      <c r="D12" s="2" t="str">
        <f>'All Combined Data'!C10</f>
        <v>P137</v>
      </c>
      <c r="E12" s="14">
        <f>'All Combined Data'!D10</f>
        <v>45522</v>
      </c>
      <c r="F12" s="2">
        <f>'All Combined Data'!E10</f>
        <v>4</v>
      </c>
      <c r="G12" s="2">
        <f>'All Combined Data'!F10</f>
        <v>6443</v>
      </c>
      <c r="H12" s="2">
        <f>'All Combined Data'!G10</f>
        <v>32215</v>
      </c>
      <c r="I12" s="2">
        <f>'All Combined Data'!H10</f>
        <v>0.06</v>
      </c>
      <c r="J12" s="2" t="str">
        <f>'All Combined Data'!I10</f>
        <v>Net Banking</v>
      </c>
      <c r="K12" s="2" t="str">
        <f>'All Combined Data'!J10</f>
        <v>Pending</v>
      </c>
      <c r="L12" s="14">
        <f>'All Combined Data'!K10</f>
        <v>45865</v>
      </c>
      <c r="M12" s="2" t="str">
        <f>'All Combined Data'!L10</f>
        <v>Yes</v>
      </c>
      <c r="N12" s="2">
        <f>'All Combined Data'!M10</f>
        <v>433</v>
      </c>
      <c r="O12" s="2" t="str">
        <f>'All Combined Data'!N10</f>
        <v>Yes</v>
      </c>
      <c r="P12" s="2" t="str">
        <f>'All Combined Data'!O10</f>
        <v>No</v>
      </c>
      <c r="Q12" s="2" t="str">
        <f>'All Combined Data'!P10</f>
        <v>C007</v>
      </c>
      <c r="R12" s="2" t="str">
        <f>'All Combined Data'!Q10</f>
        <v>Frederick Sunder</v>
      </c>
      <c r="S12" s="2" t="str">
        <f>'All Combined Data'!R10</f>
        <v>waliajeremiah@example.org</v>
      </c>
      <c r="T12" s="2">
        <f>'All Combined Data'!S10</f>
        <v>7824896383</v>
      </c>
      <c r="U12" s="2" t="str">
        <f>'All Combined Data'!T10</f>
        <v>Jaipur</v>
      </c>
      <c r="V12" s="2" t="str">
        <f>'All Combined Data'!U10</f>
        <v>Rajasthan</v>
      </c>
      <c r="W12" s="2">
        <f>'All Combined Data'!V10</f>
        <v>657871</v>
      </c>
      <c r="X12" s="2" t="str">
        <f>'All Combined Data'!W10</f>
        <v>Male</v>
      </c>
      <c r="Y12" s="14">
        <f>'All Combined Data'!X10</f>
        <v>27909</v>
      </c>
      <c r="Z12" s="2">
        <f>'All Combined Data'!Y10</f>
        <v>44726</v>
      </c>
      <c r="AA12" s="2" t="str">
        <f>'All Combined Data'!Z10</f>
        <v>Fashion</v>
      </c>
      <c r="AB12" s="2">
        <f>'All Combined Data'!AA10</f>
        <v>6025</v>
      </c>
      <c r="AC12" s="2" t="str">
        <f>'All Combined Data'!AB10</f>
        <v>Single</v>
      </c>
      <c r="AD12" s="2" t="str">
        <f>'All Combined Data'!AC10</f>
        <v>Engineer</v>
      </c>
      <c r="AE12" s="2">
        <f>'All Combined Data'!AD10</f>
        <v>296100</v>
      </c>
      <c r="AF12" s="2" t="str">
        <f>'All Combined Data'!AE10</f>
        <v>P137</v>
      </c>
      <c r="AG12" s="2" t="str">
        <f>'All Combined Data'!AF10</f>
        <v>Velit TV</v>
      </c>
      <c r="AH12" s="2" t="str">
        <f>'All Combined Data'!AG10</f>
        <v>Grocery</v>
      </c>
      <c r="AI12" s="2" t="str">
        <f>'All Combined Data'!AH10</f>
        <v>Smart</v>
      </c>
      <c r="AJ12" s="2" t="str">
        <f>'All Combined Data'!AI10</f>
        <v>Wable-Munshi</v>
      </c>
      <c r="AK12" s="2">
        <f>'All Combined Data'!AJ10</f>
        <v>6443</v>
      </c>
      <c r="AL12" s="2">
        <f>'All Combined Data'!AK10</f>
        <v>6</v>
      </c>
      <c r="AM12" s="2">
        <f>'All Combined Data'!AL10</f>
        <v>311</v>
      </c>
      <c r="AN12" s="2">
        <f>'All Combined Data'!AM10</f>
        <v>36</v>
      </c>
      <c r="AO12" s="2" t="str">
        <f>'All Combined Data'!AN10</f>
        <v>India</v>
      </c>
      <c r="AP12" s="2" t="str">
        <f>'All Combined Data'!AO10</f>
        <v>Yes</v>
      </c>
      <c r="AQ12" s="2">
        <f>'All Combined Data'!AP10</f>
        <v>3.1</v>
      </c>
      <c r="AR12" s="14">
        <f>'All Combined Data'!AQ10</f>
        <v>45686</v>
      </c>
      <c r="AS12" s="2" t="str">
        <f>'All Combined Data'!AR10</f>
        <v>Yes</v>
      </c>
      <c r="AT12" s="2">
        <f>'All Combined Data'!AS10</f>
        <v>7368</v>
      </c>
      <c r="AU12" s="2">
        <f>'All Combined Data'!AT10</f>
        <v>156</v>
      </c>
      <c r="AV12" s="2">
        <f>'All Combined Data'!AU10</f>
        <v>156</v>
      </c>
      <c r="AW12" s="2" t="str">
        <f>'All Combined Data'!AV10</f>
        <v/>
      </c>
      <c r="AX12" s="2" t="str">
        <f>'All Combined Data'!AW10</f>
        <v/>
      </c>
      <c r="AY12" s="2" t="str">
        <f>'All Combined Data'!AX10</f>
        <v/>
      </c>
      <c r="AZ12" s="2" t="str">
        <f>'All Combined Data'!AY10</f>
        <v/>
      </c>
      <c r="BA12" s="2" t="str">
        <f>'All Combined Data'!AZ10</f>
        <v/>
      </c>
      <c r="BB12" s="2" t="str">
        <f>'All Combined Data'!BA10</f>
        <v/>
      </c>
      <c r="BC12" s="2" t="str">
        <f>'All Combined Data'!BB10</f>
        <v/>
      </c>
      <c r="BD12" s="2" t="str">
        <f>'All Combined Data'!BC10</f>
        <v/>
      </c>
      <c r="BE12" s="2" t="str">
        <f>'All Combined Data'!BD10</f>
        <v/>
      </c>
      <c r="BF12" s="2" t="str">
        <f>'All Combined Data'!BE10</f>
        <v/>
      </c>
      <c r="BG12" s="2" t="str">
        <f>'All Combined Data'!BF10</f>
        <v/>
      </c>
      <c r="BH12" s="2" t="str">
        <f>'All Combined Data'!BG10</f>
        <v/>
      </c>
      <c r="BI12" s="2" t="str">
        <f>'All Combined Data'!BH10</f>
        <v/>
      </c>
      <c r="BJ12" s="2" t="str">
        <f>'All Combined Data'!BI10</f>
        <v/>
      </c>
      <c r="BK12" s="2" t="str">
        <f>'All Combined Data'!BJ10</f>
        <v/>
      </c>
      <c r="BL12" s="2">
        <f>Combined_data[[#This Row],[Quantity]]*Combined_data[[#This Row],[UnitPrice]]</f>
        <v>25772</v>
      </c>
      <c r="BM12" s="2">
        <f>Combined_data[[#This Row],[TotalAmount]]*(100-Combined_data[[#This Row],[DiscountApplied]])/100</f>
        <v>32195.671000000002</v>
      </c>
      <c r="BN12" s="2">
        <f>Combined_data[[#This Row],[Reveune]]-Combined_data[[#This Row],[Final Amount]]</f>
        <v>-6423.6710000000021</v>
      </c>
    </row>
    <row r="13" spans="1:66" x14ac:dyDescent="0.3">
      <c r="B13" s="2" t="str">
        <f>'All Combined Data'!A11</f>
        <v>O1010</v>
      </c>
      <c r="C13" s="2" t="str">
        <f>'All Combined Data'!B11</f>
        <v>C018</v>
      </c>
      <c r="D13" s="2" t="str">
        <f>'All Combined Data'!C11</f>
        <v>P134</v>
      </c>
      <c r="E13" s="14">
        <f>'All Combined Data'!D11</f>
        <v>45534</v>
      </c>
      <c r="F13" s="2">
        <f>'All Combined Data'!E11</f>
        <v>3</v>
      </c>
      <c r="G13" s="2">
        <f>'All Combined Data'!F11</f>
        <v>63656</v>
      </c>
      <c r="H13" s="2">
        <f>'All Combined Data'!G11</f>
        <v>254624</v>
      </c>
      <c r="I13" s="2">
        <f>'All Combined Data'!H11</f>
        <v>0.3</v>
      </c>
      <c r="J13" s="2" t="str">
        <f>'All Combined Data'!I11</f>
        <v>UPI</v>
      </c>
      <c r="K13" s="2" t="str">
        <f>'All Combined Data'!J11</f>
        <v>Delivered</v>
      </c>
      <c r="L13" s="14">
        <f>'All Combined Data'!K11</f>
        <v>45866</v>
      </c>
      <c r="M13" s="2" t="str">
        <f>'All Combined Data'!L11</f>
        <v>No</v>
      </c>
      <c r="N13" s="2">
        <f>'All Combined Data'!M11</f>
        <v>26</v>
      </c>
      <c r="O13" s="2" t="str">
        <f>'All Combined Data'!N11</f>
        <v>Yes</v>
      </c>
      <c r="P13" s="2" t="str">
        <f>'All Combined Data'!O11</f>
        <v>No</v>
      </c>
      <c r="Q13" s="2" t="str">
        <f>'All Combined Data'!P11</f>
        <v>C018</v>
      </c>
      <c r="R13" s="2" t="str">
        <f>'All Combined Data'!Q11</f>
        <v>Owen Mitra</v>
      </c>
      <c r="S13" s="2" t="str">
        <f>'All Combined Data'!R11</f>
        <v>tacharya@example.com</v>
      </c>
      <c r="T13" s="2">
        <f>'All Combined Data'!S11</f>
        <v>916995777387</v>
      </c>
      <c r="U13" s="2" t="str">
        <f>'All Combined Data'!T11</f>
        <v>Mumbai</v>
      </c>
      <c r="V13" s="2" t="str">
        <f>'All Combined Data'!U11</f>
        <v>Maharashtra</v>
      </c>
      <c r="W13" s="2">
        <f>'All Combined Data'!V11</f>
        <v>148951</v>
      </c>
      <c r="X13" s="2" t="str">
        <f>'All Combined Data'!W11</f>
        <v>Female</v>
      </c>
      <c r="Y13" s="14">
        <f>'All Combined Data'!X11</f>
        <v>27585</v>
      </c>
      <c r="Z13" s="2">
        <f>'All Combined Data'!Y11</f>
        <v>44992</v>
      </c>
      <c r="AA13" s="2" t="str">
        <f>'All Combined Data'!Z11</f>
        <v>Fashion</v>
      </c>
      <c r="AB13" s="2">
        <f>'All Combined Data'!AA11</f>
        <v>1927</v>
      </c>
      <c r="AC13" s="2" t="str">
        <f>'All Combined Data'!AB11</f>
        <v>Married</v>
      </c>
      <c r="AD13" s="2" t="str">
        <f>'All Combined Data'!AC11</f>
        <v>Business</v>
      </c>
      <c r="AE13" s="2">
        <f>'All Combined Data'!AD11</f>
        <v>531680</v>
      </c>
      <c r="AF13" s="2" t="str">
        <f>'All Combined Data'!AE11</f>
        <v>P134</v>
      </c>
      <c r="AG13" s="2" t="str">
        <f>'All Combined Data'!AF11</f>
        <v>Voluptatibus Shirt</v>
      </c>
      <c r="AH13" s="2" t="str">
        <f>'All Combined Data'!AG11</f>
        <v>Fashion</v>
      </c>
      <c r="AI13" s="2" t="str">
        <f>'All Combined Data'!AH11</f>
        <v>Cotton</v>
      </c>
      <c r="AJ13" s="2" t="str">
        <f>'All Combined Data'!AI11</f>
        <v>Jha LLC</v>
      </c>
      <c r="AK13" s="2">
        <f>'All Combined Data'!AJ11</f>
        <v>63656</v>
      </c>
      <c r="AL13" s="2">
        <f>'All Combined Data'!AK11</f>
        <v>30</v>
      </c>
      <c r="AM13" s="2">
        <f>'All Combined Data'!AL11</f>
        <v>302</v>
      </c>
      <c r="AN13" s="2">
        <f>'All Combined Data'!AM11</f>
        <v>24</v>
      </c>
      <c r="AO13" s="2" t="str">
        <f>'All Combined Data'!AN11</f>
        <v>India</v>
      </c>
      <c r="AP13" s="2" t="str">
        <f>'All Combined Data'!AO11</f>
        <v>No</v>
      </c>
      <c r="AQ13" s="2">
        <f>'All Combined Data'!AP11</f>
        <v>4.9000000000000004</v>
      </c>
      <c r="AR13" s="14">
        <f>'All Combined Data'!AQ11</f>
        <v>45852</v>
      </c>
      <c r="AS13" s="2" t="str">
        <f>'All Combined Data'!AR11</f>
        <v>Yes</v>
      </c>
      <c r="AT13" s="2">
        <f>'All Combined Data'!AS11</f>
        <v>4697</v>
      </c>
      <c r="AU13" s="2">
        <f>'All Combined Data'!AT11</f>
        <v>195</v>
      </c>
      <c r="AV13" s="2">
        <f>'All Combined Data'!AU11</f>
        <v>195</v>
      </c>
      <c r="AW13" s="2" t="str">
        <f>'All Combined Data'!AV11</f>
        <v/>
      </c>
      <c r="AX13" s="2" t="str">
        <f>'All Combined Data'!AW11</f>
        <v/>
      </c>
      <c r="AY13" s="2" t="str">
        <f>'All Combined Data'!AX11</f>
        <v/>
      </c>
      <c r="AZ13" s="2" t="str">
        <f>'All Combined Data'!AY11</f>
        <v/>
      </c>
      <c r="BA13" s="2" t="str">
        <f>'All Combined Data'!AZ11</f>
        <v/>
      </c>
      <c r="BB13" s="2" t="str">
        <f>'All Combined Data'!BA11</f>
        <v/>
      </c>
      <c r="BC13" s="2" t="str">
        <f>'All Combined Data'!BB11</f>
        <v/>
      </c>
      <c r="BD13" s="2" t="str">
        <f>'All Combined Data'!BC11</f>
        <v/>
      </c>
      <c r="BE13" s="2" t="str">
        <f>'All Combined Data'!BD11</f>
        <v/>
      </c>
      <c r="BF13" s="2" t="str">
        <f>'All Combined Data'!BE11</f>
        <v/>
      </c>
      <c r="BG13" s="2" t="str">
        <f>'All Combined Data'!BF11</f>
        <v/>
      </c>
      <c r="BH13" s="2" t="str">
        <f>'All Combined Data'!BG11</f>
        <v/>
      </c>
      <c r="BI13" s="2" t="str">
        <f>'All Combined Data'!BH11</f>
        <v/>
      </c>
      <c r="BJ13" s="2" t="str">
        <f>'All Combined Data'!BI11</f>
        <v/>
      </c>
      <c r="BK13" s="2" t="str">
        <f>'All Combined Data'!BJ11</f>
        <v/>
      </c>
      <c r="BL13" s="2">
        <f>Combined_data[[#This Row],[Quantity]]*Combined_data[[#This Row],[UnitPrice]]</f>
        <v>190968</v>
      </c>
      <c r="BM13" s="2">
        <f>Combined_data[[#This Row],[TotalAmount]]*(100-Combined_data[[#This Row],[DiscountApplied]])/100</f>
        <v>253860.128</v>
      </c>
      <c r="BN13" s="2">
        <f>Combined_data[[#This Row],[Reveune]]-Combined_data[[#This Row],[Final Amount]]</f>
        <v>-62892.127999999997</v>
      </c>
    </row>
    <row r="14" spans="1:66" x14ac:dyDescent="0.3">
      <c r="B14" s="2" t="str">
        <f>'All Combined Data'!A12</f>
        <v>O1011</v>
      </c>
      <c r="C14" s="2" t="str">
        <f>'All Combined Data'!B12</f>
        <v>C071</v>
      </c>
      <c r="D14" s="2" t="str">
        <f>'All Combined Data'!C12</f>
        <v>P137</v>
      </c>
      <c r="E14" s="14">
        <f>'All Combined Data'!D12</f>
        <v>45726</v>
      </c>
      <c r="F14" s="2">
        <f>'All Combined Data'!E12</f>
        <v>1</v>
      </c>
      <c r="G14" s="2">
        <f>'All Combined Data'!F12</f>
        <v>6443</v>
      </c>
      <c r="H14" s="2">
        <f>'All Combined Data'!G12</f>
        <v>25772</v>
      </c>
      <c r="I14" s="2">
        <f>'All Combined Data'!H12</f>
        <v>0.06</v>
      </c>
      <c r="J14" s="2" t="str">
        <f>'All Combined Data'!I12</f>
        <v>Cash on Delivery</v>
      </c>
      <c r="K14" s="2" t="str">
        <f>'All Combined Data'!J12</f>
        <v>Cancelled</v>
      </c>
      <c r="L14" s="14">
        <f>'All Combined Data'!K12</f>
        <v>45869</v>
      </c>
      <c r="M14" s="2" t="str">
        <f>'All Combined Data'!L12</f>
        <v>No</v>
      </c>
      <c r="N14" s="2">
        <f>'All Combined Data'!M12</f>
        <v>422</v>
      </c>
      <c r="O14" s="2" t="str">
        <f>'All Combined Data'!N12</f>
        <v>Yes</v>
      </c>
      <c r="P14" s="2" t="str">
        <f>'All Combined Data'!O12</f>
        <v>Yes</v>
      </c>
      <c r="Q14" s="2" t="str">
        <f>'All Combined Data'!P12</f>
        <v>C071</v>
      </c>
      <c r="R14" s="2" t="str">
        <f>'All Combined Data'!Q12</f>
        <v>Kai Sant</v>
      </c>
      <c r="S14" s="2" t="str">
        <f>'All Combined Data'!R12</f>
        <v>dashzarna@example.org</v>
      </c>
      <c r="T14" s="2">
        <f>'All Combined Data'!S12</f>
        <v>2253584143</v>
      </c>
      <c r="U14" s="2" t="str">
        <f>'All Combined Data'!T12</f>
        <v>Bangalore</v>
      </c>
      <c r="V14" s="2" t="str">
        <f>'All Combined Data'!U12</f>
        <v>Karnataka</v>
      </c>
      <c r="W14" s="2">
        <f>'All Combined Data'!V12</f>
        <v>249818</v>
      </c>
      <c r="X14" s="2" t="str">
        <f>'All Combined Data'!W12</f>
        <v>Female</v>
      </c>
      <c r="Y14" s="14">
        <f>'All Combined Data'!X12</f>
        <v>37679</v>
      </c>
      <c r="Z14" s="2">
        <f>'All Combined Data'!Y12</f>
        <v>44551</v>
      </c>
      <c r="AA14" s="2" t="str">
        <f>'All Combined Data'!Z12</f>
        <v>Electronics</v>
      </c>
      <c r="AB14" s="2">
        <f>'All Combined Data'!AA12</f>
        <v>9232</v>
      </c>
      <c r="AC14" s="2" t="str">
        <f>'All Combined Data'!AB12</f>
        <v>Single</v>
      </c>
      <c r="AD14" s="2" t="str">
        <f>'All Combined Data'!AC12</f>
        <v>Engineer</v>
      </c>
      <c r="AE14" s="2">
        <f>'All Combined Data'!AD12</f>
        <v>1157269</v>
      </c>
      <c r="AF14" s="2" t="str">
        <f>'All Combined Data'!AE12</f>
        <v>P137</v>
      </c>
      <c r="AG14" s="2" t="str">
        <f>'All Combined Data'!AF12</f>
        <v>Velit TV</v>
      </c>
      <c r="AH14" s="2" t="str">
        <f>'All Combined Data'!AG12</f>
        <v>Grocery</v>
      </c>
      <c r="AI14" s="2" t="str">
        <f>'All Combined Data'!AH12</f>
        <v>Smart</v>
      </c>
      <c r="AJ14" s="2" t="str">
        <f>'All Combined Data'!AI12</f>
        <v>Wable-Munshi</v>
      </c>
      <c r="AK14" s="2">
        <f>'All Combined Data'!AJ12</f>
        <v>6443</v>
      </c>
      <c r="AL14" s="2">
        <f>'All Combined Data'!AK12</f>
        <v>6</v>
      </c>
      <c r="AM14" s="2">
        <f>'All Combined Data'!AL12</f>
        <v>311</v>
      </c>
      <c r="AN14" s="2">
        <f>'All Combined Data'!AM12</f>
        <v>36</v>
      </c>
      <c r="AO14" s="2" t="str">
        <f>'All Combined Data'!AN12</f>
        <v>India</v>
      </c>
      <c r="AP14" s="2" t="str">
        <f>'All Combined Data'!AO12</f>
        <v>Yes</v>
      </c>
      <c r="AQ14" s="2">
        <f>'All Combined Data'!AP12</f>
        <v>3.1</v>
      </c>
      <c r="AR14" s="14">
        <f>'All Combined Data'!AQ12</f>
        <v>45686</v>
      </c>
      <c r="AS14" s="2" t="str">
        <f>'All Combined Data'!AR12</f>
        <v>Yes</v>
      </c>
      <c r="AT14" s="2">
        <f>'All Combined Data'!AS12</f>
        <v>7368</v>
      </c>
      <c r="AU14" s="2">
        <f>'All Combined Data'!AT12</f>
        <v>156</v>
      </c>
      <c r="AV14" s="2">
        <f>'All Combined Data'!AU12</f>
        <v>156</v>
      </c>
      <c r="AW14" s="2" t="str">
        <f>'All Combined Data'!AV12</f>
        <v/>
      </c>
      <c r="AX14" s="2" t="str">
        <f>'All Combined Data'!AW12</f>
        <v/>
      </c>
      <c r="AY14" s="2" t="str">
        <f>'All Combined Data'!AX12</f>
        <v/>
      </c>
      <c r="AZ14" s="2" t="str">
        <f>'All Combined Data'!AY12</f>
        <v/>
      </c>
      <c r="BA14" s="2" t="str">
        <f>'All Combined Data'!AZ12</f>
        <v/>
      </c>
      <c r="BB14" s="2" t="str">
        <f>'All Combined Data'!BA12</f>
        <v/>
      </c>
      <c r="BC14" s="2" t="str">
        <f>'All Combined Data'!BB12</f>
        <v/>
      </c>
      <c r="BD14" s="2" t="str">
        <f>'All Combined Data'!BC12</f>
        <v/>
      </c>
      <c r="BE14" s="2" t="str">
        <f>'All Combined Data'!BD12</f>
        <v/>
      </c>
      <c r="BF14" s="2" t="str">
        <f>'All Combined Data'!BE12</f>
        <v/>
      </c>
      <c r="BG14" s="2" t="str">
        <f>'All Combined Data'!BF12</f>
        <v/>
      </c>
      <c r="BH14" s="2" t="str">
        <f>'All Combined Data'!BG12</f>
        <v/>
      </c>
      <c r="BI14" s="2" t="str">
        <f>'All Combined Data'!BH12</f>
        <v/>
      </c>
      <c r="BJ14" s="2" t="str">
        <f>'All Combined Data'!BI12</f>
        <v/>
      </c>
      <c r="BK14" s="2" t="str">
        <f>'All Combined Data'!BJ12</f>
        <v/>
      </c>
      <c r="BL14" s="2">
        <f>Combined_data[[#This Row],[Quantity]]*Combined_data[[#This Row],[UnitPrice]]</f>
        <v>6443</v>
      </c>
      <c r="BM14" s="2">
        <f>Combined_data[[#This Row],[TotalAmount]]*(100-Combined_data[[#This Row],[DiscountApplied]])/100</f>
        <v>25756.536800000002</v>
      </c>
      <c r="BN14" s="2">
        <f>Combined_data[[#This Row],[Reveune]]-Combined_data[[#This Row],[Final Amount]]</f>
        <v>-19313.536800000002</v>
      </c>
    </row>
    <row r="15" spans="1:66" x14ac:dyDescent="0.3">
      <c r="B15" s="2" t="str">
        <f>'All Combined Data'!A13</f>
        <v>O1012</v>
      </c>
      <c r="C15" s="2" t="str">
        <f>'All Combined Data'!B13</f>
        <v>C013</v>
      </c>
      <c r="D15" s="2" t="str">
        <f>'All Combined Data'!C13</f>
        <v>P151</v>
      </c>
      <c r="E15" s="14">
        <f>'All Combined Data'!D13</f>
        <v>45510</v>
      </c>
      <c r="F15" s="2">
        <f>'All Combined Data'!E13</f>
        <v>3</v>
      </c>
      <c r="G15" s="2">
        <f>'All Combined Data'!F13</f>
        <v>46390</v>
      </c>
      <c r="H15" s="2">
        <f>'All Combined Data'!G13</f>
        <v>139170</v>
      </c>
      <c r="I15" s="2">
        <f>'All Combined Data'!H13</f>
        <v>0.22</v>
      </c>
      <c r="J15" s="2" t="str">
        <f>'All Combined Data'!I13</f>
        <v>Cash on Delivery</v>
      </c>
      <c r="K15" s="2" t="str">
        <f>'All Combined Data'!J13</f>
        <v>Pending</v>
      </c>
      <c r="L15" s="14">
        <f>'All Combined Data'!K13</f>
        <v>45862</v>
      </c>
      <c r="M15" s="2" t="str">
        <f>'All Combined Data'!L13</f>
        <v>Yes</v>
      </c>
      <c r="N15" s="2">
        <f>'All Combined Data'!M13</f>
        <v>101</v>
      </c>
      <c r="O15" s="2" t="str">
        <f>'All Combined Data'!N13</f>
        <v>No</v>
      </c>
      <c r="P15" s="2" t="str">
        <f>'All Combined Data'!O13</f>
        <v>Yes</v>
      </c>
      <c r="Q15" s="2" t="str">
        <f>'All Combined Data'!P13</f>
        <v>C013</v>
      </c>
      <c r="R15" s="2" t="str">
        <f>'All Combined Data'!Q13</f>
        <v>Raksha Mittal</v>
      </c>
      <c r="S15" s="2" t="str">
        <f>'All Combined Data'!R13</f>
        <v>mistryhemang@example.org</v>
      </c>
      <c r="T15" s="2">
        <f>'All Combined Data'!S13</f>
        <v>1182449353</v>
      </c>
      <c r="U15" s="2" t="str">
        <f>'All Combined Data'!T13</f>
        <v>Kolkata</v>
      </c>
      <c r="V15" s="2" t="str">
        <f>'All Combined Data'!U13</f>
        <v>West Bengal</v>
      </c>
      <c r="W15" s="2">
        <f>'All Combined Data'!V13</f>
        <v>874016</v>
      </c>
      <c r="X15" s="2" t="str">
        <f>'All Combined Data'!W13</f>
        <v>Male</v>
      </c>
      <c r="Y15" s="14">
        <f>'All Combined Data'!X13</f>
        <v>28624</v>
      </c>
      <c r="Z15" s="2">
        <f>'All Combined Data'!Y13</f>
        <v>44164</v>
      </c>
      <c r="AA15" s="2" t="str">
        <f>'All Combined Data'!Z13</f>
        <v>Grocery</v>
      </c>
      <c r="AB15" s="2">
        <f>'All Combined Data'!AA13</f>
        <v>6582</v>
      </c>
      <c r="AC15" s="2" t="str">
        <f>'All Combined Data'!AB13</f>
        <v>Married</v>
      </c>
      <c r="AD15" s="2" t="str">
        <f>'All Combined Data'!AC13</f>
        <v>Doctor</v>
      </c>
      <c r="AE15" s="2">
        <f>'All Combined Data'!AD13</f>
        <v>755493</v>
      </c>
      <c r="AF15" s="2" t="str">
        <f>'All Combined Data'!AE13</f>
        <v>P151</v>
      </c>
      <c r="AG15" s="2" t="str">
        <f>'All Combined Data'!AF13</f>
        <v>Dolores Shirt</v>
      </c>
      <c r="AH15" s="2" t="str">
        <f>'All Combined Data'!AG13</f>
        <v>Grocery</v>
      </c>
      <c r="AI15" s="2" t="str">
        <f>'All Combined Data'!AH13</f>
        <v>LED</v>
      </c>
      <c r="AJ15" s="2" t="str">
        <f>'All Combined Data'!AI13</f>
        <v>Tandon-Vaidya</v>
      </c>
      <c r="AK15" s="2">
        <f>'All Combined Data'!AJ13</f>
        <v>46390</v>
      </c>
      <c r="AL15" s="2">
        <f>'All Combined Data'!AK13</f>
        <v>22</v>
      </c>
      <c r="AM15" s="2">
        <f>'All Combined Data'!AL13</f>
        <v>376</v>
      </c>
      <c r="AN15" s="2">
        <f>'All Combined Data'!AM13</f>
        <v>6</v>
      </c>
      <c r="AO15" s="2" t="str">
        <f>'All Combined Data'!AN13</f>
        <v>Vietnam</v>
      </c>
      <c r="AP15" s="2" t="str">
        <f>'All Combined Data'!AO13</f>
        <v>Yes</v>
      </c>
      <c r="AQ15" s="2">
        <f>'All Combined Data'!AP13</f>
        <v>4.5</v>
      </c>
      <c r="AR15" s="14">
        <f>'All Combined Data'!AQ13</f>
        <v>44934</v>
      </c>
      <c r="AS15" s="2" t="str">
        <f>'All Combined Data'!AR13</f>
        <v>Yes</v>
      </c>
      <c r="AT15" s="2">
        <f>'All Combined Data'!AS13</f>
        <v>5382</v>
      </c>
      <c r="AU15" s="2">
        <f>'All Combined Data'!AT13</f>
        <v>117</v>
      </c>
      <c r="AV15" s="2">
        <f>'All Combined Data'!AU13</f>
        <v>117</v>
      </c>
      <c r="AW15" s="2" t="str">
        <f>'All Combined Data'!AV13</f>
        <v/>
      </c>
      <c r="AX15" s="2" t="str">
        <f>'All Combined Data'!AW13</f>
        <v/>
      </c>
      <c r="AY15" s="2" t="str">
        <f>'All Combined Data'!AX13</f>
        <v/>
      </c>
      <c r="AZ15" s="2" t="str">
        <f>'All Combined Data'!AY13</f>
        <v/>
      </c>
      <c r="BA15" s="2" t="str">
        <f>'All Combined Data'!AZ13</f>
        <v/>
      </c>
      <c r="BB15" s="2" t="str">
        <f>'All Combined Data'!BA13</f>
        <v/>
      </c>
      <c r="BC15" s="2" t="str">
        <f>'All Combined Data'!BB13</f>
        <v/>
      </c>
      <c r="BD15" s="2" t="str">
        <f>'All Combined Data'!BC13</f>
        <v/>
      </c>
      <c r="BE15" s="2" t="str">
        <f>'All Combined Data'!BD13</f>
        <v/>
      </c>
      <c r="BF15" s="2" t="str">
        <f>'All Combined Data'!BE13</f>
        <v/>
      </c>
      <c r="BG15" s="2" t="str">
        <f>'All Combined Data'!BF13</f>
        <v/>
      </c>
      <c r="BH15" s="2" t="str">
        <f>'All Combined Data'!BG13</f>
        <v/>
      </c>
      <c r="BI15" s="2" t="str">
        <f>'All Combined Data'!BH13</f>
        <v/>
      </c>
      <c r="BJ15" s="2" t="str">
        <f>'All Combined Data'!BI13</f>
        <v/>
      </c>
      <c r="BK15" s="2" t="str">
        <f>'All Combined Data'!BJ13</f>
        <v/>
      </c>
      <c r="BL15" s="2">
        <f>Combined_data[[#This Row],[Quantity]]*Combined_data[[#This Row],[UnitPrice]]</f>
        <v>139170</v>
      </c>
      <c r="BM15" s="2">
        <f>Combined_data[[#This Row],[TotalAmount]]*(100-Combined_data[[#This Row],[DiscountApplied]])/100</f>
        <v>138863.826</v>
      </c>
      <c r="BN15" s="2">
        <f>Combined_data[[#This Row],[Reveune]]-Combined_data[[#This Row],[Final Amount]]</f>
        <v>306.17399999999907</v>
      </c>
    </row>
    <row r="16" spans="1:66" x14ac:dyDescent="0.3">
      <c r="B16" s="2" t="str">
        <f>'All Combined Data'!A14</f>
        <v>O1013</v>
      </c>
      <c r="C16" s="2" t="str">
        <f>'All Combined Data'!B14</f>
        <v>C006</v>
      </c>
      <c r="D16" s="2" t="str">
        <f>'All Combined Data'!C14</f>
        <v>P105</v>
      </c>
      <c r="E16" s="14">
        <f>'All Combined Data'!D14</f>
        <v>45747</v>
      </c>
      <c r="F16" s="2">
        <f>'All Combined Data'!E14</f>
        <v>2</v>
      </c>
      <c r="G16" s="2">
        <f>'All Combined Data'!F14</f>
        <v>24664</v>
      </c>
      <c r="H16" s="2">
        <f>'All Combined Data'!G14</f>
        <v>73992</v>
      </c>
      <c r="I16" s="2">
        <f>'All Combined Data'!H14</f>
        <v>0.06</v>
      </c>
      <c r="J16" s="2" t="str">
        <f>'All Combined Data'!I14</f>
        <v>Net Banking</v>
      </c>
      <c r="K16" s="2" t="str">
        <f>'All Combined Data'!J14</f>
        <v>Cancelled</v>
      </c>
      <c r="L16" s="14">
        <f>'All Combined Data'!K14</f>
        <v>45859</v>
      </c>
      <c r="M16" s="2" t="str">
        <f>'All Combined Data'!L14</f>
        <v>Yes</v>
      </c>
      <c r="N16" s="2">
        <f>'All Combined Data'!M14</f>
        <v>310</v>
      </c>
      <c r="O16" s="2" t="str">
        <f>'All Combined Data'!N14</f>
        <v>Yes</v>
      </c>
      <c r="P16" s="2" t="str">
        <f>'All Combined Data'!O14</f>
        <v>No</v>
      </c>
      <c r="Q16" s="2" t="str">
        <f>'All Combined Data'!P14</f>
        <v>C006</v>
      </c>
      <c r="R16" s="2" t="str">
        <f>'All Combined Data'!Q14</f>
        <v>Adya Tella</v>
      </c>
      <c r="S16" s="2" t="str">
        <f>'All Combined Data'!R14</f>
        <v>yashicacherian@example.net</v>
      </c>
      <c r="T16" s="2">
        <f>'All Combined Data'!S14</f>
        <v>8932528809</v>
      </c>
      <c r="U16" s="2" t="str">
        <f>'All Combined Data'!T14</f>
        <v>Kolkata</v>
      </c>
      <c r="V16" s="2" t="str">
        <f>'All Combined Data'!U14</f>
        <v>West Bengal</v>
      </c>
      <c r="W16" s="2">
        <f>'All Combined Data'!V14</f>
        <v>701543</v>
      </c>
      <c r="X16" s="2" t="str">
        <f>'All Combined Data'!W14</f>
        <v>Female</v>
      </c>
      <c r="Y16" s="14">
        <f>'All Combined Data'!X14</f>
        <v>23187</v>
      </c>
      <c r="Z16" s="2">
        <f>'All Combined Data'!Y14</f>
        <v>44776</v>
      </c>
      <c r="AA16" s="2" t="str">
        <f>'All Combined Data'!Z14</f>
        <v>Fashion</v>
      </c>
      <c r="AB16" s="2">
        <f>'All Combined Data'!AA14</f>
        <v>811</v>
      </c>
      <c r="AC16" s="2" t="str">
        <f>'All Combined Data'!AB14</f>
        <v>Married</v>
      </c>
      <c r="AD16" s="2" t="str">
        <f>'All Combined Data'!AC14</f>
        <v>Student</v>
      </c>
      <c r="AE16" s="2">
        <f>'All Combined Data'!AD14</f>
        <v>461779</v>
      </c>
      <c r="AF16" s="2" t="str">
        <f>'All Combined Data'!AE14</f>
        <v>P105</v>
      </c>
      <c r="AG16" s="2" t="str">
        <f>'All Combined Data'!AF14</f>
        <v>Sit Washing Machine</v>
      </c>
      <c r="AH16" s="2" t="str">
        <f>'All Combined Data'!AG14</f>
        <v>Grocery</v>
      </c>
      <c r="AI16" s="2" t="str">
        <f>'All Combined Data'!AH14</f>
        <v>Cotton</v>
      </c>
      <c r="AJ16" s="2" t="str">
        <f>'All Combined Data'!AI14</f>
        <v>Narayan-Sarraf</v>
      </c>
      <c r="AK16" s="2">
        <f>'All Combined Data'!AJ14</f>
        <v>24664</v>
      </c>
      <c r="AL16" s="2">
        <f>'All Combined Data'!AK14</f>
        <v>6</v>
      </c>
      <c r="AM16" s="2">
        <f>'All Combined Data'!AL14</f>
        <v>258</v>
      </c>
      <c r="AN16" s="2">
        <f>'All Combined Data'!AM14</f>
        <v>36</v>
      </c>
      <c r="AO16" s="2" t="str">
        <f>'All Combined Data'!AN14</f>
        <v>India</v>
      </c>
      <c r="AP16" s="2" t="str">
        <f>'All Combined Data'!AO14</f>
        <v>Yes</v>
      </c>
      <c r="AQ16" s="2">
        <f>'All Combined Data'!AP14</f>
        <v>3.5</v>
      </c>
      <c r="AR16" s="14">
        <f>'All Combined Data'!AQ14</f>
        <v>45278</v>
      </c>
      <c r="AS16" s="2" t="str">
        <f>'All Combined Data'!AR14</f>
        <v>Yes</v>
      </c>
      <c r="AT16" s="2">
        <f>'All Combined Data'!AS14</f>
        <v>1879</v>
      </c>
      <c r="AU16" s="2">
        <f>'All Combined Data'!AT14</f>
        <v>145</v>
      </c>
      <c r="AV16" s="2">
        <f>'All Combined Data'!AU14</f>
        <v>145</v>
      </c>
      <c r="AW16" s="2" t="str">
        <f>'All Combined Data'!AV14</f>
        <v/>
      </c>
      <c r="AX16" s="2" t="str">
        <f>'All Combined Data'!AW14</f>
        <v/>
      </c>
      <c r="AY16" s="2" t="str">
        <f>'All Combined Data'!AX14</f>
        <v/>
      </c>
      <c r="AZ16" s="2" t="str">
        <f>'All Combined Data'!AY14</f>
        <v/>
      </c>
      <c r="BA16" s="2" t="str">
        <f>'All Combined Data'!AZ14</f>
        <v/>
      </c>
      <c r="BB16" s="2" t="str">
        <f>'All Combined Data'!BA14</f>
        <v/>
      </c>
      <c r="BC16" s="2" t="str">
        <f>'All Combined Data'!BB14</f>
        <v/>
      </c>
      <c r="BD16" s="2" t="str">
        <f>'All Combined Data'!BC14</f>
        <v/>
      </c>
      <c r="BE16" s="2" t="str">
        <f>'All Combined Data'!BD14</f>
        <v/>
      </c>
      <c r="BF16" s="2" t="str">
        <f>'All Combined Data'!BE14</f>
        <v/>
      </c>
      <c r="BG16" s="2" t="str">
        <f>'All Combined Data'!BF14</f>
        <v/>
      </c>
      <c r="BH16" s="2" t="str">
        <f>'All Combined Data'!BG14</f>
        <v/>
      </c>
      <c r="BI16" s="2" t="str">
        <f>'All Combined Data'!BH14</f>
        <v/>
      </c>
      <c r="BJ16" s="2" t="str">
        <f>'All Combined Data'!BI14</f>
        <v/>
      </c>
      <c r="BK16" s="2" t="str">
        <f>'All Combined Data'!BJ14</f>
        <v/>
      </c>
      <c r="BL16" s="2">
        <f>Combined_data[[#This Row],[Quantity]]*Combined_data[[#This Row],[UnitPrice]]</f>
        <v>49328</v>
      </c>
      <c r="BM16" s="2">
        <f>Combined_data[[#This Row],[TotalAmount]]*(100-Combined_data[[#This Row],[DiscountApplied]])/100</f>
        <v>73947.604800000001</v>
      </c>
      <c r="BN16" s="2">
        <f>Combined_data[[#This Row],[Reveune]]-Combined_data[[#This Row],[Final Amount]]</f>
        <v>-24619.604800000001</v>
      </c>
    </row>
    <row r="17" spans="2:66" x14ac:dyDescent="0.3">
      <c r="B17" s="2" t="str">
        <f>'All Combined Data'!A15</f>
        <v>O1014</v>
      </c>
      <c r="C17" s="2" t="str">
        <f>'All Combined Data'!B15</f>
        <v>C079</v>
      </c>
      <c r="D17" s="2" t="str">
        <f>'All Combined Data'!C15</f>
        <v>P141</v>
      </c>
      <c r="E17" s="14">
        <f>'All Combined Data'!D15</f>
        <v>45535</v>
      </c>
      <c r="F17" s="2">
        <f>'All Combined Data'!E15</f>
        <v>2</v>
      </c>
      <c r="G17" s="2">
        <f>'All Combined Data'!F15</f>
        <v>74500</v>
      </c>
      <c r="H17" s="2">
        <f>'All Combined Data'!G15</f>
        <v>298000</v>
      </c>
      <c r="I17" s="2">
        <f>'All Combined Data'!H15</f>
        <v>0.11</v>
      </c>
      <c r="J17" s="2" t="str">
        <f>'All Combined Data'!I15</f>
        <v>Cash on Delivery</v>
      </c>
      <c r="K17" s="2" t="str">
        <f>'All Combined Data'!J15</f>
        <v>Pending</v>
      </c>
      <c r="L17" s="14">
        <f>'All Combined Data'!K15</f>
        <v>45855</v>
      </c>
      <c r="M17" s="2" t="str">
        <f>'All Combined Data'!L15</f>
        <v>No</v>
      </c>
      <c r="N17" s="2">
        <f>'All Combined Data'!M15</f>
        <v>259</v>
      </c>
      <c r="O17" s="2" t="str">
        <f>'All Combined Data'!N15</f>
        <v>No</v>
      </c>
      <c r="P17" s="2" t="str">
        <f>'All Combined Data'!O15</f>
        <v>No</v>
      </c>
      <c r="Q17" s="2" t="str">
        <f>'All Combined Data'!P15</f>
        <v>C079</v>
      </c>
      <c r="R17" s="2" t="str">
        <f>'All Combined Data'!Q15</f>
        <v>Vanya Vora</v>
      </c>
      <c r="S17" s="2" t="str">
        <f>'All Combined Data'!R15</f>
        <v>lmurthy@example.com</v>
      </c>
      <c r="T17" s="2">
        <f>'All Combined Data'!S15</f>
        <v>5854973348</v>
      </c>
      <c r="U17" s="2" t="str">
        <f>'All Combined Data'!T15</f>
        <v>Ahmedabad</v>
      </c>
      <c r="V17" s="2" t="str">
        <f>'All Combined Data'!U15</f>
        <v>Gujarat</v>
      </c>
      <c r="W17" s="2">
        <f>'All Combined Data'!V15</f>
        <v>344375</v>
      </c>
      <c r="X17" s="2" t="str">
        <f>'All Combined Data'!W15</f>
        <v>Male</v>
      </c>
      <c r="Y17" s="14">
        <f>'All Combined Data'!X15</f>
        <v>33673</v>
      </c>
      <c r="Z17" s="2">
        <f>'All Combined Data'!Y15</f>
        <v>45111</v>
      </c>
      <c r="AA17" s="2" t="str">
        <f>'All Combined Data'!Z15</f>
        <v>Fashion</v>
      </c>
      <c r="AB17" s="2">
        <f>'All Combined Data'!AA15</f>
        <v>4992</v>
      </c>
      <c r="AC17" s="2" t="str">
        <f>'All Combined Data'!AB15</f>
        <v>Married</v>
      </c>
      <c r="AD17" s="2" t="str">
        <f>'All Combined Data'!AC15</f>
        <v>Business</v>
      </c>
      <c r="AE17" s="2">
        <f>'All Combined Data'!AD15</f>
        <v>1328730</v>
      </c>
      <c r="AF17" s="2" t="str">
        <f>'All Combined Data'!AE15</f>
        <v>P141</v>
      </c>
      <c r="AG17" s="2" t="str">
        <f>'All Combined Data'!AF15</f>
        <v>Cum Shirt</v>
      </c>
      <c r="AH17" s="2" t="str">
        <f>'All Combined Data'!AG15</f>
        <v>Fashion</v>
      </c>
      <c r="AI17" s="2" t="str">
        <f>'All Combined Data'!AH15</f>
        <v>Smart</v>
      </c>
      <c r="AJ17" s="2" t="str">
        <f>'All Combined Data'!AI15</f>
        <v>Prakash Ltd</v>
      </c>
      <c r="AK17" s="2">
        <f>'All Combined Data'!AJ15</f>
        <v>74500</v>
      </c>
      <c r="AL17" s="2">
        <f>'All Combined Data'!AK15</f>
        <v>11</v>
      </c>
      <c r="AM17" s="2">
        <f>'All Combined Data'!AL15</f>
        <v>70</v>
      </c>
      <c r="AN17" s="2">
        <f>'All Combined Data'!AM15</f>
        <v>12</v>
      </c>
      <c r="AO17" s="2" t="str">
        <f>'All Combined Data'!AN15</f>
        <v>China</v>
      </c>
      <c r="AP17" s="2" t="str">
        <f>'All Combined Data'!AO15</f>
        <v>Yes</v>
      </c>
      <c r="AQ17" s="2">
        <f>'All Combined Data'!AP15</f>
        <v>3.3</v>
      </c>
      <c r="AR17" s="14">
        <f>'All Combined Data'!AQ15</f>
        <v>44978</v>
      </c>
      <c r="AS17" s="2" t="str">
        <f>'All Combined Data'!AR15</f>
        <v>Yes</v>
      </c>
      <c r="AT17" s="2">
        <f>'All Combined Data'!AS15</f>
        <v>1047</v>
      </c>
      <c r="AU17" s="2">
        <f>'All Combined Data'!AT15</f>
        <v>87</v>
      </c>
      <c r="AV17" s="2">
        <f>'All Combined Data'!AU15</f>
        <v>87</v>
      </c>
      <c r="AW17" s="2" t="str">
        <f>'All Combined Data'!AV15</f>
        <v>S087</v>
      </c>
      <c r="AX17" s="2" t="str">
        <f>'All Combined Data'!AW15</f>
        <v>Bakshi, Subramanian and Tella Mart</v>
      </c>
      <c r="AY17" s="2" t="str">
        <f>'All Combined Data'!AX15</f>
        <v>Lucknow</v>
      </c>
      <c r="AZ17" s="2" t="str">
        <f>'All Combined Data'!AY15</f>
        <v>Uttar Pradesh</v>
      </c>
      <c r="BA17" s="2">
        <f>'All Combined Data'!AZ15</f>
        <v>357845</v>
      </c>
      <c r="BB17" s="2" t="str">
        <f>'All Combined Data'!BA15</f>
        <v>Guneet Varty</v>
      </c>
      <c r="BC17" s="2">
        <f>'All Combined Data'!BB15</f>
        <v>2015</v>
      </c>
      <c r="BD17" s="2">
        <f>'All Combined Data'!BC15</f>
        <v>95</v>
      </c>
      <c r="BE17" s="2">
        <f>'All Combined Data'!BD15</f>
        <v>2015</v>
      </c>
      <c r="BF17" s="2">
        <f>'All Combined Data'!BE15</f>
        <v>3.9</v>
      </c>
      <c r="BG17" s="2" t="str">
        <f>'All Combined Data'!BF15</f>
        <v>Yes</v>
      </c>
      <c r="BH17" s="2">
        <f>'All Combined Data'!BG15</f>
        <v>4056</v>
      </c>
      <c r="BI17" s="2" t="str">
        <f>'All Combined Data'!BH15</f>
        <v>Retail</v>
      </c>
      <c r="BJ17" s="2">
        <f>'All Combined Data'!BI15</f>
        <v>2307681040</v>
      </c>
      <c r="BK17" s="2" t="str">
        <f>'All Combined Data'!BJ15</f>
        <v>nathunni@chauhan.com</v>
      </c>
      <c r="BL17" s="2">
        <f>Combined_data[[#This Row],[Quantity]]*Combined_data[[#This Row],[UnitPrice]]</f>
        <v>149000</v>
      </c>
      <c r="BM17" s="2">
        <f>Combined_data[[#This Row],[TotalAmount]]*(100-Combined_data[[#This Row],[DiscountApplied]])/100</f>
        <v>297672.2</v>
      </c>
      <c r="BN17" s="2">
        <f>Combined_data[[#This Row],[Reveune]]-Combined_data[[#This Row],[Final Amount]]</f>
        <v>-148672.20000000001</v>
      </c>
    </row>
    <row r="18" spans="2:66" x14ac:dyDescent="0.3">
      <c r="B18" s="2" t="str">
        <f>'All Combined Data'!A16</f>
        <v>O1015</v>
      </c>
      <c r="C18" s="2" t="str">
        <f>'All Combined Data'!B16</f>
        <v>C061</v>
      </c>
      <c r="D18" s="2" t="str">
        <f>'All Combined Data'!C16</f>
        <v>P103</v>
      </c>
      <c r="E18" s="14">
        <f>'All Combined Data'!D16</f>
        <v>45763</v>
      </c>
      <c r="F18" s="2">
        <f>'All Combined Data'!E16</f>
        <v>3</v>
      </c>
      <c r="G18" s="2">
        <f>'All Combined Data'!F16</f>
        <v>39329</v>
      </c>
      <c r="H18" s="2">
        <f>'All Combined Data'!G16</f>
        <v>117987</v>
      </c>
      <c r="I18" s="2">
        <f>'All Combined Data'!H16</f>
        <v>0.12</v>
      </c>
      <c r="J18" s="2" t="str">
        <f>'All Combined Data'!I16</f>
        <v>Credit Card</v>
      </c>
      <c r="K18" s="2" t="str">
        <f>'All Combined Data'!J16</f>
        <v>Cancelled</v>
      </c>
      <c r="L18" s="14">
        <f>'All Combined Data'!K16</f>
        <v>45858</v>
      </c>
      <c r="M18" s="2" t="str">
        <f>'All Combined Data'!L16</f>
        <v>No</v>
      </c>
      <c r="N18" s="2">
        <f>'All Combined Data'!M16</f>
        <v>407</v>
      </c>
      <c r="O18" s="2" t="str">
        <f>'All Combined Data'!N16</f>
        <v>Yes</v>
      </c>
      <c r="P18" s="2" t="str">
        <f>'All Combined Data'!O16</f>
        <v>No</v>
      </c>
      <c r="Q18" s="2" t="str">
        <f>'All Combined Data'!P16</f>
        <v>C061</v>
      </c>
      <c r="R18" s="2" t="str">
        <f>'All Combined Data'!Q16</f>
        <v>Charles Srivastava</v>
      </c>
      <c r="S18" s="2" t="str">
        <f>'All Combined Data'!R16</f>
        <v>harshil81@example.com</v>
      </c>
      <c r="T18" s="2">
        <f>'All Combined Data'!S16</f>
        <v>912478261375</v>
      </c>
      <c r="U18" s="2" t="str">
        <f>'All Combined Data'!T16</f>
        <v>Jaipur</v>
      </c>
      <c r="V18" s="2" t="str">
        <f>'All Combined Data'!U16</f>
        <v>Rajasthan</v>
      </c>
      <c r="W18" s="2">
        <f>'All Combined Data'!V16</f>
        <v>606853</v>
      </c>
      <c r="X18" s="2" t="str">
        <f>'All Combined Data'!W16</f>
        <v>Male</v>
      </c>
      <c r="Y18" s="14">
        <f>'All Combined Data'!X16</f>
        <v>31346</v>
      </c>
      <c r="Z18" s="2">
        <f>'All Combined Data'!Y16</f>
        <v>44281</v>
      </c>
      <c r="AA18" s="2" t="str">
        <f>'All Combined Data'!Z16</f>
        <v>Home Appliance</v>
      </c>
      <c r="AB18" s="2">
        <f>'All Combined Data'!AA16</f>
        <v>6067</v>
      </c>
      <c r="AC18" s="2" t="str">
        <f>'All Combined Data'!AB16</f>
        <v>Married</v>
      </c>
      <c r="AD18" s="2" t="str">
        <f>'All Combined Data'!AC16</f>
        <v>Engineer</v>
      </c>
      <c r="AE18" s="2">
        <f>'All Combined Data'!AD16</f>
        <v>1593007</v>
      </c>
      <c r="AF18" s="2" t="str">
        <f>'All Combined Data'!AE16</f>
        <v>P103</v>
      </c>
      <c r="AG18" s="2" t="str">
        <f>'All Combined Data'!AF16</f>
        <v>Expedita TV</v>
      </c>
      <c r="AH18" s="2" t="str">
        <f>'All Combined Data'!AG16</f>
        <v>Fashion</v>
      </c>
      <c r="AI18" s="2" t="str">
        <f>'All Combined Data'!AH16</f>
        <v>Smart</v>
      </c>
      <c r="AJ18" s="2" t="str">
        <f>'All Combined Data'!AI16</f>
        <v>Tandon, Hayre and Shankar</v>
      </c>
      <c r="AK18" s="2">
        <f>'All Combined Data'!AJ16</f>
        <v>39329</v>
      </c>
      <c r="AL18" s="2">
        <f>'All Combined Data'!AK16</f>
        <v>12</v>
      </c>
      <c r="AM18" s="2">
        <f>'All Combined Data'!AL16</f>
        <v>369</v>
      </c>
      <c r="AN18" s="2">
        <f>'All Combined Data'!AM16</f>
        <v>12</v>
      </c>
      <c r="AO18" s="2" t="str">
        <f>'All Combined Data'!AN16</f>
        <v>Vietnam</v>
      </c>
      <c r="AP18" s="2" t="str">
        <f>'All Combined Data'!AO16</f>
        <v>Yes</v>
      </c>
      <c r="AQ18" s="2">
        <f>'All Combined Data'!AP16</f>
        <v>4.3</v>
      </c>
      <c r="AR18" s="14">
        <f>'All Combined Data'!AQ16</f>
        <v>44925</v>
      </c>
      <c r="AS18" s="2" t="str">
        <f>'All Combined Data'!AR16</f>
        <v>Yes</v>
      </c>
      <c r="AT18" s="2">
        <f>'All Combined Data'!AS16</f>
        <v>5495</v>
      </c>
      <c r="AU18" s="2">
        <f>'All Combined Data'!AT16</f>
        <v>42</v>
      </c>
      <c r="AV18" s="2">
        <f>'All Combined Data'!AU16</f>
        <v>42</v>
      </c>
      <c r="AW18" s="2" t="str">
        <f>'All Combined Data'!AV16</f>
        <v>S042</v>
      </c>
      <c r="AX18" s="2" t="str">
        <f>'All Combined Data'!AW16</f>
        <v>Lalla LLC Mart</v>
      </c>
      <c r="AY18" s="2" t="str">
        <f>'All Combined Data'!AX16</f>
        <v>Bangalore</v>
      </c>
      <c r="AZ18" s="2" t="str">
        <f>'All Combined Data'!AY16</f>
        <v>Karnataka</v>
      </c>
      <c r="BA18" s="2">
        <f>'All Combined Data'!AZ16</f>
        <v>38567</v>
      </c>
      <c r="BB18" s="2" t="str">
        <f>'All Combined Data'!BA16</f>
        <v>Chakradhar Baral</v>
      </c>
      <c r="BC18" s="2">
        <f>'All Combined Data'!BB16</f>
        <v>2005</v>
      </c>
      <c r="BD18" s="2">
        <f>'All Combined Data'!BC16</f>
        <v>9</v>
      </c>
      <c r="BE18" s="2">
        <f>'All Combined Data'!BD16</f>
        <v>19116</v>
      </c>
      <c r="BF18" s="2">
        <f>'All Combined Data'!BE16</f>
        <v>4.5999999999999996</v>
      </c>
      <c r="BG18" s="2" t="str">
        <f>'All Combined Data'!BF16</f>
        <v>No</v>
      </c>
      <c r="BH18" s="2">
        <f>'All Combined Data'!BG16</f>
        <v>2339</v>
      </c>
      <c r="BI18" s="2" t="str">
        <f>'All Combined Data'!BH16</f>
        <v>Franchise</v>
      </c>
      <c r="BJ18" s="2">
        <f>'All Combined Data'!BI16</f>
        <v>5184498926</v>
      </c>
      <c r="BK18" s="2" t="str">
        <f>'All Combined Data'!BJ16</f>
        <v>lpau@brahmbhatt.biz</v>
      </c>
      <c r="BL18" s="2">
        <f>Combined_data[[#This Row],[Quantity]]*Combined_data[[#This Row],[UnitPrice]]</f>
        <v>117987</v>
      </c>
      <c r="BM18" s="2">
        <f>Combined_data[[#This Row],[TotalAmount]]*(100-Combined_data[[#This Row],[DiscountApplied]])/100</f>
        <v>117845.41559999999</v>
      </c>
      <c r="BN18" s="2">
        <f>Combined_data[[#This Row],[Reveune]]-Combined_data[[#This Row],[Final Amount]]</f>
        <v>141.58440000000701</v>
      </c>
    </row>
    <row r="19" spans="2:66" x14ac:dyDescent="0.3">
      <c r="B19" s="2" t="str">
        <f>'All Combined Data'!A17</f>
        <v>O1016</v>
      </c>
      <c r="C19" s="2" t="str">
        <f>'All Combined Data'!B17</f>
        <v>C034</v>
      </c>
      <c r="D19" s="2" t="str">
        <f>'All Combined Data'!C17</f>
        <v>P184</v>
      </c>
      <c r="E19" s="14">
        <f>'All Combined Data'!D17</f>
        <v>45761</v>
      </c>
      <c r="F19" s="2">
        <f>'All Combined Data'!E17</f>
        <v>5</v>
      </c>
      <c r="G19" s="2">
        <f>'All Combined Data'!F17</f>
        <v>72067</v>
      </c>
      <c r="H19" s="2">
        <f>'All Combined Data'!G17</f>
        <v>360335</v>
      </c>
      <c r="I19" s="2">
        <f>'All Combined Data'!H17</f>
        <v>0.15</v>
      </c>
      <c r="J19" s="2" t="str">
        <f>'All Combined Data'!I17</f>
        <v>Debit Card</v>
      </c>
      <c r="K19" s="2" t="str">
        <f>'All Combined Data'!J17</f>
        <v>Delivered</v>
      </c>
      <c r="L19" s="14">
        <f>'All Combined Data'!K17</f>
        <v>45855</v>
      </c>
      <c r="M19" s="2" t="str">
        <f>'All Combined Data'!L17</f>
        <v>No</v>
      </c>
      <c r="N19" s="2">
        <f>'All Combined Data'!M17</f>
        <v>87</v>
      </c>
      <c r="O19" s="2" t="str">
        <f>'All Combined Data'!N17</f>
        <v>No</v>
      </c>
      <c r="P19" s="2" t="str">
        <f>'All Combined Data'!O17</f>
        <v>Yes</v>
      </c>
      <c r="Q19" s="2" t="str">
        <f>'All Combined Data'!P17</f>
        <v>C034</v>
      </c>
      <c r="R19" s="2" t="str">
        <f>'All Combined Data'!Q17</f>
        <v>Nandini Bansal</v>
      </c>
      <c r="S19" s="2" t="str">
        <f>'All Combined Data'!R17</f>
        <v>uchakrabarti@example.com</v>
      </c>
      <c r="T19" s="2">
        <f>'All Combined Data'!S17</f>
        <v>1680876038</v>
      </c>
      <c r="U19" s="2" t="str">
        <f>'All Combined Data'!T17</f>
        <v>Pune</v>
      </c>
      <c r="V19" s="2" t="str">
        <f>'All Combined Data'!U17</f>
        <v>Maharashtra</v>
      </c>
      <c r="W19" s="2">
        <f>'All Combined Data'!V17</f>
        <v>977034</v>
      </c>
      <c r="X19" s="2" t="str">
        <f>'All Combined Data'!W17</f>
        <v>Male</v>
      </c>
      <c r="Y19" s="14">
        <f>'All Combined Data'!X17</f>
        <v>35398</v>
      </c>
      <c r="Z19" s="2">
        <f>'All Combined Data'!Y17</f>
        <v>44435</v>
      </c>
      <c r="AA19" s="2" t="str">
        <f>'All Combined Data'!Z17</f>
        <v>Electronics</v>
      </c>
      <c r="AB19" s="2">
        <f>'All Combined Data'!AA17</f>
        <v>3972</v>
      </c>
      <c r="AC19" s="2" t="str">
        <f>'All Combined Data'!AB17</f>
        <v>Single</v>
      </c>
      <c r="AD19" s="2" t="str">
        <f>'All Combined Data'!AC17</f>
        <v>Business</v>
      </c>
      <c r="AE19" s="2">
        <f>'All Combined Data'!AD17</f>
        <v>1218463</v>
      </c>
      <c r="AF19" s="2" t="str">
        <f>'All Combined Data'!AE17</f>
        <v>P184</v>
      </c>
      <c r="AG19" s="2" t="str">
        <f>'All Combined Data'!AF17</f>
        <v>Veritatis TV</v>
      </c>
      <c r="AH19" s="2" t="str">
        <f>'All Combined Data'!AG17</f>
        <v>Home Appliance</v>
      </c>
      <c r="AI19" s="2" t="str">
        <f>'All Combined Data'!AH17</f>
        <v>Cotton</v>
      </c>
      <c r="AJ19" s="2" t="str">
        <f>'All Combined Data'!AI17</f>
        <v>Biswas PLC</v>
      </c>
      <c r="AK19" s="2">
        <f>'All Combined Data'!AJ17</f>
        <v>72067</v>
      </c>
      <c r="AL19" s="2">
        <f>'All Combined Data'!AK17</f>
        <v>15</v>
      </c>
      <c r="AM19" s="2">
        <f>'All Combined Data'!AL17</f>
        <v>833</v>
      </c>
      <c r="AN19" s="2">
        <f>'All Combined Data'!AM17</f>
        <v>12</v>
      </c>
      <c r="AO19" s="2" t="str">
        <f>'All Combined Data'!AN17</f>
        <v>Japan</v>
      </c>
      <c r="AP19" s="2" t="str">
        <f>'All Combined Data'!AO17</f>
        <v>No</v>
      </c>
      <c r="AQ19" s="2">
        <f>'All Combined Data'!AP17</f>
        <v>4.0999999999999996</v>
      </c>
      <c r="AR19" s="14">
        <f>'All Combined Data'!AQ17</f>
        <v>45634</v>
      </c>
      <c r="AS19" s="2" t="str">
        <f>'All Combined Data'!AR17</f>
        <v>Yes</v>
      </c>
      <c r="AT19" s="2">
        <f>'All Combined Data'!AS17</f>
        <v>2034</v>
      </c>
      <c r="AU19" s="2">
        <f>'All Combined Data'!AT17</f>
        <v>171</v>
      </c>
      <c r="AV19" s="2">
        <f>'All Combined Data'!AU17</f>
        <v>171</v>
      </c>
      <c r="AW19" s="2" t="str">
        <f>'All Combined Data'!AV17</f>
        <v/>
      </c>
      <c r="AX19" s="2" t="str">
        <f>'All Combined Data'!AW17</f>
        <v/>
      </c>
      <c r="AY19" s="2" t="str">
        <f>'All Combined Data'!AX17</f>
        <v/>
      </c>
      <c r="AZ19" s="2" t="str">
        <f>'All Combined Data'!AY17</f>
        <v/>
      </c>
      <c r="BA19" s="2" t="str">
        <f>'All Combined Data'!AZ17</f>
        <v/>
      </c>
      <c r="BB19" s="2" t="str">
        <f>'All Combined Data'!BA17</f>
        <v/>
      </c>
      <c r="BC19" s="2" t="str">
        <f>'All Combined Data'!BB17</f>
        <v/>
      </c>
      <c r="BD19" s="2" t="str">
        <f>'All Combined Data'!BC17</f>
        <v/>
      </c>
      <c r="BE19" s="2" t="str">
        <f>'All Combined Data'!BD17</f>
        <v/>
      </c>
      <c r="BF19" s="2" t="str">
        <f>'All Combined Data'!BE17</f>
        <v/>
      </c>
      <c r="BG19" s="2" t="str">
        <f>'All Combined Data'!BF17</f>
        <v/>
      </c>
      <c r="BH19" s="2" t="str">
        <f>'All Combined Data'!BG17</f>
        <v/>
      </c>
      <c r="BI19" s="2" t="str">
        <f>'All Combined Data'!BH17</f>
        <v/>
      </c>
      <c r="BJ19" s="2" t="str">
        <f>'All Combined Data'!BI17</f>
        <v/>
      </c>
      <c r="BK19" s="2" t="str">
        <f>'All Combined Data'!BJ17</f>
        <v/>
      </c>
      <c r="BL19" s="2">
        <f>Combined_data[[#This Row],[Quantity]]*Combined_data[[#This Row],[UnitPrice]]</f>
        <v>360335</v>
      </c>
      <c r="BM19" s="2">
        <f>Combined_data[[#This Row],[TotalAmount]]*(100-Combined_data[[#This Row],[DiscountApplied]])/100</f>
        <v>359794.4975</v>
      </c>
      <c r="BN19" s="2">
        <f>Combined_data[[#This Row],[Reveune]]-Combined_data[[#This Row],[Final Amount]]</f>
        <v>540.50250000000233</v>
      </c>
    </row>
    <row r="20" spans="2:66" x14ac:dyDescent="0.3">
      <c r="B20" s="2" t="str">
        <f>'All Combined Data'!A18</f>
        <v>O1017</v>
      </c>
      <c r="C20" s="2" t="str">
        <f>'All Combined Data'!B18</f>
        <v>C088</v>
      </c>
      <c r="D20" s="2" t="str">
        <f>'All Combined Data'!C18</f>
        <v>P132</v>
      </c>
      <c r="E20" s="14">
        <f>'All Combined Data'!D18</f>
        <v>45552</v>
      </c>
      <c r="F20" s="2">
        <f>'All Combined Data'!E18</f>
        <v>1</v>
      </c>
      <c r="G20" s="2">
        <f>'All Combined Data'!F18</f>
        <v>89335</v>
      </c>
      <c r="H20" s="2">
        <f>'All Combined Data'!G18</f>
        <v>446675</v>
      </c>
      <c r="I20" s="2">
        <f>'All Combined Data'!H18</f>
        <v>0.28999999999999998</v>
      </c>
      <c r="J20" s="2" t="str">
        <f>'All Combined Data'!I18</f>
        <v>Credit Card</v>
      </c>
      <c r="K20" s="2" t="str">
        <f>'All Combined Data'!J18</f>
        <v>Shipped</v>
      </c>
      <c r="L20" s="14">
        <f>'All Combined Data'!K18</f>
        <v>45867</v>
      </c>
      <c r="M20" s="2" t="str">
        <f>'All Combined Data'!L18</f>
        <v>Yes</v>
      </c>
      <c r="N20" s="2">
        <f>'All Combined Data'!M18</f>
        <v>225</v>
      </c>
      <c r="O20" s="2" t="str">
        <f>'All Combined Data'!N18</f>
        <v>No</v>
      </c>
      <c r="P20" s="2" t="str">
        <f>'All Combined Data'!O18</f>
        <v>No</v>
      </c>
      <c r="Q20" s="2" t="str">
        <f>'All Combined Data'!P18</f>
        <v>C088</v>
      </c>
      <c r="R20" s="2" t="str">
        <f>'All Combined Data'!Q18</f>
        <v>Ubika Samra</v>
      </c>
      <c r="S20" s="2" t="str">
        <f>'All Combined Data'!R18</f>
        <v>pkarpe@example.com</v>
      </c>
      <c r="T20" s="2">
        <f>'All Combined Data'!S18</f>
        <v>2431069033</v>
      </c>
      <c r="U20" s="2" t="str">
        <f>'All Combined Data'!T18</f>
        <v>Hyderabad</v>
      </c>
      <c r="V20" s="2" t="str">
        <f>'All Combined Data'!U18</f>
        <v>Telangana</v>
      </c>
      <c r="W20" s="2">
        <f>'All Combined Data'!V18</f>
        <v>190790</v>
      </c>
      <c r="X20" s="2" t="str">
        <f>'All Combined Data'!W18</f>
        <v>Female</v>
      </c>
      <c r="Y20" s="14">
        <f>'All Combined Data'!X18</f>
        <v>27830</v>
      </c>
      <c r="Z20" s="2">
        <f>'All Combined Data'!Y18</f>
        <v>44165</v>
      </c>
      <c r="AA20" s="2" t="str">
        <f>'All Combined Data'!Z18</f>
        <v>Fashion</v>
      </c>
      <c r="AB20" s="2">
        <f>'All Combined Data'!AA18</f>
        <v>6143</v>
      </c>
      <c r="AC20" s="2" t="str">
        <f>'All Combined Data'!AB18</f>
        <v>Single</v>
      </c>
      <c r="AD20" s="2" t="str">
        <f>'All Combined Data'!AC18</f>
        <v>Student</v>
      </c>
      <c r="AE20" s="2">
        <f>'All Combined Data'!AD18</f>
        <v>1473490</v>
      </c>
      <c r="AF20" s="2" t="str">
        <f>'All Combined Data'!AE18</f>
        <v>P132</v>
      </c>
      <c r="AG20" s="2" t="str">
        <f>'All Combined Data'!AF18</f>
        <v>Ea Rice</v>
      </c>
      <c r="AH20" s="2" t="str">
        <f>'All Combined Data'!AG18</f>
        <v>Home Appliance</v>
      </c>
      <c r="AI20" s="2" t="str">
        <f>'All Combined Data'!AH18</f>
        <v>Cotton</v>
      </c>
      <c r="AJ20" s="2" t="str">
        <f>'All Combined Data'!AI18</f>
        <v>Sankaran, Randhawa and Balakrishnan</v>
      </c>
      <c r="AK20" s="2">
        <f>'All Combined Data'!AJ18</f>
        <v>89335</v>
      </c>
      <c r="AL20" s="2">
        <f>'All Combined Data'!AK18</f>
        <v>29</v>
      </c>
      <c r="AM20" s="2">
        <f>'All Combined Data'!AL18</f>
        <v>738</v>
      </c>
      <c r="AN20" s="2">
        <f>'All Combined Data'!AM18</f>
        <v>12</v>
      </c>
      <c r="AO20" s="2" t="str">
        <f>'All Combined Data'!AN18</f>
        <v>India</v>
      </c>
      <c r="AP20" s="2" t="str">
        <f>'All Combined Data'!AO18</f>
        <v>Yes</v>
      </c>
      <c r="AQ20" s="2">
        <f>'All Combined Data'!AP18</f>
        <v>3.3</v>
      </c>
      <c r="AR20" s="14">
        <f>'All Combined Data'!AQ18</f>
        <v>45712</v>
      </c>
      <c r="AS20" s="2" t="str">
        <f>'All Combined Data'!AR18</f>
        <v>No</v>
      </c>
      <c r="AT20" s="2">
        <f>'All Combined Data'!AS18</f>
        <v>1547</v>
      </c>
      <c r="AU20" s="2">
        <f>'All Combined Data'!AT18</f>
        <v>163</v>
      </c>
      <c r="AV20" s="2">
        <f>'All Combined Data'!AU18</f>
        <v>163</v>
      </c>
      <c r="AW20" s="2" t="str">
        <f>'All Combined Data'!AV18</f>
        <v/>
      </c>
      <c r="AX20" s="2" t="str">
        <f>'All Combined Data'!AW18</f>
        <v/>
      </c>
      <c r="AY20" s="2" t="str">
        <f>'All Combined Data'!AX18</f>
        <v/>
      </c>
      <c r="AZ20" s="2" t="str">
        <f>'All Combined Data'!AY18</f>
        <v/>
      </c>
      <c r="BA20" s="2" t="str">
        <f>'All Combined Data'!AZ18</f>
        <v/>
      </c>
      <c r="BB20" s="2" t="str">
        <f>'All Combined Data'!BA18</f>
        <v/>
      </c>
      <c r="BC20" s="2" t="str">
        <f>'All Combined Data'!BB18</f>
        <v/>
      </c>
      <c r="BD20" s="2" t="str">
        <f>'All Combined Data'!BC18</f>
        <v/>
      </c>
      <c r="BE20" s="2" t="str">
        <f>'All Combined Data'!BD18</f>
        <v/>
      </c>
      <c r="BF20" s="2" t="str">
        <f>'All Combined Data'!BE18</f>
        <v/>
      </c>
      <c r="BG20" s="2" t="str">
        <f>'All Combined Data'!BF18</f>
        <v/>
      </c>
      <c r="BH20" s="2" t="str">
        <f>'All Combined Data'!BG18</f>
        <v/>
      </c>
      <c r="BI20" s="2" t="str">
        <f>'All Combined Data'!BH18</f>
        <v/>
      </c>
      <c r="BJ20" s="2" t="str">
        <f>'All Combined Data'!BI18</f>
        <v/>
      </c>
      <c r="BK20" s="2" t="str">
        <f>'All Combined Data'!BJ18</f>
        <v/>
      </c>
      <c r="BL20" s="2">
        <f>Combined_data[[#This Row],[Quantity]]*Combined_data[[#This Row],[UnitPrice]]</f>
        <v>89335</v>
      </c>
      <c r="BM20" s="2">
        <f>Combined_data[[#This Row],[TotalAmount]]*(100-Combined_data[[#This Row],[DiscountApplied]])/100</f>
        <v>445379.64250000002</v>
      </c>
      <c r="BN20" s="2">
        <f>Combined_data[[#This Row],[Reveune]]-Combined_data[[#This Row],[Final Amount]]</f>
        <v>-356044.64250000002</v>
      </c>
    </row>
    <row r="21" spans="2:66" x14ac:dyDescent="0.3">
      <c r="B21" s="2" t="str">
        <f>'All Combined Data'!A19</f>
        <v>O1018</v>
      </c>
      <c r="C21" s="2" t="str">
        <f>'All Combined Data'!B19</f>
        <v>C020</v>
      </c>
      <c r="D21" s="2" t="str">
        <f>'All Combined Data'!C19</f>
        <v>P153</v>
      </c>
      <c r="E21" s="14">
        <f>'All Combined Data'!D19</f>
        <v>45623</v>
      </c>
      <c r="F21" s="2">
        <f>'All Combined Data'!E19</f>
        <v>2</v>
      </c>
      <c r="G21" s="2">
        <f>'All Combined Data'!F19</f>
        <v>83491</v>
      </c>
      <c r="H21" s="2">
        <f>'All Combined Data'!G19</f>
        <v>333964</v>
      </c>
      <c r="I21" s="2">
        <f>'All Combined Data'!H19</f>
        <v>0.05</v>
      </c>
      <c r="J21" s="2" t="str">
        <f>'All Combined Data'!I19</f>
        <v>Cash on Delivery</v>
      </c>
      <c r="K21" s="2" t="str">
        <f>'All Combined Data'!J19</f>
        <v>Cancelled</v>
      </c>
      <c r="L21" s="14">
        <f>'All Combined Data'!K19</f>
        <v>45867</v>
      </c>
      <c r="M21" s="2" t="str">
        <f>'All Combined Data'!L19</f>
        <v>Yes</v>
      </c>
      <c r="N21" s="2">
        <f>'All Combined Data'!M19</f>
        <v>361</v>
      </c>
      <c r="O21" s="2" t="str">
        <f>'All Combined Data'!N19</f>
        <v>Yes</v>
      </c>
      <c r="P21" s="2" t="str">
        <f>'All Combined Data'!O19</f>
        <v>Yes</v>
      </c>
      <c r="Q21" s="2" t="str">
        <f>'All Combined Data'!P19</f>
        <v>C020</v>
      </c>
      <c r="R21" s="2" t="str">
        <f>'All Combined Data'!Q19</f>
        <v>Jairaj Shan</v>
      </c>
      <c r="S21" s="2" t="str">
        <f>'All Combined Data'!R19</f>
        <v>ucchalwali@example.net</v>
      </c>
      <c r="T21" s="2">
        <f>'All Combined Data'!S19</f>
        <v>5798687277</v>
      </c>
      <c r="U21" s="2" t="str">
        <f>'All Combined Data'!T19</f>
        <v>Chennai</v>
      </c>
      <c r="V21" s="2" t="str">
        <f>'All Combined Data'!U19</f>
        <v>Tamil Nadu</v>
      </c>
      <c r="W21" s="2">
        <f>'All Combined Data'!V19</f>
        <v>348734</v>
      </c>
      <c r="X21" s="2" t="str">
        <f>'All Combined Data'!W19</f>
        <v>Male</v>
      </c>
      <c r="Y21" s="14">
        <f>'All Combined Data'!X19</f>
        <v>32681</v>
      </c>
      <c r="Z21" s="2">
        <f>'All Combined Data'!Y19</f>
        <v>44268</v>
      </c>
      <c r="AA21" s="2" t="str">
        <f>'All Combined Data'!Z19</f>
        <v>Home Appliance</v>
      </c>
      <c r="AB21" s="2">
        <f>'All Combined Data'!AA19</f>
        <v>6226</v>
      </c>
      <c r="AC21" s="2" t="str">
        <f>'All Combined Data'!AB19</f>
        <v>Single</v>
      </c>
      <c r="AD21" s="2" t="str">
        <f>'All Combined Data'!AC19</f>
        <v>Student</v>
      </c>
      <c r="AE21" s="2">
        <f>'All Combined Data'!AD19</f>
        <v>1832898</v>
      </c>
      <c r="AF21" s="2" t="str">
        <f>'All Combined Data'!AE19</f>
        <v>P153</v>
      </c>
      <c r="AG21" s="2" t="str">
        <f>'All Combined Data'!AF19</f>
        <v>Quis Shirt</v>
      </c>
      <c r="AH21" s="2" t="str">
        <f>'All Combined Data'!AG19</f>
        <v>Electronics</v>
      </c>
      <c r="AI21" s="2" t="str">
        <f>'All Combined Data'!AH19</f>
        <v>Notebook</v>
      </c>
      <c r="AJ21" s="2" t="str">
        <f>'All Combined Data'!AI19</f>
        <v>Sastry PLC</v>
      </c>
      <c r="AK21" s="2">
        <f>'All Combined Data'!AJ19</f>
        <v>83491</v>
      </c>
      <c r="AL21" s="2">
        <f>'All Combined Data'!AK19</f>
        <v>5</v>
      </c>
      <c r="AM21" s="2">
        <f>'All Combined Data'!AL19</f>
        <v>93</v>
      </c>
      <c r="AN21" s="2">
        <f>'All Combined Data'!AM19</f>
        <v>12</v>
      </c>
      <c r="AO21" s="2" t="str">
        <f>'All Combined Data'!AN19</f>
        <v>Japan</v>
      </c>
      <c r="AP21" s="2" t="str">
        <f>'All Combined Data'!AO19</f>
        <v>No</v>
      </c>
      <c r="AQ21" s="2">
        <f>'All Combined Data'!AP19</f>
        <v>3.6</v>
      </c>
      <c r="AR21" s="14">
        <f>'All Combined Data'!AQ19</f>
        <v>45098</v>
      </c>
      <c r="AS21" s="2" t="str">
        <f>'All Combined Data'!AR19</f>
        <v>Yes</v>
      </c>
      <c r="AT21" s="2">
        <f>'All Combined Data'!AS19</f>
        <v>7063</v>
      </c>
      <c r="AU21" s="2">
        <f>'All Combined Data'!AT19</f>
        <v>79</v>
      </c>
      <c r="AV21" s="2">
        <f>'All Combined Data'!AU19</f>
        <v>79</v>
      </c>
      <c r="AW21" s="2" t="str">
        <f>'All Combined Data'!AV19</f>
        <v>S079</v>
      </c>
      <c r="AX21" s="2" t="str">
        <f>'All Combined Data'!AW19</f>
        <v>Yogi, Randhawa and Baral Mart</v>
      </c>
      <c r="AY21" s="2" t="str">
        <f>'All Combined Data'!AX19</f>
        <v>Chennai</v>
      </c>
      <c r="AZ21" s="2" t="str">
        <f>'All Combined Data'!AY19</f>
        <v>Tamil Nadu</v>
      </c>
      <c r="BA21" s="2">
        <f>'All Combined Data'!AZ19</f>
        <v>803476</v>
      </c>
      <c r="BB21" s="2" t="str">
        <f>'All Combined Data'!BA19</f>
        <v>Bhavika Shenoy</v>
      </c>
      <c r="BC21" s="2">
        <f>'All Combined Data'!BB19</f>
        <v>2004</v>
      </c>
      <c r="BD21" s="2">
        <f>'All Combined Data'!BC19</f>
        <v>27</v>
      </c>
      <c r="BE21" s="2">
        <f>'All Combined Data'!BD19</f>
        <v>1058</v>
      </c>
      <c r="BF21" s="2">
        <f>'All Combined Data'!BE19</f>
        <v>4.9000000000000004</v>
      </c>
      <c r="BG21" s="2" t="str">
        <f>'All Combined Data'!BF19</f>
        <v>No</v>
      </c>
      <c r="BH21" s="2">
        <f>'All Combined Data'!BG19</f>
        <v>765</v>
      </c>
      <c r="BI21" s="2" t="str">
        <f>'All Combined Data'!BH19</f>
        <v>Retail</v>
      </c>
      <c r="BJ21" s="2">
        <f>'All Combined Data'!BI19</f>
        <v>916490827718</v>
      </c>
      <c r="BK21" s="2" t="str">
        <f>'All Combined Data'!BJ19</f>
        <v>golekrishna@sachdev-naik.info</v>
      </c>
      <c r="BL21" s="2">
        <f>Combined_data[[#This Row],[Quantity]]*Combined_data[[#This Row],[UnitPrice]]</f>
        <v>166982</v>
      </c>
      <c r="BM21" s="2">
        <f>Combined_data[[#This Row],[TotalAmount]]*(100-Combined_data[[#This Row],[DiscountApplied]])/100</f>
        <v>333797.01799999998</v>
      </c>
      <c r="BN21" s="2">
        <f>Combined_data[[#This Row],[Reveune]]-Combined_data[[#This Row],[Final Amount]]</f>
        <v>-166815.01799999998</v>
      </c>
    </row>
    <row r="22" spans="2:66" x14ac:dyDescent="0.3">
      <c r="B22" s="2" t="str">
        <f>'All Combined Data'!A20</f>
        <v>O1019</v>
      </c>
      <c r="C22" s="2" t="str">
        <f>'All Combined Data'!B20</f>
        <v>C072</v>
      </c>
      <c r="D22" s="2" t="str">
        <f>'All Combined Data'!C20</f>
        <v>P142</v>
      </c>
      <c r="E22" s="14">
        <f>'All Combined Data'!D20</f>
        <v>45689</v>
      </c>
      <c r="F22" s="2">
        <f>'All Combined Data'!E20</f>
        <v>4</v>
      </c>
      <c r="G22" s="2">
        <f>'All Combined Data'!F20</f>
        <v>71307</v>
      </c>
      <c r="H22" s="2">
        <f>'All Combined Data'!G20</f>
        <v>356535</v>
      </c>
      <c r="I22" s="2">
        <f>'All Combined Data'!H20</f>
        <v>0.13</v>
      </c>
      <c r="J22" s="2" t="str">
        <f>'All Combined Data'!I20</f>
        <v>Net Banking</v>
      </c>
      <c r="K22" s="2" t="str">
        <f>'All Combined Data'!J20</f>
        <v>Pending</v>
      </c>
      <c r="L22" s="14">
        <f>'All Combined Data'!K20</f>
        <v>45861</v>
      </c>
      <c r="M22" s="2" t="str">
        <f>'All Combined Data'!L20</f>
        <v>Yes</v>
      </c>
      <c r="N22" s="2">
        <f>'All Combined Data'!M20</f>
        <v>235</v>
      </c>
      <c r="O22" s="2" t="str">
        <f>'All Combined Data'!N20</f>
        <v>No</v>
      </c>
      <c r="P22" s="2" t="str">
        <f>'All Combined Data'!O20</f>
        <v>No</v>
      </c>
      <c r="Q22" s="2" t="str">
        <f>'All Combined Data'!P20</f>
        <v>C072</v>
      </c>
      <c r="R22" s="2" t="str">
        <f>'All Combined Data'!Q20</f>
        <v>Onveer Nazareth</v>
      </c>
      <c r="S22" s="2" t="str">
        <f>'All Combined Data'!R20</f>
        <v>balakrishnanfinn@example.org</v>
      </c>
      <c r="T22" s="2">
        <f>'All Combined Data'!S20</f>
        <v>9439690784</v>
      </c>
      <c r="U22" s="2" t="str">
        <f>'All Combined Data'!T20</f>
        <v>Bangalore</v>
      </c>
      <c r="V22" s="2" t="str">
        <f>'All Combined Data'!U20</f>
        <v>Karnataka</v>
      </c>
      <c r="W22" s="2">
        <f>'All Combined Data'!V20</f>
        <v>736471</v>
      </c>
      <c r="X22" s="2" t="str">
        <f>'All Combined Data'!W20</f>
        <v>Female</v>
      </c>
      <c r="Y22" s="14">
        <f>'All Combined Data'!X20</f>
        <v>38863</v>
      </c>
      <c r="Z22" s="2">
        <f>'All Combined Data'!Y20</f>
        <v>44214</v>
      </c>
      <c r="AA22" s="2" t="str">
        <f>'All Combined Data'!Z20</f>
        <v>Fashion</v>
      </c>
      <c r="AB22" s="2">
        <f>'All Combined Data'!AA20</f>
        <v>7351</v>
      </c>
      <c r="AC22" s="2" t="str">
        <f>'All Combined Data'!AB20</f>
        <v>Married</v>
      </c>
      <c r="AD22" s="2" t="str">
        <f>'All Combined Data'!AC20</f>
        <v>Student</v>
      </c>
      <c r="AE22" s="2">
        <f>'All Combined Data'!AD20</f>
        <v>1135148</v>
      </c>
      <c r="AF22" s="2" t="str">
        <f>'All Combined Data'!AE20</f>
        <v>P142</v>
      </c>
      <c r="AG22" s="2" t="str">
        <f>'All Combined Data'!AF20</f>
        <v>Quaerat Shirt</v>
      </c>
      <c r="AH22" s="2" t="str">
        <f>'All Combined Data'!AG20</f>
        <v>Fashion</v>
      </c>
      <c r="AI22" s="2" t="str">
        <f>'All Combined Data'!AH20</f>
        <v>Smart</v>
      </c>
      <c r="AJ22" s="2" t="str">
        <f>'All Combined Data'!AI20</f>
        <v>Sahota-Devi</v>
      </c>
      <c r="AK22" s="2">
        <f>'All Combined Data'!AJ20</f>
        <v>71307</v>
      </c>
      <c r="AL22" s="2">
        <f>'All Combined Data'!AK20</f>
        <v>13</v>
      </c>
      <c r="AM22" s="2">
        <f>'All Combined Data'!AL20</f>
        <v>817</v>
      </c>
      <c r="AN22" s="2">
        <f>'All Combined Data'!AM20</f>
        <v>12</v>
      </c>
      <c r="AO22" s="2" t="str">
        <f>'All Combined Data'!AN20</f>
        <v>India</v>
      </c>
      <c r="AP22" s="2" t="str">
        <f>'All Combined Data'!AO20</f>
        <v>Yes</v>
      </c>
      <c r="AQ22" s="2">
        <f>'All Combined Data'!AP20</f>
        <v>2.8</v>
      </c>
      <c r="AR22" s="14">
        <f>'All Combined Data'!AQ20</f>
        <v>45651</v>
      </c>
      <c r="AS22" s="2" t="str">
        <f>'All Combined Data'!AR20</f>
        <v>No</v>
      </c>
      <c r="AT22" s="2">
        <f>'All Combined Data'!AS20</f>
        <v>4899</v>
      </c>
      <c r="AU22" s="2">
        <f>'All Combined Data'!AT20</f>
        <v>59</v>
      </c>
      <c r="AV22" s="2">
        <f>'All Combined Data'!AU20</f>
        <v>59</v>
      </c>
      <c r="AW22" s="2" t="str">
        <f>'All Combined Data'!AV20</f>
        <v>S059</v>
      </c>
      <c r="AX22" s="2" t="str">
        <f>'All Combined Data'!AW20</f>
        <v>Walla, Mukherjee and Palan Mart</v>
      </c>
      <c r="AY22" s="2" t="str">
        <f>'All Combined Data'!AX20</f>
        <v>Ahmedabad</v>
      </c>
      <c r="AZ22" s="2" t="str">
        <f>'All Combined Data'!AY20</f>
        <v>Gujarat</v>
      </c>
      <c r="BA22" s="2">
        <f>'All Combined Data'!AZ20</f>
        <v>831745</v>
      </c>
      <c r="BB22" s="2" t="str">
        <f>'All Combined Data'!BA20</f>
        <v>Abha Dugal</v>
      </c>
      <c r="BC22" s="2">
        <f>'All Combined Data'!BB20</f>
        <v>2003</v>
      </c>
      <c r="BD22" s="2">
        <f>'All Combined Data'!BC20</f>
        <v>22</v>
      </c>
      <c r="BE22" s="2">
        <f>'All Combined Data'!BD20</f>
        <v>4979</v>
      </c>
      <c r="BF22" s="2">
        <f>'All Combined Data'!BE20</f>
        <v>3</v>
      </c>
      <c r="BG22" s="2" t="str">
        <f>'All Combined Data'!BF20</f>
        <v>Yes</v>
      </c>
      <c r="BH22" s="2">
        <f>'All Combined Data'!BG20</f>
        <v>1570</v>
      </c>
      <c r="BI22" s="2" t="str">
        <f>'All Combined Data'!BH20</f>
        <v>Retail</v>
      </c>
      <c r="BJ22" s="2">
        <f>'All Combined Data'!BI20</f>
        <v>82547807</v>
      </c>
      <c r="BK22" s="2" t="str">
        <f>'All Combined Data'!BJ20</f>
        <v>amistry@master-kashyap.com</v>
      </c>
      <c r="BL22" s="2">
        <f>Combined_data[[#This Row],[Quantity]]*Combined_data[[#This Row],[UnitPrice]]</f>
        <v>285228</v>
      </c>
      <c r="BM22" s="2">
        <f>Combined_data[[#This Row],[TotalAmount]]*(100-Combined_data[[#This Row],[DiscountApplied]])/100</f>
        <v>356071.50450000004</v>
      </c>
      <c r="BN22" s="2">
        <f>Combined_data[[#This Row],[Reveune]]-Combined_data[[#This Row],[Final Amount]]</f>
        <v>-70843.504500000039</v>
      </c>
    </row>
    <row r="23" spans="2:66" x14ac:dyDescent="0.3">
      <c r="B23" s="2" t="str">
        <f>'All Combined Data'!A21</f>
        <v>O1020</v>
      </c>
      <c r="C23" s="2" t="str">
        <f>'All Combined Data'!B21</f>
        <v>C087</v>
      </c>
      <c r="D23" s="2" t="str">
        <f>'All Combined Data'!C21</f>
        <v>P199</v>
      </c>
      <c r="E23" s="14">
        <f>'All Combined Data'!D21</f>
        <v>45553</v>
      </c>
      <c r="F23" s="2">
        <f>'All Combined Data'!E21</f>
        <v>3</v>
      </c>
      <c r="G23" s="2">
        <f>'All Combined Data'!F21</f>
        <v>20556</v>
      </c>
      <c r="H23" s="2">
        <f>'All Combined Data'!G21</f>
        <v>102780</v>
      </c>
      <c r="I23" s="2">
        <f>'All Combined Data'!H21</f>
        <v>0.14000000000000001</v>
      </c>
      <c r="J23" s="2" t="str">
        <f>'All Combined Data'!I21</f>
        <v>Net Banking</v>
      </c>
      <c r="K23" s="2" t="str">
        <f>'All Combined Data'!J21</f>
        <v>Shipped</v>
      </c>
      <c r="L23" s="14">
        <f>'All Combined Data'!K21</f>
        <v>45864</v>
      </c>
      <c r="M23" s="2" t="str">
        <f>'All Combined Data'!L21</f>
        <v>Yes</v>
      </c>
      <c r="N23" s="2">
        <f>'All Combined Data'!M21</f>
        <v>142</v>
      </c>
      <c r="O23" s="2" t="str">
        <f>'All Combined Data'!N21</f>
        <v>No</v>
      </c>
      <c r="P23" s="2" t="str">
        <f>'All Combined Data'!O21</f>
        <v>Yes</v>
      </c>
      <c r="Q23" s="2" t="str">
        <f>'All Combined Data'!P21</f>
        <v>C087</v>
      </c>
      <c r="R23" s="2" t="str">
        <f>'All Combined Data'!Q21</f>
        <v>Urmi Balay</v>
      </c>
      <c r="S23" s="2" t="str">
        <f>'All Combined Data'!R21</f>
        <v>nilima22@example.net</v>
      </c>
      <c r="T23" s="2">
        <f>'All Combined Data'!S21</f>
        <v>6567661825</v>
      </c>
      <c r="U23" s="2" t="str">
        <f>'All Combined Data'!T21</f>
        <v>Delhi</v>
      </c>
      <c r="V23" s="2" t="str">
        <f>'All Combined Data'!U21</f>
        <v>Delhi</v>
      </c>
      <c r="W23" s="2">
        <f>'All Combined Data'!V21</f>
        <v>286823</v>
      </c>
      <c r="X23" s="2" t="str">
        <f>'All Combined Data'!W21</f>
        <v>Male</v>
      </c>
      <c r="Y23" s="14">
        <f>'All Combined Data'!X21</f>
        <v>21834</v>
      </c>
      <c r="Z23" s="2">
        <f>'All Combined Data'!Y21</f>
        <v>44098</v>
      </c>
      <c r="AA23" s="2" t="str">
        <f>'All Combined Data'!Z21</f>
        <v>Home Appliance</v>
      </c>
      <c r="AB23" s="2">
        <f>'All Combined Data'!AA21</f>
        <v>2168</v>
      </c>
      <c r="AC23" s="2" t="str">
        <f>'All Combined Data'!AB21</f>
        <v>Married</v>
      </c>
      <c r="AD23" s="2" t="str">
        <f>'All Combined Data'!AC21</f>
        <v>Engineer</v>
      </c>
      <c r="AE23" s="2">
        <f>'All Combined Data'!AD21</f>
        <v>1382729</v>
      </c>
      <c r="AF23" s="2" t="str">
        <f>'All Combined Data'!AE21</f>
        <v>P199</v>
      </c>
      <c r="AG23" s="2" t="str">
        <f>'All Combined Data'!AF21</f>
        <v>Natus TV</v>
      </c>
      <c r="AH23" s="2" t="str">
        <f>'All Combined Data'!AG21</f>
        <v>Electronics</v>
      </c>
      <c r="AI23" s="2" t="str">
        <f>'All Combined Data'!AH21</f>
        <v>Organic</v>
      </c>
      <c r="AJ23" s="2" t="str">
        <f>'All Combined Data'!AI21</f>
        <v>Yadav PLC</v>
      </c>
      <c r="AK23" s="2">
        <f>'All Combined Data'!AJ21</f>
        <v>20556</v>
      </c>
      <c r="AL23" s="2">
        <f>'All Combined Data'!AK21</f>
        <v>14</v>
      </c>
      <c r="AM23" s="2">
        <f>'All Combined Data'!AL21</f>
        <v>168</v>
      </c>
      <c r="AN23" s="2">
        <f>'All Combined Data'!AM21</f>
        <v>12</v>
      </c>
      <c r="AO23" s="2" t="str">
        <f>'All Combined Data'!AN21</f>
        <v>Vietnam</v>
      </c>
      <c r="AP23" s="2" t="str">
        <f>'All Combined Data'!AO21</f>
        <v>Yes</v>
      </c>
      <c r="AQ23" s="2">
        <f>'All Combined Data'!AP21</f>
        <v>3.4</v>
      </c>
      <c r="AR23" s="14">
        <f>'All Combined Data'!AQ21</f>
        <v>45715</v>
      </c>
      <c r="AS23" s="2" t="str">
        <f>'All Combined Data'!AR21</f>
        <v>No</v>
      </c>
      <c r="AT23" s="2">
        <f>'All Combined Data'!AS21</f>
        <v>2293</v>
      </c>
      <c r="AU23" s="2">
        <f>'All Combined Data'!AT21</f>
        <v>129</v>
      </c>
      <c r="AV23" s="2">
        <f>'All Combined Data'!AU21</f>
        <v>129</v>
      </c>
      <c r="AW23" s="2" t="str">
        <f>'All Combined Data'!AV21</f>
        <v/>
      </c>
      <c r="AX23" s="2" t="str">
        <f>'All Combined Data'!AW21</f>
        <v/>
      </c>
      <c r="AY23" s="2" t="str">
        <f>'All Combined Data'!AX21</f>
        <v/>
      </c>
      <c r="AZ23" s="2" t="str">
        <f>'All Combined Data'!AY21</f>
        <v/>
      </c>
      <c r="BA23" s="2" t="str">
        <f>'All Combined Data'!AZ21</f>
        <v/>
      </c>
      <c r="BB23" s="2" t="str">
        <f>'All Combined Data'!BA21</f>
        <v/>
      </c>
      <c r="BC23" s="2" t="str">
        <f>'All Combined Data'!BB21</f>
        <v/>
      </c>
      <c r="BD23" s="2" t="str">
        <f>'All Combined Data'!BC21</f>
        <v/>
      </c>
      <c r="BE23" s="2" t="str">
        <f>'All Combined Data'!BD21</f>
        <v/>
      </c>
      <c r="BF23" s="2" t="str">
        <f>'All Combined Data'!BE21</f>
        <v/>
      </c>
      <c r="BG23" s="2" t="str">
        <f>'All Combined Data'!BF21</f>
        <v/>
      </c>
      <c r="BH23" s="2" t="str">
        <f>'All Combined Data'!BG21</f>
        <v/>
      </c>
      <c r="BI23" s="2" t="str">
        <f>'All Combined Data'!BH21</f>
        <v/>
      </c>
      <c r="BJ23" s="2" t="str">
        <f>'All Combined Data'!BI21</f>
        <v/>
      </c>
      <c r="BK23" s="2" t="str">
        <f>'All Combined Data'!BJ21</f>
        <v/>
      </c>
      <c r="BL23" s="2">
        <f>Combined_data[[#This Row],[Quantity]]*Combined_data[[#This Row],[UnitPrice]]</f>
        <v>61668</v>
      </c>
      <c r="BM23" s="2">
        <f>Combined_data[[#This Row],[TotalAmount]]*(100-Combined_data[[#This Row],[DiscountApplied]])/100</f>
        <v>102636.10800000001</v>
      </c>
      <c r="BN23" s="2">
        <f>Combined_data[[#This Row],[Reveune]]-Combined_data[[#This Row],[Final Amount]]</f>
        <v>-40968.108000000007</v>
      </c>
    </row>
    <row r="24" spans="2:66" x14ac:dyDescent="0.3">
      <c r="B24" s="2" t="str">
        <f>'All Combined Data'!A22</f>
        <v>O1021</v>
      </c>
      <c r="C24" s="2" t="str">
        <f>'All Combined Data'!B22</f>
        <v>C039</v>
      </c>
      <c r="D24" s="2" t="str">
        <f>'All Combined Data'!C22</f>
        <v>P199</v>
      </c>
      <c r="E24" s="14">
        <f>'All Combined Data'!D22</f>
        <v>45538</v>
      </c>
      <c r="F24" s="2">
        <f>'All Combined Data'!E22</f>
        <v>3</v>
      </c>
      <c r="G24" s="2">
        <f>'All Combined Data'!F22</f>
        <v>20556</v>
      </c>
      <c r="H24" s="2">
        <f>'All Combined Data'!G22</f>
        <v>41112</v>
      </c>
      <c r="I24" s="2">
        <f>'All Combined Data'!H22</f>
        <v>0.14000000000000001</v>
      </c>
      <c r="J24" s="2" t="str">
        <f>'All Combined Data'!I22</f>
        <v>Net Banking</v>
      </c>
      <c r="K24" s="2" t="str">
        <f>'All Combined Data'!J22</f>
        <v>Pending</v>
      </c>
      <c r="L24" s="14">
        <f>'All Combined Data'!K22</f>
        <v>45861</v>
      </c>
      <c r="M24" s="2" t="str">
        <f>'All Combined Data'!L22</f>
        <v>No</v>
      </c>
      <c r="N24" s="2">
        <f>'All Combined Data'!M22</f>
        <v>178</v>
      </c>
      <c r="O24" s="2" t="str">
        <f>'All Combined Data'!N22</f>
        <v>No</v>
      </c>
      <c r="P24" s="2" t="str">
        <f>'All Combined Data'!O22</f>
        <v>No</v>
      </c>
      <c r="Q24" s="2" t="str">
        <f>'All Combined Data'!P22</f>
        <v>C039</v>
      </c>
      <c r="R24" s="2" t="str">
        <f>'All Combined Data'!Q22</f>
        <v>Chakradhar Nair</v>
      </c>
      <c r="S24" s="2" t="str">
        <f>'All Combined Data'!R22</f>
        <v>memonjagrati@example.com</v>
      </c>
      <c r="T24" s="2">
        <f>'All Combined Data'!S22</f>
        <v>2386922219</v>
      </c>
      <c r="U24" s="2" t="str">
        <f>'All Combined Data'!T22</f>
        <v>Pune</v>
      </c>
      <c r="V24" s="2" t="str">
        <f>'All Combined Data'!U22</f>
        <v>Maharashtra</v>
      </c>
      <c r="W24" s="2">
        <f>'All Combined Data'!V22</f>
        <v>937923</v>
      </c>
      <c r="X24" s="2" t="str">
        <f>'All Combined Data'!W22</f>
        <v>Male</v>
      </c>
      <c r="Y24" s="14">
        <f>'All Combined Data'!X22</f>
        <v>33209</v>
      </c>
      <c r="Z24" s="2">
        <f>'All Combined Data'!Y22</f>
        <v>44817</v>
      </c>
      <c r="AA24" s="2" t="str">
        <f>'All Combined Data'!Z22</f>
        <v>Electronics</v>
      </c>
      <c r="AB24" s="2">
        <f>'All Combined Data'!AA22</f>
        <v>8420</v>
      </c>
      <c r="AC24" s="2" t="str">
        <f>'All Combined Data'!AB22</f>
        <v>Single</v>
      </c>
      <c r="AD24" s="2" t="str">
        <f>'All Combined Data'!AC22</f>
        <v>Doctor</v>
      </c>
      <c r="AE24" s="2">
        <f>'All Combined Data'!AD22</f>
        <v>343699</v>
      </c>
      <c r="AF24" s="2" t="str">
        <f>'All Combined Data'!AE22</f>
        <v>P199</v>
      </c>
      <c r="AG24" s="2" t="str">
        <f>'All Combined Data'!AF22</f>
        <v>Natus TV</v>
      </c>
      <c r="AH24" s="2" t="str">
        <f>'All Combined Data'!AG22</f>
        <v>Electronics</v>
      </c>
      <c r="AI24" s="2" t="str">
        <f>'All Combined Data'!AH22</f>
        <v>Organic</v>
      </c>
      <c r="AJ24" s="2" t="str">
        <f>'All Combined Data'!AI22</f>
        <v>Yadav PLC</v>
      </c>
      <c r="AK24" s="2">
        <f>'All Combined Data'!AJ22</f>
        <v>20556</v>
      </c>
      <c r="AL24" s="2">
        <f>'All Combined Data'!AK22</f>
        <v>14</v>
      </c>
      <c r="AM24" s="2">
        <f>'All Combined Data'!AL22</f>
        <v>168</v>
      </c>
      <c r="AN24" s="2">
        <f>'All Combined Data'!AM22</f>
        <v>12</v>
      </c>
      <c r="AO24" s="2" t="str">
        <f>'All Combined Data'!AN22</f>
        <v>Vietnam</v>
      </c>
      <c r="AP24" s="2" t="str">
        <f>'All Combined Data'!AO22</f>
        <v>Yes</v>
      </c>
      <c r="AQ24" s="2">
        <f>'All Combined Data'!AP22</f>
        <v>3.4</v>
      </c>
      <c r="AR24" s="14">
        <f>'All Combined Data'!AQ22</f>
        <v>45715</v>
      </c>
      <c r="AS24" s="2" t="str">
        <f>'All Combined Data'!AR22</f>
        <v>No</v>
      </c>
      <c r="AT24" s="2">
        <f>'All Combined Data'!AS22</f>
        <v>2293</v>
      </c>
      <c r="AU24" s="2">
        <f>'All Combined Data'!AT22</f>
        <v>129</v>
      </c>
      <c r="AV24" s="2">
        <f>'All Combined Data'!AU22</f>
        <v>129</v>
      </c>
      <c r="AW24" s="2" t="str">
        <f>'All Combined Data'!AV22</f>
        <v/>
      </c>
      <c r="AX24" s="2" t="str">
        <f>'All Combined Data'!AW22</f>
        <v/>
      </c>
      <c r="AY24" s="2" t="str">
        <f>'All Combined Data'!AX22</f>
        <v/>
      </c>
      <c r="AZ24" s="2" t="str">
        <f>'All Combined Data'!AY22</f>
        <v/>
      </c>
      <c r="BA24" s="2" t="str">
        <f>'All Combined Data'!AZ22</f>
        <v/>
      </c>
      <c r="BB24" s="2" t="str">
        <f>'All Combined Data'!BA22</f>
        <v/>
      </c>
      <c r="BC24" s="2" t="str">
        <f>'All Combined Data'!BB22</f>
        <v/>
      </c>
      <c r="BD24" s="2" t="str">
        <f>'All Combined Data'!BC22</f>
        <v/>
      </c>
      <c r="BE24" s="2" t="str">
        <f>'All Combined Data'!BD22</f>
        <v/>
      </c>
      <c r="BF24" s="2" t="str">
        <f>'All Combined Data'!BE22</f>
        <v/>
      </c>
      <c r="BG24" s="2" t="str">
        <f>'All Combined Data'!BF22</f>
        <v/>
      </c>
      <c r="BH24" s="2" t="str">
        <f>'All Combined Data'!BG22</f>
        <v/>
      </c>
      <c r="BI24" s="2" t="str">
        <f>'All Combined Data'!BH22</f>
        <v/>
      </c>
      <c r="BJ24" s="2" t="str">
        <f>'All Combined Data'!BI22</f>
        <v/>
      </c>
      <c r="BK24" s="2" t="str">
        <f>'All Combined Data'!BJ22</f>
        <v/>
      </c>
      <c r="BL24" s="2">
        <f>Combined_data[[#This Row],[Quantity]]*Combined_data[[#This Row],[UnitPrice]]</f>
        <v>61668</v>
      </c>
      <c r="BM24" s="2">
        <f>Combined_data[[#This Row],[TotalAmount]]*(100-Combined_data[[#This Row],[DiscountApplied]])/100</f>
        <v>41054.443200000002</v>
      </c>
      <c r="BN24" s="2">
        <f>Combined_data[[#This Row],[Reveune]]-Combined_data[[#This Row],[Final Amount]]</f>
        <v>20613.556799999998</v>
      </c>
    </row>
    <row r="25" spans="2:66" x14ac:dyDescent="0.3">
      <c r="B25" s="2" t="str">
        <f>'All Combined Data'!A23</f>
        <v>O1022</v>
      </c>
      <c r="C25" s="2" t="str">
        <f>'All Combined Data'!B23</f>
        <v>C016</v>
      </c>
      <c r="D25" s="2" t="str">
        <f>'All Combined Data'!C23</f>
        <v>P174</v>
      </c>
      <c r="E25" s="14">
        <f>'All Combined Data'!D23</f>
        <v>45773</v>
      </c>
      <c r="F25" s="2">
        <f>'All Combined Data'!E23</f>
        <v>5</v>
      </c>
      <c r="G25" s="2">
        <f>'All Combined Data'!F23</f>
        <v>31171</v>
      </c>
      <c r="H25" s="2">
        <f>'All Combined Data'!G23</f>
        <v>124684</v>
      </c>
      <c r="I25" s="2">
        <f>'All Combined Data'!H23</f>
        <v>0.22</v>
      </c>
      <c r="J25" s="2" t="str">
        <f>'All Combined Data'!I23</f>
        <v>Net Banking</v>
      </c>
      <c r="K25" s="2" t="str">
        <f>'All Combined Data'!J23</f>
        <v>Pending</v>
      </c>
      <c r="L25" s="14">
        <f>'All Combined Data'!K23</f>
        <v>45857</v>
      </c>
      <c r="M25" s="2" t="str">
        <f>'All Combined Data'!L23</f>
        <v>Yes</v>
      </c>
      <c r="N25" s="2">
        <f>'All Combined Data'!M23</f>
        <v>148</v>
      </c>
      <c r="O25" s="2" t="str">
        <f>'All Combined Data'!N23</f>
        <v>Yes</v>
      </c>
      <c r="P25" s="2" t="str">
        <f>'All Combined Data'!O23</f>
        <v>No</v>
      </c>
      <c r="Q25" s="2" t="str">
        <f>'All Combined Data'!P23</f>
        <v>C016</v>
      </c>
      <c r="R25" s="2" t="str">
        <f>'All Combined Data'!Q23</f>
        <v>Reyansh Rastogi</v>
      </c>
      <c r="S25" s="2" t="str">
        <f>'All Combined Data'!R23</f>
        <v>arya14@example.com</v>
      </c>
      <c r="T25" s="2">
        <f>'All Combined Data'!S23</f>
        <v>8685014294</v>
      </c>
      <c r="U25" s="2" t="str">
        <f>'All Combined Data'!T23</f>
        <v>Delhi</v>
      </c>
      <c r="V25" s="2" t="str">
        <f>'All Combined Data'!U23</f>
        <v>Delhi</v>
      </c>
      <c r="W25" s="2">
        <f>'All Combined Data'!V23</f>
        <v>196556</v>
      </c>
      <c r="X25" s="2" t="str">
        <f>'All Combined Data'!W23</f>
        <v>Male</v>
      </c>
      <c r="Y25" s="14">
        <f>'All Combined Data'!X23</f>
        <v>36815</v>
      </c>
      <c r="Z25" s="2">
        <f>'All Combined Data'!Y23</f>
        <v>45616</v>
      </c>
      <c r="AA25" s="2" t="str">
        <f>'All Combined Data'!Z23</f>
        <v>Home Appliance</v>
      </c>
      <c r="AB25" s="2">
        <f>'All Combined Data'!AA23</f>
        <v>2721</v>
      </c>
      <c r="AC25" s="2" t="str">
        <f>'All Combined Data'!AB23</f>
        <v>Married</v>
      </c>
      <c r="AD25" s="2" t="str">
        <f>'All Combined Data'!AC23</f>
        <v>Student</v>
      </c>
      <c r="AE25" s="2">
        <f>'All Combined Data'!AD23</f>
        <v>333227</v>
      </c>
      <c r="AF25" s="2" t="str">
        <f>'All Combined Data'!AE23</f>
        <v>P174</v>
      </c>
      <c r="AG25" s="2" t="str">
        <f>'All Combined Data'!AF23</f>
        <v>Voluptas Laptop</v>
      </c>
      <c r="AH25" s="2" t="str">
        <f>'All Combined Data'!AG23</f>
        <v>Fashion</v>
      </c>
      <c r="AI25" s="2" t="str">
        <f>'All Combined Data'!AH23</f>
        <v>Android</v>
      </c>
      <c r="AJ25" s="2" t="str">
        <f>'All Combined Data'!AI23</f>
        <v>Mittal and Sons</v>
      </c>
      <c r="AK25" s="2">
        <f>'All Combined Data'!AJ23</f>
        <v>31171</v>
      </c>
      <c r="AL25" s="2">
        <f>'All Combined Data'!AK23</f>
        <v>22</v>
      </c>
      <c r="AM25" s="2">
        <f>'All Combined Data'!AL23</f>
        <v>244</v>
      </c>
      <c r="AN25" s="2">
        <f>'All Combined Data'!AM23</f>
        <v>24</v>
      </c>
      <c r="AO25" s="2" t="str">
        <f>'All Combined Data'!AN23</f>
        <v>Japan</v>
      </c>
      <c r="AP25" s="2" t="str">
        <f>'All Combined Data'!AO23</f>
        <v>Yes</v>
      </c>
      <c r="AQ25" s="2">
        <f>'All Combined Data'!AP23</f>
        <v>3.4</v>
      </c>
      <c r="AR25" s="14">
        <f>'All Combined Data'!AQ23</f>
        <v>45184</v>
      </c>
      <c r="AS25" s="2" t="str">
        <f>'All Combined Data'!AR23</f>
        <v>No</v>
      </c>
      <c r="AT25" s="2">
        <f>'All Combined Data'!AS23</f>
        <v>8565</v>
      </c>
      <c r="AU25" s="2">
        <f>'All Combined Data'!AT23</f>
        <v>112</v>
      </c>
      <c r="AV25" s="2">
        <f>'All Combined Data'!AU23</f>
        <v>112</v>
      </c>
      <c r="AW25" s="2" t="str">
        <f>'All Combined Data'!AV23</f>
        <v/>
      </c>
      <c r="AX25" s="2" t="str">
        <f>'All Combined Data'!AW23</f>
        <v/>
      </c>
      <c r="AY25" s="2" t="str">
        <f>'All Combined Data'!AX23</f>
        <v/>
      </c>
      <c r="AZ25" s="2" t="str">
        <f>'All Combined Data'!AY23</f>
        <v/>
      </c>
      <c r="BA25" s="2" t="str">
        <f>'All Combined Data'!AZ23</f>
        <v/>
      </c>
      <c r="BB25" s="2" t="str">
        <f>'All Combined Data'!BA23</f>
        <v/>
      </c>
      <c r="BC25" s="2" t="str">
        <f>'All Combined Data'!BB23</f>
        <v/>
      </c>
      <c r="BD25" s="2" t="str">
        <f>'All Combined Data'!BC23</f>
        <v/>
      </c>
      <c r="BE25" s="2" t="str">
        <f>'All Combined Data'!BD23</f>
        <v/>
      </c>
      <c r="BF25" s="2" t="str">
        <f>'All Combined Data'!BE23</f>
        <v/>
      </c>
      <c r="BG25" s="2" t="str">
        <f>'All Combined Data'!BF23</f>
        <v/>
      </c>
      <c r="BH25" s="2" t="str">
        <f>'All Combined Data'!BG23</f>
        <v/>
      </c>
      <c r="BI25" s="2" t="str">
        <f>'All Combined Data'!BH23</f>
        <v/>
      </c>
      <c r="BJ25" s="2" t="str">
        <f>'All Combined Data'!BI23</f>
        <v/>
      </c>
      <c r="BK25" s="2" t="str">
        <f>'All Combined Data'!BJ23</f>
        <v/>
      </c>
      <c r="BL25" s="2">
        <f>Combined_data[[#This Row],[Quantity]]*Combined_data[[#This Row],[UnitPrice]]</f>
        <v>155855</v>
      </c>
      <c r="BM25" s="2">
        <f>Combined_data[[#This Row],[TotalAmount]]*(100-Combined_data[[#This Row],[DiscountApplied]])/100</f>
        <v>124409.6952</v>
      </c>
      <c r="BN25" s="2">
        <f>Combined_data[[#This Row],[Reveune]]-Combined_data[[#This Row],[Final Amount]]</f>
        <v>31445.304799999998</v>
      </c>
    </row>
    <row r="26" spans="2:66" x14ac:dyDescent="0.3">
      <c r="B26" s="2" t="str">
        <f>'All Combined Data'!A24</f>
        <v>O1023</v>
      </c>
      <c r="C26" s="2" t="str">
        <f>'All Combined Data'!B24</f>
        <v>C092</v>
      </c>
      <c r="D26" s="2" t="str">
        <f>'All Combined Data'!C24</f>
        <v>P111</v>
      </c>
      <c r="E26" s="14">
        <f>'All Combined Data'!D24</f>
        <v>45788</v>
      </c>
      <c r="F26" s="2">
        <f>'All Combined Data'!E24</f>
        <v>3</v>
      </c>
      <c r="G26" s="2">
        <f>'All Combined Data'!F24</f>
        <v>90766</v>
      </c>
      <c r="H26" s="2">
        <f>'All Combined Data'!G24</f>
        <v>363064</v>
      </c>
      <c r="I26" s="2">
        <f>'All Combined Data'!H24</f>
        <v>0.14000000000000001</v>
      </c>
      <c r="J26" s="2" t="str">
        <f>'All Combined Data'!I24</f>
        <v>UPI</v>
      </c>
      <c r="K26" s="2" t="str">
        <f>'All Combined Data'!J24</f>
        <v>Cancelled</v>
      </c>
      <c r="L26" s="14">
        <f>'All Combined Data'!K24</f>
        <v>45855</v>
      </c>
      <c r="M26" s="2" t="str">
        <f>'All Combined Data'!L24</f>
        <v>Yes</v>
      </c>
      <c r="N26" s="2">
        <f>'All Combined Data'!M24</f>
        <v>103</v>
      </c>
      <c r="O26" s="2" t="str">
        <f>'All Combined Data'!N24</f>
        <v>No</v>
      </c>
      <c r="P26" s="2" t="str">
        <f>'All Combined Data'!O24</f>
        <v>No</v>
      </c>
      <c r="Q26" s="2" t="str">
        <f>'All Combined Data'!P24</f>
        <v>C092</v>
      </c>
      <c r="R26" s="2" t="str">
        <f>'All Combined Data'!Q24</f>
        <v>Ranveer Dalal</v>
      </c>
      <c r="S26" s="2" t="str">
        <f>'All Combined Data'!R24</f>
        <v>skibe@example.net</v>
      </c>
      <c r="T26" s="2">
        <f>'All Combined Data'!S24</f>
        <v>3638546785</v>
      </c>
      <c r="U26" s="2" t="str">
        <f>'All Combined Data'!T24</f>
        <v>Pune</v>
      </c>
      <c r="V26" s="2" t="str">
        <f>'All Combined Data'!U24</f>
        <v>Maharashtra</v>
      </c>
      <c r="W26" s="2">
        <f>'All Combined Data'!V24</f>
        <v>458771</v>
      </c>
      <c r="X26" s="2" t="str">
        <f>'All Combined Data'!W24</f>
        <v>Female</v>
      </c>
      <c r="Y26" s="14">
        <f>'All Combined Data'!X24</f>
        <v>33417</v>
      </c>
      <c r="Z26" s="2">
        <f>'All Combined Data'!Y24</f>
        <v>45022</v>
      </c>
      <c r="AA26" s="2" t="str">
        <f>'All Combined Data'!Z24</f>
        <v>Electronics</v>
      </c>
      <c r="AB26" s="2">
        <f>'All Combined Data'!AA24</f>
        <v>6982</v>
      </c>
      <c r="AC26" s="2" t="str">
        <f>'All Combined Data'!AB24</f>
        <v>Married</v>
      </c>
      <c r="AD26" s="2" t="str">
        <f>'All Combined Data'!AC24</f>
        <v>Engineer</v>
      </c>
      <c r="AE26" s="2">
        <f>'All Combined Data'!AD24</f>
        <v>1109164</v>
      </c>
      <c r="AF26" s="2" t="str">
        <f>'All Combined Data'!AE24</f>
        <v>P111</v>
      </c>
      <c r="AG26" s="2" t="str">
        <f>'All Combined Data'!AF24</f>
        <v>Ducimus TV</v>
      </c>
      <c r="AH26" s="2" t="str">
        <f>'All Combined Data'!AG24</f>
        <v>Grocery</v>
      </c>
      <c r="AI26" s="2" t="str">
        <f>'All Combined Data'!AH24</f>
        <v>Android</v>
      </c>
      <c r="AJ26" s="2" t="str">
        <f>'All Combined Data'!AI24</f>
        <v>Bala, Shenoy and Kadakia</v>
      </c>
      <c r="AK26" s="2">
        <f>'All Combined Data'!AJ24</f>
        <v>90766</v>
      </c>
      <c r="AL26" s="2">
        <f>'All Combined Data'!AK24</f>
        <v>14</v>
      </c>
      <c r="AM26" s="2">
        <f>'All Combined Data'!AL24</f>
        <v>716</v>
      </c>
      <c r="AN26" s="2">
        <f>'All Combined Data'!AM24</f>
        <v>36</v>
      </c>
      <c r="AO26" s="2" t="str">
        <f>'All Combined Data'!AN24</f>
        <v>Vietnam</v>
      </c>
      <c r="AP26" s="2" t="str">
        <f>'All Combined Data'!AO24</f>
        <v>No</v>
      </c>
      <c r="AQ26" s="2">
        <f>'All Combined Data'!AP24</f>
        <v>3.6</v>
      </c>
      <c r="AR26" s="14">
        <f>'All Combined Data'!AQ24</f>
        <v>45440</v>
      </c>
      <c r="AS26" s="2" t="str">
        <f>'All Combined Data'!AR24</f>
        <v>Yes</v>
      </c>
      <c r="AT26" s="2">
        <f>'All Combined Data'!AS24</f>
        <v>8079</v>
      </c>
      <c r="AU26" s="2">
        <f>'All Combined Data'!AT24</f>
        <v>71</v>
      </c>
      <c r="AV26" s="2">
        <f>'All Combined Data'!AU24</f>
        <v>71</v>
      </c>
      <c r="AW26" s="2" t="str">
        <f>'All Combined Data'!AV24</f>
        <v>S071</v>
      </c>
      <c r="AX26" s="2" t="str">
        <f>'All Combined Data'!AW24</f>
        <v>Thaman-Chana Mart</v>
      </c>
      <c r="AY26" s="2" t="str">
        <f>'All Combined Data'!AX24</f>
        <v>Bangalore</v>
      </c>
      <c r="AZ26" s="2" t="str">
        <f>'All Combined Data'!AY24</f>
        <v>Karnataka</v>
      </c>
      <c r="BA26" s="2">
        <f>'All Combined Data'!AZ24</f>
        <v>646225</v>
      </c>
      <c r="BB26" s="2" t="str">
        <f>'All Combined Data'!BA24</f>
        <v>Vamakshi Bawa</v>
      </c>
      <c r="BC26" s="2">
        <f>'All Combined Data'!BB24</f>
        <v>2005</v>
      </c>
      <c r="BD26" s="2">
        <f>'All Combined Data'!BC24</f>
        <v>35</v>
      </c>
      <c r="BE26" s="2">
        <f>'All Combined Data'!BD24</f>
        <v>11420</v>
      </c>
      <c r="BF26" s="2">
        <f>'All Combined Data'!BE24</f>
        <v>4.5999999999999996</v>
      </c>
      <c r="BG26" s="2" t="str">
        <f>'All Combined Data'!BF24</f>
        <v>No</v>
      </c>
      <c r="BH26" s="2">
        <f>'All Combined Data'!BG24</f>
        <v>731</v>
      </c>
      <c r="BI26" s="2" t="str">
        <f>'All Combined Data'!BH24</f>
        <v>Outlet</v>
      </c>
      <c r="BJ26" s="2">
        <f>'All Combined Data'!BI24</f>
        <v>6416862278</v>
      </c>
      <c r="BK26" s="2" t="str">
        <f>'All Combined Data'!BJ24</f>
        <v>vinayarana@hayre.com</v>
      </c>
      <c r="BL26" s="2">
        <f>Combined_data[[#This Row],[Quantity]]*Combined_data[[#This Row],[UnitPrice]]</f>
        <v>272298</v>
      </c>
      <c r="BM26" s="2">
        <f>Combined_data[[#This Row],[TotalAmount]]*(100-Combined_data[[#This Row],[DiscountApplied]])/100</f>
        <v>362555.71039999998</v>
      </c>
      <c r="BN26" s="2">
        <f>Combined_data[[#This Row],[Reveune]]-Combined_data[[#This Row],[Final Amount]]</f>
        <v>-90257.710399999982</v>
      </c>
    </row>
    <row r="27" spans="2:66" x14ac:dyDescent="0.3">
      <c r="B27" s="2" t="str">
        <f>'All Combined Data'!A25</f>
        <v>O1024</v>
      </c>
      <c r="C27" s="2" t="str">
        <f>'All Combined Data'!B25</f>
        <v>C018</v>
      </c>
      <c r="D27" s="2" t="str">
        <f>'All Combined Data'!C25</f>
        <v>P114</v>
      </c>
      <c r="E27" s="14">
        <f>'All Combined Data'!D25</f>
        <v>45619</v>
      </c>
      <c r="F27" s="2">
        <f>'All Combined Data'!E25</f>
        <v>5</v>
      </c>
      <c r="G27" s="2">
        <f>'All Combined Data'!F25</f>
        <v>54455</v>
      </c>
      <c r="H27" s="2">
        <f>'All Combined Data'!G25</f>
        <v>272275</v>
      </c>
      <c r="I27" s="2">
        <f>'All Combined Data'!H25</f>
        <v>0.27</v>
      </c>
      <c r="J27" s="2" t="str">
        <f>'All Combined Data'!I25</f>
        <v>Debit Card</v>
      </c>
      <c r="K27" s="2" t="str">
        <f>'All Combined Data'!J25</f>
        <v>Shipped</v>
      </c>
      <c r="L27" s="14">
        <f>'All Combined Data'!K25</f>
        <v>45865</v>
      </c>
      <c r="M27" s="2" t="str">
        <f>'All Combined Data'!L25</f>
        <v>Yes</v>
      </c>
      <c r="N27" s="2">
        <f>'All Combined Data'!M25</f>
        <v>342</v>
      </c>
      <c r="O27" s="2" t="str">
        <f>'All Combined Data'!N25</f>
        <v>Yes</v>
      </c>
      <c r="P27" s="2" t="str">
        <f>'All Combined Data'!O25</f>
        <v>Yes</v>
      </c>
      <c r="Q27" s="2" t="str">
        <f>'All Combined Data'!P25</f>
        <v>C018</v>
      </c>
      <c r="R27" s="2" t="str">
        <f>'All Combined Data'!Q25</f>
        <v>Owen Mitra</v>
      </c>
      <c r="S27" s="2" t="str">
        <f>'All Combined Data'!R25</f>
        <v>tacharya@example.com</v>
      </c>
      <c r="T27" s="2">
        <f>'All Combined Data'!S25</f>
        <v>916995777387</v>
      </c>
      <c r="U27" s="2" t="str">
        <f>'All Combined Data'!T25</f>
        <v>Mumbai</v>
      </c>
      <c r="V27" s="2" t="str">
        <f>'All Combined Data'!U25</f>
        <v>Maharashtra</v>
      </c>
      <c r="W27" s="2">
        <f>'All Combined Data'!V25</f>
        <v>148951</v>
      </c>
      <c r="X27" s="2" t="str">
        <f>'All Combined Data'!W25</f>
        <v>Female</v>
      </c>
      <c r="Y27" s="14">
        <f>'All Combined Data'!X25</f>
        <v>27585</v>
      </c>
      <c r="Z27" s="2">
        <f>'All Combined Data'!Y25</f>
        <v>44992</v>
      </c>
      <c r="AA27" s="2" t="str">
        <f>'All Combined Data'!Z25</f>
        <v>Fashion</v>
      </c>
      <c r="AB27" s="2">
        <f>'All Combined Data'!AA25</f>
        <v>1927</v>
      </c>
      <c r="AC27" s="2" t="str">
        <f>'All Combined Data'!AB25</f>
        <v>Married</v>
      </c>
      <c r="AD27" s="2" t="str">
        <f>'All Combined Data'!AC25</f>
        <v>Business</v>
      </c>
      <c r="AE27" s="2">
        <f>'All Combined Data'!AD25</f>
        <v>531680</v>
      </c>
      <c r="AF27" s="2" t="str">
        <f>'All Combined Data'!AE25</f>
        <v>P114</v>
      </c>
      <c r="AG27" s="2" t="str">
        <f>'All Combined Data'!AF25</f>
        <v>Dolor Shirt</v>
      </c>
      <c r="AH27" s="2" t="str">
        <f>'All Combined Data'!AG25</f>
        <v>Electronics</v>
      </c>
      <c r="AI27" s="2" t="str">
        <f>'All Combined Data'!AH25</f>
        <v>Cotton</v>
      </c>
      <c r="AJ27" s="2" t="str">
        <f>'All Combined Data'!AI25</f>
        <v>Sampath, Purohit and Borah</v>
      </c>
      <c r="AK27" s="2">
        <f>'All Combined Data'!AJ25</f>
        <v>54455</v>
      </c>
      <c r="AL27" s="2">
        <f>'All Combined Data'!AK25</f>
        <v>27</v>
      </c>
      <c r="AM27" s="2">
        <f>'All Combined Data'!AL25</f>
        <v>507</v>
      </c>
      <c r="AN27" s="2">
        <f>'All Combined Data'!AM25</f>
        <v>24</v>
      </c>
      <c r="AO27" s="2" t="str">
        <f>'All Combined Data'!AN25</f>
        <v>Japan</v>
      </c>
      <c r="AP27" s="2" t="str">
        <f>'All Combined Data'!AO25</f>
        <v>Yes</v>
      </c>
      <c r="AQ27" s="2">
        <f>'All Combined Data'!AP25</f>
        <v>3.6</v>
      </c>
      <c r="AR27" s="14">
        <f>'All Combined Data'!AQ25</f>
        <v>45456</v>
      </c>
      <c r="AS27" s="2" t="str">
        <f>'All Combined Data'!AR25</f>
        <v>No</v>
      </c>
      <c r="AT27" s="2">
        <f>'All Combined Data'!AS25</f>
        <v>5136</v>
      </c>
      <c r="AU27" s="2">
        <f>'All Combined Data'!AT25</f>
        <v>50</v>
      </c>
      <c r="AV27" s="2">
        <f>'All Combined Data'!AU25</f>
        <v>50</v>
      </c>
      <c r="AW27" s="2" t="str">
        <f>'All Combined Data'!AV25</f>
        <v>S050</v>
      </c>
      <c r="AX27" s="2" t="str">
        <f>'All Combined Data'!AW25</f>
        <v>Iyer-Vasa Mart</v>
      </c>
      <c r="AY27" s="2" t="str">
        <f>'All Combined Data'!AX25</f>
        <v>Delhi</v>
      </c>
      <c r="AZ27" s="2" t="str">
        <f>'All Combined Data'!AY25</f>
        <v>Delhi</v>
      </c>
      <c r="BA27" s="2">
        <f>'All Combined Data'!AZ25</f>
        <v>118489</v>
      </c>
      <c r="BB27" s="2" t="str">
        <f>'All Combined Data'!BA25</f>
        <v>Idika Malhotra</v>
      </c>
      <c r="BC27" s="2">
        <f>'All Combined Data'!BB25</f>
        <v>2004</v>
      </c>
      <c r="BD27" s="2">
        <f>'All Combined Data'!BC25</f>
        <v>96</v>
      </c>
      <c r="BE27" s="2">
        <f>'All Combined Data'!BD25</f>
        <v>10169</v>
      </c>
      <c r="BF27" s="2">
        <f>'All Combined Data'!BE25</f>
        <v>3.2</v>
      </c>
      <c r="BG27" s="2" t="str">
        <f>'All Combined Data'!BF25</f>
        <v>Yes</v>
      </c>
      <c r="BH27" s="2">
        <f>'All Combined Data'!BG25</f>
        <v>4757</v>
      </c>
      <c r="BI27" s="2" t="str">
        <f>'All Combined Data'!BH25</f>
        <v>Franchise</v>
      </c>
      <c r="BJ27" s="2">
        <f>'All Combined Data'!BI25</f>
        <v>919376904268</v>
      </c>
      <c r="BK27" s="2" t="str">
        <f>'All Combined Data'!BJ25</f>
        <v>borayahvi@oak-dada.net</v>
      </c>
      <c r="BL27" s="2">
        <f>Combined_data[[#This Row],[Quantity]]*Combined_data[[#This Row],[UnitPrice]]</f>
        <v>272275</v>
      </c>
      <c r="BM27" s="2">
        <f>Combined_data[[#This Row],[TotalAmount]]*(100-Combined_data[[#This Row],[DiscountApplied]])/100</f>
        <v>271539.85749999998</v>
      </c>
      <c r="BN27" s="2">
        <f>Combined_data[[#This Row],[Reveune]]-Combined_data[[#This Row],[Final Amount]]</f>
        <v>735.1425000000163</v>
      </c>
    </row>
    <row r="28" spans="2:66" x14ac:dyDescent="0.3">
      <c r="B28" s="2" t="str">
        <f>'All Combined Data'!A26</f>
        <v>O1025</v>
      </c>
      <c r="C28" s="2" t="str">
        <f>'All Combined Data'!B26</f>
        <v>C007</v>
      </c>
      <c r="D28" s="2" t="str">
        <f>'All Combined Data'!C26</f>
        <v>P113</v>
      </c>
      <c r="E28" s="14">
        <f>'All Combined Data'!D26</f>
        <v>45594</v>
      </c>
      <c r="F28" s="2">
        <f>'All Combined Data'!E26</f>
        <v>4</v>
      </c>
      <c r="G28" s="2">
        <f>'All Combined Data'!F26</f>
        <v>77220</v>
      </c>
      <c r="H28" s="2">
        <f>'All Combined Data'!G26</f>
        <v>231660</v>
      </c>
      <c r="I28" s="2">
        <f>'All Combined Data'!H26</f>
        <v>0.18</v>
      </c>
      <c r="J28" s="2" t="str">
        <f>'All Combined Data'!I26</f>
        <v>Net Banking</v>
      </c>
      <c r="K28" s="2" t="str">
        <f>'All Combined Data'!J26</f>
        <v>Delivered</v>
      </c>
      <c r="L28" s="14">
        <f>'All Combined Data'!K26</f>
        <v>45867</v>
      </c>
      <c r="M28" s="2" t="str">
        <f>'All Combined Data'!L26</f>
        <v>Yes</v>
      </c>
      <c r="N28" s="2">
        <f>'All Combined Data'!M26</f>
        <v>2</v>
      </c>
      <c r="O28" s="2" t="str">
        <f>'All Combined Data'!N26</f>
        <v>Yes</v>
      </c>
      <c r="P28" s="2" t="str">
        <f>'All Combined Data'!O26</f>
        <v>No</v>
      </c>
      <c r="Q28" s="2" t="str">
        <f>'All Combined Data'!P26</f>
        <v>C007</v>
      </c>
      <c r="R28" s="2" t="str">
        <f>'All Combined Data'!Q26</f>
        <v>Frederick Sunder</v>
      </c>
      <c r="S28" s="2" t="str">
        <f>'All Combined Data'!R26</f>
        <v>waliajeremiah@example.org</v>
      </c>
      <c r="T28" s="2">
        <f>'All Combined Data'!S26</f>
        <v>7824896383</v>
      </c>
      <c r="U28" s="2" t="str">
        <f>'All Combined Data'!T26</f>
        <v>Jaipur</v>
      </c>
      <c r="V28" s="2" t="str">
        <f>'All Combined Data'!U26</f>
        <v>Rajasthan</v>
      </c>
      <c r="W28" s="2">
        <f>'All Combined Data'!V26</f>
        <v>657871</v>
      </c>
      <c r="X28" s="2" t="str">
        <f>'All Combined Data'!W26</f>
        <v>Male</v>
      </c>
      <c r="Y28" s="14">
        <f>'All Combined Data'!X26</f>
        <v>27909</v>
      </c>
      <c r="Z28" s="2">
        <f>'All Combined Data'!Y26</f>
        <v>44726</v>
      </c>
      <c r="AA28" s="2" t="str">
        <f>'All Combined Data'!Z26</f>
        <v>Fashion</v>
      </c>
      <c r="AB28" s="2">
        <f>'All Combined Data'!AA26</f>
        <v>6025</v>
      </c>
      <c r="AC28" s="2" t="str">
        <f>'All Combined Data'!AB26</f>
        <v>Single</v>
      </c>
      <c r="AD28" s="2" t="str">
        <f>'All Combined Data'!AC26</f>
        <v>Engineer</v>
      </c>
      <c r="AE28" s="2">
        <f>'All Combined Data'!AD26</f>
        <v>296100</v>
      </c>
      <c r="AF28" s="2" t="str">
        <f>'All Combined Data'!AE26</f>
        <v>P113</v>
      </c>
      <c r="AG28" s="2" t="str">
        <f>'All Combined Data'!AF26</f>
        <v>Tempora Phone</v>
      </c>
      <c r="AH28" s="2" t="str">
        <f>'All Combined Data'!AG26</f>
        <v>Grocery</v>
      </c>
      <c r="AI28" s="2" t="str">
        <f>'All Combined Data'!AH26</f>
        <v>Smart</v>
      </c>
      <c r="AJ28" s="2" t="str">
        <f>'All Combined Data'!AI26</f>
        <v>Khurana-Krishnan</v>
      </c>
      <c r="AK28" s="2">
        <f>'All Combined Data'!AJ26</f>
        <v>77220</v>
      </c>
      <c r="AL28" s="2">
        <f>'All Combined Data'!AK26</f>
        <v>18</v>
      </c>
      <c r="AM28" s="2">
        <f>'All Combined Data'!AL26</f>
        <v>650</v>
      </c>
      <c r="AN28" s="2">
        <f>'All Combined Data'!AM26</f>
        <v>36</v>
      </c>
      <c r="AO28" s="2" t="str">
        <f>'All Combined Data'!AN26</f>
        <v>India</v>
      </c>
      <c r="AP28" s="2" t="str">
        <f>'All Combined Data'!AO26</f>
        <v>No</v>
      </c>
      <c r="AQ28" s="2">
        <f>'All Combined Data'!AP26</f>
        <v>3.4</v>
      </c>
      <c r="AR28" s="14">
        <f>'All Combined Data'!AQ26</f>
        <v>45782</v>
      </c>
      <c r="AS28" s="2" t="str">
        <f>'All Combined Data'!AR26</f>
        <v>No</v>
      </c>
      <c r="AT28" s="2">
        <f>'All Combined Data'!AS26</f>
        <v>6261</v>
      </c>
      <c r="AU28" s="2">
        <f>'All Combined Data'!AT26</f>
        <v>138</v>
      </c>
      <c r="AV28" s="2">
        <f>'All Combined Data'!AU26</f>
        <v>138</v>
      </c>
      <c r="AW28" s="2" t="str">
        <f>'All Combined Data'!AV26</f>
        <v/>
      </c>
      <c r="AX28" s="2" t="str">
        <f>'All Combined Data'!AW26</f>
        <v/>
      </c>
      <c r="AY28" s="2" t="str">
        <f>'All Combined Data'!AX26</f>
        <v/>
      </c>
      <c r="AZ28" s="2" t="str">
        <f>'All Combined Data'!AY26</f>
        <v/>
      </c>
      <c r="BA28" s="2" t="str">
        <f>'All Combined Data'!AZ26</f>
        <v/>
      </c>
      <c r="BB28" s="2" t="str">
        <f>'All Combined Data'!BA26</f>
        <v/>
      </c>
      <c r="BC28" s="2" t="str">
        <f>'All Combined Data'!BB26</f>
        <v/>
      </c>
      <c r="BD28" s="2" t="str">
        <f>'All Combined Data'!BC26</f>
        <v/>
      </c>
      <c r="BE28" s="2" t="str">
        <f>'All Combined Data'!BD26</f>
        <v/>
      </c>
      <c r="BF28" s="2" t="str">
        <f>'All Combined Data'!BE26</f>
        <v/>
      </c>
      <c r="BG28" s="2" t="str">
        <f>'All Combined Data'!BF26</f>
        <v/>
      </c>
      <c r="BH28" s="2" t="str">
        <f>'All Combined Data'!BG26</f>
        <v/>
      </c>
      <c r="BI28" s="2" t="str">
        <f>'All Combined Data'!BH26</f>
        <v/>
      </c>
      <c r="BJ28" s="2" t="str">
        <f>'All Combined Data'!BI26</f>
        <v/>
      </c>
      <c r="BK28" s="2" t="str">
        <f>'All Combined Data'!BJ26</f>
        <v/>
      </c>
      <c r="BL28" s="2">
        <f>Combined_data[[#This Row],[Quantity]]*Combined_data[[#This Row],[UnitPrice]]</f>
        <v>308880</v>
      </c>
      <c r="BM28" s="2">
        <f>Combined_data[[#This Row],[TotalAmount]]*(100-Combined_data[[#This Row],[DiscountApplied]])/100</f>
        <v>231243.01199999999</v>
      </c>
      <c r="BN28" s="2">
        <f>Combined_data[[#This Row],[Reveune]]-Combined_data[[#This Row],[Final Amount]]</f>
        <v>77636.988000000012</v>
      </c>
    </row>
    <row r="29" spans="2:66" x14ac:dyDescent="0.3">
      <c r="B29" s="2" t="str">
        <f>'All Combined Data'!A27</f>
        <v>O1026</v>
      </c>
      <c r="C29" s="2" t="str">
        <f>'All Combined Data'!B27</f>
        <v>C084</v>
      </c>
      <c r="D29" s="2" t="str">
        <f>'All Combined Data'!C27</f>
        <v>P161</v>
      </c>
      <c r="E29" s="14">
        <f>'All Combined Data'!D27</f>
        <v>45513</v>
      </c>
      <c r="F29" s="2">
        <f>'All Combined Data'!E27</f>
        <v>4</v>
      </c>
      <c r="G29" s="2">
        <f>'All Combined Data'!F27</f>
        <v>98254</v>
      </c>
      <c r="H29" s="2">
        <f>'All Combined Data'!G27</f>
        <v>196508</v>
      </c>
      <c r="I29" s="2">
        <f>'All Combined Data'!H27</f>
        <v>0.15</v>
      </c>
      <c r="J29" s="2" t="str">
        <f>'All Combined Data'!I27</f>
        <v>UPI</v>
      </c>
      <c r="K29" s="2" t="str">
        <f>'All Combined Data'!J27</f>
        <v>Pending</v>
      </c>
      <c r="L29" s="14">
        <f>'All Combined Data'!K27</f>
        <v>45861</v>
      </c>
      <c r="M29" s="2" t="str">
        <f>'All Combined Data'!L27</f>
        <v>No</v>
      </c>
      <c r="N29" s="2">
        <f>'All Combined Data'!M27</f>
        <v>330</v>
      </c>
      <c r="O29" s="2" t="str">
        <f>'All Combined Data'!N27</f>
        <v>Yes</v>
      </c>
      <c r="P29" s="2" t="str">
        <f>'All Combined Data'!O27</f>
        <v>Yes</v>
      </c>
      <c r="Q29" s="2" t="str">
        <f>'All Combined Data'!P27</f>
        <v>C084</v>
      </c>
      <c r="R29" s="2" t="str">
        <f>'All Combined Data'!Q27</f>
        <v>Amara Narayan</v>
      </c>
      <c r="S29" s="2" t="str">
        <f>'All Combined Data'!R27</f>
        <v>advay45@example.net</v>
      </c>
      <c r="T29" s="2">
        <f>'All Combined Data'!S27</f>
        <v>910174268414</v>
      </c>
      <c r="U29" s="2" t="str">
        <f>'All Combined Data'!T27</f>
        <v>Kolkata</v>
      </c>
      <c r="V29" s="2" t="str">
        <f>'All Combined Data'!U27</f>
        <v>West Bengal</v>
      </c>
      <c r="W29" s="2">
        <f>'All Combined Data'!V27</f>
        <v>933272</v>
      </c>
      <c r="X29" s="2" t="str">
        <f>'All Combined Data'!W27</f>
        <v>Male</v>
      </c>
      <c r="Y29" s="14">
        <f>'All Combined Data'!X27</f>
        <v>33056</v>
      </c>
      <c r="Z29" s="2">
        <f>'All Combined Data'!Y27</f>
        <v>45188</v>
      </c>
      <c r="AA29" s="2" t="str">
        <f>'All Combined Data'!Z27</f>
        <v>Grocery</v>
      </c>
      <c r="AB29" s="2">
        <f>'All Combined Data'!AA27</f>
        <v>5455</v>
      </c>
      <c r="AC29" s="2" t="str">
        <f>'All Combined Data'!AB27</f>
        <v>Married</v>
      </c>
      <c r="AD29" s="2" t="str">
        <f>'All Combined Data'!AC27</f>
        <v>Business</v>
      </c>
      <c r="AE29" s="2">
        <f>'All Combined Data'!AD27</f>
        <v>783546</v>
      </c>
      <c r="AF29" s="2" t="str">
        <f>'All Combined Data'!AE27</f>
        <v>P161</v>
      </c>
      <c r="AG29" s="2" t="str">
        <f>'All Combined Data'!AF27</f>
        <v>Veritatis Washing Machine</v>
      </c>
      <c r="AH29" s="2" t="str">
        <f>'All Combined Data'!AG27</f>
        <v>Electronics</v>
      </c>
      <c r="AI29" s="2" t="str">
        <f>'All Combined Data'!AH27</f>
        <v>Cotton</v>
      </c>
      <c r="AJ29" s="2" t="str">
        <f>'All Combined Data'!AI27</f>
        <v>Deshmukh Group</v>
      </c>
      <c r="AK29" s="2">
        <f>'All Combined Data'!AJ27</f>
        <v>98254</v>
      </c>
      <c r="AL29" s="2">
        <f>'All Combined Data'!AK27</f>
        <v>15</v>
      </c>
      <c r="AM29" s="2">
        <f>'All Combined Data'!AL27</f>
        <v>226</v>
      </c>
      <c r="AN29" s="2">
        <f>'All Combined Data'!AM27</f>
        <v>24</v>
      </c>
      <c r="AO29" s="2" t="str">
        <f>'All Combined Data'!AN27</f>
        <v>China</v>
      </c>
      <c r="AP29" s="2" t="str">
        <f>'All Combined Data'!AO27</f>
        <v>Yes</v>
      </c>
      <c r="AQ29" s="2">
        <f>'All Combined Data'!AP27</f>
        <v>3.8</v>
      </c>
      <c r="AR29" s="14">
        <f>'All Combined Data'!AQ27</f>
        <v>44851</v>
      </c>
      <c r="AS29" s="2" t="str">
        <f>'All Combined Data'!AR27</f>
        <v>Yes</v>
      </c>
      <c r="AT29" s="2">
        <f>'All Combined Data'!AS27</f>
        <v>9694</v>
      </c>
      <c r="AU29" s="2">
        <f>'All Combined Data'!AT27</f>
        <v>54</v>
      </c>
      <c r="AV29" s="2">
        <f>'All Combined Data'!AU27</f>
        <v>54</v>
      </c>
      <c r="AW29" s="2" t="str">
        <f>'All Combined Data'!AV27</f>
        <v>S054</v>
      </c>
      <c r="AX29" s="2" t="str">
        <f>'All Combined Data'!AW27</f>
        <v>Chaudhuri-Nanda Mart</v>
      </c>
      <c r="AY29" s="2" t="str">
        <f>'All Combined Data'!AX27</f>
        <v>Hyderabad</v>
      </c>
      <c r="AZ29" s="2" t="str">
        <f>'All Combined Data'!AY27</f>
        <v>Telangana</v>
      </c>
      <c r="BA29" s="2">
        <f>'All Combined Data'!AZ27</f>
        <v>942843</v>
      </c>
      <c r="BB29" s="2" t="str">
        <f>'All Combined Data'!BA27</f>
        <v>Urishilla Oza</v>
      </c>
      <c r="BC29" s="2">
        <f>'All Combined Data'!BB27</f>
        <v>2004</v>
      </c>
      <c r="BD29" s="2">
        <f>'All Combined Data'!BC27</f>
        <v>79</v>
      </c>
      <c r="BE29" s="2">
        <f>'All Combined Data'!BD27</f>
        <v>4570</v>
      </c>
      <c r="BF29" s="2">
        <f>'All Combined Data'!BE27</f>
        <v>3.3</v>
      </c>
      <c r="BG29" s="2" t="str">
        <f>'All Combined Data'!BF27</f>
        <v>Yes</v>
      </c>
      <c r="BH29" s="2">
        <f>'All Combined Data'!BG27</f>
        <v>4182</v>
      </c>
      <c r="BI29" s="2" t="str">
        <f>'All Combined Data'!BH27</f>
        <v>Franchise</v>
      </c>
      <c r="BJ29" s="2">
        <f>'All Combined Data'!BI27</f>
        <v>2763655647</v>
      </c>
      <c r="BK29" s="2" t="str">
        <f>'All Combined Data'!BJ27</f>
        <v>karankarnik@madan.net</v>
      </c>
      <c r="BL29" s="2">
        <f>Combined_data[[#This Row],[Quantity]]*Combined_data[[#This Row],[UnitPrice]]</f>
        <v>393016</v>
      </c>
      <c r="BM29" s="2">
        <f>Combined_data[[#This Row],[TotalAmount]]*(100-Combined_data[[#This Row],[DiscountApplied]])/100</f>
        <v>196213.23799999998</v>
      </c>
      <c r="BN29" s="2">
        <f>Combined_data[[#This Row],[Reveune]]-Combined_data[[#This Row],[Final Amount]]</f>
        <v>196802.76200000002</v>
      </c>
    </row>
    <row r="30" spans="2:66" x14ac:dyDescent="0.3">
      <c r="B30" s="2" t="str">
        <f>'All Combined Data'!A28</f>
        <v>O1027</v>
      </c>
      <c r="C30" s="2" t="str">
        <f>'All Combined Data'!B28</f>
        <v>C084</v>
      </c>
      <c r="D30" s="2" t="str">
        <f>'All Combined Data'!C28</f>
        <v>P174</v>
      </c>
      <c r="E30" s="14">
        <f>'All Combined Data'!D28</f>
        <v>45765</v>
      </c>
      <c r="F30" s="2">
        <f>'All Combined Data'!E28</f>
        <v>2</v>
      </c>
      <c r="G30" s="2">
        <f>'All Combined Data'!F28</f>
        <v>31171</v>
      </c>
      <c r="H30" s="2">
        <f>'All Combined Data'!G28</f>
        <v>155855</v>
      </c>
      <c r="I30" s="2">
        <f>'All Combined Data'!H28</f>
        <v>0.22</v>
      </c>
      <c r="J30" s="2" t="str">
        <f>'All Combined Data'!I28</f>
        <v>Credit Card</v>
      </c>
      <c r="K30" s="2" t="str">
        <f>'All Combined Data'!J28</f>
        <v>Shipped</v>
      </c>
      <c r="L30" s="14">
        <f>'All Combined Data'!K28</f>
        <v>45868</v>
      </c>
      <c r="M30" s="2" t="str">
        <f>'All Combined Data'!L28</f>
        <v>No</v>
      </c>
      <c r="N30" s="2">
        <f>'All Combined Data'!M28</f>
        <v>451</v>
      </c>
      <c r="O30" s="2" t="str">
        <f>'All Combined Data'!N28</f>
        <v>Yes</v>
      </c>
      <c r="P30" s="2" t="str">
        <f>'All Combined Data'!O28</f>
        <v>Yes</v>
      </c>
      <c r="Q30" s="2" t="str">
        <f>'All Combined Data'!P28</f>
        <v>C084</v>
      </c>
      <c r="R30" s="2" t="str">
        <f>'All Combined Data'!Q28</f>
        <v>Amara Narayan</v>
      </c>
      <c r="S30" s="2" t="str">
        <f>'All Combined Data'!R28</f>
        <v>advay45@example.net</v>
      </c>
      <c r="T30" s="2">
        <f>'All Combined Data'!S28</f>
        <v>910174268414</v>
      </c>
      <c r="U30" s="2" t="str">
        <f>'All Combined Data'!T28</f>
        <v>Kolkata</v>
      </c>
      <c r="V30" s="2" t="str">
        <f>'All Combined Data'!U28</f>
        <v>West Bengal</v>
      </c>
      <c r="W30" s="2">
        <f>'All Combined Data'!V28</f>
        <v>933272</v>
      </c>
      <c r="X30" s="2" t="str">
        <f>'All Combined Data'!W28</f>
        <v>Male</v>
      </c>
      <c r="Y30" s="14">
        <f>'All Combined Data'!X28</f>
        <v>33056</v>
      </c>
      <c r="Z30" s="2">
        <f>'All Combined Data'!Y28</f>
        <v>45188</v>
      </c>
      <c r="AA30" s="2" t="str">
        <f>'All Combined Data'!Z28</f>
        <v>Grocery</v>
      </c>
      <c r="AB30" s="2">
        <f>'All Combined Data'!AA28</f>
        <v>5455</v>
      </c>
      <c r="AC30" s="2" t="str">
        <f>'All Combined Data'!AB28</f>
        <v>Married</v>
      </c>
      <c r="AD30" s="2" t="str">
        <f>'All Combined Data'!AC28</f>
        <v>Business</v>
      </c>
      <c r="AE30" s="2">
        <f>'All Combined Data'!AD28</f>
        <v>783546</v>
      </c>
      <c r="AF30" s="2" t="str">
        <f>'All Combined Data'!AE28</f>
        <v>P174</v>
      </c>
      <c r="AG30" s="2" t="str">
        <f>'All Combined Data'!AF28</f>
        <v>Voluptas Laptop</v>
      </c>
      <c r="AH30" s="2" t="str">
        <f>'All Combined Data'!AG28</f>
        <v>Fashion</v>
      </c>
      <c r="AI30" s="2" t="str">
        <f>'All Combined Data'!AH28</f>
        <v>Android</v>
      </c>
      <c r="AJ30" s="2" t="str">
        <f>'All Combined Data'!AI28</f>
        <v>Mittal and Sons</v>
      </c>
      <c r="AK30" s="2">
        <f>'All Combined Data'!AJ28</f>
        <v>31171</v>
      </c>
      <c r="AL30" s="2">
        <f>'All Combined Data'!AK28</f>
        <v>22</v>
      </c>
      <c r="AM30" s="2">
        <f>'All Combined Data'!AL28</f>
        <v>244</v>
      </c>
      <c r="AN30" s="2">
        <f>'All Combined Data'!AM28</f>
        <v>24</v>
      </c>
      <c r="AO30" s="2" t="str">
        <f>'All Combined Data'!AN28</f>
        <v>Japan</v>
      </c>
      <c r="AP30" s="2" t="str">
        <f>'All Combined Data'!AO28</f>
        <v>Yes</v>
      </c>
      <c r="AQ30" s="2">
        <f>'All Combined Data'!AP28</f>
        <v>3.4</v>
      </c>
      <c r="AR30" s="14">
        <f>'All Combined Data'!AQ28</f>
        <v>45184</v>
      </c>
      <c r="AS30" s="2" t="str">
        <f>'All Combined Data'!AR28</f>
        <v>No</v>
      </c>
      <c r="AT30" s="2">
        <f>'All Combined Data'!AS28</f>
        <v>8565</v>
      </c>
      <c r="AU30" s="2">
        <f>'All Combined Data'!AT28</f>
        <v>112</v>
      </c>
      <c r="AV30" s="2">
        <f>'All Combined Data'!AU28</f>
        <v>112</v>
      </c>
      <c r="AW30" s="2" t="str">
        <f>'All Combined Data'!AV28</f>
        <v/>
      </c>
      <c r="AX30" s="2" t="str">
        <f>'All Combined Data'!AW28</f>
        <v/>
      </c>
      <c r="AY30" s="2" t="str">
        <f>'All Combined Data'!AX28</f>
        <v/>
      </c>
      <c r="AZ30" s="2" t="str">
        <f>'All Combined Data'!AY28</f>
        <v/>
      </c>
      <c r="BA30" s="2" t="str">
        <f>'All Combined Data'!AZ28</f>
        <v/>
      </c>
      <c r="BB30" s="2" t="str">
        <f>'All Combined Data'!BA28</f>
        <v/>
      </c>
      <c r="BC30" s="2" t="str">
        <f>'All Combined Data'!BB28</f>
        <v/>
      </c>
      <c r="BD30" s="2" t="str">
        <f>'All Combined Data'!BC28</f>
        <v/>
      </c>
      <c r="BE30" s="2" t="str">
        <f>'All Combined Data'!BD28</f>
        <v/>
      </c>
      <c r="BF30" s="2" t="str">
        <f>'All Combined Data'!BE28</f>
        <v/>
      </c>
      <c r="BG30" s="2" t="str">
        <f>'All Combined Data'!BF28</f>
        <v/>
      </c>
      <c r="BH30" s="2" t="str">
        <f>'All Combined Data'!BG28</f>
        <v/>
      </c>
      <c r="BI30" s="2" t="str">
        <f>'All Combined Data'!BH28</f>
        <v/>
      </c>
      <c r="BJ30" s="2" t="str">
        <f>'All Combined Data'!BI28</f>
        <v/>
      </c>
      <c r="BK30" s="2" t="str">
        <f>'All Combined Data'!BJ28</f>
        <v/>
      </c>
      <c r="BL30" s="2">
        <f>Combined_data[[#This Row],[Quantity]]*Combined_data[[#This Row],[UnitPrice]]</f>
        <v>62342</v>
      </c>
      <c r="BM30" s="2">
        <f>Combined_data[[#This Row],[TotalAmount]]*(100-Combined_data[[#This Row],[DiscountApplied]])/100</f>
        <v>155512.11900000001</v>
      </c>
      <c r="BN30" s="2">
        <f>Combined_data[[#This Row],[Reveune]]-Combined_data[[#This Row],[Final Amount]]</f>
        <v>-93170.119000000006</v>
      </c>
    </row>
    <row r="31" spans="2:66" x14ac:dyDescent="0.3">
      <c r="B31" s="2" t="str">
        <f>'All Combined Data'!A29</f>
        <v>O1028</v>
      </c>
      <c r="C31" s="2" t="str">
        <f>'All Combined Data'!B29</f>
        <v>C051</v>
      </c>
      <c r="D31" s="2" t="str">
        <f>'All Combined Data'!C29</f>
        <v>P164</v>
      </c>
      <c r="E31" s="14">
        <f>'All Combined Data'!D29</f>
        <v>45732</v>
      </c>
      <c r="F31" s="2">
        <f>'All Combined Data'!E29</f>
        <v>2</v>
      </c>
      <c r="G31" s="2">
        <f>'All Combined Data'!F29</f>
        <v>61962</v>
      </c>
      <c r="H31" s="2">
        <f>'All Combined Data'!G29</f>
        <v>185886</v>
      </c>
      <c r="I31" s="2">
        <f>'All Combined Data'!H29</f>
        <v>0.19</v>
      </c>
      <c r="J31" s="2" t="str">
        <f>'All Combined Data'!I29</f>
        <v>Credit Card</v>
      </c>
      <c r="K31" s="2" t="str">
        <f>'All Combined Data'!J29</f>
        <v>Delivered</v>
      </c>
      <c r="L31" s="14">
        <f>'All Combined Data'!K29</f>
        <v>45856</v>
      </c>
      <c r="M31" s="2" t="str">
        <f>'All Combined Data'!L29</f>
        <v>No</v>
      </c>
      <c r="N31" s="2">
        <f>'All Combined Data'!M29</f>
        <v>290</v>
      </c>
      <c r="O31" s="2" t="str">
        <f>'All Combined Data'!N29</f>
        <v>Yes</v>
      </c>
      <c r="P31" s="2" t="str">
        <f>'All Combined Data'!O29</f>
        <v>No</v>
      </c>
      <c r="Q31" s="2" t="str">
        <f>'All Combined Data'!P29</f>
        <v>C051</v>
      </c>
      <c r="R31" s="2" t="str">
        <f>'All Combined Data'!Q29</f>
        <v>Nandini Boase</v>
      </c>
      <c r="S31" s="2" t="str">
        <f>'All Combined Data'!R29</f>
        <v>azaanchand@example.net</v>
      </c>
      <c r="T31" s="2">
        <f>'All Combined Data'!S29</f>
        <v>3667525459</v>
      </c>
      <c r="U31" s="2" t="str">
        <f>'All Combined Data'!T29</f>
        <v>Delhi</v>
      </c>
      <c r="V31" s="2" t="str">
        <f>'All Combined Data'!U29</f>
        <v>Delhi</v>
      </c>
      <c r="W31" s="2">
        <f>'All Combined Data'!V29</f>
        <v>22901</v>
      </c>
      <c r="X31" s="2" t="str">
        <f>'All Combined Data'!W29</f>
        <v>Female</v>
      </c>
      <c r="Y31" s="14">
        <f>'All Combined Data'!X29</f>
        <v>28511</v>
      </c>
      <c r="Z31" s="2">
        <f>'All Combined Data'!Y29</f>
        <v>45404</v>
      </c>
      <c r="AA31" s="2" t="str">
        <f>'All Combined Data'!Z29</f>
        <v>Home Appliance</v>
      </c>
      <c r="AB31" s="2">
        <f>'All Combined Data'!AA29</f>
        <v>7141</v>
      </c>
      <c r="AC31" s="2" t="str">
        <f>'All Combined Data'!AB29</f>
        <v>Single</v>
      </c>
      <c r="AD31" s="2" t="str">
        <f>'All Combined Data'!AC29</f>
        <v>Engineer</v>
      </c>
      <c r="AE31" s="2">
        <f>'All Combined Data'!AD29</f>
        <v>846464</v>
      </c>
      <c r="AF31" s="2" t="str">
        <f>'All Combined Data'!AE29</f>
        <v>P164</v>
      </c>
      <c r="AG31" s="2" t="str">
        <f>'All Combined Data'!AF29</f>
        <v>Repellat Washing Machine</v>
      </c>
      <c r="AH31" s="2" t="str">
        <f>'All Combined Data'!AG29</f>
        <v>Home Appliance</v>
      </c>
      <c r="AI31" s="2" t="str">
        <f>'All Combined Data'!AH29</f>
        <v>LED</v>
      </c>
      <c r="AJ31" s="2" t="str">
        <f>'All Combined Data'!AI29</f>
        <v>Luthra, Sachdeva and Prashad</v>
      </c>
      <c r="AK31" s="2">
        <f>'All Combined Data'!AJ29</f>
        <v>61962</v>
      </c>
      <c r="AL31" s="2">
        <f>'All Combined Data'!AK29</f>
        <v>19</v>
      </c>
      <c r="AM31" s="2">
        <f>'All Combined Data'!AL29</f>
        <v>646</v>
      </c>
      <c r="AN31" s="2">
        <f>'All Combined Data'!AM29</f>
        <v>24</v>
      </c>
      <c r="AO31" s="2" t="str">
        <f>'All Combined Data'!AN29</f>
        <v>Vietnam</v>
      </c>
      <c r="AP31" s="2" t="str">
        <f>'All Combined Data'!AO29</f>
        <v>Yes</v>
      </c>
      <c r="AQ31" s="2">
        <f>'All Combined Data'!AP29</f>
        <v>3.4</v>
      </c>
      <c r="AR31" s="14">
        <f>'All Combined Data'!AQ29</f>
        <v>45461</v>
      </c>
      <c r="AS31" s="2" t="str">
        <f>'All Combined Data'!AR29</f>
        <v>Yes</v>
      </c>
      <c r="AT31" s="2">
        <f>'All Combined Data'!AS29</f>
        <v>6086</v>
      </c>
      <c r="AU31" s="2">
        <f>'All Combined Data'!AT29</f>
        <v>26</v>
      </c>
      <c r="AV31" s="2">
        <f>'All Combined Data'!AU29</f>
        <v>26</v>
      </c>
      <c r="AW31" s="2" t="str">
        <f>'All Combined Data'!AV29</f>
        <v>S026</v>
      </c>
      <c r="AX31" s="2" t="str">
        <f>'All Combined Data'!AW29</f>
        <v>Sarma, Golla and Raghavan Mart</v>
      </c>
      <c r="AY31" s="2" t="str">
        <f>'All Combined Data'!AX29</f>
        <v>Hyderabad</v>
      </c>
      <c r="AZ31" s="2" t="str">
        <f>'All Combined Data'!AY29</f>
        <v>Telangana</v>
      </c>
      <c r="BA31" s="2">
        <f>'All Combined Data'!AZ29</f>
        <v>902771</v>
      </c>
      <c r="BB31" s="2" t="str">
        <f>'All Combined Data'!BA29</f>
        <v>Ridhi Batra</v>
      </c>
      <c r="BC31" s="2">
        <f>'All Combined Data'!BB29</f>
        <v>2008</v>
      </c>
      <c r="BD31" s="2">
        <f>'All Combined Data'!BC29</f>
        <v>87</v>
      </c>
      <c r="BE31" s="2">
        <f>'All Combined Data'!BD29</f>
        <v>3760</v>
      </c>
      <c r="BF31" s="2">
        <f>'All Combined Data'!BE29</f>
        <v>3.5</v>
      </c>
      <c r="BG31" s="2" t="str">
        <f>'All Combined Data'!BF29</f>
        <v>No</v>
      </c>
      <c r="BH31" s="2">
        <f>'All Combined Data'!BG29</f>
        <v>719</v>
      </c>
      <c r="BI31" s="2" t="str">
        <f>'All Combined Data'!BH29</f>
        <v>Outlet</v>
      </c>
      <c r="BJ31" s="2">
        <f>'All Combined Data'!BI29</f>
        <v>914508993588</v>
      </c>
      <c r="BK31" s="2" t="str">
        <f>'All Combined Data'!BJ29</f>
        <v>santyuvraj@pal-rajan.com</v>
      </c>
      <c r="BL31" s="2">
        <f>Combined_data[[#This Row],[Quantity]]*Combined_data[[#This Row],[UnitPrice]]</f>
        <v>123924</v>
      </c>
      <c r="BM31" s="2">
        <f>Combined_data[[#This Row],[TotalAmount]]*(100-Combined_data[[#This Row],[DiscountApplied]])/100</f>
        <v>185532.81659999999</v>
      </c>
      <c r="BN31" s="2">
        <f>Combined_data[[#This Row],[Reveune]]-Combined_data[[#This Row],[Final Amount]]</f>
        <v>-61608.816599999991</v>
      </c>
    </row>
    <row r="32" spans="2:66" x14ac:dyDescent="0.3">
      <c r="B32" s="2" t="str">
        <f>'All Combined Data'!A30</f>
        <v>O1029</v>
      </c>
      <c r="C32" s="2" t="str">
        <f>'All Combined Data'!B30</f>
        <v>C037</v>
      </c>
      <c r="D32" s="2" t="str">
        <f>'All Combined Data'!C30</f>
        <v>P159</v>
      </c>
      <c r="E32" s="14">
        <f>'All Combined Data'!D30</f>
        <v>45681</v>
      </c>
      <c r="F32" s="2">
        <f>'All Combined Data'!E30</f>
        <v>5</v>
      </c>
      <c r="G32" s="2">
        <f>'All Combined Data'!F30</f>
        <v>41533</v>
      </c>
      <c r="H32" s="2">
        <f>'All Combined Data'!G30</f>
        <v>207665</v>
      </c>
      <c r="I32" s="2">
        <f>'All Combined Data'!H30</f>
        <v>0.23</v>
      </c>
      <c r="J32" s="2" t="str">
        <f>'All Combined Data'!I30</f>
        <v>Net Banking</v>
      </c>
      <c r="K32" s="2" t="str">
        <f>'All Combined Data'!J30</f>
        <v>Shipped</v>
      </c>
      <c r="L32" s="14">
        <f>'All Combined Data'!K30</f>
        <v>45866</v>
      </c>
      <c r="M32" s="2" t="str">
        <f>'All Combined Data'!L30</f>
        <v>No</v>
      </c>
      <c r="N32" s="2">
        <f>'All Combined Data'!M30</f>
        <v>139</v>
      </c>
      <c r="O32" s="2" t="str">
        <f>'All Combined Data'!N30</f>
        <v>Yes</v>
      </c>
      <c r="P32" s="2" t="str">
        <f>'All Combined Data'!O30</f>
        <v>Yes</v>
      </c>
      <c r="Q32" s="2" t="str">
        <f>'All Combined Data'!P30</f>
        <v>C037</v>
      </c>
      <c r="R32" s="2" t="str">
        <f>'All Combined Data'!Q30</f>
        <v>Ekanta Gulati</v>
      </c>
      <c r="S32" s="2" t="str">
        <f>'All Combined Data'!R30</f>
        <v>leelakaur@example.com</v>
      </c>
      <c r="T32" s="2">
        <f>'All Combined Data'!S30</f>
        <v>915766270289</v>
      </c>
      <c r="U32" s="2" t="str">
        <f>'All Combined Data'!T30</f>
        <v>Ahmedabad</v>
      </c>
      <c r="V32" s="2" t="str">
        <f>'All Combined Data'!U30</f>
        <v>Gujarat</v>
      </c>
      <c r="W32" s="2">
        <f>'All Combined Data'!V30</f>
        <v>171870</v>
      </c>
      <c r="X32" s="2" t="str">
        <f>'All Combined Data'!W30</f>
        <v>Male</v>
      </c>
      <c r="Y32" s="14">
        <f>'All Combined Data'!X30</f>
        <v>25331</v>
      </c>
      <c r="Z32" s="2">
        <f>'All Combined Data'!Y30</f>
        <v>45301</v>
      </c>
      <c r="AA32" s="2" t="str">
        <f>'All Combined Data'!Z30</f>
        <v>Home Appliance</v>
      </c>
      <c r="AB32" s="2">
        <f>'All Combined Data'!AA30</f>
        <v>4961</v>
      </c>
      <c r="AC32" s="2" t="str">
        <f>'All Combined Data'!AB30</f>
        <v>Single</v>
      </c>
      <c r="AD32" s="2" t="str">
        <f>'All Combined Data'!AC30</f>
        <v>Engineer</v>
      </c>
      <c r="AE32" s="2">
        <f>'All Combined Data'!AD30</f>
        <v>1414629</v>
      </c>
      <c r="AF32" s="2" t="str">
        <f>'All Combined Data'!AE30</f>
        <v>P159</v>
      </c>
      <c r="AG32" s="2" t="str">
        <f>'All Combined Data'!AF30</f>
        <v>Laudantium Washing Machine</v>
      </c>
      <c r="AH32" s="2" t="str">
        <f>'All Combined Data'!AG30</f>
        <v>Electronics</v>
      </c>
      <c r="AI32" s="2" t="str">
        <f>'All Combined Data'!AH30</f>
        <v>LED</v>
      </c>
      <c r="AJ32" s="2" t="str">
        <f>'All Combined Data'!AI30</f>
        <v>Mand, Yohannan and Ganguly</v>
      </c>
      <c r="AK32" s="2">
        <f>'All Combined Data'!AJ30</f>
        <v>41533</v>
      </c>
      <c r="AL32" s="2">
        <f>'All Combined Data'!AK30</f>
        <v>23</v>
      </c>
      <c r="AM32" s="2">
        <f>'All Combined Data'!AL30</f>
        <v>439</v>
      </c>
      <c r="AN32" s="2">
        <f>'All Combined Data'!AM30</f>
        <v>36</v>
      </c>
      <c r="AO32" s="2" t="str">
        <f>'All Combined Data'!AN30</f>
        <v>Japan</v>
      </c>
      <c r="AP32" s="2" t="str">
        <f>'All Combined Data'!AO30</f>
        <v>No</v>
      </c>
      <c r="AQ32" s="2">
        <f>'All Combined Data'!AP30</f>
        <v>2.8</v>
      </c>
      <c r="AR32" s="14">
        <f>'All Combined Data'!AQ30</f>
        <v>45261</v>
      </c>
      <c r="AS32" s="2" t="str">
        <f>'All Combined Data'!AR30</f>
        <v>Yes</v>
      </c>
      <c r="AT32" s="2">
        <f>'All Combined Data'!AS30</f>
        <v>6322</v>
      </c>
      <c r="AU32" s="2">
        <f>'All Combined Data'!AT30</f>
        <v>195</v>
      </c>
      <c r="AV32" s="2">
        <f>'All Combined Data'!AU30</f>
        <v>195</v>
      </c>
      <c r="AW32" s="2" t="str">
        <f>'All Combined Data'!AV30</f>
        <v/>
      </c>
      <c r="AX32" s="2" t="str">
        <f>'All Combined Data'!AW30</f>
        <v/>
      </c>
      <c r="AY32" s="2" t="str">
        <f>'All Combined Data'!AX30</f>
        <v/>
      </c>
      <c r="AZ32" s="2" t="str">
        <f>'All Combined Data'!AY30</f>
        <v/>
      </c>
      <c r="BA32" s="2" t="str">
        <f>'All Combined Data'!AZ30</f>
        <v/>
      </c>
      <c r="BB32" s="2" t="str">
        <f>'All Combined Data'!BA30</f>
        <v/>
      </c>
      <c r="BC32" s="2" t="str">
        <f>'All Combined Data'!BB30</f>
        <v/>
      </c>
      <c r="BD32" s="2" t="str">
        <f>'All Combined Data'!BC30</f>
        <v/>
      </c>
      <c r="BE32" s="2" t="str">
        <f>'All Combined Data'!BD30</f>
        <v/>
      </c>
      <c r="BF32" s="2" t="str">
        <f>'All Combined Data'!BE30</f>
        <v/>
      </c>
      <c r="BG32" s="2" t="str">
        <f>'All Combined Data'!BF30</f>
        <v/>
      </c>
      <c r="BH32" s="2" t="str">
        <f>'All Combined Data'!BG30</f>
        <v/>
      </c>
      <c r="BI32" s="2" t="str">
        <f>'All Combined Data'!BH30</f>
        <v/>
      </c>
      <c r="BJ32" s="2" t="str">
        <f>'All Combined Data'!BI30</f>
        <v/>
      </c>
      <c r="BK32" s="2" t="str">
        <f>'All Combined Data'!BJ30</f>
        <v/>
      </c>
      <c r="BL32" s="2">
        <f>Combined_data[[#This Row],[Quantity]]*Combined_data[[#This Row],[UnitPrice]]</f>
        <v>207665</v>
      </c>
      <c r="BM32" s="2">
        <f>Combined_data[[#This Row],[TotalAmount]]*(100-Combined_data[[#This Row],[DiscountApplied]])/100</f>
        <v>207187.37050000002</v>
      </c>
      <c r="BN32" s="2">
        <f>Combined_data[[#This Row],[Reveune]]-Combined_data[[#This Row],[Final Amount]]</f>
        <v>477.62949999998091</v>
      </c>
    </row>
    <row r="33" spans="2:66" x14ac:dyDescent="0.3">
      <c r="B33" s="2" t="str">
        <f>'All Combined Data'!A31</f>
        <v>O1030</v>
      </c>
      <c r="C33" s="2" t="str">
        <f>'All Combined Data'!B31</f>
        <v>C043</v>
      </c>
      <c r="D33" s="2" t="str">
        <f>'All Combined Data'!C31</f>
        <v>P121</v>
      </c>
      <c r="E33" s="14">
        <f>'All Combined Data'!D31</f>
        <v>45687</v>
      </c>
      <c r="F33" s="2">
        <f>'All Combined Data'!E31</f>
        <v>4</v>
      </c>
      <c r="G33" s="2">
        <f>'All Combined Data'!F31</f>
        <v>25227</v>
      </c>
      <c r="H33" s="2">
        <f>'All Combined Data'!G31</f>
        <v>75681</v>
      </c>
      <c r="I33" s="2">
        <f>'All Combined Data'!H31</f>
        <v>0.27</v>
      </c>
      <c r="J33" s="2" t="str">
        <f>'All Combined Data'!I31</f>
        <v>Debit Card</v>
      </c>
      <c r="K33" s="2" t="str">
        <f>'All Combined Data'!J31</f>
        <v>Delivered</v>
      </c>
      <c r="L33" s="14">
        <f>'All Combined Data'!K31</f>
        <v>45863</v>
      </c>
      <c r="M33" s="2" t="str">
        <f>'All Combined Data'!L31</f>
        <v>No</v>
      </c>
      <c r="N33" s="2">
        <f>'All Combined Data'!M31</f>
        <v>404</v>
      </c>
      <c r="O33" s="2" t="str">
        <f>'All Combined Data'!N31</f>
        <v>No</v>
      </c>
      <c r="P33" s="2" t="str">
        <f>'All Combined Data'!O31</f>
        <v>Yes</v>
      </c>
      <c r="Q33" s="2" t="str">
        <f>'All Combined Data'!P31</f>
        <v>C043</v>
      </c>
      <c r="R33" s="2" t="str">
        <f>'All Combined Data'!Q31</f>
        <v>Jatin Sha</v>
      </c>
      <c r="S33" s="2" t="str">
        <f>'All Combined Data'!R31</f>
        <v>adweta96@example.net</v>
      </c>
      <c r="T33" s="2">
        <f>'All Combined Data'!S31</f>
        <v>1370985931</v>
      </c>
      <c r="U33" s="2" t="str">
        <f>'All Combined Data'!T31</f>
        <v>Kolkata</v>
      </c>
      <c r="V33" s="2" t="str">
        <f>'All Combined Data'!U31</f>
        <v>West Bengal</v>
      </c>
      <c r="W33" s="2">
        <f>'All Combined Data'!V31</f>
        <v>461200</v>
      </c>
      <c r="X33" s="2" t="str">
        <f>'All Combined Data'!W31</f>
        <v>Male</v>
      </c>
      <c r="Y33" s="14">
        <f>'All Combined Data'!X31</f>
        <v>29313</v>
      </c>
      <c r="Z33" s="2">
        <f>'All Combined Data'!Y31</f>
        <v>45558</v>
      </c>
      <c r="AA33" s="2" t="str">
        <f>'All Combined Data'!Z31</f>
        <v>Electronics</v>
      </c>
      <c r="AB33" s="2">
        <f>'All Combined Data'!AA31</f>
        <v>7608</v>
      </c>
      <c r="AC33" s="2" t="str">
        <f>'All Combined Data'!AB31</f>
        <v>Single</v>
      </c>
      <c r="AD33" s="2" t="str">
        <f>'All Combined Data'!AC31</f>
        <v>Engineer</v>
      </c>
      <c r="AE33" s="2">
        <f>'All Combined Data'!AD31</f>
        <v>1327501</v>
      </c>
      <c r="AF33" s="2" t="str">
        <f>'All Combined Data'!AE31</f>
        <v>P121</v>
      </c>
      <c r="AG33" s="2" t="str">
        <f>'All Combined Data'!AF31</f>
        <v>Quas Washing Machine</v>
      </c>
      <c r="AH33" s="2" t="str">
        <f>'All Combined Data'!AG31</f>
        <v>Grocery</v>
      </c>
      <c r="AI33" s="2" t="str">
        <f>'All Combined Data'!AH31</f>
        <v>Cotton</v>
      </c>
      <c r="AJ33" s="2" t="str">
        <f>'All Combined Data'!AI31</f>
        <v>Kant, Sehgal and Prasad</v>
      </c>
      <c r="AK33" s="2">
        <f>'All Combined Data'!AJ31</f>
        <v>25227</v>
      </c>
      <c r="AL33" s="2">
        <f>'All Combined Data'!AK31</f>
        <v>27</v>
      </c>
      <c r="AM33" s="2">
        <f>'All Combined Data'!AL31</f>
        <v>244</v>
      </c>
      <c r="AN33" s="2">
        <f>'All Combined Data'!AM31</f>
        <v>36</v>
      </c>
      <c r="AO33" s="2" t="str">
        <f>'All Combined Data'!AN31</f>
        <v>China</v>
      </c>
      <c r="AP33" s="2" t="str">
        <f>'All Combined Data'!AO31</f>
        <v>No</v>
      </c>
      <c r="AQ33" s="2">
        <f>'All Combined Data'!AP31</f>
        <v>2.6</v>
      </c>
      <c r="AR33" s="14">
        <f>'All Combined Data'!AQ31</f>
        <v>45366</v>
      </c>
      <c r="AS33" s="2" t="str">
        <f>'All Combined Data'!AR31</f>
        <v>No</v>
      </c>
      <c r="AT33" s="2">
        <f>'All Combined Data'!AS31</f>
        <v>7247</v>
      </c>
      <c r="AU33" s="2">
        <f>'All Combined Data'!AT31</f>
        <v>147</v>
      </c>
      <c r="AV33" s="2">
        <f>'All Combined Data'!AU31</f>
        <v>147</v>
      </c>
      <c r="AW33" s="2" t="str">
        <f>'All Combined Data'!AV31</f>
        <v/>
      </c>
      <c r="AX33" s="2" t="str">
        <f>'All Combined Data'!AW31</f>
        <v/>
      </c>
      <c r="AY33" s="2" t="str">
        <f>'All Combined Data'!AX31</f>
        <v/>
      </c>
      <c r="AZ33" s="2" t="str">
        <f>'All Combined Data'!AY31</f>
        <v/>
      </c>
      <c r="BA33" s="2" t="str">
        <f>'All Combined Data'!AZ31</f>
        <v/>
      </c>
      <c r="BB33" s="2" t="str">
        <f>'All Combined Data'!BA31</f>
        <v/>
      </c>
      <c r="BC33" s="2" t="str">
        <f>'All Combined Data'!BB31</f>
        <v/>
      </c>
      <c r="BD33" s="2" t="str">
        <f>'All Combined Data'!BC31</f>
        <v/>
      </c>
      <c r="BE33" s="2" t="str">
        <f>'All Combined Data'!BD31</f>
        <v/>
      </c>
      <c r="BF33" s="2" t="str">
        <f>'All Combined Data'!BE31</f>
        <v/>
      </c>
      <c r="BG33" s="2" t="str">
        <f>'All Combined Data'!BF31</f>
        <v/>
      </c>
      <c r="BH33" s="2" t="str">
        <f>'All Combined Data'!BG31</f>
        <v/>
      </c>
      <c r="BI33" s="2" t="str">
        <f>'All Combined Data'!BH31</f>
        <v/>
      </c>
      <c r="BJ33" s="2" t="str">
        <f>'All Combined Data'!BI31</f>
        <v/>
      </c>
      <c r="BK33" s="2" t="str">
        <f>'All Combined Data'!BJ31</f>
        <v/>
      </c>
      <c r="BL33" s="2">
        <f>Combined_data[[#This Row],[Quantity]]*Combined_data[[#This Row],[UnitPrice]]</f>
        <v>100908</v>
      </c>
      <c r="BM33" s="2">
        <f>Combined_data[[#This Row],[TotalAmount]]*(100-Combined_data[[#This Row],[DiscountApplied]])/100</f>
        <v>75476.661299999992</v>
      </c>
      <c r="BN33" s="2">
        <f>Combined_data[[#This Row],[Reveune]]-Combined_data[[#This Row],[Final Amount]]</f>
        <v>25431.338700000008</v>
      </c>
    </row>
    <row r="34" spans="2:66" x14ac:dyDescent="0.3">
      <c r="B34" s="2" t="str">
        <f>'All Combined Data'!A32</f>
        <v>O1031</v>
      </c>
      <c r="C34" s="2" t="str">
        <f>'All Combined Data'!B32</f>
        <v>C023</v>
      </c>
      <c r="D34" s="2" t="str">
        <f>'All Combined Data'!C32</f>
        <v>P179</v>
      </c>
      <c r="E34" s="14">
        <f>'All Combined Data'!D32</f>
        <v>45510</v>
      </c>
      <c r="F34" s="2">
        <f>'All Combined Data'!E32</f>
        <v>4</v>
      </c>
      <c r="G34" s="2">
        <f>'All Combined Data'!F32</f>
        <v>59299</v>
      </c>
      <c r="H34" s="2">
        <f>'All Combined Data'!G32</f>
        <v>237196</v>
      </c>
      <c r="I34" s="2">
        <f>'All Combined Data'!H32</f>
        <v>0.24</v>
      </c>
      <c r="J34" s="2" t="str">
        <f>'All Combined Data'!I32</f>
        <v>Cash on Delivery</v>
      </c>
      <c r="K34" s="2" t="str">
        <f>'All Combined Data'!J32</f>
        <v>Pending</v>
      </c>
      <c r="L34" s="14">
        <f>'All Combined Data'!K32</f>
        <v>45867</v>
      </c>
      <c r="M34" s="2" t="str">
        <f>'All Combined Data'!L32</f>
        <v>Yes</v>
      </c>
      <c r="N34" s="2">
        <f>'All Combined Data'!M32</f>
        <v>205</v>
      </c>
      <c r="O34" s="2" t="str">
        <f>'All Combined Data'!N32</f>
        <v>Yes</v>
      </c>
      <c r="P34" s="2" t="str">
        <f>'All Combined Data'!O32</f>
        <v>Yes</v>
      </c>
      <c r="Q34" s="2" t="str">
        <f>'All Combined Data'!P32</f>
        <v>C023</v>
      </c>
      <c r="R34" s="2" t="str">
        <f>'All Combined Data'!Q32</f>
        <v>Fiyaz Sangha</v>
      </c>
      <c r="S34" s="2" t="str">
        <f>'All Combined Data'!R32</f>
        <v>triyagopal@example.org</v>
      </c>
      <c r="T34" s="2">
        <f>'All Combined Data'!S32</f>
        <v>6537556464</v>
      </c>
      <c r="U34" s="2" t="str">
        <f>'All Combined Data'!T32</f>
        <v>Ahmedabad</v>
      </c>
      <c r="V34" s="2" t="str">
        <f>'All Combined Data'!U32</f>
        <v>Gujarat</v>
      </c>
      <c r="W34" s="2">
        <f>'All Combined Data'!V32</f>
        <v>708053</v>
      </c>
      <c r="X34" s="2" t="str">
        <f>'All Combined Data'!W32</f>
        <v>Male</v>
      </c>
      <c r="Y34" s="14">
        <f>'All Combined Data'!X32</f>
        <v>37907</v>
      </c>
      <c r="Z34" s="2">
        <f>'All Combined Data'!Y32</f>
        <v>44241</v>
      </c>
      <c r="AA34" s="2" t="str">
        <f>'All Combined Data'!Z32</f>
        <v>Home Appliance</v>
      </c>
      <c r="AB34" s="2">
        <f>'All Combined Data'!AA32</f>
        <v>2203</v>
      </c>
      <c r="AC34" s="2" t="str">
        <f>'All Combined Data'!AB32</f>
        <v>Married</v>
      </c>
      <c r="AD34" s="2" t="str">
        <f>'All Combined Data'!AC32</f>
        <v>Student</v>
      </c>
      <c r="AE34" s="2">
        <f>'All Combined Data'!AD32</f>
        <v>546296</v>
      </c>
      <c r="AF34" s="2" t="str">
        <f>'All Combined Data'!AE32</f>
        <v>P179</v>
      </c>
      <c r="AG34" s="2" t="str">
        <f>'All Combined Data'!AF32</f>
        <v>Delectus Laptop</v>
      </c>
      <c r="AH34" s="2" t="str">
        <f>'All Combined Data'!AG32</f>
        <v>Home Appliance</v>
      </c>
      <c r="AI34" s="2" t="str">
        <f>'All Combined Data'!AH32</f>
        <v>Android</v>
      </c>
      <c r="AJ34" s="2" t="str">
        <f>'All Combined Data'!AI32</f>
        <v>Kara, Venkataraman and Saxena</v>
      </c>
      <c r="AK34" s="2">
        <f>'All Combined Data'!AJ32</f>
        <v>59299</v>
      </c>
      <c r="AL34" s="2">
        <f>'All Combined Data'!AK32</f>
        <v>24</v>
      </c>
      <c r="AM34" s="2">
        <f>'All Combined Data'!AL32</f>
        <v>5</v>
      </c>
      <c r="AN34" s="2">
        <f>'All Combined Data'!AM32</f>
        <v>6</v>
      </c>
      <c r="AO34" s="2" t="str">
        <f>'All Combined Data'!AN32</f>
        <v>India</v>
      </c>
      <c r="AP34" s="2" t="str">
        <f>'All Combined Data'!AO32</f>
        <v>No</v>
      </c>
      <c r="AQ34" s="2">
        <f>'All Combined Data'!AP32</f>
        <v>3</v>
      </c>
      <c r="AR34" s="14">
        <f>'All Combined Data'!AQ32</f>
        <v>44773</v>
      </c>
      <c r="AS34" s="2" t="str">
        <f>'All Combined Data'!AR32</f>
        <v>Yes</v>
      </c>
      <c r="AT34" s="2">
        <f>'All Combined Data'!AS32</f>
        <v>9992</v>
      </c>
      <c r="AU34" s="2">
        <f>'All Combined Data'!AT32</f>
        <v>88</v>
      </c>
      <c r="AV34" s="2">
        <f>'All Combined Data'!AU32</f>
        <v>88</v>
      </c>
      <c r="AW34" s="2" t="str">
        <f>'All Combined Data'!AV32</f>
        <v>S088</v>
      </c>
      <c r="AX34" s="2" t="str">
        <f>'All Combined Data'!AW32</f>
        <v>Muni Ltd Mart</v>
      </c>
      <c r="AY34" s="2" t="str">
        <f>'All Combined Data'!AX32</f>
        <v>Delhi</v>
      </c>
      <c r="AZ34" s="2" t="str">
        <f>'All Combined Data'!AY32</f>
        <v>Delhi</v>
      </c>
      <c r="BA34" s="2">
        <f>'All Combined Data'!AZ32</f>
        <v>533448</v>
      </c>
      <c r="BB34" s="2" t="str">
        <f>'All Combined Data'!BA32</f>
        <v>Ridhi Dalal</v>
      </c>
      <c r="BC34" s="2">
        <f>'All Combined Data'!BB32</f>
        <v>2003</v>
      </c>
      <c r="BD34" s="2">
        <f>'All Combined Data'!BC32</f>
        <v>47</v>
      </c>
      <c r="BE34" s="2">
        <f>'All Combined Data'!BD32</f>
        <v>7735</v>
      </c>
      <c r="BF34" s="2">
        <f>'All Combined Data'!BE32</f>
        <v>4.9000000000000004</v>
      </c>
      <c r="BG34" s="2" t="str">
        <f>'All Combined Data'!BF32</f>
        <v>No</v>
      </c>
      <c r="BH34" s="2">
        <f>'All Combined Data'!BG32</f>
        <v>4924</v>
      </c>
      <c r="BI34" s="2" t="str">
        <f>'All Combined Data'!BH32</f>
        <v>Franchise</v>
      </c>
      <c r="BJ34" s="2">
        <f>'All Combined Data'!BI32</f>
        <v>2241098813</v>
      </c>
      <c r="BK34" s="2" t="str">
        <f>'All Combined Data'!BJ32</f>
        <v>eiravati42@mander.com</v>
      </c>
      <c r="BL34" s="2">
        <f>Combined_data[[#This Row],[Quantity]]*Combined_data[[#This Row],[UnitPrice]]</f>
        <v>237196</v>
      </c>
      <c r="BM34" s="2">
        <f>Combined_data[[#This Row],[TotalAmount]]*(100-Combined_data[[#This Row],[DiscountApplied]])/100</f>
        <v>236626.72960000002</v>
      </c>
      <c r="BN34" s="2">
        <f>Combined_data[[#This Row],[Reveune]]-Combined_data[[#This Row],[Final Amount]]</f>
        <v>569.27039999997942</v>
      </c>
    </row>
    <row r="35" spans="2:66" x14ac:dyDescent="0.3">
      <c r="B35" s="2" t="str">
        <f>'All Combined Data'!A33</f>
        <v>O1032</v>
      </c>
      <c r="C35" s="2" t="str">
        <f>'All Combined Data'!B33</f>
        <v>C018</v>
      </c>
      <c r="D35" s="2" t="str">
        <f>'All Combined Data'!C33</f>
        <v>P162</v>
      </c>
      <c r="E35" s="14">
        <f>'All Combined Data'!D33</f>
        <v>45822</v>
      </c>
      <c r="F35" s="2">
        <f>'All Combined Data'!E33</f>
        <v>3</v>
      </c>
      <c r="G35" s="2">
        <f>'All Combined Data'!F33</f>
        <v>95839</v>
      </c>
      <c r="H35" s="2">
        <f>'All Combined Data'!G33</f>
        <v>191678</v>
      </c>
      <c r="I35" s="2">
        <f>'All Combined Data'!H33</f>
        <v>0.25</v>
      </c>
      <c r="J35" s="2" t="str">
        <f>'All Combined Data'!I33</f>
        <v>Credit Card</v>
      </c>
      <c r="K35" s="2" t="str">
        <f>'All Combined Data'!J33</f>
        <v>Pending</v>
      </c>
      <c r="L35" s="14">
        <f>'All Combined Data'!K33</f>
        <v>45868</v>
      </c>
      <c r="M35" s="2" t="str">
        <f>'All Combined Data'!L33</f>
        <v>No</v>
      </c>
      <c r="N35" s="2">
        <f>'All Combined Data'!M33</f>
        <v>120</v>
      </c>
      <c r="O35" s="2" t="str">
        <f>'All Combined Data'!N33</f>
        <v>No</v>
      </c>
      <c r="P35" s="2" t="str">
        <f>'All Combined Data'!O33</f>
        <v>No</v>
      </c>
      <c r="Q35" s="2" t="str">
        <f>'All Combined Data'!P33</f>
        <v>C018</v>
      </c>
      <c r="R35" s="2" t="str">
        <f>'All Combined Data'!Q33</f>
        <v>Owen Mitra</v>
      </c>
      <c r="S35" s="2" t="str">
        <f>'All Combined Data'!R33</f>
        <v>tacharya@example.com</v>
      </c>
      <c r="T35" s="2">
        <f>'All Combined Data'!S33</f>
        <v>916995777387</v>
      </c>
      <c r="U35" s="2" t="str">
        <f>'All Combined Data'!T33</f>
        <v>Mumbai</v>
      </c>
      <c r="V35" s="2" t="str">
        <f>'All Combined Data'!U33</f>
        <v>Maharashtra</v>
      </c>
      <c r="W35" s="2">
        <f>'All Combined Data'!V33</f>
        <v>148951</v>
      </c>
      <c r="X35" s="2" t="str">
        <f>'All Combined Data'!W33</f>
        <v>Female</v>
      </c>
      <c r="Y35" s="14">
        <f>'All Combined Data'!X33</f>
        <v>27585</v>
      </c>
      <c r="Z35" s="2">
        <f>'All Combined Data'!Y33</f>
        <v>44992</v>
      </c>
      <c r="AA35" s="2" t="str">
        <f>'All Combined Data'!Z33</f>
        <v>Fashion</v>
      </c>
      <c r="AB35" s="2">
        <f>'All Combined Data'!AA33</f>
        <v>1927</v>
      </c>
      <c r="AC35" s="2" t="str">
        <f>'All Combined Data'!AB33</f>
        <v>Married</v>
      </c>
      <c r="AD35" s="2" t="str">
        <f>'All Combined Data'!AC33</f>
        <v>Business</v>
      </c>
      <c r="AE35" s="2">
        <f>'All Combined Data'!AD33</f>
        <v>531680</v>
      </c>
      <c r="AF35" s="2" t="str">
        <f>'All Combined Data'!AE33</f>
        <v>P162</v>
      </c>
      <c r="AG35" s="2" t="str">
        <f>'All Combined Data'!AF33</f>
        <v>Harum Phone</v>
      </c>
      <c r="AH35" s="2" t="str">
        <f>'All Combined Data'!AG33</f>
        <v>Home Appliance</v>
      </c>
      <c r="AI35" s="2" t="str">
        <f>'All Combined Data'!AH33</f>
        <v>Cotton</v>
      </c>
      <c r="AJ35" s="2" t="str">
        <f>'All Combined Data'!AI33</f>
        <v>Date, Deo and Krish</v>
      </c>
      <c r="AK35" s="2">
        <f>'All Combined Data'!AJ33</f>
        <v>95839</v>
      </c>
      <c r="AL35" s="2">
        <f>'All Combined Data'!AK33</f>
        <v>25</v>
      </c>
      <c r="AM35" s="2">
        <f>'All Combined Data'!AL33</f>
        <v>834</v>
      </c>
      <c r="AN35" s="2">
        <f>'All Combined Data'!AM33</f>
        <v>12</v>
      </c>
      <c r="AO35" s="2" t="str">
        <f>'All Combined Data'!AN33</f>
        <v>China</v>
      </c>
      <c r="AP35" s="2" t="str">
        <f>'All Combined Data'!AO33</f>
        <v>Yes</v>
      </c>
      <c r="AQ35" s="2">
        <f>'All Combined Data'!AP33</f>
        <v>2.9</v>
      </c>
      <c r="AR35" s="14">
        <f>'All Combined Data'!AQ33</f>
        <v>44986</v>
      </c>
      <c r="AS35" s="2" t="str">
        <f>'All Combined Data'!AR33</f>
        <v>Yes</v>
      </c>
      <c r="AT35" s="2">
        <f>'All Combined Data'!AS33</f>
        <v>3843</v>
      </c>
      <c r="AU35" s="2">
        <f>'All Combined Data'!AT33</f>
        <v>26</v>
      </c>
      <c r="AV35" s="2">
        <f>'All Combined Data'!AU33</f>
        <v>26</v>
      </c>
      <c r="AW35" s="2" t="str">
        <f>'All Combined Data'!AV33</f>
        <v>S026</v>
      </c>
      <c r="AX35" s="2" t="str">
        <f>'All Combined Data'!AW33</f>
        <v>Sarma, Golla and Raghavan Mart</v>
      </c>
      <c r="AY35" s="2" t="str">
        <f>'All Combined Data'!AX33</f>
        <v>Hyderabad</v>
      </c>
      <c r="AZ35" s="2" t="str">
        <f>'All Combined Data'!AY33</f>
        <v>Telangana</v>
      </c>
      <c r="BA35" s="2">
        <f>'All Combined Data'!AZ33</f>
        <v>902771</v>
      </c>
      <c r="BB35" s="2" t="str">
        <f>'All Combined Data'!BA33</f>
        <v>Ridhi Batra</v>
      </c>
      <c r="BC35" s="2">
        <f>'All Combined Data'!BB33</f>
        <v>2008</v>
      </c>
      <c r="BD35" s="2">
        <f>'All Combined Data'!BC33</f>
        <v>87</v>
      </c>
      <c r="BE35" s="2">
        <f>'All Combined Data'!BD33</f>
        <v>3760</v>
      </c>
      <c r="BF35" s="2">
        <f>'All Combined Data'!BE33</f>
        <v>3.5</v>
      </c>
      <c r="BG35" s="2" t="str">
        <f>'All Combined Data'!BF33</f>
        <v>No</v>
      </c>
      <c r="BH35" s="2">
        <f>'All Combined Data'!BG33</f>
        <v>719</v>
      </c>
      <c r="BI35" s="2" t="str">
        <f>'All Combined Data'!BH33</f>
        <v>Outlet</v>
      </c>
      <c r="BJ35" s="2">
        <f>'All Combined Data'!BI33</f>
        <v>914508993588</v>
      </c>
      <c r="BK35" s="2" t="str">
        <f>'All Combined Data'!BJ33</f>
        <v>santyuvraj@pal-rajan.com</v>
      </c>
      <c r="BL35" s="2">
        <f>Combined_data[[#This Row],[Quantity]]*Combined_data[[#This Row],[UnitPrice]]</f>
        <v>287517</v>
      </c>
      <c r="BM35" s="2">
        <f>Combined_data[[#This Row],[TotalAmount]]*(100-Combined_data[[#This Row],[DiscountApplied]])/100</f>
        <v>191198.80499999999</v>
      </c>
      <c r="BN35" s="2">
        <f>Combined_data[[#This Row],[Reveune]]-Combined_data[[#This Row],[Final Amount]]</f>
        <v>96318.195000000007</v>
      </c>
    </row>
    <row r="36" spans="2:66" x14ac:dyDescent="0.3">
      <c r="B36" s="2" t="str">
        <f>'All Combined Data'!A34</f>
        <v>O1033</v>
      </c>
      <c r="C36" s="2" t="str">
        <f>'All Combined Data'!B34</f>
        <v>C043</v>
      </c>
      <c r="D36" s="2" t="str">
        <f>'All Combined Data'!C34</f>
        <v>P139</v>
      </c>
      <c r="E36" s="14">
        <f>'All Combined Data'!D34</f>
        <v>45553</v>
      </c>
      <c r="F36" s="2">
        <f>'All Combined Data'!E34</f>
        <v>5</v>
      </c>
      <c r="G36" s="2">
        <f>'All Combined Data'!F34</f>
        <v>49066</v>
      </c>
      <c r="H36" s="2">
        <f>'All Combined Data'!G34</f>
        <v>245330</v>
      </c>
      <c r="I36" s="2">
        <f>'All Combined Data'!H34</f>
        <v>0.11</v>
      </c>
      <c r="J36" s="2" t="str">
        <f>'All Combined Data'!I34</f>
        <v>Credit Card</v>
      </c>
      <c r="K36" s="2" t="str">
        <f>'All Combined Data'!J34</f>
        <v>Pending</v>
      </c>
      <c r="L36" s="14">
        <f>'All Combined Data'!K34</f>
        <v>45863</v>
      </c>
      <c r="M36" s="2" t="str">
        <f>'All Combined Data'!L34</f>
        <v>No</v>
      </c>
      <c r="N36" s="2">
        <f>'All Combined Data'!M34</f>
        <v>354</v>
      </c>
      <c r="O36" s="2" t="str">
        <f>'All Combined Data'!N34</f>
        <v>Yes</v>
      </c>
      <c r="P36" s="2" t="str">
        <f>'All Combined Data'!O34</f>
        <v>Yes</v>
      </c>
      <c r="Q36" s="2" t="str">
        <f>'All Combined Data'!P34</f>
        <v>C043</v>
      </c>
      <c r="R36" s="2" t="str">
        <f>'All Combined Data'!Q34</f>
        <v>Jatin Sha</v>
      </c>
      <c r="S36" s="2" t="str">
        <f>'All Combined Data'!R34</f>
        <v>adweta96@example.net</v>
      </c>
      <c r="T36" s="2">
        <f>'All Combined Data'!S34</f>
        <v>1370985931</v>
      </c>
      <c r="U36" s="2" t="str">
        <f>'All Combined Data'!T34</f>
        <v>Kolkata</v>
      </c>
      <c r="V36" s="2" t="str">
        <f>'All Combined Data'!U34</f>
        <v>West Bengal</v>
      </c>
      <c r="W36" s="2">
        <f>'All Combined Data'!V34</f>
        <v>461200</v>
      </c>
      <c r="X36" s="2" t="str">
        <f>'All Combined Data'!W34</f>
        <v>Male</v>
      </c>
      <c r="Y36" s="14">
        <f>'All Combined Data'!X34</f>
        <v>29313</v>
      </c>
      <c r="Z36" s="2">
        <f>'All Combined Data'!Y34</f>
        <v>45558</v>
      </c>
      <c r="AA36" s="2" t="str">
        <f>'All Combined Data'!Z34</f>
        <v>Electronics</v>
      </c>
      <c r="AB36" s="2">
        <f>'All Combined Data'!AA34</f>
        <v>7608</v>
      </c>
      <c r="AC36" s="2" t="str">
        <f>'All Combined Data'!AB34</f>
        <v>Single</v>
      </c>
      <c r="AD36" s="2" t="str">
        <f>'All Combined Data'!AC34</f>
        <v>Engineer</v>
      </c>
      <c r="AE36" s="2">
        <f>'All Combined Data'!AD34</f>
        <v>1327501</v>
      </c>
      <c r="AF36" s="2" t="str">
        <f>'All Combined Data'!AE34</f>
        <v>P139</v>
      </c>
      <c r="AG36" s="2" t="str">
        <f>'All Combined Data'!AF34</f>
        <v>Officia TV</v>
      </c>
      <c r="AH36" s="2" t="str">
        <f>'All Combined Data'!AG34</f>
        <v>Fashion</v>
      </c>
      <c r="AI36" s="2" t="str">
        <f>'All Combined Data'!AH34</f>
        <v>Notebook</v>
      </c>
      <c r="AJ36" s="2" t="str">
        <f>'All Combined Data'!AI34</f>
        <v>Gera, Mishra and Chad</v>
      </c>
      <c r="AK36" s="2">
        <f>'All Combined Data'!AJ34</f>
        <v>49066</v>
      </c>
      <c r="AL36" s="2">
        <f>'All Combined Data'!AK34</f>
        <v>11</v>
      </c>
      <c r="AM36" s="2">
        <f>'All Combined Data'!AL34</f>
        <v>454</v>
      </c>
      <c r="AN36" s="2">
        <f>'All Combined Data'!AM34</f>
        <v>36</v>
      </c>
      <c r="AO36" s="2" t="str">
        <f>'All Combined Data'!AN34</f>
        <v>China</v>
      </c>
      <c r="AP36" s="2" t="str">
        <f>'All Combined Data'!AO34</f>
        <v>No</v>
      </c>
      <c r="AQ36" s="2">
        <f>'All Combined Data'!AP34</f>
        <v>2.7</v>
      </c>
      <c r="AR36" s="14">
        <f>'All Combined Data'!AQ34</f>
        <v>45803</v>
      </c>
      <c r="AS36" s="2" t="str">
        <f>'All Combined Data'!AR34</f>
        <v>No</v>
      </c>
      <c r="AT36" s="2">
        <f>'All Combined Data'!AS34</f>
        <v>9921</v>
      </c>
      <c r="AU36" s="2">
        <f>'All Combined Data'!AT34</f>
        <v>131</v>
      </c>
      <c r="AV36" s="2">
        <f>'All Combined Data'!AU34</f>
        <v>131</v>
      </c>
      <c r="AW36" s="2" t="str">
        <f>'All Combined Data'!AV34</f>
        <v/>
      </c>
      <c r="AX36" s="2" t="str">
        <f>'All Combined Data'!AW34</f>
        <v/>
      </c>
      <c r="AY36" s="2" t="str">
        <f>'All Combined Data'!AX34</f>
        <v/>
      </c>
      <c r="AZ36" s="2" t="str">
        <f>'All Combined Data'!AY34</f>
        <v/>
      </c>
      <c r="BA36" s="2" t="str">
        <f>'All Combined Data'!AZ34</f>
        <v/>
      </c>
      <c r="BB36" s="2" t="str">
        <f>'All Combined Data'!BA34</f>
        <v/>
      </c>
      <c r="BC36" s="2" t="str">
        <f>'All Combined Data'!BB34</f>
        <v/>
      </c>
      <c r="BD36" s="2" t="str">
        <f>'All Combined Data'!BC34</f>
        <v/>
      </c>
      <c r="BE36" s="2" t="str">
        <f>'All Combined Data'!BD34</f>
        <v/>
      </c>
      <c r="BF36" s="2" t="str">
        <f>'All Combined Data'!BE34</f>
        <v/>
      </c>
      <c r="BG36" s="2" t="str">
        <f>'All Combined Data'!BF34</f>
        <v/>
      </c>
      <c r="BH36" s="2" t="str">
        <f>'All Combined Data'!BG34</f>
        <v/>
      </c>
      <c r="BI36" s="2" t="str">
        <f>'All Combined Data'!BH34</f>
        <v/>
      </c>
      <c r="BJ36" s="2" t="str">
        <f>'All Combined Data'!BI34</f>
        <v/>
      </c>
      <c r="BK36" s="2" t="str">
        <f>'All Combined Data'!BJ34</f>
        <v/>
      </c>
      <c r="BL36" s="2">
        <f>Combined_data[[#This Row],[Quantity]]*Combined_data[[#This Row],[UnitPrice]]</f>
        <v>245330</v>
      </c>
      <c r="BM36" s="2">
        <f>Combined_data[[#This Row],[TotalAmount]]*(100-Combined_data[[#This Row],[DiscountApplied]])/100</f>
        <v>245060.13699999999</v>
      </c>
      <c r="BN36" s="2">
        <f>Combined_data[[#This Row],[Reveune]]-Combined_data[[#This Row],[Final Amount]]</f>
        <v>269.86300000001211</v>
      </c>
    </row>
    <row r="37" spans="2:66" x14ac:dyDescent="0.3">
      <c r="B37" s="2" t="str">
        <f>'All Combined Data'!A35</f>
        <v>O1034</v>
      </c>
      <c r="C37" s="2" t="str">
        <f>'All Combined Data'!B35</f>
        <v>C086</v>
      </c>
      <c r="D37" s="2" t="str">
        <f>'All Combined Data'!C35</f>
        <v>P116</v>
      </c>
      <c r="E37" s="14">
        <f>'All Combined Data'!D35</f>
        <v>45550</v>
      </c>
      <c r="F37" s="2">
        <f>'All Combined Data'!E35</f>
        <v>4</v>
      </c>
      <c r="G37" s="2">
        <f>'All Combined Data'!F35</f>
        <v>35503</v>
      </c>
      <c r="H37" s="2">
        <f>'All Combined Data'!G35</f>
        <v>106509</v>
      </c>
      <c r="I37" s="2">
        <f>'All Combined Data'!H35</f>
        <v>0.22</v>
      </c>
      <c r="J37" s="2" t="str">
        <f>'All Combined Data'!I35</f>
        <v>Debit Card</v>
      </c>
      <c r="K37" s="2" t="str">
        <f>'All Combined Data'!J35</f>
        <v>Cancelled</v>
      </c>
      <c r="L37" s="14">
        <f>'All Combined Data'!K35</f>
        <v>45861</v>
      </c>
      <c r="M37" s="2" t="str">
        <f>'All Combined Data'!L35</f>
        <v>No</v>
      </c>
      <c r="N37" s="2">
        <f>'All Combined Data'!M35</f>
        <v>353</v>
      </c>
      <c r="O37" s="2" t="str">
        <f>'All Combined Data'!N35</f>
        <v>Yes</v>
      </c>
      <c r="P37" s="2" t="str">
        <f>'All Combined Data'!O35</f>
        <v>No</v>
      </c>
      <c r="Q37" s="2" t="str">
        <f>'All Combined Data'!P35</f>
        <v>C086</v>
      </c>
      <c r="R37" s="2" t="str">
        <f>'All Combined Data'!Q35</f>
        <v>Yashvi Sehgal</v>
      </c>
      <c r="S37" s="2" t="str">
        <f>'All Combined Data'!R35</f>
        <v>settykevin@example.net</v>
      </c>
      <c r="T37" s="2">
        <f>'All Combined Data'!S35</f>
        <v>7908740640</v>
      </c>
      <c r="U37" s="2" t="str">
        <f>'All Combined Data'!T35</f>
        <v>Kolkata</v>
      </c>
      <c r="V37" s="2" t="str">
        <f>'All Combined Data'!U35</f>
        <v>West Bengal</v>
      </c>
      <c r="W37" s="2">
        <f>'All Combined Data'!V35</f>
        <v>910651</v>
      </c>
      <c r="X37" s="2" t="str">
        <f>'All Combined Data'!W35</f>
        <v>Male</v>
      </c>
      <c r="Y37" s="14">
        <f>'All Combined Data'!X35</f>
        <v>35198</v>
      </c>
      <c r="Z37" s="2">
        <f>'All Combined Data'!Y35</f>
        <v>44215</v>
      </c>
      <c r="AA37" s="2" t="str">
        <f>'All Combined Data'!Z35</f>
        <v>Electronics</v>
      </c>
      <c r="AB37" s="2">
        <f>'All Combined Data'!AA35</f>
        <v>759</v>
      </c>
      <c r="AC37" s="2" t="str">
        <f>'All Combined Data'!AB35</f>
        <v>Single</v>
      </c>
      <c r="AD37" s="2" t="str">
        <f>'All Combined Data'!AC35</f>
        <v>Doctor</v>
      </c>
      <c r="AE37" s="2">
        <f>'All Combined Data'!AD35</f>
        <v>618089</v>
      </c>
      <c r="AF37" s="2" t="str">
        <f>'All Combined Data'!AE35</f>
        <v>P116</v>
      </c>
      <c r="AG37" s="2" t="str">
        <f>'All Combined Data'!AF35</f>
        <v>Voluptate TV</v>
      </c>
      <c r="AH37" s="2" t="str">
        <f>'All Combined Data'!AG35</f>
        <v>Grocery</v>
      </c>
      <c r="AI37" s="2" t="str">
        <f>'All Combined Data'!AH35</f>
        <v>Smart</v>
      </c>
      <c r="AJ37" s="2" t="str">
        <f>'All Combined Data'!AI35</f>
        <v>Bansal-Parsa</v>
      </c>
      <c r="AK37" s="2">
        <f>'All Combined Data'!AJ35</f>
        <v>35503</v>
      </c>
      <c r="AL37" s="2">
        <f>'All Combined Data'!AK35</f>
        <v>22</v>
      </c>
      <c r="AM37" s="2">
        <f>'All Combined Data'!AL35</f>
        <v>134</v>
      </c>
      <c r="AN37" s="2">
        <f>'All Combined Data'!AM35</f>
        <v>24</v>
      </c>
      <c r="AO37" s="2" t="str">
        <f>'All Combined Data'!AN35</f>
        <v>Japan</v>
      </c>
      <c r="AP37" s="2" t="str">
        <f>'All Combined Data'!AO35</f>
        <v>No</v>
      </c>
      <c r="AQ37" s="2">
        <f>'All Combined Data'!AP35</f>
        <v>2.8</v>
      </c>
      <c r="AR37" s="14">
        <f>'All Combined Data'!AQ35</f>
        <v>45848</v>
      </c>
      <c r="AS37" s="2" t="str">
        <f>'All Combined Data'!AR35</f>
        <v>Yes</v>
      </c>
      <c r="AT37" s="2">
        <f>'All Combined Data'!AS35</f>
        <v>3595</v>
      </c>
      <c r="AU37" s="2">
        <f>'All Combined Data'!AT35</f>
        <v>179</v>
      </c>
      <c r="AV37" s="2">
        <f>'All Combined Data'!AU35</f>
        <v>179</v>
      </c>
      <c r="AW37" s="2" t="str">
        <f>'All Combined Data'!AV35</f>
        <v/>
      </c>
      <c r="AX37" s="2" t="str">
        <f>'All Combined Data'!AW35</f>
        <v/>
      </c>
      <c r="AY37" s="2" t="str">
        <f>'All Combined Data'!AX35</f>
        <v/>
      </c>
      <c r="AZ37" s="2" t="str">
        <f>'All Combined Data'!AY35</f>
        <v/>
      </c>
      <c r="BA37" s="2" t="str">
        <f>'All Combined Data'!AZ35</f>
        <v/>
      </c>
      <c r="BB37" s="2" t="str">
        <f>'All Combined Data'!BA35</f>
        <v/>
      </c>
      <c r="BC37" s="2" t="str">
        <f>'All Combined Data'!BB35</f>
        <v/>
      </c>
      <c r="BD37" s="2" t="str">
        <f>'All Combined Data'!BC35</f>
        <v/>
      </c>
      <c r="BE37" s="2" t="str">
        <f>'All Combined Data'!BD35</f>
        <v/>
      </c>
      <c r="BF37" s="2" t="str">
        <f>'All Combined Data'!BE35</f>
        <v/>
      </c>
      <c r="BG37" s="2" t="str">
        <f>'All Combined Data'!BF35</f>
        <v/>
      </c>
      <c r="BH37" s="2" t="str">
        <f>'All Combined Data'!BG35</f>
        <v/>
      </c>
      <c r="BI37" s="2" t="str">
        <f>'All Combined Data'!BH35</f>
        <v/>
      </c>
      <c r="BJ37" s="2" t="str">
        <f>'All Combined Data'!BI35</f>
        <v/>
      </c>
      <c r="BK37" s="2" t="str">
        <f>'All Combined Data'!BJ35</f>
        <v/>
      </c>
      <c r="BL37" s="2">
        <f>Combined_data[[#This Row],[Quantity]]*Combined_data[[#This Row],[UnitPrice]]</f>
        <v>142012</v>
      </c>
      <c r="BM37" s="2">
        <f>Combined_data[[#This Row],[TotalAmount]]*(100-Combined_data[[#This Row],[DiscountApplied]])/100</f>
        <v>106274.6802</v>
      </c>
      <c r="BN37" s="2">
        <f>Combined_data[[#This Row],[Reveune]]-Combined_data[[#This Row],[Final Amount]]</f>
        <v>35737.319799999997</v>
      </c>
    </row>
    <row r="38" spans="2:66" x14ac:dyDescent="0.3">
      <c r="B38" s="2" t="str">
        <f>'All Combined Data'!A36</f>
        <v>O1035</v>
      </c>
      <c r="C38" s="2" t="str">
        <f>'All Combined Data'!B36</f>
        <v>C048</v>
      </c>
      <c r="D38" s="2" t="str">
        <f>'All Combined Data'!C36</f>
        <v>P179</v>
      </c>
      <c r="E38" s="14">
        <f>'All Combined Data'!D36</f>
        <v>45789</v>
      </c>
      <c r="F38" s="2">
        <f>'All Combined Data'!E36</f>
        <v>2</v>
      </c>
      <c r="G38" s="2">
        <f>'All Combined Data'!F36</f>
        <v>59299</v>
      </c>
      <c r="H38" s="2">
        <f>'All Combined Data'!G36</f>
        <v>118598</v>
      </c>
      <c r="I38" s="2">
        <f>'All Combined Data'!H36</f>
        <v>0.24</v>
      </c>
      <c r="J38" s="2" t="str">
        <f>'All Combined Data'!I36</f>
        <v>Debit Card</v>
      </c>
      <c r="K38" s="2" t="str">
        <f>'All Combined Data'!J36</f>
        <v>Cancelled</v>
      </c>
      <c r="L38" s="14">
        <f>'All Combined Data'!K36</f>
        <v>45857</v>
      </c>
      <c r="M38" s="2" t="str">
        <f>'All Combined Data'!L36</f>
        <v>Yes</v>
      </c>
      <c r="N38" s="2">
        <f>'All Combined Data'!M36</f>
        <v>232</v>
      </c>
      <c r="O38" s="2" t="str">
        <f>'All Combined Data'!N36</f>
        <v>No</v>
      </c>
      <c r="P38" s="2" t="str">
        <f>'All Combined Data'!O36</f>
        <v>No</v>
      </c>
      <c r="Q38" s="2" t="str">
        <f>'All Combined Data'!P36</f>
        <v>C048</v>
      </c>
      <c r="R38" s="2" t="str">
        <f>'All Combined Data'!Q36</f>
        <v>Sudiksha Tiwari</v>
      </c>
      <c r="S38" s="2" t="str">
        <f>'All Combined Data'!R36</f>
        <v>ychaudhary@example.net</v>
      </c>
      <c r="T38" s="2">
        <f>'All Combined Data'!S36</f>
        <v>918367365766</v>
      </c>
      <c r="U38" s="2" t="str">
        <f>'All Combined Data'!T36</f>
        <v>Chennai</v>
      </c>
      <c r="V38" s="2" t="str">
        <f>'All Combined Data'!U36</f>
        <v>Tamil Nadu</v>
      </c>
      <c r="W38" s="2">
        <f>'All Combined Data'!V36</f>
        <v>565452</v>
      </c>
      <c r="X38" s="2" t="str">
        <f>'All Combined Data'!W36</f>
        <v>Female</v>
      </c>
      <c r="Y38" s="14">
        <f>'All Combined Data'!X36</f>
        <v>38819</v>
      </c>
      <c r="Z38" s="2">
        <f>'All Combined Data'!Y36</f>
        <v>45501</v>
      </c>
      <c r="AA38" s="2" t="str">
        <f>'All Combined Data'!Z36</f>
        <v>Fashion</v>
      </c>
      <c r="AB38" s="2">
        <f>'All Combined Data'!AA36</f>
        <v>932</v>
      </c>
      <c r="AC38" s="2" t="str">
        <f>'All Combined Data'!AB36</f>
        <v>Single</v>
      </c>
      <c r="AD38" s="2" t="str">
        <f>'All Combined Data'!AC36</f>
        <v>Business</v>
      </c>
      <c r="AE38" s="2">
        <f>'All Combined Data'!AD36</f>
        <v>1939269</v>
      </c>
      <c r="AF38" s="2" t="str">
        <f>'All Combined Data'!AE36</f>
        <v>P179</v>
      </c>
      <c r="AG38" s="2" t="str">
        <f>'All Combined Data'!AF36</f>
        <v>Delectus Laptop</v>
      </c>
      <c r="AH38" s="2" t="str">
        <f>'All Combined Data'!AG36</f>
        <v>Home Appliance</v>
      </c>
      <c r="AI38" s="2" t="str">
        <f>'All Combined Data'!AH36</f>
        <v>Android</v>
      </c>
      <c r="AJ38" s="2" t="str">
        <f>'All Combined Data'!AI36</f>
        <v>Kara, Venkataraman and Saxena</v>
      </c>
      <c r="AK38" s="2">
        <f>'All Combined Data'!AJ36</f>
        <v>59299</v>
      </c>
      <c r="AL38" s="2">
        <f>'All Combined Data'!AK36</f>
        <v>24</v>
      </c>
      <c r="AM38" s="2">
        <f>'All Combined Data'!AL36</f>
        <v>5</v>
      </c>
      <c r="AN38" s="2">
        <f>'All Combined Data'!AM36</f>
        <v>6</v>
      </c>
      <c r="AO38" s="2" t="str">
        <f>'All Combined Data'!AN36</f>
        <v>India</v>
      </c>
      <c r="AP38" s="2" t="str">
        <f>'All Combined Data'!AO36</f>
        <v>No</v>
      </c>
      <c r="AQ38" s="2">
        <f>'All Combined Data'!AP36</f>
        <v>3</v>
      </c>
      <c r="AR38" s="14">
        <f>'All Combined Data'!AQ36</f>
        <v>44773</v>
      </c>
      <c r="AS38" s="2" t="str">
        <f>'All Combined Data'!AR36</f>
        <v>Yes</v>
      </c>
      <c r="AT38" s="2">
        <f>'All Combined Data'!AS36</f>
        <v>9992</v>
      </c>
      <c r="AU38" s="2">
        <f>'All Combined Data'!AT36</f>
        <v>88</v>
      </c>
      <c r="AV38" s="2">
        <f>'All Combined Data'!AU36</f>
        <v>88</v>
      </c>
      <c r="AW38" s="2" t="str">
        <f>'All Combined Data'!AV36</f>
        <v>S088</v>
      </c>
      <c r="AX38" s="2" t="str">
        <f>'All Combined Data'!AW36</f>
        <v>Muni Ltd Mart</v>
      </c>
      <c r="AY38" s="2" t="str">
        <f>'All Combined Data'!AX36</f>
        <v>Delhi</v>
      </c>
      <c r="AZ38" s="2" t="str">
        <f>'All Combined Data'!AY36</f>
        <v>Delhi</v>
      </c>
      <c r="BA38" s="2">
        <f>'All Combined Data'!AZ36</f>
        <v>533448</v>
      </c>
      <c r="BB38" s="2" t="str">
        <f>'All Combined Data'!BA36</f>
        <v>Ridhi Dalal</v>
      </c>
      <c r="BC38" s="2">
        <f>'All Combined Data'!BB36</f>
        <v>2003</v>
      </c>
      <c r="BD38" s="2">
        <f>'All Combined Data'!BC36</f>
        <v>47</v>
      </c>
      <c r="BE38" s="2">
        <f>'All Combined Data'!BD36</f>
        <v>7735</v>
      </c>
      <c r="BF38" s="2">
        <f>'All Combined Data'!BE36</f>
        <v>4.9000000000000004</v>
      </c>
      <c r="BG38" s="2" t="str">
        <f>'All Combined Data'!BF36</f>
        <v>No</v>
      </c>
      <c r="BH38" s="2">
        <f>'All Combined Data'!BG36</f>
        <v>4924</v>
      </c>
      <c r="BI38" s="2" t="str">
        <f>'All Combined Data'!BH36</f>
        <v>Franchise</v>
      </c>
      <c r="BJ38" s="2">
        <f>'All Combined Data'!BI36</f>
        <v>2241098813</v>
      </c>
      <c r="BK38" s="2" t="str">
        <f>'All Combined Data'!BJ36</f>
        <v>eiravati42@mander.com</v>
      </c>
      <c r="BL38" s="2">
        <f>Combined_data[[#This Row],[Quantity]]*Combined_data[[#This Row],[UnitPrice]]</f>
        <v>118598</v>
      </c>
      <c r="BM38" s="2">
        <f>Combined_data[[#This Row],[TotalAmount]]*(100-Combined_data[[#This Row],[DiscountApplied]])/100</f>
        <v>118313.36480000001</v>
      </c>
      <c r="BN38" s="2">
        <f>Combined_data[[#This Row],[Reveune]]-Combined_data[[#This Row],[Final Amount]]</f>
        <v>284.63519999998971</v>
      </c>
    </row>
    <row r="39" spans="2:66" x14ac:dyDescent="0.3">
      <c r="B39" s="2" t="str">
        <f>'All Combined Data'!A37</f>
        <v>O1036</v>
      </c>
      <c r="C39" s="2" t="str">
        <f>'All Combined Data'!B37</f>
        <v>C090</v>
      </c>
      <c r="D39" s="2" t="str">
        <f>'All Combined Data'!C37</f>
        <v>P171</v>
      </c>
      <c r="E39" s="14">
        <f>'All Combined Data'!D37</f>
        <v>45836</v>
      </c>
      <c r="F39" s="2">
        <f>'All Combined Data'!E37</f>
        <v>4</v>
      </c>
      <c r="G39" s="2">
        <f>'All Combined Data'!F37</f>
        <v>40983</v>
      </c>
      <c r="H39" s="2">
        <f>'All Combined Data'!G37</f>
        <v>204915</v>
      </c>
      <c r="I39" s="2">
        <f>'All Combined Data'!H37</f>
        <v>0.1</v>
      </c>
      <c r="J39" s="2" t="str">
        <f>'All Combined Data'!I37</f>
        <v>Debit Card</v>
      </c>
      <c r="K39" s="2" t="str">
        <f>'All Combined Data'!J37</f>
        <v>Shipped</v>
      </c>
      <c r="L39" s="14">
        <f>'All Combined Data'!K37</f>
        <v>45868</v>
      </c>
      <c r="M39" s="2" t="str">
        <f>'All Combined Data'!L37</f>
        <v>Yes</v>
      </c>
      <c r="N39" s="2">
        <f>'All Combined Data'!M37</f>
        <v>269</v>
      </c>
      <c r="O39" s="2" t="str">
        <f>'All Combined Data'!N37</f>
        <v>No</v>
      </c>
      <c r="P39" s="2" t="str">
        <f>'All Combined Data'!O37</f>
        <v>No</v>
      </c>
      <c r="Q39" s="2" t="str">
        <f>'All Combined Data'!P37</f>
        <v>C090</v>
      </c>
      <c r="R39" s="2" t="str">
        <f>'All Combined Data'!Q37</f>
        <v>Champak Padmanabhan</v>
      </c>
      <c r="S39" s="2" t="str">
        <f>'All Combined Data'!R37</f>
        <v>uvohra@example.net</v>
      </c>
      <c r="T39" s="2">
        <f>'All Combined Data'!S37</f>
        <v>6246287334</v>
      </c>
      <c r="U39" s="2" t="str">
        <f>'All Combined Data'!T37</f>
        <v>Jaipur</v>
      </c>
      <c r="V39" s="2" t="str">
        <f>'All Combined Data'!U37</f>
        <v>Rajasthan</v>
      </c>
      <c r="W39" s="2">
        <f>'All Combined Data'!V37</f>
        <v>708668</v>
      </c>
      <c r="X39" s="2" t="str">
        <f>'All Combined Data'!W37</f>
        <v>Female</v>
      </c>
      <c r="Y39" s="14">
        <f>'All Combined Data'!X37</f>
        <v>34921</v>
      </c>
      <c r="Z39" s="2">
        <f>'All Combined Data'!Y37</f>
        <v>44444</v>
      </c>
      <c r="AA39" s="2" t="str">
        <f>'All Combined Data'!Z37</f>
        <v>Home Appliance</v>
      </c>
      <c r="AB39" s="2">
        <f>'All Combined Data'!AA37</f>
        <v>1345</v>
      </c>
      <c r="AC39" s="2" t="str">
        <f>'All Combined Data'!AB37</f>
        <v>Single</v>
      </c>
      <c r="AD39" s="2" t="str">
        <f>'All Combined Data'!AC37</f>
        <v>Engineer</v>
      </c>
      <c r="AE39" s="2">
        <f>'All Combined Data'!AD37</f>
        <v>1662119</v>
      </c>
      <c r="AF39" s="2" t="str">
        <f>'All Combined Data'!AE37</f>
        <v>P171</v>
      </c>
      <c r="AG39" s="2" t="str">
        <f>'All Combined Data'!AF37</f>
        <v>Placeat TV</v>
      </c>
      <c r="AH39" s="2" t="str">
        <f>'All Combined Data'!AG37</f>
        <v>Fashion</v>
      </c>
      <c r="AI39" s="2" t="str">
        <f>'All Combined Data'!AH37</f>
        <v>Cotton</v>
      </c>
      <c r="AJ39" s="2" t="str">
        <f>'All Combined Data'!AI37</f>
        <v>Bava-Batra</v>
      </c>
      <c r="AK39" s="2">
        <f>'All Combined Data'!AJ37</f>
        <v>40983</v>
      </c>
      <c r="AL39" s="2">
        <f>'All Combined Data'!AK37</f>
        <v>10</v>
      </c>
      <c r="AM39" s="2">
        <f>'All Combined Data'!AL37</f>
        <v>973</v>
      </c>
      <c r="AN39" s="2">
        <f>'All Combined Data'!AM37</f>
        <v>12</v>
      </c>
      <c r="AO39" s="2" t="str">
        <f>'All Combined Data'!AN37</f>
        <v>Vietnam</v>
      </c>
      <c r="AP39" s="2" t="str">
        <f>'All Combined Data'!AO37</f>
        <v>No</v>
      </c>
      <c r="AQ39" s="2">
        <f>'All Combined Data'!AP37</f>
        <v>3</v>
      </c>
      <c r="AR39" s="14">
        <f>'All Combined Data'!AQ37</f>
        <v>44913</v>
      </c>
      <c r="AS39" s="2" t="str">
        <f>'All Combined Data'!AR37</f>
        <v>Yes</v>
      </c>
      <c r="AT39" s="2">
        <f>'All Combined Data'!AS37</f>
        <v>3539</v>
      </c>
      <c r="AU39" s="2">
        <f>'All Combined Data'!AT37</f>
        <v>84</v>
      </c>
      <c r="AV39" s="2">
        <f>'All Combined Data'!AU37</f>
        <v>84</v>
      </c>
      <c r="AW39" s="2" t="str">
        <f>'All Combined Data'!AV37</f>
        <v>S084</v>
      </c>
      <c r="AX39" s="2" t="str">
        <f>'All Combined Data'!AW37</f>
        <v>Tank, Tailor and Gole Mart</v>
      </c>
      <c r="AY39" s="2" t="str">
        <f>'All Combined Data'!AX37</f>
        <v>Ahmedabad</v>
      </c>
      <c r="AZ39" s="2" t="str">
        <f>'All Combined Data'!AY37</f>
        <v>Gujarat</v>
      </c>
      <c r="BA39" s="2">
        <f>'All Combined Data'!AZ37</f>
        <v>430107</v>
      </c>
      <c r="BB39" s="2" t="str">
        <f>'All Combined Data'!BA37</f>
        <v>Sarthak Sachdeva</v>
      </c>
      <c r="BC39" s="2">
        <f>'All Combined Data'!BB37</f>
        <v>2012</v>
      </c>
      <c r="BD39" s="2">
        <f>'All Combined Data'!BC37</f>
        <v>49</v>
      </c>
      <c r="BE39" s="2">
        <f>'All Combined Data'!BD37</f>
        <v>18892</v>
      </c>
      <c r="BF39" s="2">
        <f>'All Combined Data'!BE37</f>
        <v>3.8</v>
      </c>
      <c r="BG39" s="2" t="str">
        <f>'All Combined Data'!BF37</f>
        <v>No</v>
      </c>
      <c r="BH39" s="2">
        <f>'All Combined Data'!BG37</f>
        <v>2347</v>
      </c>
      <c r="BI39" s="2" t="str">
        <f>'All Combined Data'!BH37</f>
        <v>Retail</v>
      </c>
      <c r="BJ39" s="2">
        <f>'All Combined Data'!BI37</f>
        <v>558303441</v>
      </c>
      <c r="BK39" s="2" t="str">
        <f>'All Combined Data'!BJ37</f>
        <v>charita88@ahuja-comar.com</v>
      </c>
      <c r="BL39" s="2">
        <f>Combined_data[[#This Row],[Quantity]]*Combined_data[[#This Row],[UnitPrice]]</f>
        <v>163932</v>
      </c>
      <c r="BM39" s="2">
        <f>Combined_data[[#This Row],[TotalAmount]]*(100-Combined_data[[#This Row],[DiscountApplied]])/100</f>
        <v>204710.08499999999</v>
      </c>
      <c r="BN39" s="2">
        <f>Combined_data[[#This Row],[Reveune]]-Combined_data[[#This Row],[Final Amount]]</f>
        <v>-40778.084999999992</v>
      </c>
    </row>
    <row r="40" spans="2:66" x14ac:dyDescent="0.3">
      <c r="B40" s="2" t="str">
        <f>'All Combined Data'!A38</f>
        <v>O1037</v>
      </c>
      <c r="C40" s="2" t="str">
        <f>'All Combined Data'!B38</f>
        <v>C010</v>
      </c>
      <c r="D40" s="2" t="str">
        <f>'All Combined Data'!C38</f>
        <v>P173</v>
      </c>
      <c r="E40" s="14">
        <f>'All Combined Data'!D38</f>
        <v>45750</v>
      </c>
      <c r="F40" s="2">
        <f>'All Combined Data'!E38</f>
        <v>1</v>
      </c>
      <c r="G40" s="2">
        <f>'All Combined Data'!F38</f>
        <v>22197</v>
      </c>
      <c r="H40" s="2">
        <f>'All Combined Data'!G38</f>
        <v>22197</v>
      </c>
      <c r="I40" s="2">
        <f>'All Combined Data'!H38</f>
        <v>0.28000000000000003</v>
      </c>
      <c r="J40" s="2" t="str">
        <f>'All Combined Data'!I38</f>
        <v>Cash on Delivery</v>
      </c>
      <c r="K40" s="2" t="str">
        <f>'All Combined Data'!J38</f>
        <v>Shipped</v>
      </c>
      <c r="L40" s="14">
        <f>'All Combined Data'!K38</f>
        <v>45857</v>
      </c>
      <c r="M40" s="2" t="str">
        <f>'All Combined Data'!L38</f>
        <v>Yes</v>
      </c>
      <c r="N40" s="2">
        <f>'All Combined Data'!M38</f>
        <v>84</v>
      </c>
      <c r="O40" s="2" t="str">
        <f>'All Combined Data'!N38</f>
        <v>No</v>
      </c>
      <c r="P40" s="2" t="str">
        <f>'All Combined Data'!O38</f>
        <v>No</v>
      </c>
      <c r="Q40" s="2" t="str">
        <f>'All Combined Data'!P38</f>
        <v>C010</v>
      </c>
      <c r="R40" s="2" t="str">
        <f>'All Combined Data'!Q38</f>
        <v>Chandresh Zachariah</v>
      </c>
      <c r="S40" s="2" t="str">
        <f>'All Combined Data'!R38</f>
        <v>chanderwarjas@example.org</v>
      </c>
      <c r="T40" s="2">
        <f>'All Combined Data'!S38</f>
        <v>7736026064</v>
      </c>
      <c r="U40" s="2" t="str">
        <f>'All Combined Data'!T38</f>
        <v>Chennai</v>
      </c>
      <c r="V40" s="2" t="str">
        <f>'All Combined Data'!U38</f>
        <v>Tamil Nadu</v>
      </c>
      <c r="W40" s="2">
        <f>'All Combined Data'!V38</f>
        <v>468723</v>
      </c>
      <c r="X40" s="2" t="str">
        <f>'All Combined Data'!W38</f>
        <v>Male</v>
      </c>
      <c r="Y40" s="14">
        <f>'All Combined Data'!X38</f>
        <v>29122</v>
      </c>
      <c r="Z40" s="2">
        <f>'All Combined Data'!Y38</f>
        <v>44704</v>
      </c>
      <c r="AA40" s="2" t="str">
        <f>'All Combined Data'!Z38</f>
        <v>Home Appliance</v>
      </c>
      <c r="AB40" s="2">
        <f>'All Combined Data'!AA38</f>
        <v>8851</v>
      </c>
      <c r="AC40" s="2" t="str">
        <f>'All Combined Data'!AB38</f>
        <v>Single</v>
      </c>
      <c r="AD40" s="2" t="str">
        <f>'All Combined Data'!AC38</f>
        <v>Doctor</v>
      </c>
      <c r="AE40" s="2">
        <f>'All Combined Data'!AD38</f>
        <v>1169429</v>
      </c>
      <c r="AF40" s="2" t="str">
        <f>'All Combined Data'!AE38</f>
        <v>P173</v>
      </c>
      <c r="AG40" s="2" t="str">
        <f>'All Combined Data'!AF38</f>
        <v>Nulla Laptop</v>
      </c>
      <c r="AH40" s="2" t="str">
        <f>'All Combined Data'!AG38</f>
        <v>Home Appliance</v>
      </c>
      <c r="AI40" s="2" t="str">
        <f>'All Combined Data'!AH38</f>
        <v>Organic</v>
      </c>
      <c r="AJ40" s="2" t="str">
        <f>'All Combined Data'!AI38</f>
        <v>Acharya-Sangha</v>
      </c>
      <c r="AK40" s="2">
        <f>'All Combined Data'!AJ38</f>
        <v>22197</v>
      </c>
      <c r="AL40" s="2">
        <f>'All Combined Data'!AK38</f>
        <v>28</v>
      </c>
      <c r="AM40" s="2">
        <f>'All Combined Data'!AL38</f>
        <v>448</v>
      </c>
      <c r="AN40" s="2">
        <f>'All Combined Data'!AM38</f>
        <v>6</v>
      </c>
      <c r="AO40" s="2" t="str">
        <f>'All Combined Data'!AN38</f>
        <v>Japan</v>
      </c>
      <c r="AP40" s="2" t="str">
        <f>'All Combined Data'!AO38</f>
        <v>No</v>
      </c>
      <c r="AQ40" s="2">
        <f>'All Combined Data'!AP38</f>
        <v>4.2</v>
      </c>
      <c r="AR40" s="14">
        <f>'All Combined Data'!AQ38</f>
        <v>45073</v>
      </c>
      <c r="AS40" s="2" t="str">
        <f>'All Combined Data'!AR38</f>
        <v>Yes</v>
      </c>
      <c r="AT40" s="2">
        <f>'All Combined Data'!AS38</f>
        <v>8278</v>
      </c>
      <c r="AU40" s="2">
        <f>'All Combined Data'!AT38</f>
        <v>199</v>
      </c>
      <c r="AV40" s="2">
        <f>'All Combined Data'!AU38</f>
        <v>199</v>
      </c>
      <c r="AW40" s="2" t="str">
        <f>'All Combined Data'!AV38</f>
        <v/>
      </c>
      <c r="AX40" s="2" t="str">
        <f>'All Combined Data'!AW38</f>
        <v/>
      </c>
      <c r="AY40" s="2" t="str">
        <f>'All Combined Data'!AX38</f>
        <v/>
      </c>
      <c r="AZ40" s="2" t="str">
        <f>'All Combined Data'!AY38</f>
        <v/>
      </c>
      <c r="BA40" s="2" t="str">
        <f>'All Combined Data'!AZ38</f>
        <v/>
      </c>
      <c r="BB40" s="2" t="str">
        <f>'All Combined Data'!BA38</f>
        <v/>
      </c>
      <c r="BC40" s="2" t="str">
        <f>'All Combined Data'!BB38</f>
        <v/>
      </c>
      <c r="BD40" s="2" t="str">
        <f>'All Combined Data'!BC38</f>
        <v/>
      </c>
      <c r="BE40" s="2" t="str">
        <f>'All Combined Data'!BD38</f>
        <v/>
      </c>
      <c r="BF40" s="2" t="str">
        <f>'All Combined Data'!BE38</f>
        <v/>
      </c>
      <c r="BG40" s="2" t="str">
        <f>'All Combined Data'!BF38</f>
        <v/>
      </c>
      <c r="BH40" s="2" t="str">
        <f>'All Combined Data'!BG38</f>
        <v/>
      </c>
      <c r="BI40" s="2" t="str">
        <f>'All Combined Data'!BH38</f>
        <v/>
      </c>
      <c r="BJ40" s="2" t="str">
        <f>'All Combined Data'!BI38</f>
        <v/>
      </c>
      <c r="BK40" s="2" t="str">
        <f>'All Combined Data'!BJ38</f>
        <v/>
      </c>
      <c r="BL40" s="2">
        <f>Combined_data[[#This Row],[Quantity]]*Combined_data[[#This Row],[UnitPrice]]</f>
        <v>22197</v>
      </c>
      <c r="BM40" s="2">
        <f>Combined_data[[#This Row],[TotalAmount]]*(100-Combined_data[[#This Row],[DiscountApplied]])/100</f>
        <v>22134.848399999999</v>
      </c>
      <c r="BN40" s="2">
        <f>Combined_data[[#This Row],[Reveune]]-Combined_data[[#This Row],[Final Amount]]</f>
        <v>62.151600000001054</v>
      </c>
    </row>
    <row r="41" spans="2:66" x14ac:dyDescent="0.3">
      <c r="B41" s="2" t="str">
        <f>'All Combined Data'!A39</f>
        <v>O1038</v>
      </c>
      <c r="C41" s="2" t="str">
        <f>'All Combined Data'!B39</f>
        <v>C015</v>
      </c>
      <c r="D41" s="2" t="str">
        <f>'All Combined Data'!C39</f>
        <v>P188</v>
      </c>
      <c r="E41" s="14">
        <f>'All Combined Data'!D39</f>
        <v>45577</v>
      </c>
      <c r="F41" s="2">
        <f>'All Combined Data'!E39</f>
        <v>2</v>
      </c>
      <c r="G41" s="2">
        <f>'All Combined Data'!F39</f>
        <v>56140</v>
      </c>
      <c r="H41" s="2">
        <f>'All Combined Data'!G39</f>
        <v>280700</v>
      </c>
      <c r="I41" s="2">
        <f>'All Combined Data'!H39</f>
        <v>7.0000000000000007E-2</v>
      </c>
      <c r="J41" s="2" t="str">
        <f>'All Combined Data'!I39</f>
        <v>Net Banking</v>
      </c>
      <c r="K41" s="2" t="str">
        <f>'All Combined Data'!J39</f>
        <v>Delivered</v>
      </c>
      <c r="L41" s="14">
        <f>'All Combined Data'!K39</f>
        <v>45867</v>
      </c>
      <c r="M41" s="2" t="str">
        <f>'All Combined Data'!L39</f>
        <v>No</v>
      </c>
      <c r="N41" s="2">
        <f>'All Combined Data'!M39</f>
        <v>414</v>
      </c>
      <c r="O41" s="2" t="str">
        <f>'All Combined Data'!N39</f>
        <v>Yes</v>
      </c>
      <c r="P41" s="2" t="str">
        <f>'All Combined Data'!O39</f>
        <v>No</v>
      </c>
      <c r="Q41" s="2" t="str">
        <f>'All Combined Data'!P39</f>
        <v>C015</v>
      </c>
      <c r="R41" s="2" t="str">
        <f>'All Combined Data'!Q39</f>
        <v>Harshil Pandya</v>
      </c>
      <c r="S41" s="2" t="str">
        <f>'All Combined Data'!R39</f>
        <v>pdubey@example.org</v>
      </c>
      <c r="T41" s="2">
        <f>'All Combined Data'!S39</f>
        <v>916025634216</v>
      </c>
      <c r="U41" s="2" t="str">
        <f>'All Combined Data'!T39</f>
        <v>Kolkata</v>
      </c>
      <c r="V41" s="2" t="str">
        <f>'All Combined Data'!U39</f>
        <v>West Bengal</v>
      </c>
      <c r="W41" s="2">
        <f>'All Combined Data'!V39</f>
        <v>733754</v>
      </c>
      <c r="X41" s="2" t="str">
        <f>'All Combined Data'!W39</f>
        <v>Male</v>
      </c>
      <c r="Y41" s="14">
        <f>'All Combined Data'!X39</f>
        <v>27404</v>
      </c>
      <c r="Z41" s="2">
        <f>'All Combined Data'!Y39</f>
        <v>44720</v>
      </c>
      <c r="AA41" s="2" t="str">
        <f>'All Combined Data'!Z39</f>
        <v>Home Appliance</v>
      </c>
      <c r="AB41" s="2">
        <f>'All Combined Data'!AA39</f>
        <v>8448</v>
      </c>
      <c r="AC41" s="2" t="str">
        <f>'All Combined Data'!AB39</f>
        <v>Married</v>
      </c>
      <c r="AD41" s="2" t="str">
        <f>'All Combined Data'!AC39</f>
        <v>Engineer</v>
      </c>
      <c r="AE41" s="2">
        <f>'All Combined Data'!AD39</f>
        <v>1784990</v>
      </c>
      <c r="AF41" s="2" t="str">
        <f>'All Combined Data'!AE39</f>
        <v>P188</v>
      </c>
      <c r="AG41" s="2" t="str">
        <f>'All Combined Data'!AF39</f>
        <v>Molestiae TV</v>
      </c>
      <c r="AH41" s="2" t="str">
        <f>'All Combined Data'!AG39</f>
        <v>Fashion</v>
      </c>
      <c r="AI41" s="2" t="str">
        <f>'All Combined Data'!AH39</f>
        <v>Notebook</v>
      </c>
      <c r="AJ41" s="2" t="str">
        <f>'All Combined Data'!AI39</f>
        <v>Sanghvi-Murty</v>
      </c>
      <c r="AK41" s="2">
        <f>'All Combined Data'!AJ39</f>
        <v>56140</v>
      </c>
      <c r="AL41" s="2">
        <f>'All Combined Data'!AK39</f>
        <v>7</v>
      </c>
      <c r="AM41" s="2">
        <f>'All Combined Data'!AL39</f>
        <v>440</v>
      </c>
      <c r="AN41" s="2">
        <f>'All Combined Data'!AM39</f>
        <v>12</v>
      </c>
      <c r="AO41" s="2" t="str">
        <f>'All Combined Data'!AN39</f>
        <v>Vietnam</v>
      </c>
      <c r="AP41" s="2" t="str">
        <f>'All Combined Data'!AO39</f>
        <v>No</v>
      </c>
      <c r="AQ41" s="2">
        <f>'All Combined Data'!AP39</f>
        <v>2.8</v>
      </c>
      <c r="AR41" s="14">
        <f>'All Combined Data'!AQ39</f>
        <v>44976</v>
      </c>
      <c r="AS41" s="2" t="str">
        <f>'All Combined Data'!AR39</f>
        <v>No</v>
      </c>
      <c r="AT41" s="2">
        <f>'All Combined Data'!AS39</f>
        <v>5844</v>
      </c>
      <c r="AU41" s="2">
        <f>'All Combined Data'!AT39</f>
        <v>155</v>
      </c>
      <c r="AV41" s="2">
        <f>'All Combined Data'!AU39</f>
        <v>155</v>
      </c>
      <c r="AW41" s="2" t="str">
        <f>'All Combined Data'!AV39</f>
        <v/>
      </c>
      <c r="AX41" s="2" t="str">
        <f>'All Combined Data'!AW39</f>
        <v/>
      </c>
      <c r="AY41" s="2" t="str">
        <f>'All Combined Data'!AX39</f>
        <v/>
      </c>
      <c r="AZ41" s="2" t="str">
        <f>'All Combined Data'!AY39</f>
        <v/>
      </c>
      <c r="BA41" s="2" t="str">
        <f>'All Combined Data'!AZ39</f>
        <v/>
      </c>
      <c r="BB41" s="2" t="str">
        <f>'All Combined Data'!BA39</f>
        <v/>
      </c>
      <c r="BC41" s="2" t="str">
        <f>'All Combined Data'!BB39</f>
        <v/>
      </c>
      <c r="BD41" s="2" t="str">
        <f>'All Combined Data'!BC39</f>
        <v/>
      </c>
      <c r="BE41" s="2" t="str">
        <f>'All Combined Data'!BD39</f>
        <v/>
      </c>
      <c r="BF41" s="2" t="str">
        <f>'All Combined Data'!BE39</f>
        <v/>
      </c>
      <c r="BG41" s="2" t="str">
        <f>'All Combined Data'!BF39</f>
        <v/>
      </c>
      <c r="BH41" s="2" t="str">
        <f>'All Combined Data'!BG39</f>
        <v/>
      </c>
      <c r="BI41" s="2" t="str">
        <f>'All Combined Data'!BH39</f>
        <v/>
      </c>
      <c r="BJ41" s="2" t="str">
        <f>'All Combined Data'!BI39</f>
        <v/>
      </c>
      <c r="BK41" s="2" t="str">
        <f>'All Combined Data'!BJ39</f>
        <v/>
      </c>
      <c r="BL41" s="2">
        <f>Combined_data[[#This Row],[Quantity]]*Combined_data[[#This Row],[UnitPrice]]</f>
        <v>112280</v>
      </c>
      <c r="BM41" s="2">
        <f>Combined_data[[#This Row],[TotalAmount]]*(100-Combined_data[[#This Row],[DiscountApplied]])/100</f>
        <v>280503.51</v>
      </c>
      <c r="BN41" s="2">
        <f>Combined_data[[#This Row],[Reveune]]-Combined_data[[#This Row],[Final Amount]]</f>
        <v>-168223.51</v>
      </c>
    </row>
    <row r="42" spans="2:66" x14ac:dyDescent="0.3">
      <c r="B42" s="2" t="str">
        <f>'All Combined Data'!A40</f>
        <v>O1039</v>
      </c>
      <c r="C42" s="2" t="str">
        <f>'All Combined Data'!B40</f>
        <v>C017</v>
      </c>
      <c r="D42" s="2" t="str">
        <f>'All Combined Data'!C40</f>
        <v>P166</v>
      </c>
      <c r="E42" s="14">
        <f>'All Combined Data'!D40</f>
        <v>45489</v>
      </c>
      <c r="F42" s="2">
        <f>'All Combined Data'!E40</f>
        <v>4</v>
      </c>
      <c r="G42" s="2">
        <f>'All Combined Data'!F40</f>
        <v>85937</v>
      </c>
      <c r="H42" s="2">
        <f>'All Combined Data'!G40</f>
        <v>343748</v>
      </c>
      <c r="I42" s="2">
        <f>'All Combined Data'!H40</f>
        <v>0.11</v>
      </c>
      <c r="J42" s="2" t="str">
        <f>'All Combined Data'!I40</f>
        <v>Cash on Delivery</v>
      </c>
      <c r="K42" s="2" t="str">
        <f>'All Combined Data'!J40</f>
        <v>Delivered</v>
      </c>
      <c r="L42" s="14">
        <f>'All Combined Data'!K40</f>
        <v>45856</v>
      </c>
      <c r="M42" s="2" t="str">
        <f>'All Combined Data'!L40</f>
        <v>No</v>
      </c>
      <c r="N42" s="2">
        <f>'All Combined Data'!M40</f>
        <v>344</v>
      </c>
      <c r="O42" s="2" t="str">
        <f>'All Combined Data'!N40</f>
        <v>No</v>
      </c>
      <c r="P42" s="2" t="str">
        <f>'All Combined Data'!O40</f>
        <v>Yes</v>
      </c>
      <c r="Q42" s="2" t="str">
        <f>'All Combined Data'!P40</f>
        <v>C017</v>
      </c>
      <c r="R42" s="2" t="str">
        <f>'All Combined Data'!Q40</f>
        <v>Lekha Gupta</v>
      </c>
      <c r="S42" s="2" t="str">
        <f>'All Combined Data'!R40</f>
        <v>chaitanya60@example.net</v>
      </c>
      <c r="T42" s="2">
        <f>'All Combined Data'!S40</f>
        <v>3561595148</v>
      </c>
      <c r="U42" s="2" t="str">
        <f>'All Combined Data'!T40</f>
        <v>Jaipur</v>
      </c>
      <c r="V42" s="2" t="str">
        <f>'All Combined Data'!U40</f>
        <v>Rajasthan</v>
      </c>
      <c r="W42" s="2">
        <f>'All Combined Data'!V40</f>
        <v>656482</v>
      </c>
      <c r="X42" s="2" t="str">
        <f>'All Combined Data'!W40</f>
        <v>Female</v>
      </c>
      <c r="Y42" s="14">
        <f>'All Combined Data'!X40</f>
        <v>26516</v>
      </c>
      <c r="Z42" s="2">
        <f>'All Combined Data'!Y40</f>
        <v>45334</v>
      </c>
      <c r="AA42" s="2" t="str">
        <f>'All Combined Data'!Z40</f>
        <v>Grocery</v>
      </c>
      <c r="AB42" s="2">
        <f>'All Combined Data'!AA40</f>
        <v>8769</v>
      </c>
      <c r="AC42" s="2" t="str">
        <f>'All Combined Data'!AB40</f>
        <v>Married</v>
      </c>
      <c r="AD42" s="2" t="str">
        <f>'All Combined Data'!AC40</f>
        <v>Student</v>
      </c>
      <c r="AE42" s="2">
        <f>'All Combined Data'!AD40</f>
        <v>224077</v>
      </c>
      <c r="AF42" s="2" t="str">
        <f>'All Combined Data'!AE40</f>
        <v>P166</v>
      </c>
      <c r="AG42" s="2" t="str">
        <f>'All Combined Data'!AF40</f>
        <v>Voluptate Washing Machine</v>
      </c>
      <c r="AH42" s="2" t="str">
        <f>'All Combined Data'!AG40</f>
        <v>Electronics</v>
      </c>
      <c r="AI42" s="2" t="str">
        <f>'All Combined Data'!AH40</f>
        <v>Organic</v>
      </c>
      <c r="AJ42" s="2" t="str">
        <f>'All Combined Data'!AI40</f>
        <v>Sha-Sura</v>
      </c>
      <c r="AK42" s="2">
        <f>'All Combined Data'!AJ40</f>
        <v>85937</v>
      </c>
      <c r="AL42" s="2">
        <f>'All Combined Data'!AK40</f>
        <v>11</v>
      </c>
      <c r="AM42" s="2">
        <f>'All Combined Data'!AL40</f>
        <v>329</v>
      </c>
      <c r="AN42" s="2">
        <f>'All Combined Data'!AM40</f>
        <v>36</v>
      </c>
      <c r="AO42" s="2" t="str">
        <f>'All Combined Data'!AN40</f>
        <v>China</v>
      </c>
      <c r="AP42" s="2" t="str">
        <f>'All Combined Data'!AO40</f>
        <v>Yes</v>
      </c>
      <c r="AQ42" s="2">
        <f>'All Combined Data'!AP40</f>
        <v>3.6</v>
      </c>
      <c r="AR42" s="14">
        <f>'All Combined Data'!AQ40</f>
        <v>45267</v>
      </c>
      <c r="AS42" s="2" t="str">
        <f>'All Combined Data'!AR40</f>
        <v>No</v>
      </c>
      <c r="AT42" s="2">
        <f>'All Combined Data'!AS40</f>
        <v>2382</v>
      </c>
      <c r="AU42" s="2">
        <f>'All Combined Data'!AT40</f>
        <v>41</v>
      </c>
      <c r="AV42" s="2">
        <f>'All Combined Data'!AU40</f>
        <v>41</v>
      </c>
      <c r="AW42" s="2" t="str">
        <f>'All Combined Data'!AV40</f>
        <v>S041</v>
      </c>
      <c r="AX42" s="2" t="str">
        <f>'All Combined Data'!AW40</f>
        <v>Dixit-Pau Mart</v>
      </c>
      <c r="AY42" s="2" t="str">
        <f>'All Combined Data'!AX40</f>
        <v>Pune</v>
      </c>
      <c r="AZ42" s="2" t="str">
        <f>'All Combined Data'!AY40</f>
        <v>Maharashtra</v>
      </c>
      <c r="BA42" s="2">
        <f>'All Combined Data'!AZ40</f>
        <v>394278</v>
      </c>
      <c r="BB42" s="2" t="str">
        <f>'All Combined Data'!BA40</f>
        <v>Mekhala Patla</v>
      </c>
      <c r="BC42" s="2">
        <f>'All Combined Data'!BB40</f>
        <v>2000</v>
      </c>
      <c r="BD42" s="2">
        <f>'All Combined Data'!BC40</f>
        <v>10</v>
      </c>
      <c r="BE42" s="2">
        <f>'All Combined Data'!BD40</f>
        <v>1402</v>
      </c>
      <c r="BF42" s="2">
        <f>'All Combined Data'!BE40</f>
        <v>3.5</v>
      </c>
      <c r="BG42" s="2" t="str">
        <f>'All Combined Data'!BF40</f>
        <v>No</v>
      </c>
      <c r="BH42" s="2">
        <f>'All Combined Data'!BG40</f>
        <v>3481</v>
      </c>
      <c r="BI42" s="2" t="str">
        <f>'All Combined Data'!BH40</f>
        <v>Franchise</v>
      </c>
      <c r="BJ42" s="2">
        <f>'All Combined Data'!BI40</f>
        <v>392827229</v>
      </c>
      <c r="BK42" s="2" t="str">
        <f>'All Combined Data'!BJ40</f>
        <v>vedaparmer@kanda.com</v>
      </c>
      <c r="BL42" s="2">
        <f>Combined_data[[#This Row],[Quantity]]*Combined_data[[#This Row],[UnitPrice]]</f>
        <v>343748</v>
      </c>
      <c r="BM42" s="2">
        <f>Combined_data[[#This Row],[TotalAmount]]*(100-Combined_data[[#This Row],[DiscountApplied]])/100</f>
        <v>343369.87719999999</v>
      </c>
      <c r="BN42" s="2">
        <f>Combined_data[[#This Row],[Reveune]]-Combined_data[[#This Row],[Final Amount]]</f>
        <v>378.12280000001192</v>
      </c>
    </row>
    <row r="43" spans="2:66" x14ac:dyDescent="0.3">
      <c r="B43" s="2" t="str">
        <f>'All Combined Data'!A41</f>
        <v>O1040</v>
      </c>
      <c r="C43" s="2" t="str">
        <f>'All Combined Data'!B41</f>
        <v>C051</v>
      </c>
      <c r="D43" s="2" t="str">
        <f>'All Combined Data'!C41</f>
        <v>P133</v>
      </c>
      <c r="E43" s="14">
        <f>'All Combined Data'!D41</f>
        <v>45822</v>
      </c>
      <c r="F43" s="2">
        <f>'All Combined Data'!E41</f>
        <v>1</v>
      </c>
      <c r="G43" s="2">
        <f>'All Combined Data'!F41</f>
        <v>12313</v>
      </c>
      <c r="H43" s="2">
        <f>'All Combined Data'!G41</f>
        <v>24626</v>
      </c>
      <c r="I43" s="2">
        <f>'All Combined Data'!H41</f>
        <v>0.14000000000000001</v>
      </c>
      <c r="J43" s="2" t="str">
        <f>'All Combined Data'!I41</f>
        <v>Cash on Delivery</v>
      </c>
      <c r="K43" s="2" t="str">
        <f>'All Combined Data'!J41</f>
        <v>Delivered</v>
      </c>
      <c r="L43" s="14">
        <f>'All Combined Data'!K41</f>
        <v>45855</v>
      </c>
      <c r="M43" s="2" t="str">
        <f>'All Combined Data'!L41</f>
        <v>Yes</v>
      </c>
      <c r="N43" s="2">
        <f>'All Combined Data'!M41</f>
        <v>216</v>
      </c>
      <c r="O43" s="2" t="str">
        <f>'All Combined Data'!N41</f>
        <v>No</v>
      </c>
      <c r="P43" s="2" t="str">
        <f>'All Combined Data'!O41</f>
        <v>Yes</v>
      </c>
      <c r="Q43" s="2" t="str">
        <f>'All Combined Data'!P41</f>
        <v>C051</v>
      </c>
      <c r="R43" s="2" t="str">
        <f>'All Combined Data'!Q41</f>
        <v>Nandini Boase</v>
      </c>
      <c r="S43" s="2" t="str">
        <f>'All Combined Data'!R41</f>
        <v>azaanchand@example.net</v>
      </c>
      <c r="T43" s="2">
        <f>'All Combined Data'!S41</f>
        <v>3667525459</v>
      </c>
      <c r="U43" s="2" t="str">
        <f>'All Combined Data'!T41</f>
        <v>Delhi</v>
      </c>
      <c r="V43" s="2" t="str">
        <f>'All Combined Data'!U41</f>
        <v>Delhi</v>
      </c>
      <c r="W43" s="2">
        <f>'All Combined Data'!V41</f>
        <v>22901</v>
      </c>
      <c r="X43" s="2" t="str">
        <f>'All Combined Data'!W41</f>
        <v>Female</v>
      </c>
      <c r="Y43" s="14">
        <f>'All Combined Data'!X41</f>
        <v>28511</v>
      </c>
      <c r="Z43" s="2">
        <f>'All Combined Data'!Y41</f>
        <v>45404</v>
      </c>
      <c r="AA43" s="2" t="str">
        <f>'All Combined Data'!Z41</f>
        <v>Home Appliance</v>
      </c>
      <c r="AB43" s="2">
        <f>'All Combined Data'!AA41</f>
        <v>7141</v>
      </c>
      <c r="AC43" s="2" t="str">
        <f>'All Combined Data'!AB41</f>
        <v>Single</v>
      </c>
      <c r="AD43" s="2" t="str">
        <f>'All Combined Data'!AC41</f>
        <v>Engineer</v>
      </c>
      <c r="AE43" s="2">
        <f>'All Combined Data'!AD41</f>
        <v>846464</v>
      </c>
      <c r="AF43" s="2" t="str">
        <f>'All Combined Data'!AE41</f>
        <v>P133</v>
      </c>
      <c r="AG43" s="2" t="str">
        <f>'All Combined Data'!AF41</f>
        <v>Eius Laptop</v>
      </c>
      <c r="AH43" s="2" t="str">
        <f>'All Combined Data'!AG41</f>
        <v>Fashion</v>
      </c>
      <c r="AI43" s="2" t="str">
        <f>'All Combined Data'!AH41</f>
        <v>Smart</v>
      </c>
      <c r="AJ43" s="2" t="str">
        <f>'All Combined Data'!AI41</f>
        <v>Sanghvi-Ramachandran</v>
      </c>
      <c r="AK43" s="2">
        <f>'All Combined Data'!AJ41</f>
        <v>12313</v>
      </c>
      <c r="AL43" s="2">
        <f>'All Combined Data'!AK41</f>
        <v>14</v>
      </c>
      <c r="AM43" s="2">
        <f>'All Combined Data'!AL41</f>
        <v>334</v>
      </c>
      <c r="AN43" s="2">
        <f>'All Combined Data'!AM41</f>
        <v>36</v>
      </c>
      <c r="AO43" s="2" t="str">
        <f>'All Combined Data'!AN41</f>
        <v>China</v>
      </c>
      <c r="AP43" s="2" t="str">
        <f>'All Combined Data'!AO41</f>
        <v>Yes</v>
      </c>
      <c r="AQ43" s="2">
        <f>'All Combined Data'!AP41</f>
        <v>2.8</v>
      </c>
      <c r="AR43" s="14">
        <f>'All Combined Data'!AQ41</f>
        <v>44765</v>
      </c>
      <c r="AS43" s="2" t="str">
        <f>'All Combined Data'!AR41</f>
        <v>No</v>
      </c>
      <c r="AT43" s="2">
        <f>'All Combined Data'!AS41</f>
        <v>9698</v>
      </c>
      <c r="AU43" s="2">
        <f>'All Combined Data'!AT41</f>
        <v>176</v>
      </c>
      <c r="AV43" s="2">
        <f>'All Combined Data'!AU41</f>
        <v>176</v>
      </c>
      <c r="AW43" s="2" t="str">
        <f>'All Combined Data'!AV41</f>
        <v/>
      </c>
      <c r="AX43" s="2" t="str">
        <f>'All Combined Data'!AW41</f>
        <v/>
      </c>
      <c r="AY43" s="2" t="str">
        <f>'All Combined Data'!AX41</f>
        <v/>
      </c>
      <c r="AZ43" s="2" t="str">
        <f>'All Combined Data'!AY41</f>
        <v/>
      </c>
      <c r="BA43" s="2" t="str">
        <f>'All Combined Data'!AZ41</f>
        <v/>
      </c>
      <c r="BB43" s="2" t="str">
        <f>'All Combined Data'!BA41</f>
        <v/>
      </c>
      <c r="BC43" s="2" t="str">
        <f>'All Combined Data'!BB41</f>
        <v/>
      </c>
      <c r="BD43" s="2" t="str">
        <f>'All Combined Data'!BC41</f>
        <v/>
      </c>
      <c r="BE43" s="2" t="str">
        <f>'All Combined Data'!BD41</f>
        <v/>
      </c>
      <c r="BF43" s="2" t="str">
        <f>'All Combined Data'!BE41</f>
        <v/>
      </c>
      <c r="BG43" s="2" t="str">
        <f>'All Combined Data'!BF41</f>
        <v/>
      </c>
      <c r="BH43" s="2" t="str">
        <f>'All Combined Data'!BG41</f>
        <v/>
      </c>
      <c r="BI43" s="2" t="str">
        <f>'All Combined Data'!BH41</f>
        <v/>
      </c>
      <c r="BJ43" s="2" t="str">
        <f>'All Combined Data'!BI41</f>
        <v/>
      </c>
      <c r="BK43" s="2" t="str">
        <f>'All Combined Data'!BJ41</f>
        <v/>
      </c>
      <c r="BL43" s="2">
        <f>Combined_data[[#This Row],[Quantity]]*Combined_data[[#This Row],[UnitPrice]]</f>
        <v>12313</v>
      </c>
      <c r="BM43" s="2">
        <f>Combined_data[[#This Row],[TotalAmount]]*(100-Combined_data[[#This Row],[DiscountApplied]])/100</f>
        <v>24591.5236</v>
      </c>
      <c r="BN43" s="2">
        <f>Combined_data[[#This Row],[Reveune]]-Combined_data[[#This Row],[Final Amount]]</f>
        <v>-12278.5236</v>
      </c>
    </row>
    <row r="44" spans="2:66" x14ac:dyDescent="0.3">
      <c r="B44" s="2" t="str">
        <f>'All Combined Data'!A42</f>
        <v>O1041</v>
      </c>
      <c r="C44" s="2" t="str">
        <f>'All Combined Data'!B42</f>
        <v>C070</v>
      </c>
      <c r="D44" s="2" t="str">
        <f>'All Combined Data'!C42</f>
        <v>P108</v>
      </c>
      <c r="E44" s="14">
        <f>'All Combined Data'!D42</f>
        <v>45583</v>
      </c>
      <c r="F44" s="2">
        <f>'All Combined Data'!E42</f>
        <v>1</v>
      </c>
      <c r="G44" s="2">
        <f>'All Combined Data'!F42</f>
        <v>72850</v>
      </c>
      <c r="H44" s="2">
        <f>'All Combined Data'!G42</f>
        <v>291400</v>
      </c>
      <c r="I44" s="2">
        <f>'All Combined Data'!H42</f>
        <v>7.0000000000000007E-2</v>
      </c>
      <c r="J44" s="2" t="str">
        <f>'All Combined Data'!I42</f>
        <v>Credit Card</v>
      </c>
      <c r="K44" s="2" t="str">
        <f>'All Combined Data'!J42</f>
        <v>Pending</v>
      </c>
      <c r="L44" s="14">
        <f>'All Combined Data'!K42</f>
        <v>45856</v>
      </c>
      <c r="M44" s="2" t="str">
        <f>'All Combined Data'!L42</f>
        <v>No</v>
      </c>
      <c r="N44" s="2">
        <f>'All Combined Data'!M42</f>
        <v>92</v>
      </c>
      <c r="O44" s="2" t="str">
        <f>'All Combined Data'!N42</f>
        <v>Yes</v>
      </c>
      <c r="P44" s="2" t="str">
        <f>'All Combined Data'!O42</f>
        <v>No</v>
      </c>
      <c r="Q44" s="2" t="str">
        <f>'All Combined Data'!P42</f>
        <v>C070</v>
      </c>
      <c r="R44" s="2" t="str">
        <f>'All Combined Data'!Q42</f>
        <v>Jalsa Pillay</v>
      </c>
      <c r="S44" s="2" t="str">
        <f>'All Combined Data'!R42</f>
        <v>ndayal@example.org</v>
      </c>
      <c r="T44" s="2">
        <f>'All Combined Data'!S42</f>
        <v>914678669125</v>
      </c>
      <c r="U44" s="2" t="str">
        <f>'All Combined Data'!T42</f>
        <v>Jaipur</v>
      </c>
      <c r="V44" s="2" t="str">
        <f>'All Combined Data'!U42</f>
        <v>Rajasthan</v>
      </c>
      <c r="W44" s="2">
        <f>'All Combined Data'!V42</f>
        <v>778528</v>
      </c>
      <c r="X44" s="2" t="str">
        <f>'All Combined Data'!W42</f>
        <v>Male</v>
      </c>
      <c r="Y44" s="14">
        <f>'All Combined Data'!X42</f>
        <v>37650</v>
      </c>
      <c r="Z44" s="2">
        <f>'All Combined Data'!Y42</f>
        <v>45854</v>
      </c>
      <c r="AA44" s="2" t="str">
        <f>'All Combined Data'!Z42</f>
        <v>Home Appliance</v>
      </c>
      <c r="AB44" s="2">
        <f>'All Combined Data'!AA42</f>
        <v>190</v>
      </c>
      <c r="AC44" s="2" t="str">
        <f>'All Combined Data'!AB42</f>
        <v>Single</v>
      </c>
      <c r="AD44" s="2" t="str">
        <f>'All Combined Data'!AC42</f>
        <v>Business</v>
      </c>
      <c r="AE44" s="2">
        <f>'All Combined Data'!AD42</f>
        <v>658943</v>
      </c>
      <c r="AF44" s="2" t="str">
        <f>'All Combined Data'!AE42</f>
        <v>P108</v>
      </c>
      <c r="AG44" s="2" t="str">
        <f>'All Combined Data'!AF42</f>
        <v>Nam Shirt</v>
      </c>
      <c r="AH44" s="2" t="str">
        <f>'All Combined Data'!AG42</f>
        <v>Home Appliance</v>
      </c>
      <c r="AI44" s="2" t="str">
        <f>'All Combined Data'!AH42</f>
        <v>Smart</v>
      </c>
      <c r="AJ44" s="2" t="str">
        <f>'All Combined Data'!AI42</f>
        <v>Manne-Swaminathan</v>
      </c>
      <c r="AK44" s="2">
        <f>'All Combined Data'!AJ42</f>
        <v>72850</v>
      </c>
      <c r="AL44" s="2">
        <f>'All Combined Data'!AK42</f>
        <v>7</v>
      </c>
      <c r="AM44" s="2">
        <f>'All Combined Data'!AL42</f>
        <v>160</v>
      </c>
      <c r="AN44" s="2">
        <f>'All Combined Data'!AM42</f>
        <v>6</v>
      </c>
      <c r="AO44" s="2" t="str">
        <f>'All Combined Data'!AN42</f>
        <v>Japan</v>
      </c>
      <c r="AP44" s="2" t="str">
        <f>'All Combined Data'!AO42</f>
        <v>No</v>
      </c>
      <c r="AQ44" s="2">
        <f>'All Combined Data'!AP42</f>
        <v>4.2</v>
      </c>
      <c r="AR44" s="14">
        <f>'All Combined Data'!AQ42</f>
        <v>45653</v>
      </c>
      <c r="AS44" s="2" t="str">
        <f>'All Combined Data'!AR42</f>
        <v>No</v>
      </c>
      <c r="AT44" s="2">
        <f>'All Combined Data'!AS42</f>
        <v>5772</v>
      </c>
      <c r="AU44" s="2">
        <f>'All Combined Data'!AT42</f>
        <v>87</v>
      </c>
      <c r="AV44" s="2">
        <f>'All Combined Data'!AU42</f>
        <v>87</v>
      </c>
      <c r="AW44" s="2" t="str">
        <f>'All Combined Data'!AV42</f>
        <v>S087</v>
      </c>
      <c r="AX44" s="2" t="str">
        <f>'All Combined Data'!AW42</f>
        <v>Bakshi, Subramanian and Tella Mart</v>
      </c>
      <c r="AY44" s="2" t="str">
        <f>'All Combined Data'!AX42</f>
        <v>Lucknow</v>
      </c>
      <c r="AZ44" s="2" t="str">
        <f>'All Combined Data'!AY42</f>
        <v>Uttar Pradesh</v>
      </c>
      <c r="BA44" s="2">
        <f>'All Combined Data'!AZ42</f>
        <v>357845</v>
      </c>
      <c r="BB44" s="2" t="str">
        <f>'All Combined Data'!BA42</f>
        <v>Guneet Varty</v>
      </c>
      <c r="BC44" s="2">
        <f>'All Combined Data'!BB42</f>
        <v>2015</v>
      </c>
      <c r="BD44" s="2">
        <f>'All Combined Data'!BC42</f>
        <v>95</v>
      </c>
      <c r="BE44" s="2">
        <f>'All Combined Data'!BD42</f>
        <v>2015</v>
      </c>
      <c r="BF44" s="2">
        <f>'All Combined Data'!BE42</f>
        <v>3.9</v>
      </c>
      <c r="BG44" s="2" t="str">
        <f>'All Combined Data'!BF42</f>
        <v>Yes</v>
      </c>
      <c r="BH44" s="2">
        <f>'All Combined Data'!BG42</f>
        <v>4056</v>
      </c>
      <c r="BI44" s="2" t="str">
        <f>'All Combined Data'!BH42</f>
        <v>Retail</v>
      </c>
      <c r="BJ44" s="2">
        <f>'All Combined Data'!BI42</f>
        <v>2307681040</v>
      </c>
      <c r="BK44" s="2" t="str">
        <f>'All Combined Data'!BJ42</f>
        <v>nathunni@chauhan.com</v>
      </c>
      <c r="BL44" s="2">
        <f>Combined_data[[#This Row],[Quantity]]*Combined_data[[#This Row],[UnitPrice]]</f>
        <v>72850</v>
      </c>
      <c r="BM44" s="2">
        <f>Combined_data[[#This Row],[TotalAmount]]*(100-Combined_data[[#This Row],[DiscountApplied]])/100</f>
        <v>291196.02</v>
      </c>
      <c r="BN44" s="2">
        <f>Combined_data[[#This Row],[Reveune]]-Combined_data[[#This Row],[Final Amount]]</f>
        <v>-218346.02000000002</v>
      </c>
    </row>
    <row r="45" spans="2:66" x14ac:dyDescent="0.3">
      <c r="B45" s="2" t="str">
        <f>'All Combined Data'!A43</f>
        <v>O1042</v>
      </c>
      <c r="C45" s="2" t="str">
        <f>'All Combined Data'!B43</f>
        <v>C048</v>
      </c>
      <c r="D45" s="2" t="str">
        <f>'All Combined Data'!C43</f>
        <v>P149</v>
      </c>
      <c r="E45" s="14">
        <f>'All Combined Data'!D43</f>
        <v>45672</v>
      </c>
      <c r="F45" s="2">
        <f>'All Combined Data'!E43</f>
        <v>4</v>
      </c>
      <c r="G45" s="2">
        <f>'All Combined Data'!F43</f>
        <v>12719</v>
      </c>
      <c r="H45" s="2">
        <f>'All Combined Data'!G43</f>
        <v>50876</v>
      </c>
      <c r="I45" s="2">
        <f>'All Combined Data'!H43</f>
        <v>0.18</v>
      </c>
      <c r="J45" s="2" t="str">
        <f>'All Combined Data'!I43</f>
        <v>Net Banking</v>
      </c>
      <c r="K45" s="2" t="str">
        <f>'All Combined Data'!J43</f>
        <v>Delivered</v>
      </c>
      <c r="L45" s="14">
        <f>'All Combined Data'!K43</f>
        <v>45863</v>
      </c>
      <c r="M45" s="2" t="str">
        <f>'All Combined Data'!L43</f>
        <v>Yes</v>
      </c>
      <c r="N45" s="2">
        <f>'All Combined Data'!M43</f>
        <v>334</v>
      </c>
      <c r="O45" s="2" t="str">
        <f>'All Combined Data'!N43</f>
        <v>No</v>
      </c>
      <c r="P45" s="2" t="str">
        <f>'All Combined Data'!O43</f>
        <v>Yes</v>
      </c>
      <c r="Q45" s="2" t="str">
        <f>'All Combined Data'!P43</f>
        <v>C048</v>
      </c>
      <c r="R45" s="2" t="str">
        <f>'All Combined Data'!Q43</f>
        <v>Sudiksha Tiwari</v>
      </c>
      <c r="S45" s="2" t="str">
        <f>'All Combined Data'!R43</f>
        <v>ychaudhary@example.net</v>
      </c>
      <c r="T45" s="2">
        <f>'All Combined Data'!S43</f>
        <v>918367365766</v>
      </c>
      <c r="U45" s="2" t="str">
        <f>'All Combined Data'!T43</f>
        <v>Chennai</v>
      </c>
      <c r="V45" s="2" t="str">
        <f>'All Combined Data'!U43</f>
        <v>Tamil Nadu</v>
      </c>
      <c r="W45" s="2">
        <f>'All Combined Data'!V43</f>
        <v>565452</v>
      </c>
      <c r="X45" s="2" t="str">
        <f>'All Combined Data'!W43</f>
        <v>Female</v>
      </c>
      <c r="Y45" s="14">
        <f>'All Combined Data'!X43</f>
        <v>38819</v>
      </c>
      <c r="Z45" s="2">
        <f>'All Combined Data'!Y43</f>
        <v>45501</v>
      </c>
      <c r="AA45" s="2" t="str">
        <f>'All Combined Data'!Z43</f>
        <v>Fashion</v>
      </c>
      <c r="AB45" s="2">
        <f>'All Combined Data'!AA43</f>
        <v>932</v>
      </c>
      <c r="AC45" s="2" t="str">
        <f>'All Combined Data'!AB43</f>
        <v>Single</v>
      </c>
      <c r="AD45" s="2" t="str">
        <f>'All Combined Data'!AC43</f>
        <v>Business</v>
      </c>
      <c r="AE45" s="2">
        <f>'All Combined Data'!AD43</f>
        <v>1939269</v>
      </c>
      <c r="AF45" s="2" t="str">
        <f>'All Combined Data'!AE43</f>
        <v>P149</v>
      </c>
      <c r="AG45" s="2" t="str">
        <f>'All Combined Data'!AF43</f>
        <v>Doloremque TV</v>
      </c>
      <c r="AH45" s="2" t="str">
        <f>'All Combined Data'!AG43</f>
        <v>Electronics</v>
      </c>
      <c r="AI45" s="2" t="str">
        <f>'All Combined Data'!AH43</f>
        <v>LED</v>
      </c>
      <c r="AJ45" s="2" t="str">
        <f>'All Combined Data'!AI43</f>
        <v>Balasubramanian and Sons</v>
      </c>
      <c r="AK45" s="2">
        <f>'All Combined Data'!AJ43</f>
        <v>12719</v>
      </c>
      <c r="AL45" s="2">
        <f>'All Combined Data'!AK43</f>
        <v>18</v>
      </c>
      <c r="AM45" s="2">
        <f>'All Combined Data'!AL43</f>
        <v>98</v>
      </c>
      <c r="AN45" s="2">
        <f>'All Combined Data'!AM43</f>
        <v>24</v>
      </c>
      <c r="AO45" s="2" t="str">
        <f>'All Combined Data'!AN43</f>
        <v>China</v>
      </c>
      <c r="AP45" s="2" t="str">
        <f>'All Combined Data'!AO43</f>
        <v>Yes</v>
      </c>
      <c r="AQ45" s="2">
        <f>'All Combined Data'!AP43</f>
        <v>4</v>
      </c>
      <c r="AR45" s="14">
        <f>'All Combined Data'!AQ43</f>
        <v>45212</v>
      </c>
      <c r="AS45" s="2" t="str">
        <f>'All Combined Data'!AR43</f>
        <v>No</v>
      </c>
      <c r="AT45" s="2">
        <f>'All Combined Data'!AS43</f>
        <v>3003</v>
      </c>
      <c r="AU45" s="2">
        <f>'All Combined Data'!AT43</f>
        <v>4</v>
      </c>
      <c r="AV45" s="2">
        <f>'All Combined Data'!AU43</f>
        <v>4</v>
      </c>
      <c r="AW45" s="2" t="str">
        <f>'All Combined Data'!AV43</f>
        <v>S004</v>
      </c>
      <c r="AX45" s="2" t="str">
        <f>'All Combined Data'!AW43</f>
        <v>Rajagopal-Devan Mart</v>
      </c>
      <c r="AY45" s="2" t="str">
        <f>'All Combined Data'!AX43</f>
        <v>Pune</v>
      </c>
      <c r="AZ45" s="2" t="str">
        <f>'All Combined Data'!AY43</f>
        <v>Maharashtra</v>
      </c>
      <c r="BA45" s="2">
        <f>'All Combined Data'!AZ43</f>
        <v>383806</v>
      </c>
      <c r="BB45" s="2" t="str">
        <f>'All Combined Data'!BA43</f>
        <v>Varsha Sundaram</v>
      </c>
      <c r="BC45" s="2">
        <f>'All Combined Data'!BB43</f>
        <v>2003</v>
      </c>
      <c r="BD45" s="2">
        <f>'All Combined Data'!BC43</f>
        <v>78</v>
      </c>
      <c r="BE45" s="2">
        <f>'All Combined Data'!BD43</f>
        <v>4742</v>
      </c>
      <c r="BF45" s="2">
        <f>'All Combined Data'!BE43</f>
        <v>3.5</v>
      </c>
      <c r="BG45" s="2" t="str">
        <f>'All Combined Data'!BF43</f>
        <v>No</v>
      </c>
      <c r="BH45" s="2">
        <f>'All Combined Data'!BG43</f>
        <v>4940</v>
      </c>
      <c r="BI45" s="2" t="str">
        <f>'All Combined Data'!BH43</f>
        <v>Retail</v>
      </c>
      <c r="BJ45" s="2">
        <f>'All Combined Data'!BI43</f>
        <v>9856420593</v>
      </c>
      <c r="BK45" s="2" t="str">
        <f>'All Combined Data'!BJ43</f>
        <v>manddalbir@wagle-parmar.org</v>
      </c>
      <c r="BL45" s="2">
        <f>Combined_data[[#This Row],[Quantity]]*Combined_data[[#This Row],[UnitPrice]]</f>
        <v>50876</v>
      </c>
      <c r="BM45" s="2">
        <f>Combined_data[[#This Row],[TotalAmount]]*(100-Combined_data[[#This Row],[DiscountApplied]])/100</f>
        <v>50784.42319999999</v>
      </c>
      <c r="BN45" s="2">
        <f>Combined_data[[#This Row],[Reveune]]-Combined_data[[#This Row],[Final Amount]]</f>
        <v>91.576800000009825</v>
      </c>
    </row>
    <row r="46" spans="2:66" x14ac:dyDescent="0.3">
      <c r="B46" s="2" t="str">
        <f>'All Combined Data'!A44</f>
        <v>O1043</v>
      </c>
      <c r="C46" s="2" t="str">
        <f>'All Combined Data'!B44</f>
        <v>C023</v>
      </c>
      <c r="D46" s="2" t="str">
        <f>'All Combined Data'!C44</f>
        <v>P169</v>
      </c>
      <c r="E46" s="14">
        <f>'All Combined Data'!D44</f>
        <v>45637</v>
      </c>
      <c r="F46" s="2">
        <f>'All Combined Data'!E44</f>
        <v>4</v>
      </c>
      <c r="G46" s="2">
        <f>'All Combined Data'!F44</f>
        <v>79497</v>
      </c>
      <c r="H46" s="2">
        <f>'All Combined Data'!G44</f>
        <v>397485</v>
      </c>
      <c r="I46" s="2">
        <f>'All Combined Data'!H44</f>
        <v>0.09</v>
      </c>
      <c r="J46" s="2" t="str">
        <f>'All Combined Data'!I44</f>
        <v>Debit Card</v>
      </c>
      <c r="K46" s="2" t="str">
        <f>'All Combined Data'!J44</f>
        <v>Shipped</v>
      </c>
      <c r="L46" s="14">
        <f>'All Combined Data'!K44</f>
        <v>45858</v>
      </c>
      <c r="M46" s="2" t="str">
        <f>'All Combined Data'!L44</f>
        <v>Yes</v>
      </c>
      <c r="N46" s="2">
        <f>'All Combined Data'!M44</f>
        <v>387</v>
      </c>
      <c r="O46" s="2" t="str">
        <f>'All Combined Data'!N44</f>
        <v>Yes</v>
      </c>
      <c r="P46" s="2" t="str">
        <f>'All Combined Data'!O44</f>
        <v>No</v>
      </c>
      <c r="Q46" s="2" t="str">
        <f>'All Combined Data'!P44</f>
        <v>C023</v>
      </c>
      <c r="R46" s="2" t="str">
        <f>'All Combined Data'!Q44</f>
        <v>Fiyaz Sangha</v>
      </c>
      <c r="S46" s="2" t="str">
        <f>'All Combined Data'!R44</f>
        <v>triyagopal@example.org</v>
      </c>
      <c r="T46" s="2">
        <f>'All Combined Data'!S44</f>
        <v>6537556464</v>
      </c>
      <c r="U46" s="2" t="str">
        <f>'All Combined Data'!T44</f>
        <v>Ahmedabad</v>
      </c>
      <c r="V46" s="2" t="str">
        <f>'All Combined Data'!U44</f>
        <v>Gujarat</v>
      </c>
      <c r="W46" s="2">
        <f>'All Combined Data'!V44</f>
        <v>708053</v>
      </c>
      <c r="X46" s="2" t="str">
        <f>'All Combined Data'!W44</f>
        <v>Male</v>
      </c>
      <c r="Y46" s="14">
        <f>'All Combined Data'!X44</f>
        <v>37907</v>
      </c>
      <c r="Z46" s="2">
        <f>'All Combined Data'!Y44</f>
        <v>44241</v>
      </c>
      <c r="AA46" s="2" t="str">
        <f>'All Combined Data'!Z44</f>
        <v>Home Appliance</v>
      </c>
      <c r="AB46" s="2">
        <f>'All Combined Data'!AA44</f>
        <v>2203</v>
      </c>
      <c r="AC46" s="2" t="str">
        <f>'All Combined Data'!AB44</f>
        <v>Married</v>
      </c>
      <c r="AD46" s="2" t="str">
        <f>'All Combined Data'!AC44</f>
        <v>Student</v>
      </c>
      <c r="AE46" s="2">
        <f>'All Combined Data'!AD44</f>
        <v>546296</v>
      </c>
      <c r="AF46" s="2" t="str">
        <f>'All Combined Data'!AE44</f>
        <v>P169</v>
      </c>
      <c r="AG46" s="2" t="str">
        <f>'All Combined Data'!AF44</f>
        <v>Esse Laptop</v>
      </c>
      <c r="AH46" s="2" t="str">
        <f>'All Combined Data'!AG44</f>
        <v>Fashion</v>
      </c>
      <c r="AI46" s="2" t="str">
        <f>'All Combined Data'!AH44</f>
        <v>Notebook</v>
      </c>
      <c r="AJ46" s="2" t="str">
        <f>'All Combined Data'!AI44</f>
        <v>Kakar-Talwar</v>
      </c>
      <c r="AK46" s="2">
        <f>'All Combined Data'!AJ44</f>
        <v>79497</v>
      </c>
      <c r="AL46" s="2">
        <f>'All Combined Data'!AK44</f>
        <v>9</v>
      </c>
      <c r="AM46" s="2">
        <f>'All Combined Data'!AL44</f>
        <v>341</v>
      </c>
      <c r="AN46" s="2">
        <f>'All Combined Data'!AM44</f>
        <v>6</v>
      </c>
      <c r="AO46" s="2" t="str">
        <f>'All Combined Data'!AN44</f>
        <v>China</v>
      </c>
      <c r="AP46" s="2" t="str">
        <f>'All Combined Data'!AO44</f>
        <v>No</v>
      </c>
      <c r="AQ46" s="2">
        <f>'All Combined Data'!AP44</f>
        <v>3.3</v>
      </c>
      <c r="AR46" s="14">
        <f>'All Combined Data'!AQ44</f>
        <v>45176</v>
      </c>
      <c r="AS46" s="2" t="str">
        <f>'All Combined Data'!AR44</f>
        <v>No</v>
      </c>
      <c r="AT46" s="2">
        <f>'All Combined Data'!AS44</f>
        <v>3113</v>
      </c>
      <c r="AU46" s="2">
        <f>'All Combined Data'!AT44</f>
        <v>152</v>
      </c>
      <c r="AV46" s="2">
        <f>'All Combined Data'!AU44</f>
        <v>152</v>
      </c>
      <c r="AW46" s="2" t="str">
        <f>'All Combined Data'!AV44</f>
        <v/>
      </c>
      <c r="AX46" s="2" t="str">
        <f>'All Combined Data'!AW44</f>
        <v/>
      </c>
      <c r="AY46" s="2" t="str">
        <f>'All Combined Data'!AX44</f>
        <v/>
      </c>
      <c r="AZ46" s="2" t="str">
        <f>'All Combined Data'!AY44</f>
        <v/>
      </c>
      <c r="BA46" s="2" t="str">
        <f>'All Combined Data'!AZ44</f>
        <v/>
      </c>
      <c r="BB46" s="2" t="str">
        <f>'All Combined Data'!BA44</f>
        <v/>
      </c>
      <c r="BC46" s="2" t="str">
        <f>'All Combined Data'!BB44</f>
        <v/>
      </c>
      <c r="BD46" s="2" t="str">
        <f>'All Combined Data'!BC44</f>
        <v/>
      </c>
      <c r="BE46" s="2" t="str">
        <f>'All Combined Data'!BD44</f>
        <v/>
      </c>
      <c r="BF46" s="2" t="str">
        <f>'All Combined Data'!BE44</f>
        <v/>
      </c>
      <c r="BG46" s="2" t="str">
        <f>'All Combined Data'!BF44</f>
        <v/>
      </c>
      <c r="BH46" s="2" t="str">
        <f>'All Combined Data'!BG44</f>
        <v/>
      </c>
      <c r="BI46" s="2" t="str">
        <f>'All Combined Data'!BH44</f>
        <v/>
      </c>
      <c r="BJ46" s="2" t="str">
        <f>'All Combined Data'!BI44</f>
        <v/>
      </c>
      <c r="BK46" s="2" t="str">
        <f>'All Combined Data'!BJ44</f>
        <v/>
      </c>
      <c r="BL46" s="2">
        <f>Combined_data[[#This Row],[Quantity]]*Combined_data[[#This Row],[UnitPrice]]</f>
        <v>317988</v>
      </c>
      <c r="BM46" s="2">
        <f>Combined_data[[#This Row],[TotalAmount]]*(100-Combined_data[[#This Row],[DiscountApplied]])/100</f>
        <v>397127.2635</v>
      </c>
      <c r="BN46" s="2">
        <f>Combined_data[[#This Row],[Reveune]]-Combined_data[[#This Row],[Final Amount]]</f>
        <v>-79139.263500000001</v>
      </c>
    </row>
    <row r="47" spans="2:66" x14ac:dyDescent="0.3">
      <c r="B47" s="2" t="str">
        <f>'All Combined Data'!A45</f>
        <v>O1044</v>
      </c>
      <c r="C47" s="2" t="str">
        <f>'All Combined Data'!B45</f>
        <v>C060</v>
      </c>
      <c r="D47" s="2" t="str">
        <f>'All Combined Data'!C45</f>
        <v>P187</v>
      </c>
      <c r="E47" s="14">
        <f>'All Combined Data'!D45</f>
        <v>45558</v>
      </c>
      <c r="F47" s="2">
        <f>'All Combined Data'!E45</f>
        <v>5</v>
      </c>
      <c r="G47" s="2">
        <f>'All Combined Data'!F45</f>
        <v>52931</v>
      </c>
      <c r="H47" s="2">
        <f>'All Combined Data'!G45</f>
        <v>211724</v>
      </c>
      <c r="I47" s="2">
        <f>'All Combined Data'!H45</f>
        <v>0.28000000000000003</v>
      </c>
      <c r="J47" s="2" t="str">
        <f>'All Combined Data'!I45</f>
        <v>Cash on Delivery</v>
      </c>
      <c r="K47" s="2" t="str">
        <f>'All Combined Data'!J45</f>
        <v>Cancelled</v>
      </c>
      <c r="L47" s="14">
        <f>'All Combined Data'!K45</f>
        <v>45855</v>
      </c>
      <c r="M47" s="2" t="str">
        <f>'All Combined Data'!L45</f>
        <v>Yes</v>
      </c>
      <c r="N47" s="2">
        <f>'All Combined Data'!M45</f>
        <v>126</v>
      </c>
      <c r="O47" s="2" t="str">
        <f>'All Combined Data'!N45</f>
        <v>No</v>
      </c>
      <c r="P47" s="2" t="str">
        <f>'All Combined Data'!O45</f>
        <v>No</v>
      </c>
      <c r="Q47" s="2" t="str">
        <f>'All Combined Data'!P45</f>
        <v>C060</v>
      </c>
      <c r="R47" s="2" t="str">
        <f>'All Combined Data'!Q45</f>
        <v>Caleb Roy</v>
      </c>
      <c r="S47" s="2" t="str">
        <f>'All Combined Data'!R45</f>
        <v>wazir79@example.com</v>
      </c>
      <c r="T47" s="2">
        <f>'All Combined Data'!S45</f>
        <v>7383473597</v>
      </c>
      <c r="U47" s="2" t="str">
        <f>'All Combined Data'!T45</f>
        <v>Kolkata</v>
      </c>
      <c r="V47" s="2" t="str">
        <f>'All Combined Data'!U45</f>
        <v>West Bengal</v>
      </c>
      <c r="W47" s="2">
        <f>'All Combined Data'!V45</f>
        <v>468862</v>
      </c>
      <c r="X47" s="2" t="str">
        <f>'All Combined Data'!W45</f>
        <v>Female</v>
      </c>
      <c r="Y47" s="14">
        <f>'All Combined Data'!X45</f>
        <v>26711</v>
      </c>
      <c r="Z47" s="2">
        <f>'All Combined Data'!Y45</f>
        <v>44457</v>
      </c>
      <c r="AA47" s="2" t="str">
        <f>'All Combined Data'!Z45</f>
        <v>Electronics</v>
      </c>
      <c r="AB47" s="2">
        <f>'All Combined Data'!AA45</f>
        <v>6411</v>
      </c>
      <c r="AC47" s="2" t="str">
        <f>'All Combined Data'!AB45</f>
        <v>Single</v>
      </c>
      <c r="AD47" s="2" t="str">
        <f>'All Combined Data'!AC45</f>
        <v>Teacher</v>
      </c>
      <c r="AE47" s="2">
        <f>'All Combined Data'!AD45</f>
        <v>293085</v>
      </c>
      <c r="AF47" s="2" t="str">
        <f>'All Combined Data'!AE45</f>
        <v>P187</v>
      </c>
      <c r="AG47" s="2" t="str">
        <f>'All Combined Data'!AF45</f>
        <v>Commodi Phone</v>
      </c>
      <c r="AH47" s="2" t="str">
        <f>'All Combined Data'!AG45</f>
        <v>Electronics</v>
      </c>
      <c r="AI47" s="2" t="str">
        <f>'All Combined Data'!AH45</f>
        <v>Android</v>
      </c>
      <c r="AJ47" s="2" t="str">
        <f>'All Combined Data'!AI45</f>
        <v>Dey Inc</v>
      </c>
      <c r="AK47" s="2">
        <f>'All Combined Data'!AJ45</f>
        <v>52931</v>
      </c>
      <c r="AL47" s="2">
        <f>'All Combined Data'!AK45</f>
        <v>28</v>
      </c>
      <c r="AM47" s="2">
        <f>'All Combined Data'!AL45</f>
        <v>450</v>
      </c>
      <c r="AN47" s="2">
        <f>'All Combined Data'!AM45</f>
        <v>36</v>
      </c>
      <c r="AO47" s="2" t="str">
        <f>'All Combined Data'!AN45</f>
        <v>Vietnam</v>
      </c>
      <c r="AP47" s="2" t="str">
        <f>'All Combined Data'!AO45</f>
        <v>Yes</v>
      </c>
      <c r="AQ47" s="2">
        <f>'All Combined Data'!AP45</f>
        <v>3.7</v>
      </c>
      <c r="AR47" s="14">
        <f>'All Combined Data'!AQ45</f>
        <v>45674</v>
      </c>
      <c r="AS47" s="2" t="str">
        <f>'All Combined Data'!AR45</f>
        <v>No</v>
      </c>
      <c r="AT47" s="2">
        <f>'All Combined Data'!AS45</f>
        <v>7019</v>
      </c>
      <c r="AU47" s="2">
        <f>'All Combined Data'!AT45</f>
        <v>148</v>
      </c>
      <c r="AV47" s="2">
        <f>'All Combined Data'!AU45</f>
        <v>148</v>
      </c>
      <c r="AW47" s="2" t="str">
        <f>'All Combined Data'!AV45</f>
        <v/>
      </c>
      <c r="AX47" s="2" t="str">
        <f>'All Combined Data'!AW45</f>
        <v/>
      </c>
      <c r="AY47" s="2" t="str">
        <f>'All Combined Data'!AX45</f>
        <v/>
      </c>
      <c r="AZ47" s="2" t="str">
        <f>'All Combined Data'!AY45</f>
        <v/>
      </c>
      <c r="BA47" s="2" t="str">
        <f>'All Combined Data'!AZ45</f>
        <v/>
      </c>
      <c r="BB47" s="2" t="str">
        <f>'All Combined Data'!BA45</f>
        <v/>
      </c>
      <c r="BC47" s="2" t="str">
        <f>'All Combined Data'!BB45</f>
        <v/>
      </c>
      <c r="BD47" s="2" t="str">
        <f>'All Combined Data'!BC45</f>
        <v/>
      </c>
      <c r="BE47" s="2" t="str">
        <f>'All Combined Data'!BD45</f>
        <v/>
      </c>
      <c r="BF47" s="2" t="str">
        <f>'All Combined Data'!BE45</f>
        <v/>
      </c>
      <c r="BG47" s="2" t="str">
        <f>'All Combined Data'!BF45</f>
        <v/>
      </c>
      <c r="BH47" s="2" t="str">
        <f>'All Combined Data'!BG45</f>
        <v/>
      </c>
      <c r="BI47" s="2" t="str">
        <f>'All Combined Data'!BH45</f>
        <v/>
      </c>
      <c r="BJ47" s="2" t="str">
        <f>'All Combined Data'!BI45</f>
        <v/>
      </c>
      <c r="BK47" s="2" t="str">
        <f>'All Combined Data'!BJ45</f>
        <v/>
      </c>
      <c r="BL47" s="2">
        <f>Combined_data[[#This Row],[Quantity]]*Combined_data[[#This Row],[UnitPrice]]</f>
        <v>264655</v>
      </c>
      <c r="BM47" s="2">
        <f>Combined_data[[#This Row],[TotalAmount]]*(100-Combined_data[[#This Row],[DiscountApplied]])/100</f>
        <v>211131.1728</v>
      </c>
      <c r="BN47" s="2">
        <f>Combined_data[[#This Row],[Reveune]]-Combined_data[[#This Row],[Final Amount]]</f>
        <v>53523.8272</v>
      </c>
    </row>
    <row r="48" spans="2:66" x14ac:dyDescent="0.3">
      <c r="B48" s="2" t="str">
        <f>'All Combined Data'!A46</f>
        <v>O1045</v>
      </c>
      <c r="C48" s="2" t="str">
        <f>'All Combined Data'!B46</f>
        <v>C020</v>
      </c>
      <c r="D48" s="2" t="str">
        <f>'All Combined Data'!C46</f>
        <v>P136</v>
      </c>
      <c r="E48" s="14">
        <f>'All Combined Data'!D46</f>
        <v>45703</v>
      </c>
      <c r="F48" s="2">
        <f>'All Combined Data'!E46</f>
        <v>2</v>
      </c>
      <c r="G48" s="2">
        <f>'All Combined Data'!F46</f>
        <v>31147</v>
      </c>
      <c r="H48" s="2">
        <f>'All Combined Data'!G46</f>
        <v>31147</v>
      </c>
      <c r="I48" s="2">
        <f>'All Combined Data'!H46</f>
        <v>0.2</v>
      </c>
      <c r="J48" s="2" t="str">
        <f>'All Combined Data'!I46</f>
        <v>Credit Card</v>
      </c>
      <c r="K48" s="2" t="str">
        <f>'All Combined Data'!J46</f>
        <v>Cancelled</v>
      </c>
      <c r="L48" s="14">
        <f>'All Combined Data'!K46</f>
        <v>45865</v>
      </c>
      <c r="M48" s="2" t="str">
        <f>'All Combined Data'!L46</f>
        <v>Yes</v>
      </c>
      <c r="N48" s="2">
        <f>'All Combined Data'!M46</f>
        <v>123</v>
      </c>
      <c r="O48" s="2" t="str">
        <f>'All Combined Data'!N46</f>
        <v>Yes</v>
      </c>
      <c r="P48" s="2" t="str">
        <f>'All Combined Data'!O46</f>
        <v>Yes</v>
      </c>
      <c r="Q48" s="2" t="str">
        <f>'All Combined Data'!P46</f>
        <v>C020</v>
      </c>
      <c r="R48" s="2" t="str">
        <f>'All Combined Data'!Q46</f>
        <v>Jairaj Shan</v>
      </c>
      <c r="S48" s="2" t="str">
        <f>'All Combined Data'!R46</f>
        <v>ucchalwali@example.net</v>
      </c>
      <c r="T48" s="2">
        <f>'All Combined Data'!S46</f>
        <v>5798687277</v>
      </c>
      <c r="U48" s="2" t="str">
        <f>'All Combined Data'!T46</f>
        <v>Chennai</v>
      </c>
      <c r="V48" s="2" t="str">
        <f>'All Combined Data'!U46</f>
        <v>Tamil Nadu</v>
      </c>
      <c r="W48" s="2">
        <f>'All Combined Data'!V46</f>
        <v>348734</v>
      </c>
      <c r="X48" s="2" t="str">
        <f>'All Combined Data'!W46</f>
        <v>Male</v>
      </c>
      <c r="Y48" s="14">
        <f>'All Combined Data'!X46</f>
        <v>32681</v>
      </c>
      <c r="Z48" s="2">
        <f>'All Combined Data'!Y46</f>
        <v>44268</v>
      </c>
      <c r="AA48" s="2" t="str">
        <f>'All Combined Data'!Z46</f>
        <v>Home Appliance</v>
      </c>
      <c r="AB48" s="2">
        <f>'All Combined Data'!AA46</f>
        <v>6226</v>
      </c>
      <c r="AC48" s="2" t="str">
        <f>'All Combined Data'!AB46</f>
        <v>Single</v>
      </c>
      <c r="AD48" s="2" t="str">
        <f>'All Combined Data'!AC46</f>
        <v>Student</v>
      </c>
      <c r="AE48" s="2">
        <f>'All Combined Data'!AD46</f>
        <v>1832898</v>
      </c>
      <c r="AF48" s="2" t="str">
        <f>'All Combined Data'!AE46</f>
        <v>P136</v>
      </c>
      <c r="AG48" s="2" t="str">
        <f>'All Combined Data'!AF46</f>
        <v>Itaque TV</v>
      </c>
      <c r="AH48" s="2" t="str">
        <f>'All Combined Data'!AG46</f>
        <v>Fashion</v>
      </c>
      <c r="AI48" s="2" t="str">
        <f>'All Combined Data'!AH46</f>
        <v>Notebook</v>
      </c>
      <c r="AJ48" s="2" t="str">
        <f>'All Combined Data'!AI46</f>
        <v>Shankar Inc</v>
      </c>
      <c r="AK48" s="2">
        <f>'All Combined Data'!AJ46</f>
        <v>31147</v>
      </c>
      <c r="AL48" s="2">
        <f>'All Combined Data'!AK46</f>
        <v>20</v>
      </c>
      <c r="AM48" s="2">
        <f>'All Combined Data'!AL46</f>
        <v>25</v>
      </c>
      <c r="AN48" s="2">
        <f>'All Combined Data'!AM46</f>
        <v>24</v>
      </c>
      <c r="AO48" s="2" t="str">
        <f>'All Combined Data'!AN46</f>
        <v>China</v>
      </c>
      <c r="AP48" s="2" t="str">
        <f>'All Combined Data'!AO46</f>
        <v>Yes</v>
      </c>
      <c r="AQ48" s="2">
        <f>'All Combined Data'!AP46</f>
        <v>4.0999999999999996</v>
      </c>
      <c r="AR48" s="14">
        <f>'All Combined Data'!AQ46</f>
        <v>45166</v>
      </c>
      <c r="AS48" s="2" t="str">
        <f>'All Combined Data'!AR46</f>
        <v>No</v>
      </c>
      <c r="AT48" s="2">
        <f>'All Combined Data'!AS46</f>
        <v>5952</v>
      </c>
      <c r="AU48" s="2">
        <f>'All Combined Data'!AT46</f>
        <v>178</v>
      </c>
      <c r="AV48" s="2">
        <f>'All Combined Data'!AU46</f>
        <v>178</v>
      </c>
      <c r="AW48" s="2" t="str">
        <f>'All Combined Data'!AV46</f>
        <v/>
      </c>
      <c r="AX48" s="2" t="str">
        <f>'All Combined Data'!AW46</f>
        <v/>
      </c>
      <c r="AY48" s="2" t="str">
        <f>'All Combined Data'!AX46</f>
        <v/>
      </c>
      <c r="AZ48" s="2" t="str">
        <f>'All Combined Data'!AY46</f>
        <v/>
      </c>
      <c r="BA48" s="2" t="str">
        <f>'All Combined Data'!AZ46</f>
        <v/>
      </c>
      <c r="BB48" s="2" t="str">
        <f>'All Combined Data'!BA46</f>
        <v/>
      </c>
      <c r="BC48" s="2" t="str">
        <f>'All Combined Data'!BB46</f>
        <v/>
      </c>
      <c r="BD48" s="2" t="str">
        <f>'All Combined Data'!BC46</f>
        <v/>
      </c>
      <c r="BE48" s="2" t="str">
        <f>'All Combined Data'!BD46</f>
        <v/>
      </c>
      <c r="BF48" s="2" t="str">
        <f>'All Combined Data'!BE46</f>
        <v/>
      </c>
      <c r="BG48" s="2" t="str">
        <f>'All Combined Data'!BF46</f>
        <v/>
      </c>
      <c r="BH48" s="2" t="str">
        <f>'All Combined Data'!BG46</f>
        <v/>
      </c>
      <c r="BI48" s="2" t="str">
        <f>'All Combined Data'!BH46</f>
        <v/>
      </c>
      <c r="BJ48" s="2" t="str">
        <f>'All Combined Data'!BI46</f>
        <v/>
      </c>
      <c r="BK48" s="2" t="str">
        <f>'All Combined Data'!BJ46</f>
        <v/>
      </c>
      <c r="BL48" s="2">
        <f>Combined_data[[#This Row],[Quantity]]*Combined_data[[#This Row],[UnitPrice]]</f>
        <v>62294</v>
      </c>
      <c r="BM48" s="2">
        <f>Combined_data[[#This Row],[TotalAmount]]*(100-Combined_data[[#This Row],[DiscountApplied]])/100</f>
        <v>31084.706000000002</v>
      </c>
      <c r="BN48" s="2">
        <f>Combined_data[[#This Row],[Reveune]]-Combined_data[[#This Row],[Final Amount]]</f>
        <v>31209.293999999998</v>
      </c>
    </row>
    <row r="49" spans="2:66" x14ac:dyDescent="0.3">
      <c r="B49" s="2" t="str">
        <f>'All Combined Data'!A47</f>
        <v>O1046</v>
      </c>
      <c r="C49" s="2" t="str">
        <f>'All Combined Data'!B47</f>
        <v>C013</v>
      </c>
      <c r="D49" s="2" t="str">
        <f>'All Combined Data'!C47</f>
        <v>P177</v>
      </c>
      <c r="E49" s="14">
        <f>'All Combined Data'!D47</f>
        <v>45576</v>
      </c>
      <c r="F49" s="2">
        <f>'All Combined Data'!E47</f>
        <v>1</v>
      </c>
      <c r="G49" s="2">
        <f>'All Combined Data'!F47</f>
        <v>29602</v>
      </c>
      <c r="H49" s="2">
        <f>'All Combined Data'!G47</f>
        <v>118408</v>
      </c>
      <c r="I49" s="2">
        <f>'All Combined Data'!H47</f>
        <v>0.19</v>
      </c>
      <c r="J49" s="2" t="str">
        <f>'All Combined Data'!I47</f>
        <v>Cash on Delivery</v>
      </c>
      <c r="K49" s="2" t="str">
        <f>'All Combined Data'!J47</f>
        <v>Delivered</v>
      </c>
      <c r="L49" s="14">
        <f>'All Combined Data'!K47</f>
        <v>45862</v>
      </c>
      <c r="M49" s="2" t="str">
        <f>'All Combined Data'!L47</f>
        <v>Yes</v>
      </c>
      <c r="N49" s="2">
        <f>'All Combined Data'!M47</f>
        <v>379</v>
      </c>
      <c r="O49" s="2" t="str">
        <f>'All Combined Data'!N47</f>
        <v>Yes</v>
      </c>
      <c r="P49" s="2" t="str">
        <f>'All Combined Data'!O47</f>
        <v>No</v>
      </c>
      <c r="Q49" s="2" t="str">
        <f>'All Combined Data'!P47</f>
        <v>C013</v>
      </c>
      <c r="R49" s="2" t="str">
        <f>'All Combined Data'!Q47</f>
        <v>Raksha Mittal</v>
      </c>
      <c r="S49" s="2" t="str">
        <f>'All Combined Data'!R47</f>
        <v>mistryhemang@example.org</v>
      </c>
      <c r="T49" s="2">
        <f>'All Combined Data'!S47</f>
        <v>1182449353</v>
      </c>
      <c r="U49" s="2" t="str">
        <f>'All Combined Data'!T47</f>
        <v>Kolkata</v>
      </c>
      <c r="V49" s="2" t="str">
        <f>'All Combined Data'!U47</f>
        <v>West Bengal</v>
      </c>
      <c r="W49" s="2">
        <f>'All Combined Data'!V47</f>
        <v>874016</v>
      </c>
      <c r="X49" s="2" t="str">
        <f>'All Combined Data'!W47</f>
        <v>Male</v>
      </c>
      <c r="Y49" s="14">
        <f>'All Combined Data'!X47</f>
        <v>28624</v>
      </c>
      <c r="Z49" s="2">
        <f>'All Combined Data'!Y47</f>
        <v>44164</v>
      </c>
      <c r="AA49" s="2" t="str">
        <f>'All Combined Data'!Z47</f>
        <v>Grocery</v>
      </c>
      <c r="AB49" s="2">
        <f>'All Combined Data'!AA47</f>
        <v>6582</v>
      </c>
      <c r="AC49" s="2" t="str">
        <f>'All Combined Data'!AB47</f>
        <v>Married</v>
      </c>
      <c r="AD49" s="2" t="str">
        <f>'All Combined Data'!AC47</f>
        <v>Doctor</v>
      </c>
      <c r="AE49" s="2">
        <f>'All Combined Data'!AD47</f>
        <v>755493</v>
      </c>
      <c r="AF49" s="2" t="str">
        <f>'All Combined Data'!AE47</f>
        <v>P177</v>
      </c>
      <c r="AG49" s="2" t="str">
        <f>'All Combined Data'!AF47</f>
        <v>Inventore Washing Machine</v>
      </c>
      <c r="AH49" s="2" t="str">
        <f>'All Combined Data'!AG47</f>
        <v>Home Appliance</v>
      </c>
      <c r="AI49" s="2" t="str">
        <f>'All Combined Data'!AH47</f>
        <v>LED</v>
      </c>
      <c r="AJ49" s="2" t="str">
        <f>'All Combined Data'!AI47</f>
        <v>Kaur, Sanghvi and Chand</v>
      </c>
      <c r="AK49" s="2">
        <f>'All Combined Data'!AJ47</f>
        <v>29602</v>
      </c>
      <c r="AL49" s="2">
        <f>'All Combined Data'!AK47</f>
        <v>19</v>
      </c>
      <c r="AM49" s="2">
        <f>'All Combined Data'!AL47</f>
        <v>905</v>
      </c>
      <c r="AN49" s="2">
        <f>'All Combined Data'!AM47</f>
        <v>24</v>
      </c>
      <c r="AO49" s="2" t="str">
        <f>'All Combined Data'!AN47</f>
        <v>India</v>
      </c>
      <c r="AP49" s="2" t="str">
        <f>'All Combined Data'!AO47</f>
        <v>No</v>
      </c>
      <c r="AQ49" s="2">
        <f>'All Combined Data'!AP47</f>
        <v>2.6</v>
      </c>
      <c r="AR49" s="14">
        <f>'All Combined Data'!AQ47</f>
        <v>45852</v>
      </c>
      <c r="AS49" s="2" t="str">
        <f>'All Combined Data'!AR47</f>
        <v>No</v>
      </c>
      <c r="AT49" s="2">
        <f>'All Combined Data'!AS47</f>
        <v>4863</v>
      </c>
      <c r="AU49" s="2">
        <f>'All Combined Data'!AT47</f>
        <v>195</v>
      </c>
      <c r="AV49" s="2">
        <f>'All Combined Data'!AU47</f>
        <v>195</v>
      </c>
      <c r="AW49" s="2" t="str">
        <f>'All Combined Data'!AV47</f>
        <v/>
      </c>
      <c r="AX49" s="2" t="str">
        <f>'All Combined Data'!AW47</f>
        <v/>
      </c>
      <c r="AY49" s="2" t="str">
        <f>'All Combined Data'!AX47</f>
        <v/>
      </c>
      <c r="AZ49" s="2" t="str">
        <f>'All Combined Data'!AY47</f>
        <v/>
      </c>
      <c r="BA49" s="2" t="str">
        <f>'All Combined Data'!AZ47</f>
        <v/>
      </c>
      <c r="BB49" s="2" t="str">
        <f>'All Combined Data'!BA47</f>
        <v/>
      </c>
      <c r="BC49" s="2" t="str">
        <f>'All Combined Data'!BB47</f>
        <v/>
      </c>
      <c r="BD49" s="2" t="str">
        <f>'All Combined Data'!BC47</f>
        <v/>
      </c>
      <c r="BE49" s="2" t="str">
        <f>'All Combined Data'!BD47</f>
        <v/>
      </c>
      <c r="BF49" s="2" t="str">
        <f>'All Combined Data'!BE47</f>
        <v/>
      </c>
      <c r="BG49" s="2" t="str">
        <f>'All Combined Data'!BF47</f>
        <v/>
      </c>
      <c r="BH49" s="2" t="str">
        <f>'All Combined Data'!BG47</f>
        <v/>
      </c>
      <c r="BI49" s="2" t="str">
        <f>'All Combined Data'!BH47</f>
        <v/>
      </c>
      <c r="BJ49" s="2" t="str">
        <f>'All Combined Data'!BI47</f>
        <v/>
      </c>
      <c r="BK49" s="2" t="str">
        <f>'All Combined Data'!BJ47</f>
        <v/>
      </c>
      <c r="BL49" s="2">
        <f>Combined_data[[#This Row],[Quantity]]*Combined_data[[#This Row],[UnitPrice]]</f>
        <v>29602</v>
      </c>
      <c r="BM49" s="2">
        <f>Combined_data[[#This Row],[TotalAmount]]*(100-Combined_data[[#This Row],[DiscountApplied]])/100</f>
        <v>118183.0248</v>
      </c>
      <c r="BN49" s="2">
        <f>Combined_data[[#This Row],[Reveune]]-Combined_data[[#This Row],[Final Amount]]</f>
        <v>-88581.024799999999</v>
      </c>
    </row>
    <row r="50" spans="2:66" x14ac:dyDescent="0.3">
      <c r="B50" s="2" t="str">
        <f>'All Combined Data'!A48</f>
        <v>O1047</v>
      </c>
      <c r="C50" s="2" t="str">
        <f>'All Combined Data'!B48</f>
        <v>C057</v>
      </c>
      <c r="D50" s="2" t="str">
        <f>'All Combined Data'!C48</f>
        <v>P130</v>
      </c>
      <c r="E50" s="14">
        <f>'All Combined Data'!D48</f>
        <v>45585</v>
      </c>
      <c r="F50" s="2">
        <f>'All Combined Data'!E48</f>
        <v>5</v>
      </c>
      <c r="G50" s="2">
        <f>'All Combined Data'!F48</f>
        <v>50486</v>
      </c>
      <c r="H50" s="2">
        <f>'All Combined Data'!G48</f>
        <v>100972</v>
      </c>
      <c r="I50" s="2">
        <f>'All Combined Data'!H48</f>
        <v>0.23</v>
      </c>
      <c r="J50" s="2" t="str">
        <f>'All Combined Data'!I48</f>
        <v>Credit Card</v>
      </c>
      <c r="K50" s="2" t="str">
        <f>'All Combined Data'!J48</f>
        <v>Shipped</v>
      </c>
      <c r="L50" s="14">
        <f>'All Combined Data'!K48</f>
        <v>45865</v>
      </c>
      <c r="M50" s="2" t="str">
        <f>'All Combined Data'!L48</f>
        <v>No</v>
      </c>
      <c r="N50" s="2">
        <f>'All Combined Data'!M48</f>
        <v>119</v>
      </c>
      <c r="O50" s="2" t="str">
        <f>'All Combined Data'!N48</f>
        <v>No</v>
      </c>
      <c r="P50" s="2" t="str">
        <f>'All Combined Data'!O48</f>
        <v>No</v>
      </c>
      <c r="Q50" s="2" t="str">
        <f>'All Combined Data'!P48</f>
        <v>C057</v>
      </c>
      <c r="R50" s="2" t="str">
        <f>'All Combined Data'!Q48</f>
        <v>Vamakshi Thaker</v>
      </c>
      <c r="S50" s="2" t="str">
        <f>'All Combined Data'!R48</f>
        <v>davidseshadri@example.org</v>
      </c>
      <c r="T50" s="2">
        <f>'All Combined Data'!S48</f>
        <v>1820377889</v>
      </c>
      <c r="U50" s="2" t="str">
        <f>'All Combined Data'!T48</f>
        <v>Hyderabad</v>
      </c>
      <c r="V50" s="2" t="str">
        <f>'All Combined Data'!U48</f>
        <v>Telangana</v>
      </c>
      <c r="W50" s="2">
        <f>'All Combined Data'!V48</f>
        <v>554665</v>
      </c>
      <c r="X50" s="2" t="str">
        <f>'All Combined Data'!W48</f>
        <v>Female</v>
      </c>
      <c r="Y50" s="14">
        <f>'All Combined Data'!X48</f>
        <v>38622</v>
      </c>
      <c r="Z50" s="2">
        <f>'All Combined Data'!Y48</f>
        <v>44190</v>
      </c>
      <c r="AA50" s="2" t="str">
        <f>'All Combined Data'!Z48</f>
        <v>Fashion</v>
      </c>
      <c r="AB50" s="2">
        <f>'All Combined Data'!AA48</f>
        <v>4664</v>
      </c>
      <c r="AC50" s="2" t="str">
        <f>'All Combined Data'!AB48</f>
        <v>Single</v>
      </c>
      <c r="AD50" s="2" t="str">
        <f>'All Combined Data'!AC48</f>
        <v>Teacher</v>
      </c>
      <c r="AE50" s="2">
        <f>'All Combined Data'!AD48</f>
        <v>936406</v>
      </c>
      <c r="AF50" s="2" t="str">
        <f>'All Combined Data'!AE48</f>
        <v>P130</v>
      </c>
      <c r="AG50" s="2" t="str">
        <f>'All Combined Data'!AF48</f>
        <v>Quod TV</v>
      </c>
      <c r="AH50" s="2" t="str">
        <f>'All Combined Data'!AG48</f>
        <v>Grocery</v>
      </c>
      <c r="AI50" s="2" t="str">
        <f>'All Combined Data'!AH48</f>
        <v>Smart</v>
      </c>
      <c r="AJ50" s="2" t="str">
        <f>'All Combined Data'!AI48</f>
        <v>Narayanan PLC</v>
      </c>
      <c r="AK50" s="2">
        <f>'All Combined Data'!AJ48</f>
        <v>50486</v>
      </c>
      <c r="AL50" s="2">
        <f>'All Combined Data'!AK48</f>
        <v>23</v>
      </c>
      <c r="AM50" s="2">
        <f>'All Combined Data'!AL48</f>
        <v>367</v>
      </c>
      <c r="AN50" s="2">
        <f>'All Combined Data'!AM48</f>
        <v>24</v>
      </c>
      <c r="AO50" s="2" t="str">
        <f>'All Combined Data'!AN48</f>
        <v>Vietnam</v>
      </c>
      <c r="AP50" s="2" t="str">
        <f>'All Combined Data'!AO48</f>
        <v>Yes</v>
      </c>
      <c r="AQ50" s="2">
        <f>'All Combined Data'!AP48</f>
        <v>4.9000000000000004</v>
      </c>
      <c r="AR50" s="14">
        <f>'All Combined Data'!AQ48</f>
        <v>45421</v>
      </c>
      <c r="AS50" s="2" t="str">
        <f>'All Combined Data'!AR48</f>
        <v>No</v>
      </c>
      <c r="AT50" s="2">
        <f>'All Combined Data'!AS48</f>
        <v>5498</v>
      </c>
      <c r="AU50" s="2">
        <f>'All Combined Data'!AT48</f>
        <v>62</v>
      </c>
      <c r="AV50" s="2">
        <f>'All Combined Data'!AU48</f>
        <v>62</v>
      </c>
      <c r="AW50" s="2" t="str">
        <f>'All Combined Data'!AV48</f>
        <v>S062</v>
      </c>
      <c r="AX50" s="2" t="str">
        <f>'All Combined Data'!AW48</f>
        <v>Lata Group Mart</v>
      </c>
      <c r="AY50" s="2" t="str">
        <f>'All Combined Data'!AX48</f>
        <v>Delhi</v>
      </c>
      <c r="AZ50" s="2" t="str">
        <f>'All Combined Data'!AY48</f>
        <v>Delhi</v>
      </c>
      <c r="BA50" s="2">
        <f>'All Combined Data'!AZ48</f>
        <v>872346</v>
      </c>
      <c r="BB50" s="2" t="str">
        <f>'All Combined Data'!BA48</f>
        <v>Jairaj Kothari</v>
      </c>
      <c r="BC50" s="2">
        <f>'All Combined Data'!BB48</f>
        <v>2014</v>
      </c>
      <c r="BD50" s="2">
        <f>'All Combined Data'!BC48</f>
        <v>11</v>
      </c>
      <c r="BE50" s="2">
        <f>'All Combined Data'!BD48</f>
        <v>6504</v>
      </c>
      <c r="BF50" s="2">
        <f>'All Combined Data'!BE48</f>
        <v>4.8</v>
      </c>
      <c r="BG50" s="2" t="str">
        <f>'All Combined Data'!BF48</f>
        <v>No</v>
      </c>
      <c r="BH50" s="2">
        <f>'All Combined Data'!BG48</f>
        <v>3735</v>
      </c>
      <c r="BI50" s="2" t="str">
        <f>'All Combined Data'!BH48</f>
        <v>Franchise</v>
      </c>
      <c r="BJ50" s="2">
        <f>'All Combined Data'!BI48</f>
        <v>7303718376</v>
      </c>
      <c r="BK50" s="2" t="str">
        <f>'All Combined Data'!BJ48</f>
        <v>ekantika20@verma.info</v>
      </c>
      <c r="BL50" s="2">
        <f>Combined_data[[#This Row],[Quantity]]*Combined_data[[#This Row],[UnitPrice]]</f>
        <v>252430</v>
      </c>
      <c r="BM50" s="2">
        <f>Combined_data[[#This Row],[TotalAmount]]*(100-Combined_data[[#This Row],[DiscountApplied]])/100</f>
        <v>100739.7644</v>
      </c>
      <c r="BN50" s="2">
        <f>Combined_data[[#This Row],[Reveune]]-Combined_data[[#This Row],[Final Amount]]</f>
        <v>151690.23560000001</v>
      </c>
    </row>
    <row r="51" spans="2:66" x14ac:dyDescent="0.3">
      <c r="B51" s="2" t="str">
        <f>'All Combined Data'!A49</f>
        <v>O1048</v>
      </c>
      <c r="C51" s="2" t="str">
        <f>'All Combined Data'!B49</f>
        <v>C031</v>
      </c>
      <c r="D51" s="2" t="str">
        <f>'All Combined Data'!C49</f>
        <v>P139</v>
      </c>
      <c r="E51" s="14">
        <f>'All Combined Data'!D49</f>
        <v>45844</v>
      </c>
      <c r="F51" s="2">
        <f>'All Combined Data'!E49</f>
        <v>2</v>
      </c>
      <c r="G51" s="2">
        <f>'All Combined Data'!F49</f>
        <v>49066</v>
      </c>
      <c r="H51" s="2">
        <f>'All Combined Data'!G49</f>
        <v>245330</v>
      </c>
      <c r="I51" s="2">
        <f>'All Combined Data'!H49</f>
        <v>0.11</v>
      </c>
      <c r="J51" s="2" t="str">
        <f>'All Combined Data'!I49</f>
        <v>Debit Card</v>
      </c>
      <c r="K51" s="2" t="str">
        <f>'All Combined Data'!J49</f>
        <v>Cancelled</v>
      </c>
      <c r="L51" s="14">
        <f>'All Combined Data'!K49</f>
        <v>45862</v>
      </c>
      <c r="M51" s="2" t="str">
        <f>'All Combined Data'!L49</f>
        <v>No</v>
      </c>
      <c r="N51" s="2">
        <f>'All Combined Data'!M49</f>
        <v>140</v>
      </c>
      <c r="O51" s="2" t="str">
        <f>'All Combined Data'!N49</f>
        <v>Yes</v>
      </c>
      <c r="P51" s="2" t="str">
        <f>'All Combined Data'!O49</f>
        <v>Yes</v>
      </c>
      <c r="Q51" s="2" t="str">
        <f>'All Combined Data'!P49</f>
        <v>C031</v>
      </c>
      <c r="R51" s="2" t="str">
        <f>'All Combined Data'!Q49</f>
        <v>Finn Dugar</v>
      </c>
      <c r="S51" s="2" t="str">
        <f>'All Combined Data'!R49</f>
        <v>oscarborde@example.org</v>
      </c>
      <c r="T51" s="2">
        <f>'All Combined Data'!S49</f>
        <v>916797403447</v>
      </c>
      <c r="U51" s="2" t="str">
        <f>'All Combined Data'!T49</f>
        <v>Mumbai</v>
      </c>
      <c r="V51" s="2" t="str">
        <f>'All Combined Data'!U49</f>
        <v>Maharashtra</v>
      </c>
      <c r="W51" s="2">
        <f>'All Combined Data'!V49</f>
        <v>349361</v>
      </c>
      <c r="X51" s="2" t="str">
        <f>'All Combined Data'!W49</f>
        <v>Male</v>
      </c>
      <c r="Y51" s="14">
        <f>'All Combined Data'!X49</f>
        <v>35283</v>
      </c>
      <c r="Z51" s="2">
        <f>'All Combined Data'!Y49</f>
        <v>44726</v>
      </c>
      <c r="AA51" s="2" t="str">
        <f>'All Combined Data'!Z49</f>
        <v>Grocery</v>
      </c>
      <c r="AB51" s="2">
        <f>'All Combined Data'!AA49</f>
        <v>5659</v>
      </c>
      <c r="AC51" s="2" t="str">
        <f>'All Combined Data'!AB49</f>
        <v>Single</v>
      </c>
      <c r="AD51" s="2" t="str">
        <f>'All Combined Data'!AC49</f>
        <v>Doctor</v>
      </c>
      <c r="AE51" s="2">
        <f>'All Combined Data'!AD49</f>
        <v>601793</v>
      </c>
      <c r="AF51" s="2" t="str">
        <f>'All Combined Data'!AE49</f>
        <v>P139</v>
      </c>
      <c r="AG51" s="2" t="str">
        <f>'All Combined Data'!AF49</f>
        <v>Officia TV</v>
      </c>
      <c r="AH51" s="2" t="str">
        <f>'All Combined Data'!AG49</f>
        <v>Fashion</v>
      </c>
      <c r="AI51" s="2" t="str">
        <f>'All Combined Data'!AH49</f>
        <v>Notebook</v>
      </c>
      <c r="AJ51" s="2" t="str">
        <f>'All Combined Data'!AI49</f>
        <v>Gera, Mishra and Chad</v>
      </c>
      <c r="AK51" s="2">
        <f>'All Combined Data'!AJ49</f>
        <v>49066</v>
      </c>
      <c r="AL51" s="2">
        <f>'All Combined Data'!AK49</f>
        <v>11</v>
      </c>
      <c r="AM51" s="2">
        <f>'All Combined Data'!AL49</f>
        <v>454</v>
      </c>
      <c r="AN51" s="2">
        <f>'All Combined Data'!AM49</f>
        <v>36</v>
      </c>
      <c r="AO51" s="2" t="str">
        <f>'All Combined Data'!AN49</f>
        <v>China</v>
      </c>
      <c r="AP51" s="2" t="str">
        <f>'All Combined Data'!AO49</f>
        <v>No</v>
      </c>
      <c r="AQ51" s="2">
        <f>'All Combined Data'!AP49</f>
        <v>2.7</v>
      </c>
      <c r="AR51" s="14">
        <f>'All Combined Data'!AQ49</f>
        <v>45803</v>
      </c>
      <c r="AS51" s="2" t="str">
        <f>'All Combined Data'!AR49</f>
        <v>No</v>
      </c>
      <c r="AT51" s="2">
        <f>'All Combined Data'!AS49</f>
        <v>9921</v>
      </c>
      <c r="AU51" s="2">
        <f>'All Combined Data'!AT49</f>
        <v>131</v>
      </c>
      <c r="AV51" s="2">
        <f>'All Combined Data'!AU49</f>
        <v>131</v>
      </c>
      <c r="AW51" s="2" t="str">
        <f>'All Combined Data'!AV49</f>
        <v/>
      </c>
      <c r="AX51" s="2" t="str">
        <f>'All Combined Data'!AW49</f>
        <v/>
      </c>
      <c r="AY51" s="2" t="str">
        <f>'All Combined Data'!AX49</f>
        <v/>
      </c>
      <c r="AZ51" s="2" t="str">
        <f>'All Combined Data'!AY49</f>
        <v/>
      </c>
      <c r="BA51" s="2" t="str">
        <f>'All Combined Data'!AZ49</f>
        <v/>
      </c>
      <c r="BB51" s="2" t="str">
        <f>'All Combined Data'!BA49</f>
        <v/>
      </c>
      <c r="BC51" s="2" t="str">
        <f>'All Combined Data'!BB49</f>
        <v/>
      </c>
      <c r="BD51" s="2" t="str">
        <f>'All Combined Data'!BC49</f>
        <v/>
      </c>
      <c r="BE51" s="2" t="str">
        <f>'All Combined Data'!BD49</f>
        <v/>
      </c>
      <c r="BF51" s="2" t="str">
        <f>'All Combined Data'!BE49</f>
        <v/>
      </c>
      <c r="BG51" s="2" t="str">
        <f>'All Combined Data'!BF49</f>
        <v/>
      </c>
      <c r="BH51" s="2" t="str">
        <f>'All Combined Data'!BG49</f>
        <v/>
      </c>
      <c r="BI51" s="2" t="str">
        <f>'All Combined Data'!BH49</f>
        <v/>
      </c>
      <c r="BJ51" s="2" t="str">
        <f>'All Combined Data'!BI49</f>
        <v/>
      </c>
      <c r="BK51" s="2" t="str">
        <f>'All Combined Data'!BJ49</f>
        <v/>
      </c>
      <c r="BL51" s="2">
        <f>Combined_data[[#This Row],[Quantity]]*Combined_data[[#This Row],[UnitPrice]]</f>
        <v>98132</v>
      </c>
      <c r="BM51" s="2">
        <f>Combined_data[[#This Row],[TotalAmount]]*(100-Combined_data[[#This Row],[DiscountApplied]])/100</f>
        <v>245060.13699999999</v>
      </c>
      <c r="BN51" s="2">
        <f>Combined_data[[#This Row],[Reveune]]-Combined_data[[#This Row],[Final Amount]]</f>
        <v>-146928.13699999999</v>
      </c>
    </row>
    <row r="52" spans="2:66" x14ac:dyDescent="0.3">
      <c r="B52" s="2" t="str">
        <f>'All Combined Data'!A50</f>
        <v>O1049</v>
      </c>
      <c r="C52" s="2" t="str">
        <f>'All Combined Data'!B50</f>
        <v>C081</v>
      </c>
      <c r="D52" s="2" t="str">
        <f>'All Combined Data'!C50</f>
        <v>P187</v>
      </c>
      <c r="E52" s="14">
        <f>'All Combined Data'!D50</f>
        <v>45594</v>
      </c>
      <c r="F52" s="2">
        <f>'All Combined Data'!E50</f>
        <v>4</v>
      </c>
      <c r="G52" s="2">
        <f>'All Combined Data'!F50</f>
        <v>52931</v>
      </c>
      <c r="H52" s="2">
        <f>'All Combined Data'!G50</f>
        <v>264655</v>
      </c>
      <c r="I52" s="2">
        <f>'All Combined Data'!H50</f>
        <v>0.28000000000000003</v>
      </c>
      <c r="J52" s="2" t="str">
        <f>'All Combined Data'!I50</f>
        <v>Net Banking</v>
      </c>
      <c r="K52" s="2" t="str">
        <f>'All Combined Data'!J50</f>
        <v>Delivered</v>
      </c>
      <c r="L52" s="14">
        <f>'All Combined Data'!K50</f>
        <v>45856</v>
      </c>
      <c r="M52" s="2" t="str">
        <f>'All Combined Data'!L50</f>
        <v>No</v>
      </c>
      <c r="N52" s="2">
        <f>'All Combined Data'!M50</f>
        <v>482</v>
      </c>
      <c r="O52" s="2" t="str">
        <f>'All Combined Data'!N50</f>
        <v>No</v>
      </c>
      <c r="P52" s="2" t="str">
        <f>'All Combined Data'!O50</f>
        <v>No</v>
      </c>
      <c r="Q52" s="2" t="str">
        <f>'All Combined Data'!P50</f>
        <v>C081</v>
      </c>
      <c r="R52" s="2" t="str">
        <f>'All Combined Data'!Q50</f>
        <v>Upkaar Kaul</v>
      </c>
      <c r="S52" s="2" t="str">
        <f>'All Combined Data'!R50</f>
        <v>chaudhryodika@example.com</v>
      </c>
      <c r="T52" s="2">
        <f>'All Combined Data'!S50</f>
        <v>7120826773</v>
      </c>
      <c r="U52" s="2" t="str">
        <f>'All Combined Data'!T50</f>
        <v>Delhi</v>
      </c>
      <c r="V52" s="2" t="str">
        <f>'All Combined Data'!U50</f>
        <v>Delhi</v>
      </c>
      <c r="W52" s="2">
        <f>'All Combined Data'!V50</f>
        <v>540193</v>
      </c>
      <c r="X52" s="2" t="str">
        <f>'All Combined Data'!W50</f>
        <v>Female</v>
      </c>
      <c r="Y52" s="14">
        <f>'All Combined Data'!X50</f>
        <v>35049</v>
      </c>
      <c r="Z52" s="2">
        <f>'All Combined Data'!Y50</f>
        <v>44143</v>
      </c>
      <c r="AA52" s="2" t="str">
        <f>'All Combined Data'!Z50</f>
        <v>Fashion</v>
      </c>
      <c r="AB52" s="2">
        <f>'All Combined Data'!AA50</f>
        <v>6724</v>
      </c>
      <c r="AC52" s="2" t="str">
        <f>'All Combined Data'!AB50</f>
        <v>Single</v>
      </c>
      <c r="AD52" s="2" t="str">
        <f>'All Combined Data'!AC50</f>
        <v>Business</v>
      </c>
      <c r="AE52" s="2">
        <f>'All Combined Data'!AD50</f>
        <v>467654</v>
      </c>
      <c r="AF52" s="2" t="str">
        <f>'All Combined Data'!AE50</f>
        <v>P187</v>
      </c>
      <c r="AG52" s="2" t="str">
        <f>'All Combined Data'!AF50</f>
        <v>Commodi Phone</v>
      </c>
      <c r="AH52" s="2" t="str">
        <f>'All Combined Data'!AG50</f>
        <v>Electronics</v>
      </c>
      <c r="AI52" s="2" t="str">
        <f>'All Combined Data'!AH50</f>
        <v>Android</v>
      </c>
      <c r="AJ52" s="2" t="str">
        <f>'All Combined Data'!AI50</f>
        <v>Dey Inc</v>
      </c>
      <c r="AK52" s="2">
        <f>'All Combined Data'!AJ50</f>
        <v>52931</v>
      </c>
      <c r="AL52" s="2">
        <f>'All Combined Data'!AK50</f>
        <v>28</v>
      </c>
      <c r="AM52" s="2">
        <f>'All Combined Data'!AL50</f>
        <v>450</v>
      </c>
      <c r="AN52" s="2">
        <f>'All Combined Data'!AM50</f>
        <v>36</v>
      </c>
      <c r="AO52" s="2" t="str">
        <f>'All Combined Data'!AN50</f>
        <v>Vietnam</v>
      </c>
      <c r="AP52" s="2" t="str">
        <f>'All Combined Data'!AO50</f>
        <v>Yes</v>
      </c>
      <c r="AQ52" s="2">
        <f>'All Combined Data'!AP50</f>
        <v>3.7</v>
      </c>
      <c r="AR52" s="14">
        <f>'All Combined Data'!AQ50</f>
        <v>45674</v>
      </c>
      <c r="AS52" s="2" t="str">
        <f>'All Combined Data'!AR50</f>
        <v>No</v>
      </c>
      <c r="AT52" s="2">
        <f>'All Combined Data'!AS50</f>
        <v>7019</v>
      </c>
      <c r="AU52" s="2">
        <f>'All Combined Data'!AT50</f>
        <v>148</v>
      </c>
      <c r="AV52" s="2">
        <f>'All Combined Data'!AU50</f>
        <v>148</v>
      </c>
      <c r="AW52" s="2" t="str">
        <f>'All Combined Data'!AV50</f>
        <v/>
      </c>
      <c r="AX52" s="2" t="str">
        <f>'All Combined Data'!AW50</f>
        <v/>
      </c>
      <c r="AY52" s="2" t="str">
        <f>'All Combined Data'!AX50</f>
        <v/>
      </c>
      <c r="AZ52" s="2" t="str">
        <f>'All Combined Data'!AY50</f>
        <v/>
      </c>
      <c r="BA52" s="2" t="str">
        <f>'All Combined Data'!AZ50</f>
        <v/>
      </c>
      <c r="BB52" s="2" t="str">
        <f>'All Combined Data'!BA50</f>
        <v/>
      </c>
      <c r="BC52" s="2" t="str">
        <f>'All Combined Data'!BB50</f>
        <v/>
      </c>
      <c r="BD52" s="2" t="str">
        <f>'All Combined Data'!BC50</f>
        <v/>
      </c>
      <c r="BE52" s="2" t="str">
        <f>'All Combined Data'!BD50</f>
        <v/>
      </c>
      <c r="BF52" s="2" t="str">
        <f>'All Combined Data'!BE50</f>
        <v/>
      </c>
      <c r="BG52" s="2" t="str">
        <f>'All Combined Data'!BF50</f>
        <v/>
      </c>
      <c r="BH52" s="2" t="str">
        <f>'All Combined Data'!BG50</f>
        <v/>
      </c>
      <c r="BI52" s="2" t="str">
        <f>'All Combined Data'!BH50</f>
        <v/>
      </c>
      <c r="BJ52" s="2" t="str">
        <f>'All Combined Data'!BI50</f>
        <v/>
      </c>
      <c r="BK52" s="2" t="str">
        <f>'All Combined Data'!BJ50</f>
        <v/>
      </c>
      <c r="BL52" s="2">
        <f>Combined_data[[#This Row],[Quantity]]*Combined_data[[#This Row],[UnitPrice]]</f>
        <v>211724</v>
      </c>
      <c r="BM52" s="2">
        <f>Combined_data[[#This Row],[TotalAmount]]*(100-Combined_data[[#This Row],[DiscountApplied]])/100</f>
        <v>263913.96600000001</v>
      </c>
      <c r="BN52" s="2">
        <f>Combined_data[[#This Row],[Reveune]]-Combined_data[[#This Row],[Final Amount]]</f>
        <v>-52189.966000000015</v>
      </c>
    </row>
    <row r="53" spans="2:66" x14ac:dyDescent="0.3">
      <c r="B53" s="2" t="str">
        <f>'All Combined Data'!A51</f>
        <v>O1050</v>
      </c>
      <c r="C53" s="2" t="str">
        <f>'All Combined Data'!B51</f>
        <v>C090</v>
      </c>
      <c r="D53" s="2" t="str">
        <f>'All Combined Data'!C51</f>
        <v>P154</v>
      </c>
      <c r="E53" s="14">
        <f>'All Combined Data'!D51</f>
        <v>45710</v>
      </c>
      <c r="F53" s="2">
        <f>'All Combined Data'!E51</f>
        <v>4</v>
      </c>
      <c r="G53" s="2">
        <f>'All Combined Data'!F51</f>
        <v>74895</v>
      </c>
      <c r="H53" s="2">
        <f>'All Combined Data'!G51</f>
        <v>149790</v>
      </c>
      <c r="I53" s="2">
        <f>'All Combined Data'!H51</f>
        <v>0.24</v>
      </c>
      <c r="J53" s="2" t="str">
        <f>'All Combined Data'!I51</f>
        <v>UPI</v>
      </c>
      <c r="K53" s="2" t="str">
        <f>'All Combined Data'!J51</f>
        <v>Cancelled</v>
      </c>
      <c r="L53" s="14">
        <f>'All Combined Data'!K51</f>
        <v>45864</v>
      </c>
      <c r="M53" s="2" t="str">
        <f>'All Combined Data'!L51</f>
        <v>Yes</v>
      </c>
      <c r="N53" s="2">
        <f>'All Combined Data'!M51</f>
        <v>386</v>
      </c>
      <c r="O53" s="2" t="str">
        <f>'All Combined Data'!N51</f>
        <v>No</v>
      </c>
      <c r="P53" s="2" t="str">
        <f>'All Combined Data'!O51</f>
        <v>Yes</v>
      </c>
      <c r="Q53" s="2" t="str">
        <f>'All Combined Data'!P51</f>
        <v>C090</v>
      </c>
      <c r="R53" s="2" t="str">
        <f>'All Combined Data'!Q51</f>
        <v>Champak Padmanabhan</v>
      </c>
      <c r="S53" s="2" t="str">
        <f>'All Combined Data'!R51</f>
        <v>uvohra@example.net</v>
      </c>
      <c r="T53" s="2">
        <f>'All Combined Data'!S51</f>
        <v>6246287334</v>
      </c>
      <c r="U53" s="2" t="str">
        <f>'All Combined Data'!T51</f>
        <v>Jaipur</v>
      </c>
      <c r="V53" s="2" t="str">
        <f>'All Combined Data'!U51</f>
        <v>Rajasthan</v>
      </c>
      <c r="W53" s="2">
        <f>'All Combined Data'!V51</f>
        <v>708668</v>
      </c>
      <c r="X53" s="2" t="str">
        <f>'All Combined Data'!W51</f>
        <v>Female</v>
      </c>
      <c r="Y53" s="14">
        <f>'All Combined Data'!X51</f>
        <v>34921</v>
      </c>
      <c r="Z53" s="2">
        <f>'All Combined Data'!Y51</f>
        <v>44444</v>
      </c>
      <c r="AA53" s="2" t="str">
        <f>'All Combined Data'!Z51</f>
        <v>Home Appliance</v>
      </c>
      <c r="AB53" s="2">
        <f>'All Combined Data'!AA51</f>
        <v>1345</v>
      </c>
      <c r="AC53" s="2" t="str">
        <f>'All Combined Data'!AB51</f>
        <v>Single</v>
      </c>
      <c r="AD53" s="2" t="str">
        <f>'All Combined Data'!AC51</f>
        <v>Engineer</v>
      </c>
      <c r="AE53" s="2">
        <f>'All Combined Data'!AD51</f>
        <v>1662119</v>
      </c>
      <c r="AF53" s="2" t="str">
        <f>'All Combined Data'!AE51</f>
        <v>P154</v>
      </c>
      <c r="AG53" s="2" t="str">
        <f>'All Combined Data'!AF51</f>
        <v>Nisi Laptop</v>
      </c>
      <c r="AH53" s="2" t="str">
        <f>'All Combined Data'!AG51</f>
        <v>Fashion</v>
      </c>
      <c r="AI53" s="2" t="str">
        <f>'All Combined Data'!AH51</f>
        <v>Cotton</v>
      </c>
      <c r="AJ53" s="2" t="str">
        <f>'All Combined Data'!AI51</f>
        <v>Kota LLC</v>
      </c>
      <c r="AK53" s="2">
        <f>'All Combined Data'!AJ51</f>
        <v>74895</v>
      </c>
      <c r="AL53" s="2">
        <f>'All Combined Data'!AK51</f>
        <v>24</v>
      </c>
      <c r="AM53" s="2">
        <f>'All Combined Data'!AL51</f>
        <v>86</v>
      </c>
      <c r="AN53" s="2">
        <f>'All Combined Data'!AM51</f>
        <v>6</v>
      </c>
      <c r="AO53" s="2" t="str">
        <f>'All Combined Data'!AN51</f>
        <v>China</v>
      </c>
      <c r="AP53" s="2" t="str">
        <f>'All Combined Data'!AO51</f>
        <v>Yes</v>
      </c>
      <c r="AQ53" s="2">
        <f>'All Combined Data'!AP51</f>
        <v>4.4000000000000004</v>
      </c>
      <c r="AR53" s="14">
        <f>'All Combined Data'!AQ51</f>
        <v>44809</v>
      </c>
      <c r="AS53" s="2" t="str">
        <f>'All Combined Data'!AR51</f>
        <v>Yes</v>
      </c>
      <c r="AT53" s="2">
        <f>'All Combined Data'!AS51</f>
        <v>2337</v>
      </c>
      <c r="AU53" s="2">
        <f>'All Combined Data'!AT51</f>
        <v>175</v>
      </c>
      <c r="AV53" s="2">
        <f>'All Combined Data'!AU51</f>
        <v>175</v>
      </c>
      <c r="AW53" s="2" t="str">
        <f>'All Combined Data'!AV51</f>
        <v/>
      </c>
      <c r="AX53" s="2" t="str">
        <f>'All Combined Data'!AW51</f>
        <v/>
      </c>
      <c r="AY53" s="2" t="str">
        <f>'All Combined Data'!AX51</f>
        <v/>
      </c>
      <c r="AZ53" s="2" t="str">
        <f>'All Combined Data'!AY51</f>
        <v/>
      </c>
      <c r="BA53" s="2" t="str">
        <f>'All Combined Data'!AZ51</f>
        <v/>
      </c>
      <c r="BB53" s="2" t="str">
        <f>'All Combined Data'!BA51</f>
        <v/>
      </c>
      <c r="BC53" s="2" t="str">
        <f>'All Combined Data'!BB51</f>
        <v/>
      </c>
      <c r="BD53" s="2" t="str">
        <f>'All Combined Data'!BC51</f>
        <v/>
      </c>
      <c r="BE53" s="2" t="str">
        <f>'All Combined Data'!BD51</f>
        <v/>
      </c>
      <c r="BF53" s="2" t="str">
        <f>'All Combined Data'!BE51</f>
        <v/>
      </c>
      <c r="BG53" s="2" t="str">
        <f>'All Combined Data'!BF51</f>
        <v/>
      </c>
      <c r="BH53" s="2" t="str">
        <f>'All Combined Data'!BG51</f>
        <v/>
      </c>
      <c r="BI53" s="2" t="str">
        <f>'All Combined Data'!BH51</f>
        <v/>
      </c>
      <c r="BJ53" s="2" t="str">
        <f>'All Combined Data'!BI51</f>
        <v/>
      </c>
      <c r="BK53" s="2" t="str">
        <f>'All Combined Data'!BJ51</f>
        <v/>
      </c>
      <c r="BL53" s="2">
        <f>Combined_data[[#This Row],[Quantity]]*Combined_data[[#This Row],[UnitPrice]]</f>
        <v>299580</v>
      </c>
      <c r="BM53" s="2">
        <f>Combined_data[[#This Row],[TotalAmount]]*(100-Combined_data[[#This Row],[DiscountApplied]])/100</f>
        <v>149430.50400000002</v>
      </c>
      <c r="BN53" s="2">
        <f>Combined_data[[#This Row],[Reveune]]-Combined_data[[#This Row],[Final Amount]]</f>
        <v>150149.49599999998</v>
      </c>
    </row>
    <row r="54" spans="2:66" x14ac:dyDescent="0.3">
      <c r="B54" s="2" t="str">
        <f>'All Combined Data'!A52</f>
        <v>O1051</v>
      </c>
      <c r="C54" s="2" t="str">
        <f>'All Combined Data'!B52</f>
        <v>C029</v>
      </c>
      <c r="D54" s="2" t="str">
        <f>'All Combined Data'!C52</f>
        <v>P139</v>
      </c>
      <c r="E54" s="14">
        <f>'All Combined Data'!D52</f>
        <v>45535</v>
      </c>
      <c r="F54" s="2">
        <f>'All Combined Data'!E52</f>
        <v>2</v>
      </c>
      <c r="G54" s="2">
        <f>'All Combined Data'!F52</f>
        <v>49066</v>
      </c>
      <c r="H54" s="2">
        <f>'All Combined Data'!G52</f>
        <v>196264</v>
      </c>
      <c r="I54" s="2">
        <f>'All Combined Data'!H52</f>
        <v>0.11</v>
      </c>
      <c r="J54" s="2" t="str">
        <f>'All Combined Data'!I52</f>
        <v>Credit Card</v>
      </c>
      <c r="K54" s="2" t="str">
        <f>'All Combined Data'!J52</f>
        <v>Cancelled</v>
      </c>
      <c r="L54" s="14">
        <f>'All Combined Data'!K52</f>
        <v>45867</v>
      </c>
      <c r="M54" s="2" t="str">
        <f>'All Combined Data'!L52</f>
        <v>No</v>
      </c>
      <c r="N54" s="2">
        <f>'All Combined Data'!M52</f>
        <v>285</v>
      </c>
      <c r="O54" s="2" t="str">
        <f>'All Combined Data'!N52</f>
        <v>Yes</v>
      </c>
      <c r="P54" s="2" t="str">
        <f>'All Combined Data'!O52</f>
        <v>No</v>
      </c>
      <c r="Q54" s="2" t="str">
        <f>'All Combined Data'!P52</f>
        <v>C029</v>
      </c>
      <c r="R54" s="2" t="str">
        <f>'All Combined Data'!Q52</f>
        <v>Anusha Bath</v>
      </c>
      <c r="S54" s="2" t="str">
        <f>'All Combined Data'!R52</f>
        <v>masterjonathan@example.net</v>
      </c>
      <c r="T54" s="2">
        <f>'All Combined Data'!S52</f>
        <v>1094777520</v>
      </c>
      <c r="U54" s="2" t="str">
        <f>'All Combined Data'!T52</f>
        <v>Ahmedabad</v>
      </c>
      <c r="V54" s="2" t="str">
        <f>'All Combined Data'!U52</f>
        <v>Gujarat</v>
      </c>
      <c r="W54" s="2">
        <f>'All Combined Data'!V52</f>
        <v>711671</v>
      </c>
      <c r="X54" s="2" t="str">
        <f>'All Combined Data'!W52</f>
        <v>Male</v>
      </c>
      <c r="Y54" s="14">
        <f>'All Combined Data'!X52</f>
        <v>36089</v>
      </c>
      <c r="Z54" s="2">
        <f>'All Combined Data'!Y52</f>
        <v>44194</v>
      </c>
      <c r="AA54" s="2" t="str">
        <f>'All Combined Data'!Z52</f>
        <v>Grocery</v>
      </c>
      <c r="AB54" s="2">
        <f>'All Combined Data'!AA52</f>
        <v>6769</v>
      </c>
      <c r="AC54" s="2" t="str">
        <f>'All Combined Data'!AB52</f>
        <v>Single</v>
      </c>
      <c r="AD54" s="2" t="str">
        <f>'All Combined Data'!AC52</f>
        <v>Engineer</v>
      </c>
      <c r="AE54" s="2">
        <f>'All Combined Data'!AD52</f>
        <v>403278</v>
      </c>
      <c r="AF54" s="2" t="str">
        <f>'All Combined Data'!AE52</f>
        <v>P139</v>
      </c>
      <c r="AG54" s="2" t="str">
        <f>'All Combined Data'!AF52</f>
        <v>Officia TV</v>
      </c>
      <c r="AH54" s="2" t="str">
        <f>'All Combined Data'!AG52</f>
        <v>Fashion</v>
      </c>
      <c r="AI54" s="2" t="str">
        <f>'All Combined Data'!AH52</f>
        <v>Notebook</v>
      </c>
      <c r="AJ54" s="2" t="str">
        <f>'All Combined Data'!AI52</f>
        <v>Gera, Mishra and Chad</v>
      </c>
      <c r="AK54" s="2">
        <f>'All Combined Data'!AJ52</f>
        <v>49066</v>
      </c>
      <c r="AL54" s="2">
        <f>'All Combined Data'!AK52</f>
        <v>11</v>
      </c>
      <c r="AM54" s="2">
        <f>'All Combined Data'!AL52</f>
        <v>454</v>
      </c>
      <c r="AN54" s="2">
        <f>'All Combined Data'!AM52</f>
        <v>36</v>
      </c>
      <c r="AO54" s="2" t="str">
        <f>'All Combined Data'!AN52</f>
        <v>China</v>
      </c>
      <c r="AP54" s="2" t="str">
        <f>'All Combined Data'!AO52</f>
        <v>No</v>
      </c>
      <c r="AQ54" s="2">
        <f>'All Combined Data'!AP52</f>
        <v>2.7</v>
      </c>
      <c r="AR54" s="14">
        <f>'All Combined Data'!AQ52</f>
        <v>45803</v>
      </c>
      <c r="AS54" s="2" t="str">
        <f>'All Combined Data'!AR52</f>
        <v>No</v>
      </c>
      <c r="AT54" s="2">
        <f>'All Combined Data'!AS52</f>
        <v>9921</v>
      </c>
      <c r="AU54" s="2">
        <f>'All Combined Data'!AT52</f>
        <v>131</v>
      </c>
      <c r="AV54" s="2">
        <f>'All Combined Data'!AU52</f>
        <v>131</v>
      </c>
      <c r="AW54" s="2" t="str">
        <f>'All Combined Data'!AV52</f>
        <v/>
      </c>
      <c r="AX54" s="2" t="str">
        <f>'All Combined Data'!AW52</f>
        <v/>
      </c>
      <c r="AY54" s="2" t="str">
        <f>'All Combined Data'!AX52</f>
        <v/>
      </c>
      <c r="AZ54" s="2" t="str">
        <f>'All Combined Data'!AY52</f>
        <v/>
      </c>
      <c r="BA54" s="2" t="str">
        <f>'All Combined Data'!AZ52</f>
        <v/>
      </c>
      <c r="BB54" s="2" t="str">
        <f>'All Combined Data'!BA52</f>
        <v/>
      </c>
      <c r="BC54" s="2" t="str">
        <f>'All Combined Data'!BB52</f>
        <v/>
      </c>
      <c r="BD54" s="2" t="str">
        <f>'All Combined Data'!BC52</f>
        <v/>
      </c>
      <c r="BE54" s="2" t="str">
        <f>'All Combined Data'!BD52</f>
        <v/>
      </c>
      <c r="BF54" s="2" t="str">
        <f>'All Combined Data'!BE52</f>
        <v/>
      </c>
      <c r="BG54" s="2" t="str">
        <f>'All Combined Data'!BF52</f>
        <v/>
      </c>
      <c r="BH54" s="2" t="str">
        <f>'All Combined Data'!BG52</f>
        <v/>
      </c>
      <c r="BI54" s="2" t="str">
        <f>'All Combined Data'!BH52</f>
        <v/>
      </c>
      <c r="BJ54" s="2" t="str">
        <f>'All Combined Data'!BI52</f>
        <v/>
      </c>
      <c r="BK54" s="2" t="str">
        <f>'All Combined Data'!BJ52</f>
        <v/>
      </c>
      <c r="BL54" s="2">
        <f>Combined_data[[#This Row],[Quantity]]*Combined_data[[#This Row],[UnitPrice]]</f>
        <v>98132</v>
      </c>
      <c r="BM54" s="2">
        <f>Combined_data[[#This Row],[TotalAmount]]*(100-Combined_data[[#This Row],[DiscountApplied]])/100</f>
        <v>196048.1096</v>
      </c>
      <c r="BN54" s="2">
        <f>Combined_data[[#This Row],[Reveune]]-Combined_data[[#This Row],[Final Amount]]</f>
        <v>-97916.109599999996</v>
      </c>
    </row>
    <row r="55" spans="2:66" x14ac:dyDescent="0.3">
      <c r="B55" s="2" t="str">
        <f>'All Combined Data'!A53</f>
        <v>O1052</v>
      </c>
      <c r="C55" s="2" t="str">
        <f>'All Combined Data'!B53</f>
        <v>C032</v>
      </c>
      <c r="D55" s="2" t="str">
        <f>'All Combined Data'!C53</f>
        <v>P133</v>
      </c>
      <c r="E55" s="14">
        <f>'All Combined Data'!D53</f>
        <v>45750</v>
      </c>
      <c r="F55" s="2">
        <f>'All Combined Data'!E53</f>
        <v>2</v>
      </c>
      <c r="G55" s="2">
        <f>'All Combined Data'!F53</f>
        <v>12313</v>
      </c>
      <c r="H55" s="2">
        <f>'All Combined Data'!G53</f>
        <v>36939</v>
      </c>
      <c r="I55" s="2">
        <f>'All Combined Data'!H53</f>
        <v>0.14000000000000001</v>
      </c>
      <c r="J55" s="2" t="str">
        <f>'All Combined Data'!I53</f>
        <v>Credit Card</v>
      </c>
      <c r="K55" s="2" t="str">
        <f>'All Combined Data'!J53</f>
        <v>Cancelled</v>
      </c>
      <c r="L55" s="14">
        <f>'All Combined Data'!K53</f>
        <v>45856</v>
      </c>
      <c r="M55" s="2" t="str">
        <f>'All Combined Data'!L53</f>
        <v>No</v>
      </c>
      <c r="N55" s="2">
        <f>'All Combined Data'!M53</f>
        <v>47</v>
      </c>
      <c r="O55" s="2" t="str">
        <f>'All Combined Data'!N53</f>
        <v>Yes</v>
      </c>
      <c r="P55" s="2" t="str">
        <f>'All Combined Data'!O53</f>
        <v>Yes</v>
      </c>
      <c r="Q55" s="2" t="str">
        <f>'All Combined Data'!P53</f>
        <v>C032</v>
      </c>
      <c r="R55" s="2" t="str">
        <f>'All Combined Data'!Q53</f>
        <v>Amaira Dhar</v>
      </c>
      <c r="S55" s="2" t="str">
        <f>'All Combined Data'!R53</f>
        <v>bhasinnoah@example.com</v>
      </c>
      <c r="T55" s="2">
        <f>'All Combined Data'!S53</f>
        <v>9471746488</v>
      </c>
      <c r="U55" s="2" t="str">
        <f>'All Combined Data'!T53</f>
        <v>Hyderabad</v>
      </c>
      <c r="V55" s="2" t="str">
        <f>'All Combined Data'!U53</f>
        <v>Telangana</v>
      </c>
      <c r="W55" s="2">
        <f>'All Combined Data'!V53</f>
        <v>719065</v>
      </c>
      <c r="X55" s="2" t="str">
        <f>'All Combined Data'!W53</f>
        <v>Female</v>
      </c>
      <c r="Y55" s="14">
        <f>'All Combined Data'!X53</f>
        <v>36753</v>
      </c>
      <c r="Z55" s="2">
        <f>'All Combined Data'!Y53</f>
        <v>44805</v>
      </c>
      <c r="AA55" s="2" t="str">
        <f>'All Combined Data'!Z53</f>
        <v>Home Appliance</v>
      </c>
      <c r="AB55" s="2">
        <f>'All Combined Data'!AA53</f>
        <v>7012</v>
      </c>
      <c r="AC55" s="2" t="str">
        <f>'All Combined Data'!AB53</f>
        <v>Single</v>
      </c>
      <c r="AD55" s="2" t="str">
        <f>'All Combined Data'!AC53</f>
        <v>Teacher</v>
      </c>
      <c r="AE55" s="2">
        <f>'All Combined Data'!AD53</f>
        <v>1170201</v>
      </c>
      <c r="AF55" s="2" t="str">
        <f>'All Combined Data'!AE53</f>
        <v>P133</v>
      </c>
      <c r="AG55" s="2" t="str">
        <f>'All Combined Data'!AF53</f>
        <v>Eius Laptop</v>
      </c>
      <c r="AH55" s="2" t="str">
        <f>'All Combined Data'!AG53</f>
        <v>Fashion</v>
      </c>
      <c r="AI55" s="2" t="str">
        <f>'All Combined Data'!AH53</f>
        <v>Smart</v>
      </c>
      <c r="AJ55" s="2" t="str">
        <f>'All Combined Data'!AI53</f>
        <v>Sanghvi-Ramachandran</v>
      </c>
      <c r="AK55" s="2">
        <f>'All Combined Data'!AJ53</f>
        <v>12313</v>
      </c>
      <c r="AL55" s="2">
        <f>'All Combined Data'!AK53</f>
        <v>14</v>
      </c>
      <c r="AM55" s="2">
        <f>'All Combined Data'!AL53</f>
        <v>334</v>
      </c>
      <c r="AN55" s="2">
        <f>'All Combined Data'!AM53</f>
        <v>36</v>
      </c>
      <c r="AO55" s="2" t="str">
        <f>'All Combined Data'!AN53</f>
        <v>China</v>
      </c>
      <c r="AP55" s="2" t="str">
        <f>'All Combined Data'!AO53</f>
        <v>Yes</v>
      </c>
      <c r="AQ55" s="2">
        <f>'All Combined Data'!AP53</f>
        <v>2.8</v>
      </c>
      <c r="AR55" s="14">
        <f>'All Combined Data'!AQ53</f>
        <v>44765</v>
      </c>
      <c r="AS55" s="2" t="str">
        <f>'All Combined Data'!AR53</f>
        <v>No</v>
      </c>
      <c r="AT55" s="2">
        <f>'All Combined Data'!AS53</f>
        <v>9698</v>
      </c>
      <c r="AU55" s="2">
        <f>'All Combined Data'!AT53</f>
        <v>176</v>
      </c>
      <c r="AV55" s="2">
        <f>'All Combined Data'!AU53</f>
        <v>176</v>
      </c>
      <c r="AW55" s="2" t="str">
        <f>'All Combined Data'!AV53</f>
        <v/>
      </c>
      <c r="AX55" s="2" t="str">
        <f>'All Combined Data'!AW53</f>
        <v/>
      </c>
      <c r="AY55" s="2" t="str">
        <f>'All Combined Data'!AX53</f>
        <v/>
      </c>
      <c r="AZ55" s="2" t="str">
        <f>'All Combined Data'!AY53</f>
        <v/>
      </c>
      <c r="BA55" s="2" t="str">
        <f>'All Combined Data'!AZ53</f>
        <v/>
      </c>
      <c r="BB55" s="2" t="str">
        <f>'All Combined Data'!BA53</f>
        <v/>
      </c>
      <c r="BC55" s="2" t="str">
        <f>'All Combined Data'!BB53</f>
        <v/>
      </c>
      <c r="BD55" s="2" t="str">
        <f>'All Combined Data'!BC53</f>
        <v/>
      </c>
      <c r="BE55" s="2" t="str">
        <f>'All Combined Data'!BD53</f>
        <v/>
      </c>
      <c r="BF55" s="2" t="str">
        <f>'All Combined Data'!BE53</f>
        <v/>
      </c>
      <c r="BG55" s="2" t="str">
        <f>'All Combined Data'!BF53</f>
        <v/>
      </c>
      <c r="BH55" s="2" t="str">
        <f>'All Combined Data'!BG53</f>
        <v/>
      </c>
      <c r="BI55" s="2" t="str">
        <f>'All Combined Data'!BH53</f>
        <v/>
      </c>
      <c r="BJ55" s="2" t="str">
        <f>'All Combined Data'!BI53</f>
        <v/>
      </c>
      <c r="BK55" s="2" t="str">
        <f>'All Combined Data'!BJ53</f>
        <v/>
      </c>
      <c r="BL55" s="2">
        <f>Combined_data[[#This Row],[Quantity]]*Combined_data[[#This Row],[UnitPrice]]</f>
        <v>24626</v>
      </c>
      <c r="BM55" s="2">
        <f>Combined_data[[#This Row],[TotalAmount]]*(100-Combined_data[[#This Row],[DiscountApplied]])/100</f>
        <v>36887.285400000001</v>
      </c>
      <c r="BN55" s="2">
        <f>Combined_data[[#This Row],[Reveune]]-Combined_data[[#This Row],[Final Amount]]</f>
        <v>-12261.285400000001</v>
      </c>
    </row>
    <row r="56" spans="2:66" x14ac:dyDescent="0.3">
      <c r="B56" s="2" t="str">
        <f>'All Combined Data'!A54</f>
        <v>O1053</v>
      </c>
      <c r="C56" s="2" t="str">
        <f>'All Combined Data'!B54</f>
        <v>C035</v>
      </c>
      <c r="D56" s="2" t="str">
        <f>'All Combined Data'!C54</f>
        <v>P149</v>
      </c>
      <c r="E56" s="14">
        <f>'All Combined Data'!D54</f>
        <v>45558</v>
      </c>
      <c r="F56" s="2">
        <f>'All Combined Data'!E54</f>
        <v>5</v>
      </c>
      <c r="G56" s="2">
        <f>'All Combined Data'!F54</f>
        <v>12719</v>
      </c>
      <c r="H56" s="2">
        <f>'All Combined Data'!G54</f>
        <v>63595</v>
      </c>
      <c r="I56" s="2">
        <f>'All Combined Data'!H54</f>
        <v>0.18</v>
      </c>
      <c r="J56" s="2" t="str">
        <f>'All Combined Data'!I54</f>
        <v>Credit Card</v>
      </c>
      <c r="K56" s="2" t="str">
        <f>'All Combined Data'!J54</f>
        <v>Delivered</v>
      </c>
      <c r="L56" s="14">
        <f>'All Combined Data'!K54</f>
        <v>45860</v>
      </c>
      <c r="M56" s="2" t="str">
        <f>'All Combined Data'!L54</f>
        <v>Yes</v>
      </c>
      <c r="N56" s="2">
        <f>'All Combined Data'!M54</f>
        <v>411</v>
      </c>
      <c r="O56" s="2" t="str">
        <f>'All Combined Data'!N54</f>
        <v>Yes</v>
      </c>
      <c r="P56" s="2" t="str">
        <f>'All Combined Data'!O54</f>
        <v>No</v>
      </c>
      <c r="Q56" s="2" t="str">
        <f>'All Combined Data'!P54</f>
        <v>C035</v>
      </c>
      <c r="R56" s="2" t="str">
        <f>'All Combined Data'!Q54</f>
        <v>Raksha Sundaram</v>
      </c>
      <c r="S56" s="2" t="str">
        <f>'All Combined Data'!R54</f>
        <v>balakrishnanwriddhish@example.net</v>
      </c>
      <c r="T56" s="2">
        <f>'All Combined Data'!S54</f>
        <v>914808613171</v>
      </c>
      <c r="U56" s="2" t="str">
        <f>'All Combined Data'!T54</f>
        <v>Ahmedabad</v>
      </c>
      <c r="V56" s="2" t="str">
        <f>'All Combined Data'!U54</f>
        <v>Gujarat</v>
      </c>
      <c r="W56" s="2">
        <f>'All Combined Data'!V54</f>
        <v>748467</v>
      </c>
      <c r="X56" s="2" t="str">
        <f>'All Combined Data'!W54</f>
        <v>Male</v>
      </c>
      <c r="Y56" s="14">
        <f>'All Combined Data'!X54</f>
        <v>33485</v>
      </c>
      <c r="Z56" s="2">
        <f>'All Combined Data'!Y54</f>
        <v>44785</v>
      </c>
      <c r="AA56" s="2" t="str">
        <f>'All Combined Data'!Z54</f>
        <v>Grocery</v>
      </c>
      <c r="AB56" s="2">
        <f>'All Combined Data'!AA54</f>
        <v>1060</v>
      </c>
      <c r="AC56" s="2" t="str">
        <f>'All Combined Data'!AB54</f>
        <v>Single</v>
      </c>
      <c r="AD56" s="2" t="str">
        <f>'All Combined Data'!AC54</f>
        <v>Business</v>
      </c>
      <c r="AE56" s="2">
        <f>'All Combined Data'!AD54</f>
        <v>204520</v>
      </c>
      <c r="AF56" s="2" t="str">
        <f>'All Combined Data'!AE54</f>
        <v>P149</v>
      </c>
      <c r="AG56" s="2" t="str">
        <f>'All Combined Data'!AF54</f>
        <v>Doloremque TV</v>
      </c>
      <c r="AH56" s="2" t="str">
        <f>'All Combined Data'!AG54</f>
        <v>Electronics</v>
      </c>
      <c r="AI56" s="2" t="str">
        <f>'All Combined Data'!AH54</f>
        <v>LED</v>
      </c>
      <c r="AJ56" s="2" t="str">
        <f>'All Combined Data'!AI54</f>
        <v>Balasubramanian and Sons</v>
      </c>
      <c r="AK56" s="2">
        <f>'All Combined Data'!AJ54</f>
        <v>12719</v>
      </c>
      <c r="AL56" s="2">
        <f>'All Combined Data'!AK54</f>
        <v>18</v>
      </c>
      <c r="AM56" s="2">
        <f>'All Combined Data'!AL54</f>
        <v>98</v>
      </c>
      <c r="AN56" s="2">
        <f>'All Combined Data'!AM54</f>
        <v>24</v>
      </c>
      <c r="AO56" s="2" t="str">
        <f>'All Combined Data'!AN54</f>
        <v>China</v>
      </c>
      <c r="AP56" s="2" t="str">
        <f>'All Combined Data'!AO54</f>
        <v>Yes</v>
      </c>
      <c r="AQ56" s="2">
        <f>'All Combined Data'!AP54</f>
        <v>4</v>
      </c>
      <c r="AR56" s="14">
        <f>'All Combined Data'!AQ54</f>
        <v>45212</v>
      </c>
      <c r="AS56" s="2" t="str">
        <f>'All Combined Data'!AR54</f>
        <v>No</v>
      </c>
      <c r="AT56" s="2">
        <f>'All Combined Data'!AS54</f>
        <v>3003</v>
      </c>
      <c r="AU56" s="2">
        <f>'All Combined Data'!AT54</f>
        <v>4</v>
      </c>
      <c r="AV56" s="2">
        <f>'All Combined Data'!AU54</f>
        <v>4</v>
      </c>
      <c r="AW56" s="2" t="str">
        <f>'All Combined Data'!AV54</f>
        <v>S004</v>
      </c>
      <c r="AX56" s="2" t="str">
        <f>'All Combined Data'!AW54</f>
        <v>Rajagopal-Devan Mart</v>
      </c>
      <c r="AY56" s="2" t="str">
        <f>'All Combined Data'!AX54</f>
        <v>Pune</v>
      </c>
      <c r="AZ56" s="2" t="str">
        <f>'All Combined Data'!AY54</f>
        <v>Maharashtra</v>
      </c>
      <c r="BA56" s="2">
        <f>'All Combined Data'!AZ54</f>
        <v>383806</v>
      </c>
      <c r="BB56" s="2" t="str">
        <f>'All Combined Data'!BA54</f>
        <v>Varsha Sundaram</v>
      </c>
      <c r="BC56" s="2">
        <f>'All Combined Data'!BB54</f>
        <v>2003</v>
      </c>
      <c r="BD56" s="2">
        <f>'All Combined Data'!BC54</f>
        <v>78</v>
      </c>
      <c r="BE56" s="2">
        <f>'All Combined Data'!BD54</f>
        <v>4742</v>
      </c>
      <c r="BF56" s="2">
        <f>'All Combined Data'!BE54</f>
        <v>3.5</v>
      </c>
      <c r="BG56" s="2" t="str">
        <f>'All Combined Data'!BF54</f>
        <v>No</v>
      </c>
      <c r="BH56" s="2">
        <f>'All Combined Data'!BG54</f>
        <v>4940</v>
      </c>
      <c r="BI56" s="2" t="str">
        <f>'All Combined Data'!BH54</f>
        <v>Retail</v>
      </c>
      <c r="BJ56" s="2">
        <f>'All Combined Data'!BI54</f>
        <v>9856420593</v>
      </c>
      <c r="BK56" s="2" t="str">
        <f>'All Combined Data'!BJ54</f>
        <v>manddalbir@wagle-parmar.org</v>
      </c>
      <c r="BL56" s="2">
        <f>Combined_data[[#This Row],[Quantity]]*Combined_data[[#This Row],[UnitPrice]]</f>
        <v>63595</v>
      </c>
      <c r="BM56" s="2">
        <f>Combined_data[[#This Row],[TotalAmount]]*(100-Combined_data[[#This Row],[DiscountApplied]])/100</f>
        <v>63480.528999999995</v>
      </c>
      <c r="BN56" s="2">
        <f>Combined_data[[#This Row],[Reveune]]-Combined_data[[#This Row],[Final Amount]]</f>
        <v>114.47100000000501</v>
      </c>
    </row>
    <row r="57" spans="2:66" x14ac:dyDescent="0.3">
      <c r="B57" s="2" t="str">
        <f>'All Combined Data'!A55</f>
        <v>O1054</v>
      </c>
      <c r="C57" s="2" t="str">
        <f>'All Combined Data'!B55</f>
        <v>C027</v>
      </c>
      <c r="D57" s="2" t="str">
        <f>'All Combined Data'!C55</f>
        <v>P143</v>
      </c>
      <c r="E57" s="14">
        <f>'All Combined Data'!D55</f>
        <v>45801</v>
      </c>
      <c r="F57" s="2">
        <f>'All Combined Data'!E55</f>
        <v>3</v>
      </c>
      <c r="G57" s="2">
        <f>'All Combined Data'!F55</f>
        <v>35282</v>
      </c>
      <c r="H57" s="2">
        <f>'All Combined Data'!G55</f>
        <v>35282</v>
      </c>
      <c r="I57" s="2">
        <f>'All Combined Data'!H55</f>
        <v>0.06</v>
      </c>
      <c r="J57" s="2" t="str">
        <f>'All Combined Data'!I55</f>
        <v>Debit Card</v>
      </c>
      <c r="K57" s="2" t="str">
        <f>'All Combined Data'!J55</f>
        <v>Shipped</v>
      </c>
      <c r="L57" s="14">
        <f>'All Combined Data'!K55</f>
        <v>45867</v>
      </c>
      <c r="M57" s="2" t="str">
        <f>'All Combined Data'!L55</f>
        <v>Yes</v>
      </c>
      <c r="N57" s="2">
        <f>'All Combined Data'!M55</f>
        <v>382</v>
      </c>
      <c r="O57" s="2" t="str">
        <f>'All Combined Data'!N55</f>
        <v>No</v>
      </c>
      <c r="P57" s="2" t="str">
        <f>'All Combined Data'!O55</f>
        <v>Yes</v>
      </c>
      <c r="Q57" s="2" t="str">
        <f>'All Combined Data'!P55</f>
        <v>C027</v>
      </c>
      <c r="R57" s="2" t="str">
        <f>'All Combined Data'!Q55</f>
        <v>Harini Mammen</v>
      </c>
      <c r="S57" s="2" t="str">
        <f>'All Combined Data'!R55</f>
        <v>advaith83@example.org</v>
      </c>
      <c r="T57" s="2">
        <f>'All Combined Data'!S55</f>
        <v>916783777014</v>
      </c>
      <c r="U57" s="2" t="str">
        <f>'All Combined Data'!T55</f>
        <v>Delhi</v>
      </c>
      <c r="V57" s="2" t="str">
        <f>'All Combined Data'!U55</f>
        <v>Delhi</v>
      </c>
      <c r="W57" s="2">
        <f>'All Combined Data'!V55</f>
        <v>634957</v>
      </c>
      <c r="X57" s="2" t="str">
        <f>'All Combined Data'!W55</f>
        <v>Male</v>
      </c>
      <c r="Y57" s="14">
        <f>'All Combined Data'!X55</f>
        <v>35504</v>
      </c>
      <c r="Z57" s="2">
        <f>'All Combined Data'!Y55</f>
        <v>45677</v>
      </c>
      <c r="AA57" s="2" t="str">
        <f>'All Combined Data'!Z55</f>
        <v>Electronics</v>
      </c>
      <c r="AB57" s="2">
        <f>'All Combined Data'!AA55</f>
        <v>614</v>
      </c>
      <c r="AC57" s="2" t="str">
        <f>'All Combined Data'!AB55</f>
        <v>Married</v>
      </c>
      <c r="AD57" s="2" t="str">
        <f>'All Combined Data'!AC55</f>
        <v>Engineer</v>
      </c>
      <c r="AE57" s="2">
        <f>'All Combined Data'!AD55</f>
        <v>1278263</v>
      </c>
      <c r="AF57" s="2" t="str">
        <f>'All Combined Data'!AE55</f>
        <v>P143</v>
      </c>
      <c r="AG57" s="2" t="str">
        <f>'All Combined Data'!AF55</f>
        <v>Molestiae TV</v>
      </c>
      <c r="AH57" s="2" t="str">
        <f>'All Combined Data'!AG55</f>
        <v>Fashion</v>
      </c>
      <c r="AI57" s="2" t="str">
        <f>'All Combined Data'!AH55</f>
        <v>Smart</v>
      </c>
      <c r="AJ57" s="2" t="str">
        <f>'All Combined Data'!AI55</f>
        <v>Grewal-Sur</v>
      </c>
      <c r="AK57" s="2">
        <f>'All Combined Data'!AJ55</f>
        <v>35282</v>
      </c>
      <c r="AL57" s="2">
        <f>'All Combined Data'!AK55</f>
        <v>6</v>
      </c>
      <c r="AM57" s="2">
        <f>'All Combined Data'!AL55</f>
        <v>129</v>
      </c>
      <c r="AN57" s="2">
        <f>'All Combined Data'!AM55</f>
        <v>36</v>
      </c>
      <c r="AO57" s="2" t="str">
        <f>'All Combined Data'!AN55</f>
        <v>India</v>
      </c>
      <c r="AP57" s="2" t="str">
        <f>'All Combined Data'!AO55</f>
        <v>Yes</v>
      </c>
      <c r="AQ57" s="2">
        <f>'All Combined Data'!AP55</f>
        <v>3.7</v>
      </c>
      <c r="AR57" s="14">
        <f>'All Combined Data'!AQ55</f>
        <v>45746</v>
      </c>
      <c r="AS57" s="2" t="str">
        <f>'All Combined Data'!AR55</f>
        <v>No</v>
      </c>
      <c r="AT57" s="2">
        <f>'All Combined Data'!AS55</f>
        <v>9409</v>
      </c>
      <c r="AU57" s="2">
        <f>'All Combined Data'!AT55</f>
        <v>81</v>
      </c>
      <c r="AV57" s="2">
        <f>'All Combined Data'!AU55</f>
        <v>81</v>
      </c>
      <c r="AW57" s="2" t="str">
        <f>'All Combined Data'!AV55</f>
        <v>S081</v>
      </c>
      <c r="AX57" s="2" t="str">
        <f>'All Combined Data'!AW55</f>
        <v>Behl, Saini and Morar Mart</v>
      </c>
      <c r="AY57" s="2" t="str">
        <f>'All Combined Data'!AX55</f>
        <v>Kolkata</v>
      </c>
      <c r="AZ57" s="2" t="str">
        <f>'All Combined Data'!AY55</f>
        <v>West Bengal</v>
      </c>
      <c r="BA57" s="2">
        <f>'All Combined Data'!AZ55</f>
        <v>742123</v>
      </c>
      <c r="BB57" s="2" t="str">
        <f>'All Combined Data'!BA55</f>
        <v>Zehaan Arora</v>
      </c>
      <c r="BC57" s="2">
        <f>'All Combined Data'!BB55</f>
        <v>2002</v>
      </c>
      <c r="BD57" s="2">
        <f>'All Combined Data'!BC55</f>
        <v>35</v>
      </c>
      <c r="BE57" s="2">
        <f>'All Combined Data'!BD55</f>
        <v>12364</v>
      </c>
      <c r="BF57" s="2">
        <f>'All Combined Data'!BE55</f>
        <v>5</v>
      </c>
      <c r="BG57" s="2" t="str">
        <f>'All Combined Data'!BF55</f>
        <v>Yes</v>
      </c>
      <c r="BH57" s="2">
        <f>'All Combined Data'!BG55</f>
        <v>1226</v>
      </c>
      <c r="BI57" s="2" t="str">
        <f>'All Combined Data'!BH55</f>
        <v>Outlet</v>
      </c>
      <c r="BJ57" s="2">
        <f>'All Combined Data'!BI55</f>
        <v>7780973397</v>
      </c>
      <c r="BK57" s="2" t="str">
        <f>'All Combined Data'!BJ55</f>
        <v>crout@ahuja.net</v>
      </c>
      <c r="BL57" s="2">
        <f>Combined_data[[#This Row],[Quantity]]*Combined_data[[#This Row],[UnitPrice]]</f>
        <v>105846</v>
      </c>
      <c r="BM57" s="2">
        <f>Combined_data[[#This Row],[TotalAmount]]*(100-Combined_data[[#This Row],[DiscountApplied]])/100</f>
        <v>35260.830800000003</v>
      </c>
      <c r="BN57" s="2">
        <f>Combined_data[[#This Row],[Reveune]]-Combined_data[[#This Row],[Final Amount]]</f>
        <v>70585.169200000004</v>
      </c>
    </row>
    <row r="58" spans="2:66" x14ac:dyDescent="0.3">
      <c r="B58" s="2" t="str">
        <f>'All Combined Data'!A56</f>
        <v>O1055</v>
      </c>
      <c r="C58" s="2" t="str">
        <f>'All Combined Data'!B56</f>
        <v>C090</v>
      </c>
      <c r="D58" s="2" t="str">
        <f>'All Combined Data'!C56</f>
        <v>P178</v>
      </c>
      <c r="E58" s="14">
        <f>'All Combined Data'!D56</f>
        <v>45506</v>
      </c>
      <c r="F58" s="2">
        <f>'All Combined Data'!E56</f>
        <v>2</v>
      </c>
      <c r="G58" s="2">
        <f>'All Combined Data'!F56</f>
        <v>29930</v>
      </c>
      <c r="H58" s="2">
        <f>'All Combined Data'!G56</f>
        <v>119720</v>
      </c>
      <c r="I58" s="2">
        <f>'All Combined Data'!H56</f>
        <v>0.05</v>
      </c>
      <c r="J58" s="2" t="str">
        <f>'All Combined Data'!I56</f>
        <v>Debit Card</v>
      </c>
      <c r="K58" s="2" t="str">
        <f>'All Combined Data'!J56</f>
        <v>Pending</v>
      </c>
      <c r="L58" s="14">
        <f>'All Combined Data'!K56</f>
        <v>45864</v>
      </c>
      <c r="M58" s="2" t="str">
        <f>'All Combined Data'!L56</f>
        <v>No</v>
      </c>
      <c r="N58" s="2">
        <f>'All Combined Data'!M56</f>
        <v>194</v>
      </c>
      <c r="O58" s="2" t="str">
        <f>'All Combined Data'!N56</f>
        <v>No</v>
      </c>
      <c r="P58" s="2" t="str">
        <f>'All Combined Data'!O56</f>
        <v>No</v>
      </c>
      <c r="Q58" s="2" t="str">
        <f>'All Combined Data'!P56</f>
        <v>C090</v>
      </c>
      <c r="R58" s="2" t="str">
        <f>'All Combined Data'!Q56</f>
        <v>Champak Padmanabhan</v>
      </c>
      <c r="S58" s="2" t="str">
        <f>'All Combined Data'!R56</f>
        <v>uvohra@example.net</v>
      </c>
      <c r="T58" s="2">
        <f>'All Combined Data'!S56</f>
        <v>6246287334</v>
      </c>
      <c r="U58" s="2" t="str">
        <f>'All Combined Data'!T56</f>
        <v>Jaipur</v>
      </c>
      <c r="V58" s="2" t="str">
        <f>'All Combined Data'!U56</f>
        <v>Rajasthan</v>
      </c>
      <c r="W58" s="2">
        <f>'All Combined Data'!V56</f>
        <v>708668</v>
      </c>
      <c r="X58" s="2" t="str">
        <f>'All Combined Data'!W56</f>
        <v>Female</v>
      </c>
      <c r="Y58" s="14">
        <f>'All Combined Data'!X56</f>
        <v>34921</v>
      </c>
      <c r="Z58" s="2">
        <f>'All Combined Data'!Y56</f>
        <v>44444</v>
      </c>
      <c r="AA58" s="2" t="str">
        <f>'All Combined Data'!Z56</f>
        <v>Home Appliance</v>
      </c>
      <c r="AB58" s="2">
        <f>'All Combined Data'!AA56</f>
        <v>1345</v>
      </c>
      <c r="AC58" s="2" t="str">
        <f>'All Combined Data'!AB56</f>
        <v>Single</v>
      </c>
      <c r="AD58" s="2" t="str">
        <f>'All Combined Data'!AC56</f>
        <v>Engineer</v>
      </c>
      <c r="AE58" s="2">
        <f>'All Combined Data'!AD56</f>
        <v>1662119</v>
      </c>
      <c r="AF58" s="2" t="str">
        <f>'All Combined Data'!AE56</f>
        <v>P178</v>
      </c>
      <c r="AG58" s="2" t="str">
        <f>'All Combined Data'!AF56</f>
        <v>Consequatur TV</v>
      </c>
      <c r="AH58" s="2" t="str">
        <f>'All Combined Data'!AG56</f>
        <v>Grocery</v>
      </c>
      <c r="AI58" s="2" t="str">
        <f>'All Combined Data'!AH56</f>
        <v>Cotton</v>
      </c>
      <c r="AJ58" s="2" t="str">
        <f>'All Combined Data'!AI56</f>
        <v>Kala Group</v>
      </c>
      <c r="AK58" s="2">
        <f>'All Combined Data'!AJ56</f>
        <v>29930</v>
      </c>
      <c r="AL58" s="2">
        <f>'All Combined Data'!AK56</f>
        <v>5</v>
      </c>
      <c r="AM58" s="2">
        <f>'All Combined Data'!AL56</f>
        <v>326</v>
      </c>
      <c r="AN58" s="2">
        <f>'All Combined Data'!AM56</f>
        <v>6</v>
      </c>
      <c r="AO58" s="2" t="str">
        <f>'All Combined Data'!AN56</f>
        <v>Vietnam</v>
      </c>
      <c r="AP58" s="2" t="str">
        <f>'All Combined Data'!AO56</f>
        <v>Yes</v>
      </c>
      <c r="AQ58" s="2">
        <f>'All Combined Data'!AP56</f>
        <v>2.8</v>
      </c>
      <c r="AR58" s="14">
        <f>'All Combined Data'!AQ56</f>
        <v>44880</v>
      </c>
      <c r="AS58" s="2" t="str">
        <f>'All Combined Data'!AR56</f>
        <v>No</v>
      </c>
      <c r="AT58" s="2">
        <f>'All Combined Data'!AS56</f>
        <v>8741</v>
      </c>
      <c r="AU58" s="2">
        <f>'All Combined Data'!AT56</f>
        <v>128</v>
      </c>
      <c r="AV58" s="2">
        <f>'All Combined Data'!AU56</f>
        <v>128</v>
      </c>
      <c r="AW58" s="2" t="str">
        <f>'All Combined Data'!AV56</f>
        <v/>
      </c>
      <c r="AX58" s="2" t="str">
        <f>'All Combined Data'!AW56</f>
        <v/>
      </c>
      <c r="AY58" s="2" t="str">
        <f>'All Combined Data'!AX56</f>
        <v/>
      </c>
      <c r="AZ58" s="2" t="str">
        <f>'All Combined Data'!AY56</f>
        <v/>
      </c>
      <c r="BA58" s="2" t="str">
        <f>'All Combined Data'!AZ56</f>
        <v/>
      </c>
      <c r="BB58" s="2" t="str">
        <f>'All Combined Data'!BA56</f>
        <v/>
      </c>
      <c r="BC58" s="2" t="str">
        <f>'All Combined Data'!BB56</f>
        <v/>
      </c>
      <c r="BD58" s="2" t="str">
        <f>'All Combined Data'!BC56</f>
        <v/>
      </c>
      <c r="BE58" s="2" t="str">
        <f>'All Combined Data'!BD56</f>
        <v/>
      </c>
      <c r="BF58" s="2" t="str">
        <f>'All Combined Data'!BE56</f>
        <v/>
      </c>
      <c r="BG58" s="2" t="str">
        <f>'All Combined Data'!BF56</f>
        <v/>
      </c>
      <c r="BH58" s="2" t="str">
        <f>'All Combined Data'!BG56</f>
        <v/>
      </c>
      <c r="BI58" s="2" t="str">
        <f>'All Combined Data'!BH56</f>
        <v/>
      </c>
      <c r="BJ58" s="2" t="str">
        <f>'All Combined Data'!BI56</f>
        <v/>
      </c>
      <c r="BK58" s="2" t="str">
        <f>'All Combined Data'!BJ56</f>
        <v/>
      </c>
      <c r="BL58" s="2">
        <f>Combined_data[[#This Row],[Quantity]]*Combined_data[[#This Row],[UnitPrice]]</f>
        <v>59860</v>
      </c>
      <c r="BM58" s="2">
        <f>Combined_data[[#This Row],[TotalAmount]]*(100-Combined_data[[#This Row],[DiscountApplied]])/100</f>
        <v>119660.14</v>
      </c>
      <c r="BN58" s="2">
        <f>Combined_data[[#This Row],[Reveune]]-Combined_data[[#This Row],[Final Amount]]</f>
        <v>-59800.14</v>
      </c>
    </row>
    <row r="59" spans="2:66" x14ac:dyDescent="0.3">
      <c r="B59" s="2" t="str">
        <f>'All Combined Data'!A57</f>
        <v>O1056</v>
      </c>
      <c r="C59" s="2" t="str">
        <f>'All Combined Data'!B57</f>
        <v>C040</v>
      </c>
      <c r="D59" s="2" t="str">
        <f>'All Combined Data'!C57</f>
        <v>P134</v>
      </c>
      <c r="E59" s="14">
        <f>'All Combined Data'!D57</f>
        <v>45515</v>
      </c>
      <c r="F59" s="2">
        <f>'All Combined Data'!E57</f>
        <v>3</v>
      </c>
      <c r="G59" s="2">
        <f>'All Combined Data'!F57</f>
        <v>63656</v>
      </c>
      <c r="H59" s="2">
        <f>'All Combined Data'!G57</f>
        <v>318280</v>
      </c>
      <c r="I59" s="2">
        <f>'All Combined Data'!H57</f>
        <v>0.3</v>
      </c>
      <c r="J59" s="2" t="str">
        <f>'All Combined Data'!I57</f>
        <v>Net Banking</v>
      </c>
      <c r="K59" s="2" t="str">
        <f>'All Combined Data'!J57</f>
        <v>Cancelled</v>
      </c>
      <c r="L59" s="14">
        <f>'All Combined Data'!K57</f>
        <v>45866</v>
      </c>
      <c r="M59" s="2" t="str">
        <f>'All Combined Data'!L57</f>
        <v>Yes</v>
      </c>
      <c r="N59" s="2">
        <f>'All Combined Data'!M57</f>
        <v>411</v>
      </c>
      <c r="O59" s="2" t="str">
        <f>'All Combined Data'!N57</f>
        <v>No</v>
      </c>
      <c r="P59" s="2" t="str">
        <f>'All Combined Data'!O57</f>
        <v>No</v>
      </c>
      <c r="Q59" s="2" t="str">
        <f>'All Combined Data'!P57</f>
        <v>C040</v>
      </c>
      <c r="R59" s="2" t="str">
        <f>'All Combined Data'!Q57</f>
        <v>Aadhya Andra</v>
      </c>
      <c r="S59" s="2" t="str">
        <f>'All Combined Data'!R57</f>
        <v>rmani@example.net</v>
      </c>
      <c r="T59" s="2">
        <f>'All Combined Data'!S57</f>
        <v>911759464743</v>
      </c>
      <c r="U59" s="2" t="str">
        <f>'All Combined Data'!T57</f>
        <v>Lucknow</v>
      </c>
      <c r="V59" s="2" t="str">
        <f>'All Combined Data'!U57</f>
        <v>Uttar Pradesh</v>
      </c>
      <c r="W59" s="2">
        <f>'All Combined Data'!V57</f>
        <v>713695</v>
      </c>
      <c r="X59" s="2" t="str">
        <f>'All Combined Data'!W57</f>
        <v>Male</v>
      </c>
      <c r="Y59" s="14">
        <f>'All Combined Data'!X57</f>
        <v>36035</v>
      </c>
      <c r="Z59" s="2">
        <f>'All Combined Data'!Y57</f>
        <v>44947</v>
      </c>
      <c r="AA59" s="2" t="str">
        <f>'All Combined Data'!Z57</f>
        <v>Home Appliance</v>
      </c>
      <c r="AB59" s="2">
        <f>'All Combined Data'!AA57</f>
        <v>6715</v>
      </c>
      <c r="AC59" s="2" t="str">
        <f>'All Combined Data'!AB57</f>
        <v>Single</v>
      </c>
      <c r="AD59" s="2" t="str">
        <f>'All Combined Data'!AC57</f>
        <v>Student</v>
      </c>
      <c r="AE59" s="2">
        <f>'All Combined Data'!AD57</f>
        <v>716351</v>
      </c>
      <c r="AF59" s="2" t="str">
        <f>'All Combined Data'!AE57</f>
        <v>P134</v>
      </c>
      <c r="AG59" s="2" t="str">
        <f>'All Combined Data'!AF57</f>
        <v>Voluptatibus Shirt</v>
      </c>
      <c r="AH59" s="2" t="str">
        <f>'All Combined Data'!AG57</f>
        <v>Fashion</v>
      </c>
      <c r="AI59" s="2" t="str">
        <f>'All Combined Data'!AH57</f>
        <v>Cotton</v>
      </c>
      <c r="AJ59" s="2" t="str">
        <f>'All Combined Data'!AI57</f>
        <v>Jha LLC</v>
      </c>
      <c r="AK59" s="2">
        <f>'All Combined Data'!AJ57</f>
        <v>63656</v>
      </c>
      <c r="AL59" s="2">
        <f>'All Combined Data'!AK57</f>
        <v>30</v>
      </c>
      <c r="AM59" s="2">
        <f>'All Combined Data'!AL57</f>
        <v>302</v>
      </c>
      <c r="AN59" s="2">
        <f>'All Combined Data'!AM57</f>
        <v>24</v>
      </c>
      <c r="AO59" s="2" t="str">
        <f>'All Combined Data'!AN57</f>
        <v>India</v>
      </c>
      <c r="AP59" s="2" t="str">
        <f>'All Combined Data'!AO57</f>
        <v>No</v>
      </c>
      <c r="AQ59" s="2">
        <f>'All Combined Data'!AP57</f>
        <v>4.9000000000000004</v>
      </c>
      <c r="AR59" s="14">
        <f>'All Combined Data'!AQ57</f>
        <v>45852</v>
      </c>
      <c r="AS59" s="2" t="str">
        <f>'All Combined Data'!AR57</f>
        <v>Yes</v>
      </c>
      <c r="AT59" s="2">
        <f>'All Combined Data'!AS57</f>
        <v>4697</v>
      </c>
      <c r="AU59" s="2">
        <f>'All Combined Data'!AT57</f>
        <v>195</v>
      </c>
      <c r="AV59" s="2">
        <f>'All Combined Data'!AU57</f>
        <v>195</v>
      </c>
      <c r="AW59" s="2" t="str">
        <f>'All Combined Data'!AV57</f>
        <v/>
      </c>
      <c r="AX59" s="2" t="str">
        <f>'All Combined Data'!AW57</f>
        <v/>
      </c>
      <c r="AY59" s="2" t="str">
        <f>'All Combined Data'!AX57</f>
        <v/>
      </c>
      <c r="AZ59" s="2" t="str">
        <f>'All Combined Data'!AY57</f>
        <v/>
      </c>
      <c r="BA59" s="2" t="str">
        <f>'All Combined Data'!AZ57</f>
        <v/>
      </c>
      <c r="BB59" s="2" t="str">
        <f>'All Combined Data'!BA57</f>
        <v/>
      </c>
      <c r="BC59" s="2" t="str">
        <f>'All Combined Data'!BB57</f>
        <v/>
      </c>
      <c r="BD59" s="2" t="str">
        <f>'All Combined Data'!BC57</f>
        <v/>
      </c>
      <c r="BE59" s="2" t="str">
        <f>'All Combined Data'!BD57</f>
        <v/>
      </c>
      <c r="BF59" s="2" t="str">
        <f>'All Combined Data'!BE57</f>
        <v/>
      </c>
      <c r="BG59" s="2" t="str">
        <f>'All Combined Data'!BF57</f>
        <v/>
      </c>
      <c r="BH59" s="2" t="str">
        <f>'All Combined Data'!BG57</f>
        <v/>
      </c>
      <c r="BI59" s="2" t="str">
        <f>'All Combined Data'!BH57</f>
        <v/>
      </c>
      <c r="BJ59" s="2" t="str">
        <f>'All Combined Data'!BI57</f>
        <v/>
      </c>
      <c r="BK59" s="2" t="str">
        <f>'All Combined Data'!BJ57</f>
        <v/>
      </c>
      <c r="BL59" s="2">
        <f>Combined_data[[#This Row],[Quantity]]*Combined_data[[#This Row],[UnitPrice]]</f>
        <v>190968</v>
      </c>
      <c r="BM59" s="2">
        <f>Combined_data[[#This Row],[TotalAmount]]*(100-Combined_data[[#This Row],[DiscountApplied]])/100</f>
        <v>317325.15999999997</v>
      </c>
      <c r="BN59" s="2">
        <f>Combined_data[[#This Row],[Reveune]]-Combined_data[[#This Row],[Final Amount]]</f>
        <v>-126357.15999999997</v>
      </c>
    </row>
    <row r="60" spans="2:66" x14ac:dyDescent="0.3">
      <c r="B60" s="2" t="str">
        <f>'All Combined Data'!A58</f>
        <v>O1057</v>
      </c>
      <c r="C60" s="2" t="str">
        <f>'All Combined Data'!B58</f>
        <v>C027</v>
      </c>
      <c r="D60" s="2" t="str">
        <f>'All Combined Data'!C58</f>
        <v>P148</v>
      </c>
      <c r="E60" s="14">
        <f>'All Combined Data'!D58</f>
        <v>45825</v>
      </c>
      <c r="F60" s="2">
        <f>'All Combined Data'!E58</f>
        <v>3</v>
      </c>
      <c r="G60" s="2">
        <f>'All Combined Data'!F58</f>
        <v>96131</v>
      </c>
      <c r="H60" s="2">
        <f>'All Combined Data'!G58</f>
        <v>384524</v>
      </c>
      <c r="I60" s="2">
        <f>'All Combined Data'!H58</f>
        <v>0.08</v>
      </c>
      <c r="J60" s="2" t="str">
        <f>'All Combined Data'!I58</f>
        <v>Credit Card</v>
      </c>
      <c r="K60" s="2" t="str">
        <f>'All Combined Data'!J58</f>
        <v>Shipped</v>
      </c>
      <c r="L60" s="14">
        <f>'All Combined Data'!K58</f>
        <v>45861</v>
      </c>
      <c r="M60" s="2" t="str">
        <f>'All Combined Data'!L58</f>
        <v>Yes</v>
      </c>
      <c r="N60" s="2">
        <f>'All Combined Data'!M58</f>
        <v>8</v>
      </c>
      <c r="O60" s="2" t="str">
        <f>'All Combined Data'!N58</f>
        <v>No</v>
      </c>
      <c r="P60" s="2" t="str">
        <f>'All Combined Data'!O58</f>
        <v>No</v>
      </c>
      <c r="Q60" s="2" t="str">
        <f>'All Combined Data'!P58</f>
        <v>C027</v>
      </c>
      <c r="R60" s="2" t="str">
        <f>'All Combined Data'!Q58</f>
        <v>Harini Mammen</v>
      </c>
      <c r="S60" s="2" t="str">
        <f>'All Combined Data'!R58</f>
        <v>advaith83@example.org</v>
      </c>
      <c r="T60" s="2">
        <f>'All Combined Data'!S58</f>
        <v>916783777014</v>
      </c>
      <c r="U60" s="2" t="str">
        <f>'All Combined Data'!T58</f>
        <v>Delhi</v>
      </c>
      <c r="V60" s="2" t="str">
        <f>'All Combined Data'!U58</f>
        <v>Delhi</v>
      </c>
      <c r="W60" s="2">
        <f>'All Combined Data'!V58</f>
        <v>634957</v>
      </c>
      <c r="X60" s="2" t="str">
        <f>'All Combined Data'!W58</f>
        <v>Male</v>
      </c>
      <c r="Y60" s="14">
        <f>'All Combined Data'!X58</f>
        <v>35504</v>
      </c>
      <c r="Z60" s="2">
        <f>'All Combined Data'!Y58</f>
        <v>45677</v>
      </c>
      <c r="AA60" s="2" t="str">
        <f>'All Combined Data'!Z58</f>
        <v>Electronics</v>
      </c>
      <c r="AB60" s="2">
        <f>'All Combined Data'!AA58</f>
        <v>614</v>
      </c>
      <c r="AC60" s="2" t="str">
        <f>'All Combined Data'!AB58</f>
        <v>Married</v>
      </c>
      <c r="AD60" s="2" t="str">
        <f>'All Combined Data'!AC58</f>
        <v>Engineer</v>
      </c>
      <c r="AE60" s="2">
        <f>'All Combined Data'!AD58</f>
        <v>1278263</v>
      </c>
      <c r="AF60" s="2" t="str">
        <f>'All Combined Data'!AE58</f>
        <v>P148</v>
      </c>
      <c r="AG60" s="2" t="str">
        <f>'All Combined Data'!AF58</f>
        <v>Vitae Washing Machine</v>
      </c>
      <c r="AH60" s="2" t="str">
        <f>'All Combined Data'!AG58</f>
        <v>Grocery</v>
      </c>
      <c r="AI60" s="2" t="str">
        <f>'All Combined Data'!AH58</f>
        <v>Android</v>
      </c>
      <c r="AJ60" s="2" t="str">
        <f>'All Combined Data'!AI58</f>
        <v>Sagar-Sawhney</v>
      </c>
      <c r="AK60" s="2">
        <f>'All Combined Data'!AJ58</f>
        <v>96131</v>
      </c>
      <c r="AL60" s="2">
        <f>'All Combined Data'!AK58</f>
        <v>8</v>
      </c>
      <c r="AM60" s="2">
        <f>'All Combined Data'!AL58</f>
        <v>320</v>
      </c>
      <c r="AN60" s="2">
        <f>'All Combined Data'!AM58</f>
        <v>36</v>
      </c>
      <c r="AO60" s="2" t="str">
        <f>'All Combined Data'!AN58</f>
        <v>Vietnam</v>
      </c>
      <c r="AP60" s="2" t="str">
        <f>'All Combined Data'!AO58</f>
        <v>No</v>
      </c>
      <c r="AQ60" s="2">
        <f>'All Combined Data'!AP58</f>
        <v>3.4</v>
      </c>
      <c r="AR60" s="14">
        <f>'All Combined Data'!AQ58</f>
        <v>45518</v>
      </c>
      <c r="AS60" s="2" t="str">
        <f>'All Combined Data'!AR58</f>
        <v>Yes</v>
      </c>
      <c r="AT60" s="2">
        <f>'All Combined Data'!AS58</f>
        <v>8771</v>
      </c>
      <c r="AU60" s="2">
        <f>'All Combined Data'!AT58</f>
        <v>62</v>
      </c>
      <c r="AV60" s="2">
        <f>'All Combined Data'!AU58</f>
        <v>62</v>
      </c>
      <c r="AW60" s="2" t="str">
        <f>'All Combined Data'!AV58</f>
        <v>S062</v>
      </c>
      <c r="AX60" s="2" t="str">
        <f>'All Combined Data'!AW58</f>
        <v>Lata Group Mart</v>
      </c>
      <c r="AY60" s="2" t="str">
        <f>'All Combined Data'!AX58</f>
        <v>Delhi</v>
      </c>
      <c r="AZ60" s="2" t="str">
        <f>'All Combined Data'!AY58</f>
        <v>Delhi</v>
      </c>
      <c r="BA60" s="2">
        <f>'All Combined Data'!AZ58</f>
        <v>872346</v>
      </c>
      <c r="BB60" s="2" t="str">
        <f>'All Combined Data'!BA58</f>
        <v>Jairaj Kothari</v>
      </c>
      <c r="BC60" s="2">
        <f>'All Combined Data'!BB58</f>
        <v>2014</v>
      </c>
      <c r="BD60" s="2">
        <f>'All Combined Data'!BC58</f>
        <v>11</v>
      </c>
      <c r="BE60" s="2">
        <f>'All Combined Data'!BD58</f>
        <v>6504</v>
      </c>
      <c r="BF60" s="2">
        <f>'All Combined Data'!BE58</f>
        <v>4.8</v>
      </c>
      <c r="BG60" s="2" t="str">
        <f>'All Combined Data'!BF58</f>
        <v>No</v>
      </c>
      <c r="BH60" s="2">
        <f>'All Combined Data'!BG58</f>
        <v>3735</v>
      </c>
      <c r="BI60" s="2" t="str">
        <f>'All Combined Data'!BH58</f>
        <v>Franchise</v>
      </c>
      <c r="BJ60" s="2">
        <f>'All Combined Data'!BI58</f>
        <v>7303718376</v>
      </c>
      <c r="BK60" s="2" t="str">
        <f>'All Combined Data'!BJ58</f>
        <v>ekantika20@verma.info</v>
      </c>
      <c r="BL60" s="2">
        <f>Combined_data[[#This Row],[Quantity]]*Combined_data[[#This Row],[UnitPrice]]</f>
        <v>288393</v>
      </c>
      <c r="BM60" s="2">
        <f>Combined_data[[#This Row],[TotalAmount]]*(100-Combined_data[[#This Row],[DiscountApplied]])/100</f>
        <v>384216.38079999998</v>
      </c>
      <c r="BN60" s="2">
        <f>Combined_data[[#This Row],[Reveune]]-Combined_data[[#This Row],[Final Amount]]</f>
        <v>-95823.380799999984</v>
      </c>
    </row>
    <row r="61" spans="2:66" x14ac:dyDescent="0.3">
      <c r="B61" s="2" t="str">
        <f>'All Combined Data'!A59</f>
        <v>O1058</v>
      </c>
      <c r="C61" s="2" t="str">
        <f>'All Combined Data'!B59</f>
        <v>C038</v>
      </c>
      <c r="D61" s="2" t="str">
        <f>'All Combined Data'!C59</f>
        <v>P120</v>
      </c>
      <c r="E61" s="14">
        <f>'All Combined Data'!D59</f>
        <v>45789</v>
      </c>
      <c r="F61" s="2">
        <f>'All Combined Data'!E59</f>
        <v>2</v>
      </c>
      <c r="G61" s="2">
        <f>'All Combined Data'!F59</f>
        <v>77431</v>
      </c>
      <c r="H61" s="2">
        <f>'All Combined Data'!G59</f>
        <v>232293</v>
      </c>
      <c r="I61" s="2">
        <f>'All Combined Data'!H59</f>
        <v>0.23</v>
      </c>
      <c r="J61" s="2" t="str">
        <f>'All Combined Data'!I59</f>
        <v>Debit Card</v>
      </c>
      <c r="K61" s="2" t="str">
        <f>'All Combined Data'!J59</f>
        <v>Cancelled</v>
      </c>
      <c r="L61" s="14">
        <f>'All Combined Data'!K59</f>
        <v>45862</v>
      </c>
      <c r="M61" s="2" t="str">
        <f>'All Combined Data'!L59</f>
        <v>Yes</v>
      </c>
      <c r="N61" s="2">
        <f>'All Combined Data'!M59</f>
        <v>255</v>
      </c>
      <c r="O61" s="2" t="str">
        <f>'All Combined Data'!N59</f>
        <v>No</v>
      </c>
      <c r="P61" s="2" t="str">
        <f>'All Combined Data'!O59</f>
        <v>No</v>
      </c>
      <c r="Q61" s="2" t="str">
        <f>'All Combined Data'!P59</f>
        <v>C038</v>
      </c>
      <c r="R61" s="2" t="str">
        <f>'All Combined Data'!Q59</f>
        <v>Falan Singh</v>
      </c>
      <c r="S61" s="2" t="str">
        <f>'All Combined Data'!R59</f>
        <v>hamsini96@example.net</v>
      </c>
      <c r="T61" s="2">
        <f>'All Combined Data'!S59</f>
        <v>915865780913</v>
      </c>
      <c r="U61" s="2" t="str">
        <f>'All Combined Data'!T59</f>
        <v>Pune</v>
      </c>
      <c r="V61" s="2" t="str">
        <f>'All Combined Data'!U59</f>
        <v>Maharashtra</v>
      </c>
      <c r="W61" s="2">
        <f>'All Combined Data'!V59</f>
        <v>316117</v>
      </c>
      <c r="X61" s="2" t="str">
        <f>'All Combined Data'!W59</f>
        <v>Male</v>
      </c>
      <c r="Y61" s="14">
        <f>'All Combined Data'!X59</f>
        <v>25883</v>
      </c>
      <c r="Z61" s="2">
        <f>'All Combined Data'!Y59</f>
        <v>44958</v>
      </c>
      <c r="AA61" s="2" t="str">
        <f>'All Combined Data'!Z59</f>
        <v>Fashion</v>
      </c>
      <c r="AB61" s="2">
        <f>'All Combined Data'!AA59</f>
        <v>1036</v>
      </c>
      <c r="AC61" s="2" t="str">
        <f>'All Combined Data'!AB59</f>
        <v>Single</v>
      </c>
      <c r="AD61" s="2" t="str">
        <f>'All Combined Data'!AC59</f>
        <v>Student</v>
      </c>
      <c r="AE61" s="2">
        <f>'All Combined Data'!AD59</f>
        <v>1199897</v>
      </c>
      <c r="AF61" s="2" t="str">
        <f>'All Combined Data'!AE59</f>
        <v>P120</v>
      </c>
      <c r="AG61" s="2" t="str">
        <f>'All Combined Data'!AF59</f>
        <v>Accusamus Laptop</v>
      </c>
      <c r="AH61" s="2" t="str">
        <f>'All Combined Data'!AG59</f>
        <v>Fashion</v>
      </c>
      <c r="AI61" s="2" t="str">
        <f>'All Combined Data'!AH59</f>
        <v>Cotton</v>
      </c>
      <c r="AJ61" s="2" t="str">
        <f>'All Combined Data'!AI59</f>
        <v>Kuruvilla and Sons</v>
      </c>
      <c r="AK61" s="2">
        <f>'All Combined Data'!AJ59</f>
        <v>77431</v>
      </c>
      <c r="AL61" s="2">
        <f>'All Combined Data'!AK59</f>
        <v>23</v>
      </c>
      <c r="AM61" s="2">
        <f>'All Combined Data'!AL59</f>
        <v>675</v>
      </c>
      <c r="AN61" s="2">
        <f>'All Combined Data'!AM59</f>
        <v>36</v>
      </c>
      <c r="AO61" s="2" t="str">
        <f>'All Combined Data'!AN59</f>
        <v>China</v>
      </c>
      <c r="AP61" s="2" t="str">
        <f>'All Combined Data'!AO59</f>
        <v>No</v>
      </c>
      <c r="AQ61" s="2">
        <f>'All Combined Data'!AP59</f>
        <v>3.8</v>
      </c>
      <c r="AR61" s="14">
        <f>'All Combined Data'!AQ59</f>
        <v>45552</v>
      </c>
      <c r="AS61" s="2" t="str">
        <f>'All Combined Data'!AR59</f>
        <v>No</v>
      </c>
      <c r="AT61" s="2">
        <f>'All Combined Data'!AS59</f>
        <v>6447</v>
      </c>
      <c r="AU61" s="2">
        <f>'All Combined Data'!AT59</f>
        <v>34</v>
      </c>
      <c r="AV61" s="2">
        <f>'All Combined Data'!AU59</f>
        <v>34</v>
      </c>
      <c r="AW61" s="2" t="str">
        <f>'All Combined Data'!AV59</f>
        <v>S034</v>
      </c>
      <c r="AX61" s="2" t="str">
        <f>'All Combined Data'!AW59</f>
        <v>Naidu PLC Mart</v>
      </c>
      <c r="AY61" s="2" t="str">
        <f>'All Combined Data'!AX59</f>
        <v>Jaipur</v>
      </c>
      <c r="AZ61" s="2" t="str">
        <f>'All Combined Data'!AY59</f>
        <v>Rajasthan</v>
      </c>
      <c r="BA61" s="2">
        <f>'All Combined Data'!AZ59</f>
        <v>947985</v>
      </c>
      <c r="BB61" s="2" t="str">
        <f>'All Combined Data'!BA59</f>
        <v>Eesha Vora</v>
      </c>
      <c r="BC61" s="2">
        <f>'All Combined Data'!BB59</f>
        <v>2018</v>
      </c>
      <c r="BD61" s="2">
        <f>'All Combined Data'!BC59</f>
        <v>86</v>
      </c>
      <c r="BE61" s="2">
        <f>'All Combined Data'!BD59</f>
        <v>3166</v>
      </c>
      <c r="BF61" s="2">
        <f>'All Combined Data'!BE59</f>
        <v>3.6</v>
      </c>
      <c r="BG61" s="2" t="str">
        <f>'All Combined Data'!BF59</f>
        <v>No</v>
      </c>
      <c r="BH61" s="2">
        <f>'All Combined Data'!BG59</f>
        <v>2454</v>
      </c>
      <c r="BI61" s="2" t="str">
        <f>'All Combined Data'!BH59</f>
        <v>Retail</v>
      </c>
      <c r="BJ61" s="2">
        <f>'All Combined Data'!BI59</f>
        <v>912818268861</v>
      </c>
      <c r="BK61" s="2" t="str">
        <f>'All Combined Data'!BJ59</f>
        <v>timothy35@patel-memon.com</v>
      </c>
      <c r="BL61" s="2">
        <f>Combined_data[[#This Row],[Quantity]]*Combined_data[[#This Row],[UnitPrice]]</f>
        <v>154862</v>
      </c>
      <c r="BM61" s="2">
        <f>Combined_data[[#This Row],[TotalAmount]]*(100-Combined_data[[#This Row],[DiscountApplied]])/100</f>
        <v>231758.7261</v>
      </c>
      <c r="BN61" s="2">
        <f>Combined_data[[#This Row],[Reveune]]-Combined_data[[#This Row],[Final Amount]]</f>
        <v>-76896.7261</v>
      </c>
    </row>
    <row r="62" spans="2:66" x14ac:dyDescent="0.3">
      <c r="B62" s="2" t="str">
        <f>'All Combined Data'!A60</f>
        <v>O1059</v>
      </c>
      <c r="C62" s="2" t="str">
        <f>'All Combined Data'!B60</f>
        <v>C098</v>
      </c>
      <c r="D62" s="2" t="str">
        <f>'All Combined Data'!C60</f>
        <v>P163</v>
      </c>
      <c r="E62" s="14">
        <f>'All Combined Data'!D60</f>
        <v>45616</v>
      </c>
      <c r="F62" s="2">
        <f>'All Combined Data'!E60</f>
        <v>4</v>
      </c>
      <c r="G62" s="2">
        <f>'All Combined Data'!F60</f>
        <v>23718</v>
      </c>
      <c r="H62" s="2">
        <f>'All Combined Data'!G60</f>
        <v>94872</v>
      </c>
      <c r="I62" s="2">
        <f>'All Combined Data'!H60</f>
        <v>0.28999999999999998</v>
      </c>
      <c r="J62" s="2" t="str">
        <f>'All Combined Data'!I60</f>
        <v>Debit Card</v>
      </c>
      <c r="K62" s="2" t="str">
        <f>'All Combined Data'!J60</f>
        <v>Pending</v>
      </c>
      <c r="L62" s="14">
        <f>'All Combined Data'!K60</f>
        <v>45857</v>
      </c>
      <c r="M62" s="2" t="str">
        <f>'All Combined Data'!L60</f>
        <v>Yes</v>
      </c>
      <c r="N62" s="2">
        <f>'All Combined Data'!M60</f>
        <v>71</v>
      </c>
      <c r="O62" s="2" t="str">
        <f>'All Combined Data'!N60</f>
        <v>No</v>
      </c>
      <c r="P62" s="2" t="str">
        <f>'All Combined Data'!O60</f>
        <v>Yes</v>
      </c>
      <c r="Q62" s="2" t="str">
        <f>'All Combined Data'!P60</f>
        <v>C098</v>
      </c>
      <c r="R62" s="2" t="str">
        <f>'All Combined Data'!Q60</f>
        <v>Leena Dey</v>
      </c>
      <c r="S62" s="2" t="str">
        <f>'All Combined Data'!R60</f>
        <v>tellahiral@example.org</v>
      </c>
      <c r="T62" s="2">
        <f>'All Combined Data'!S60</f>
        <v>916315999650</v>
      </c>
      <c r="U62" s="2" t="str">
        <f>'All Combined Data'!T60</f>
        <v>Chennai</v>
      </c>
      <c r="V62" s="2" t="str">
        <f>'All Combined Data'!U60</f>
        <v>Tamil Nadu</v>
      </c>
      <c r="W62" s="2">
        <f>'All Combined Data'!V60</f>
        <v>773586</v>
      </c>
      <c r="X62" s="2" t="str">
        <f>'All Combined Data'!W60</f>
        <v>Male</v>
      </c>
      <c r="Y62" s="14">
        <f>'All Combined Data'!X60</f>
        <v>32481</v>
      </c>
      <c r="Z62" s="2">
        <f>'All Combined Data'!Y60</f>
        <v>44605</v>
      </c>
      <c r="AA62" s="2" t="str">
        <f>'All Combined Data'!Z60</f>
        <v>Home Appliance</v>
      </c>
      <c r="AB62" s="2">
        <f>'All Combined Data'!AA60</f>
        <v>1502</v>
      </c>
      <c r="AC62" s="2" t="str">
        <f>'All Combined Data'!AB60</f>
        <v>Single</v>
      </c>
      <c r="AD62" s="2" t="str">
        <f>'All Combined Data'!AC60</f>
        <v>Business</v>
      </c>
      <c r="AE62" s="2">
        <f>'All Combined Data'!AD60</f>
        <v>1224622</v>
      </c>
      <c r="AF62" s="2" t="str">
        <f>'All Combined Data'!AE60</f>
        <v>P163</v>
      </c>
      <c r="AG62" s="2" t="str">
        <f>'All Combined Data'!AF60</f>
        <v>Iste Laptop</v>
      </c>
      <c r="AH62" s="2" t="str">
        <f>'All Combined Data'!AG60</f>
        <v>Home Appliance</v>
      </c>
      <c r="AI62" s="2" t="str">
        <f>'All Combined Data'!AH60</f>
        <v>LED</v>
      </c>
      <c r="AJ62" s="2" t="str">
        <f>'All Combined Data'!AI60</f>
        <v>Ramaswamy Group</v>
      </c>
      <c r="AK62" s="2">
        <f>'All Combined Data'!AJ60</f>
        <v>23718</v>
      </c>
      <c r="AL62" s="2">
        <f>'All Combined Data'!AK60</f>
        <v>29</v>
      </c>
      <c r="AM62" s="2">
        <f>'All Combined Data'!AL60</f>
        <v>643</v>
      </c>
      <c r="AN62" s="2">
        <f>'All Combined Data'!AM60</f>
        <v>36</v>
      </c>
      <c r="AO62" s="2" t="str">
        <f>'All Combined Data'!AN60</f>
        <v>Japan</v>
      </c>
      <c r="AP62" s="2" t="str">
        <f>'All Combined Data'!AO60</f>
        <v>No</v>
      </c>
      <c r="AQ62" s="2">
        <f>'All Combined Data'!AP60</f>
        <v>4.2</v>
      </c>
      <c r="AR62" s="14">
        <f>'All Combined Data'!AQ60</f>
        <v>44979</v>
      </c>
      <c r="AS62" s="2" t="str">
        <f>'All Combined Data'!AR60</f>
        <v>No</v>
      </c>
      <c r="AT62" s="2">
        <f>'All Combined Data'!AS60</f>
        <v>6180</v>
      </c>
      <c r="AU62" s="2">
        <f>'All Combined Data'!AT60</f>
        <v>90</v>
      </c>
      <c r="AV62" s="2">
        <f>'All Combined Data'!AU60</f>
        <v>90</v>
      </c>
      <c r="AW62" s="2" t="str">
        <f>'All Combined Data'!AV60</f>
        <v>S090</v>
      </c>
      <c r="AX62" s="2" t="str">
        <f>'All Combined Data'!AW60</f>
        <v>Shroff-Singhal Mart</v>
      </c>
      <c r="AY62" s="2" t="str">
        <f>'All Combined Data'!AX60</f>
        <v>Kolkata</v>
      </c>
      <c r="AZ62" s="2" t="str">
        <f>'All Combined Data'!AY60</f>
        <v>West Bengal</v>
      </c>
      <c r="BA62" s="2">
        <f>'All Combined Data'!AZ60</f>
        <v>329456</v>
      </c>
      <c r="BB62" s="2" t="str">
        <f>'All Combined Data'!BA60</f>
        <v>Ganga Nair</v>
      </c>
      <c r="BC62" s="2">
        <f>'All Combined Data'!BB60</f>
        <v>2000</v>
      </c>
      <c r="BD62" s="2">
        <f>'All Combined Data'!BC60</f>
        <v>59</v>
      </c>
      <c r="BE62" s="2">
        <f>'All Combined Data'!BD60</f>
        <v>3871</v>
      </c>
      <c r="BF62" s="2">
        <f>'All Combined Data'!BE60</f>
        <v>3.6</v>
      </c>
      <c r="BG62" s="2" t="str">
        <f>'All Combined Data'!BF60</f>
        <v>No</v>
      </c>
      <c r="BH62" s="2">
        <f>'All Combined Data'!BG60</f>
        <v>2135</v>
      </c>
      <c r="BI62" s="2" t="str">
        <f>'All Combined Data'!BH60</f>
        <v>Retail</v>
      </c>
      <c r="BJ62" s="2">
        <f>'All Combined Data'!BI60</f>
        <v>7017157724</v>
      </c>
      <c r="BK62" s="2" t="str">
        <f>'All Combined Data'!BJ60</f>
        <v>joshua81@chhabra-nanda.net</v>
      </c>
      <c r="BL62" s="2">
        <f>Combined_data[[#This Row],[Quantity]]*Combined_data[[#This Row],[UnitPrice]]</f>
        <v>94872</v>
      </c>
      <c r="BM62" s="2">
        <f>Combined_data[[#This Row],[TotalAmount]]*(100-Combined_data[[#This Row],[DiscountApplied]])/100</f>
        <v>94596.871199999994</v>
      </c>
      <c r="BN62" s="2">
        <f>Combined_data[[#This Row],[Reveune]]-Combined_data[[#This Row],[Final Amount]]</f>
        <v>275.12880000000587</v>
      </c>
    </row>
    <row r="63" spans="2:66" x14ac:dyDescent="0.3">
      <c r="B63" s="2" t="str">
        <f>'All Combined Data'!A61</f>
        <v>O1060</v>
      </c>
      <c r="C63" s="2" t="str">
        <f>'All Combined Data'!B61</f>
        <v>C070</v>
      </c>
      <c r="D63" s="2" t="str">
        <f>'All Combined Data'!C61</f>
        <v>P183</v>
      </c>
      <c r="E63" s="14">
        <f>'All Combined Data'!D61</f>
        <v>45703</v>
      </c>
      <c r="F63" s="2">
        <f>'All Combined Data'!E61</f>
        <v>1</v>
      </c>
      <c r="G63" s="2">
        <f>'All Combined Data'!F61</f>
        <v>98452</v>
      </c>
      <c r="H63" s="2">
        <f>'All Combined Data'!G61</f>
        <v>492260</v>
      </c>
      <c r="I63" s="2">
        <f>'All Combined Data'!H61</f>
        <v>0.05</v>
      </c>
      <c r="J63" s="2" t="str">
        <f>'All Combined Data'!I61</f>
        <v>Credit Card</v>
      </c>
      <c r="K63" s="2" t="str">
        <f>'All Combined Data'!J61</f>
        <v>Delivered</v>
      </c>
      <c r="L63" s="14">
        <f>'All Combined Data'!K61</f>
        <v>45866</v>
      </c>
      <c r="M63" s="2" t="str">
        <f>'All Combined Data'!L61</f>
        <v>Yes</v>
      </c>
      <c r="N63" s="2">
        <f>'All Combined Data'!M61</f>
        <v>391</v>
      </c>
      <c r="O63" s="2" t="str">
        <f>'All Combined Data'!N61</f>
        <v>Yes</v>
      </c>
      <c r="P63" s="2" t="str">
        <f>'All Combined Data'!O61</f>
        <v>No</v>
      </c>
      <c r="Q63" s="2" t="str">
        <f>'All Combined Data'!P61</f>
        <v>C070</v>
      </c>
      <c r="R63" s="2" t="str">
        <f>'All Combined Data'!Q61</f>
        <v>Jalsa Pillay</v>
      </c>
      <c r="S63" s="2" t="str">
        <f>'All Combined Data'!R61</f>
        <v>ndayal@example.org</v>
      </c>
      <c r="T63" s="2">
        <f>'All Combined Data'!S61</f>
        <v>914678669125</v>
      </c>
      <c r="U63" s="2" t="str">
        <f>'All Combined Data'!T61</f>
        <v>Jaipur</v>
      </c>
      <c r="V63" s="2" t="str">
        <f>'All Combined Data'!U61</f>
        <v>Rajasthan</v>
      </c>
      <c r="W63" s="2">
        <f>'All Combined Data'!V61</f>
        <v>778528</v>
      </c>
      <c r="X63" s="2" t="str">
        <f>'All Combined Data'!W61</f>
        <v>Male</v>
      </c>
      <c r="Y63" s="14">
        <f>'All Combined Data'!X61</f>
        <v>37650</v>
      </c>
      <c r="Z63" s="2">
        <f>'All Combined Data'!Y61</f>
        <v>45854</v>
      </c>
      <c r="AA63" s="2" t="str">
        <f>'All Combined Data'!Z61</f>
        <v>Home Appliance</v>
      </c>
      <c r="AB63" s="2">
        <f>'All Combined Data'!AA61</f>
        <v>190</v>
      </c>
      <c r="AC63" s="2" t="str">
        <f>'All Combined Data'!AB61</f>
        <v>Single</v>
      </c>
      <c r="AD63" s="2" t="str">
        <f>'All Combined Data'!AC61</f>
        <v>Business</v>
      </c>
      <c r="AE63" s="2">
        <f>'All Combined Data'!AD61</f>
        <v>658943</v>
      </c>
      <c r="AF63" s="2" t="str">
        <f>'All Combined Data'!AE61</f>
        <v>P183</v>
      </c>
      <c r="AG63" s="2" t="str">
        <f>'All Combined Data'!AF61</f>
        <v>In Phone</v>
      </c>
      <c r="AH63" s="2" t="str">
        <f>'All Combined Data'!AG61</f>
        <v>Grocery</v>
      </c>
      <c r="AI63" s="2" t="str">
        <f>'All Combined Data'!AH61</f>
        <v>Cotton</v>
      </c>
      <c r="AJ63" s="2" t="str">
        <f>'All Combined Data'!AI61</f>
        <v>Raja and Sons</v>
      </c>
      <c r="AK63" s="2">
        <f>'All Combined Data'!AJ61</f>
        <v>98452</v>
      </c>
      <c r="AL63" s="2">
        <f>'All Combined Data'!AK61</f>
        <v>5</v>
      </c>
      <c r="AM63" s="2">
        <f>'All Combined Data'!AL61</f>
        <v>365</v>
      </c>
      <c r="AN63" s="2">
        <f>'All Combined Data'!AM61</f>
        <v>6</v>
      </c>
      <c r="AO63" s="2" t="str">
        <f>'All Combined Data'!AN61</f>
        <v>Vietnam</v>
      </c>
      <c r="AP63" s="2" t="str">
        <f>'All Combined Data'!AO61</f>
        <v>Yes</v>
      </c>
      <c r="AQ63" s="2">
        <f>'All Combined Data'!AP61</f>
        <v>4.3</v>
      </c>
      <c r="AR63" s="14">
        <f>'All Combined Data'!AQ61</f>
        <v>45755</v>
      </c>
      <c r="AS63" s="2" t="str">
        <f>'All Combined Data'!AR61</f>
        <v>Yes</v>
      </c>
      <c r="AT63" s="2">
        <f>'All Combined Data'!AS61</f>
        <v>6448</v>
      </c>
      <c r="AU63" s="2">
        <f>'All Combined Data'!AT61</f>
        <v>62</v>
      </c>
      <c r="AV63" s="2">
        <f>'All Combined Data'!AU61</f>
        <v>62</v>
      </c>
      <c r="AW63" s="2" t="str">
        <f>'All Combined Data'!AV61</f>
        <v>S062</v>
      </c>
      <c r="AX63" s="2" t="str">
        <f>'All Combined Data'!AW61</f>
        <v>Lata Group Mart</v>
      </c>
      <c r="AY63" s="2" t="str">
        <f>'All Combined Data'!AX61</f>
        <v>Delhi</v>
      </c>
      <c r="AZ63" s="2" t="str">
        <f>'All Combined Data'!AY61</f>
        <v>Delhi</v>
      </c>
      <c r="BA63" s="2">
        <f>'All Combined Data'!AZ61</f>
        <v>872346</v>
      </c>
      <c r="BB63" s="2" t="str">
        <f>'All Combined Data'!BA61</f>
        <v>Jairaj Kothari</v>
      </c>
      <c r="BC63" s="2">
        <f>'All Combined Data'!BB61</f>
        <v>2014</v>
      </c>
      <c r="BD63" s="2">
        <f>'All Combined Data'!BC61</f>
        <v>11</v>
      </c>
      <c r="BE63" s="2">
        <f>'All Combined Data'!BD61</f>
        <v>6504</v>
      </c>
      <c r="BF63" s="2">
        <f>'All Combined Data'!BE61</f>
        <v>4.8</v>
      </c>
      <c r="BG63" s="2" t="str">
        <f>'All Combined Data'!BF61</f>
        <v>No</v>
      </c>
      <c r="BH63" s="2">
        <f>'All Combined Data'!BG61</f>
        <v>3735</v>
      </c>
      <c r="BI63" s="2" t="str">
        <f>'All Combined Data'!BH61</f>
        <v>Franchise</v>
      </c>
      <c r="BJ63" s="2">
        <f>'All Combined Data'!BI61</f>
        <v>7303718376</v>
      </c>
      <c r="BK63" s="2" t="str">
        <f>'All Combined Data'!BJ61</f>
        <v>ekantika20@verma.info</v>
      </c>
      <c r="BL63" s="2">
        <f>Combined_data[[#This Row],[Quantity]]*Combined_data[[#This Row],[UnitPrice]]</f>
        <v>98452</v>
      </c>
      <c r="BM63" s="2">
        <f>Combined_data[[#This Row],[TotalAmount]]*(100-Combined_data[[#This Row],[DiscountApplied]])/100</f>
        <v>492013.87</v>
      </c>
      <c r="BN63" s="2">
        <f>Combined_data[[#This Row],[Reveune]]-Combined_data[[#This Row],[Final Amount]]</f>
        <v>-393561.87</v>
      </c>
    </row>
    <row r="64" spans="2:66" x14ac:dyDescent="0.3">
      <c r="B64" s="2" t="str">
        <f>'All Combined Data'!A62</f>
        <v>O1061</v>
      </c>
      <c r="C64" s="2" t="str">
        <f>'All Combined Data'!B62</f>
        <v>C018</v>
      </c>
      <c r="D64" s="2" t="str">
        <f>'All Combined Data'!C62</f>
        <v>P181</v>
      </c>
      <c r="E64" s="14">
        <f>'All Combined Data'!D62</f>
        <v>45492</v>
      </c>
      <c r="F64" s="2">
        <f>'All Combined Data'!E62</f>
        <v>2</v>
      </c>
      <c r="G64" s="2">
        <f>'All Combined Data'!F62</f>
        <v>70761</v>
      </c>
      <c r="H64" s="2">
        <f>'All Combined Data'!G62</f>
        <v>70761</v>
      </c>
      <c r="I64" s="2">
        <f>'All Combined Data'!H62</f>
        <v>0.05</v>
      </c>
      <c r="J64" s="2" t="str">
        <f>'All Combined Data'!I62</f>
        <v>Debit Card</v>
      </c>
      <c r="K64" s="2" t="str">
        <f>'All Combined Data'!J62</f>
        <v>Delivered</v>
      </c>
      <c r="L64" s="14">
        <f>'All Combined Data'!K62</f>
        <v>45863</v>
      </c>
      <c r="M64" s="2" t="str">
        <f>'All Combined Data'!L62</f>
        <v>Yes</v>
      </c>
      <c r="N64" s="2">
        <f>'All Combined Data'!M62</f>
        <v>258</v>
      </c>
      <c r="O64" s="2" t="str">
        <f>'All Combined Data'!N62</f>
        <v>No</v>
      </c>
      <c r="P64" s="2" t="str">
        <f>'All Combined Data'!O62</f>
        <v>No</v>
      </c>
      <c r="Q64" s="2" t="str">
        <f>'All Combined Data'!P62</f>
        <v>C018</v>
      </c>
      <c r="R64" s="2" t="str">
        <f>'All Combined Data'!Q62</f>
        <v>Owen Mitra</v>
      </c>
      <c r="S64" s="2" t="str">
        <f>'All Combined Data'!R62</f>
        <v>tacharya@example.com</v>
      </c>
      <c r="T64" s="2">
        <f>'All Combined Data'!S62</f>
        <v>916995777387</v>
      </c>
      <c r="U64" s="2" t="str">
        <f>'All Combined Data'!T62</f>
        <v>Mumbai</v>
      </c>
      <c r="V64" s="2" t="str">
        <f>'All Combined Data'!U62</f>
        <v>Maharashtra</v>
      </c>
      <c r="W64" s="2">
        <f>'All Combined Data'!V62</f>
        <v>148951</v>
      </c>
      <c r="X64" s="2" t="str">
        <f>'All Combined Data'!W62</f>
        <v>Female</v>
      </c>
      <c r="Y64" s="14">
        <f>'All Combined Data'!X62</f>
        <v>27585</v>
      </c>
      <c r="Z64" s="2">
        <f>'All Combined Data'!Y62</f>
        <v>44992</v>
      </c>
      <c r="AA64" s="2" t="str">
        <f>'All Combined Data'!Z62</f>
        <v>Fashion</v>
      </c>
      <c r="AB64" s="2">
        <f>'All Combined Data'!AA62</f>
        <v>1927</v>
      </c>
      <c r="AC64" s="2" t="str">
        <f>'All Combined Data'!AB62</f>
        <v>Married</v>
      </c>
      <c r="AD64" s="2" t="str">
        <f>'All Combined Data'!AC62</f>
        <v>Business</v>
      </c>
      <c r="AE64" s="2">
        <f>'All Combined Data'!AD62</f>
        <v>531680</v>
      </c>
      <c r="AF64" s="2" t="str">
        <f>'All Combined Data'!AE62</f>
        <v>P181</v>
      </c>
      <c r="AG64" s="2" t="str">
        <f>'All Combined Data'!AF62</f>
        <v>Delectus Washing Machine</v>
      </c>
      <c r="AH64" s="2" t="str">
        <f>'All Combined Data'!AG62</f>
        <v>Electronics</v>
      </c>
      <c r="AI64" s="2" t="str">
        <f>'All Combined Data'!AH62</f>
        <v>Organic</v>
      </c>
      <c r="AJ64" s="2" t="str">
        <f>'All Combined Data'!AI62</f>
        <v>Bobal-Karnik</v>
      </c>
      <c r="AK64" s="2">
        <f>'All Combined Data'!AJ62</f>
        <v>70761</v>
      </c>
      <c r="AL64" s="2">
        <f>'All Combined Data'!AK62</f>
        <v>5</v>
      </c>
      <c r="AM64" s="2">
        <f>'All Combined Data'!AL62</f>
        <v>647</v>
      </c>
      <c r="AN64" s="2">
        <f>'All Combined Data'!AM62</f>
        <v>12</v>
      </c>
      <c r="AO64" s="2" t="str">
        <f>'All Combined Data'!AN62</f>
        <v>China</v>
      </c>
      <c r="AP64" s="2" t="str">
        <f>'All Combined Data'!AO62</f>
        <v>No</v>
      </c>
      <c r="AQ64" s="2">
        <f>'All Combined Data'!AP62</f>
        <v>3.6</v>
      </c>
      <c r="AR64" s="14">
        <f>'All Combined Data'!AQ62</f>
        <v>45354</v>
      </c>
      <c r="AS64" s="2" t="str">
        <f>'All Combined Data'!AR62</f>
        <v>No</v>
      </c>
      <c r="AT64" s="2">
        <f>'All Combined Data'!AS62</f>
        <v>4942</v>
      </c>
      <c r="AU64" s="2">
        <f>'All Combined Data'!AT62</f>
        <v>88</v>
      </c>
      <c r="AV64" s="2">
        <f>'All Combined Data'!AU62</f>
        <v>88</v>
      </c>
      <c r="AW64" s="2" t="str">
        <f>'All Combined Data'!AV62</f>
        <v>S088</v>
      </c>
      <c r="AX64" s="2" t="str">
        <f>'All Combined Data'!AW62</f>
        <v>Muni Ltd Mart</v>
      </c>
      <c r="AY64" s="2" t="str">
        <f>'All Combined Data'!AX62</f>
        <v>Delhi</v>
      </c>
      <c r="AZ64" s="2" t="str">
        <f>'All Combined Data'!AY62</f>
        <v>Delhi</v>
      </c>
      <c r="BA64" s="2">
        <f>'All Combined Data'!AZ62</f>
        <v>533448</v>
      </c>
      <c r="BB64" s="2" t="str">
        <f>'All Combined Data'!BA62</f>
        <v>Ridhi Dalal</v>
      </c>
      <c r="BC64" s="2">
        <f>'All Combined Data'!BB62</f>
        <v>2003</v>
      </c>
      <c r="BD64" s="2">
        <f>'All Combined Data'!BC62</f>
        <v>47</v>
      </c>
      <c r="BE64" s="2">
        <f>'All Combined Data'!BD62</f>
        <v>7735</v>
      </c>
      <c r="BF64" s="2">
        <f>'All Combined Data'!BE62</f>
        <v>4.9000000000000004</v>
      </c>
      <c r="BG64" s="2" t="str">
        <f>'All Combined Data'!BF62</f>
        <v>No</v>
      </c>
      <c r="BH64" s="2">
        <f>'All Combined Data'!BG62</f>
        <v>4924</v>
      </c>
      <c r="BI64" s="2" t="str">
        <f>'All Combined Data'!BH62</f>
        <v>Franchise</v>
      </c>
      <c r="BJ64" s="2">
        <f>'All Combined Data'!BI62</f>
        <v>2241098813</v>
      </c>
      <c r="BK64" s="2" t="str">
        <f>'All Combined Data'!BJ62</f>
        <v>eiravati42@mander.com</v>
      </c>
      <c r="BL64" s="2">
        <f>Combined_data[[#This Row],[Quantity]]*Combined_data[[#This Row],[UnitPrice]]</f>
        <v>141522</v>
      </c>
      <c r="BM64" s="2">
        <f>Combined_data[[#This Row],[TotalAmount]]*(100-Combined_data[[#This Row],[DiscountApplied]])/100</f>
        <v>70725.619500000001</v>
      </c>
      <c r="BN64" s="2">
        <f>Combined_data[[#This Row],[Reveune]]-Combined_data[[#This Row],[Final Amount]]</f>
        <v>70796.380499999999</v>
      </c>
    </row>
    <row r="65" spans="2:66" x14ac:dyDescent="0.3">
      <c r="B65" s="2" t="str">
        <f>'All Combined Data'!A63</f>
        <v>O1062</v>
      </c>
      <c r="C65" s="2" t="str">
        <f>'All Combined Data'!B63</f>
        <v>C008</v>
      </c>
      <c r="D65" s="2" t="str">
        <f>'All Combined Data'!C63</f>
        <v>P180</v>
      </c>
      <c r="E65" s="14">
        <f>'All Combined Data'!D63</f>
        <v>45566</v>
      </c>
      <c r="F65" s="2">
        <f>'All Combined Data'!E63</f>
        <v>5</v>
      </c>
      <c r="G65" s="2">
        <f>'All Combined Data'!F63</f>
        <v>31647</v>
      </c>
      <c r="H65" s="2">
        <f>'All Combined Data'!G63</f>
        <v>126588</v>
      </c>
      <c r="I65" s="2">
        <f>'All Combined Data'!H63</f>
        <v>0.14000000000000001</v>
      </c>
      <c r="J65" s="2" t="str">
        <f>'All Combined Data'!I63</f>
        <v>Net Banking</v>
      </c>
      <c r="K65" s="2" t="str">
        <f>'All Combined Data'!J63</f>
        <v>Delivered</v>
      </c>
      <c r="L65" s="14">
        <f>'All Combined Data'!K63</f>
        <v>45862</v>
      </c>
      <c r="M65" s="2" t="str">
        <f>'All Combined Data'!L63</f>
        <v>Yes</v>
      </c>
      <c r="N65" s="2">
        <f>'All Combined Data'!M63</f>
        <v>272</v>
      </c>
      <c r="O65" s="2" t="str">
        <f>'All Combined Data'!N63</f>
        <v>No</v>
      </c>
      <c r="P65" s="2" t="str">
        <f>'All Combined Data'!O63</f>
        <v>Yes</v>
      </c>
      <c r="Q65" s="2" t="str">
        <f>'All Combined Data'!P63</f>
        <v>C008</v>
      </c>
      <c r="R65" s="2" t="str">
        <f>'All Combined Data'!Q63</f>
        <v>Hamsini Bail</v>
      </c>
      <c r="S65" s="2" t="str">
        <f>'All Combined Data'!R63</f>
        <v>thomasamble@example.org</v>
      </c>
      <c r="T65" s="2">
        <f>'All Combined Data'!S63</f>
        <v>310518347</v>
      </c>
      <c r="U65" s="2" t="str">
        <f>'All Combined Data'!T63</f>
        <v>Hyderabad</v>
      </c>
      <c r="V65" s="2" t="str">
        <f>'All Combined Data'!U63</f>
        <v>Telangana</v>
      </c>
      <c r="W65" s="2">
        <f>'All Combined Data'!V63</f>
        <v>829973</v>
      </c>
      <c r="X65" s="2" t="str">
        <f>'All Combined Data'!W63</f>
        <v>Female</v>
      </c>
      <c r="Y65" s="14">
        <f>'All Combined Data'!X63</f>
        <v>33503</v>
      </c>
      <c r="Z65" s="2">
        <f>'All Combined Data'!Y63</f>
        <v>45292</v>
      </c>
      <c r="AA65" s="2" t="str">
        <f>'All Combined Data'!Z63</f>
        <v>Electronics</v>
      </c>
      <c r="AB65" s="2">
        <f>'All Combined Data'!AA63</f>
        <v>3914</v>
      </c>
      <c r="AC65" s="2" t="str">
        <f>'All Combined Data'!AB63</f>
        <v>Single</v>
      </c>
      <c r="AD65" s="2" t="str">
        <f>'All Combined Data'!AC63</f>
        <v>Business</v>
      </c>
      <c r="AE65" s="2">
        <f>'All Combined Data'!AD63</f>
        <v>782952</v>
      </c>
      <c r="AF65" s="2" t="str">
        <f>'All Combined Data'!AE63</f>
        <v>P180</v>
      </c>
      <c r="AG65" s="2" t="str">
        <f>'All Combined Data'!AF63</f>
        <v>Accusamus TV</v>
      </c>
      <c r="AH65" s="2" t="str">
        <f>'All Combined Data'!AG63</f>
        <v>Grocery</v>
      </c>
      <c r="AI65" s="2" t="str">
        <f>'All Combined Data'!AH63</f>
        <v>Cotton</v>
      </c>
      <c r="AJ65" s="2" t="str">
        <f>'All Combined Data'!AI63</f>
        <v>Oza, Dara and Sami</v>
      </c>
      <c r="AK65" s="2">
        <f>'All Combined Data'!AJ63</f>
        <v>31647</v>
      </c>
      <c r="AL65" s="2">
        <f>'All Combined Data'!AK63</f>
        <v>14</v>
      </c>
      <c r="AM65" s="2">
        <f>'All Combined Data'!AL63</f>
        <v>124</v>
      </c>
      <c r="AN65" s="2">
        <f>'All Combined Data'!AM63</f>
        <v>6</v>
      </c>
      <c r="AO65" s="2" t="str">
        <f>'All Combined Data'!AN63</f>
        <v>China</v>
      </c>
      <c r="AP65" s="2" t="str">
        <f>'All Combined Data'!AO63</f>
        <v>No</v>
      </c>
      <c r="AQ65" s="2">
        <f>'All Combined Data'!AP63</f>
        <v>4.0999999999999996</v>
      </c>
      <c r="AR65" s="14">
        <f>'All Combined Data'!AQ63</f>
        <v>45837</v>
      </c>
      <c r="AS65" s="2" t="str">
        <f>'All Combined Data'!AR63</f>
        <v>No</v>
      </c>
      <c r="AT65" s="2">
        <f>'All Combined Data'!AS63</f>
        <v>2030</v>
      </c>
      <c r="AU65" s="2">
        <f>'All Combined Data'!AT63</f>
        <v>161</v>
      </c>
      <c r="AV65" s="2">
        <f>'All Combined Data'!AU63</f>
        <v>161</v>
      </c>
      <c r="AW65" s="2" t="str">
        <f>'All Combined Data'!AV63</f>
        <v/>
      </c>
      <c r="AX65" s="2" t="str">
        <f>'All Combined Data'!AW63</f>
        <v/>
      </c>
      <c r="AY65" s="2" t="str">
        <f>'All Combined Data'!AX63</f>
        <v/>
      </c>
      <c r="AZ65" s="2" t="str">
        <f>'All Combined Data'!AY63</f>
        <v/>
      </c>
      <c r="BA65" s="2" t="str">
        <f>'All Combined Data'!AZ63</f>
        <v/>
      </c>
      <c r="BB65" s="2" t="str">
        <f>'All Combined Data'!BA63</f>
        <v/>
      </c>
      <c r="BC65" s="2" t="str">
        <f>'All Combined Data'!BB63</f>
        <v/>
      </c>
      <c r="BD65" s="2" t="str">
        <f>'All Combined Data'!BC63</f>
        <v/>
      </c>
      <c r="BE65" s="2" t="str">
        <f>'All Combined Data'!BD63</f>
        <v/>
      </c>
      <c r="BF65" s="2" t="str">
        <f>'All Combined Data'!BE63</f>
        <v/>
      </c>
      <c r="BG65" s="2" t="str">
        <f>'All Combined Data'!BF63</f>
        <v/>
      </c>
      <c r="BH65" s="2" t="str">
        <f>'All Combined Data'!BG63</f>
        <v/>
      </c>
      <c r="BI65" s="2" t="str">
        <f>'All Combined Data'!BH63</f>
        <v/>
      </c>
      <c r="BJ65" s="2" t="str">
        <f>'All Combined Data'!BI63</f>
        <v/>
      </c>
      <c r="BK65" s="2" t="str">
        <f>'All Combined Data'!BJ63</f>
        <v/>
      </c>
      <c r="BL65" s="2">
        <f>Combined_data[[#This Row],[Quantity]]*Combined_data[[#This Row],[UnitPrice]]</f>
        <v>158235</v>
      </c>
      <c r="BM65" s="2">
        <f>Combined_data[[#This Row],[TotalAmount]]*(100-Combined_data[[#This Row],[DiscountApplied]])/100</f>
        <v>126410.77679999999</v>
      </c>
      <c r="BN65" s="2">
        <f>Combined_data[[#This Row],[Reveune]]-Combined_data[[#This Row],[Final Amount]]</f>
        <v>31824.223200000008</v>
      </c>
    </row>
    <row r="66" spans="2:66" x14ac:dyDescent="0.3">
      <c r="B66" s="2" t="str">
        <f>'All Combined Data'!A64</f>
        <v>O1063</v>
      </c>
      <c r="C66" s="2" t="str">
        <f>'All Combined Data'!B64</f>
        <v>C003</v>
      </c>
      <c r="D66" s="2" t="str">
        <f>'All Combined Data'!C64</f>
        <v>P168</v>
      </c>
      <c r="E66" s="14">
        <f>'All Combined Data'!D64</f>
        <v>45707</v>
      </c>
      <c r="F66" s="2">
        <f>'All Combined Data'!E64</f>
        <v>3</v>
      </c>
      <c r="G66" s="2">
        <f>'All Combined Data'!F64</f>
        <v>7363</v>
      </c>
      <c r="H66" s="2">
        <f>'All Combined Data'!G64</f>
        <v>36815</v>
      </c>
      <c r="I66" s="2">
        <f>'All Combined Data'!H64</f>
        <v>0.3</v>
      </c>
      <c r="J66" s="2" t="str">
        <f>'All Combined Data'!I64</f>
        <v>UPI</v>
      </c>
      <c r="K66" s="2" t="str">
        <f>'All Combined Data'!J64</f>
        <v>Delivered</v>
      </c>
      <c r="L66" s="14">
        <f>'All Combined Data'!K64</f>
        <v>45862</v>
      </c>
      <c r="M66" s="2" t="str">
        <f>'All Combined Data'!L64</f>
        <v>No</v>
      </c>
      <c r="N66" s="2">
        <f>'All Combined Data'!M64</f>
        <v>412</v>
      </c>
      <c r="O66" s="2" t="str">
        <f>'All Combined Data'!N64</f>
        <v>Yes</v>
      </c>
      <c r="P66" s="2" t="str">
        <f>'All Combined Data'!O64</f>
        <v>Yes</v>
      </c>
      <c r="Q66" s="2" t="str">
        <f>'All Combined Data'!P64</f>
        <v>C003</v>
      </c>
      <c r="R66" s="2" t="str">
        <f>'All Combined Data'!Q64</f>
        <v>Chakradev Kari</v>
      </c>
      <c r="S66" s="2" t="str">
        <f>'All Combined Data'!R64</f>
        <v>fariq31@example.com</v>
      </c>
      <c r="T66" s="2">
        <f>'All Combined Data'!S64</f>
        <v>7525534192</v>
      </c>
      <c r="U66" s="2" t="str">
        <f>'All Combined Data'!T64</f>
        <v>Hyderabad</v>
      </c>
      <c r="V66" s="2" t="str">
        <f>'All Combined Data'!U64</f>
        <v>Telangana</v>
      </c>
      <c r="W66" s="2">
        <f>'All Combined Data'!V64</f>
        <v>276483</v>
      </c>
      <c r="X66" s="2" t="str">
        <f>'All Combined Data'!W64</f>
        <v>Male</v>
      </c>
      <c r="Y66" s="14">
        <f>'All Combined Data'!X64</f>
        <v>38764</v>
      </c>
      <c r="Z66" s="2">
        <f>'All Combined Data'!Y64</f>
        <v>45035</v>
      </c>
      <c r="AA66" s="2" t="str">
        <f>'All Combined Data'!Z64</f>
        <v>Home Appliance</v>
      </c>
      <c r="AB66" s="2">
        <f>'All Combined Data'!AA64</f>
        <v>9028</v>
      </c>
      <c r="AC66" s="2" t="str">
        <f>'All Combined Data'!AB64</f>
        <v>Married</v>
      </c>
      <c r="AD66" s="2" t="str">
        <f>'All Combined Data'!AC64</f>
        <v>Doctor</v>
      </c>
      <c r="AE66" s="2">
        <f>'All Combined Data'!AD64</f>
        <v>1142059</v>
      </c>
      <c r="AF66" s="2" t="str">
        <f>'All Combined Data'!AE64</f>
        <v>P168</v>
      </c>
      <c r="AG66" s="2" t="str">
        <f>'All Combined Data'!AF64</f>
        <v>Tempora Laptop</v>
      </c>
      <c r="AH66" s="2" t="str">
        <f>'All Combined Data'!AG64</f>
        <v>Fashion</v>
      </c>
      <c r="AI66" s="2" t="str">
        <f>'All Combined Data'!AH64</f>
        <v>Organic</v>
      </c>
      <c r="AJ66" s="2" t="str">
        <f>'All Combined Data'!AI64</f>
        <v>Parmar, Bhatnagar and Warrior</v>
      </c>
      <c r="AK66" s="2">
        <f>'All Combined Data'!AJ64</f>
        <v>7363</v>
      </c>
      <c r="AL66" s="2">
        <f>'All Combined Data'!AK64</f>
        <v>30</v>
      </c>
      <c r="AM66" s="2">
        <f>'All Combined Data'!AL64</f>
        <v>646</v>
      </c>
      <c r="AN66" s="2">
        <f>'All Combined Data'!AM64</f>
        <v>24</v>
      </c>
      <c r="AO66" s="2" t="str">
        <f>'All Combined Data'!AN64</f>
        <v>India</v>
      </c>
      <c r="AP66" s="2" t="str">
        <f>'All Combined Data'!AO64</f>
        <v>No</v>
      </c>
      <c r="AQ66" s="2">
        <f>'All Combined Data'!AP64</f>
        <v>2.7</v>
      </c>
      <c r="AR66" s="14">
        <f>'All Combined Data'!AQ64</f>
        <v>45376</v>
      </c>
      <c r="AS66" s="2" t="str">
        <f>'All Combined Data'!AR64</f>
        <v>No</v>
      </c>
      <c r="AT66" s="2">
        <f>'All Combined Data'!AS64</f>
        <v>5656</v>
      </c>
      <c r="AU66" s="2">
        <f>'All Combined Data'!AT64</f>
        <v>55</v>
      </c>
      <c r="AV66" s="2">
        <f>'All Combined Data'!AU64</f>
        <v>55</v>
      </c>
      <c r="AW66" s="2" t="str">
        <f>'All Combined Data'!AV64</f>
        <v>S055</v>
      </c>
      <c r="AX66" s="2" t="str">
        <f>'All Combined Data'!AW64</f>
        <v>Raj-Hayre Mart</v>
      </c>
      <c r="AY66" s="2" t="str">
        <f>'All Combined Data'!AX64</f>
        <v>Kolkata</v>
      </c>
      <c r="AZ66" s="2" t="str">
        <f>'All Combined Data'!AY64</f>
        <v>West Bengal</v>
      </c>
      <c r="BA66" s="2">
        <f>'All Combined Data'!AZ64</f>
        <v>270267</v>
      </c>
      <c r="BB66" s="2" t="str">
        <f>'All Combined Data'!BA64</f>
        <v>Zansi Walla</v>
      </c>
      <c r="BC66" s="2">
        <f>'All Combined Data'!BB64</f>
        <v>2013</v>
      </c>
      <c r="BD66" s="2">
        <f>'All Combined Data'!BC64</f>
        <v>20</v>
      </c>
      <c r="BE66" s="2">
        <f>'All Combined Data'!BD64</f>
        <v>18561</v>
      </c>
      <c r="BF66" s="2">
        <f>'All Combined Data'!BE64</f>
        <v>3.7</v>
      </c>
      <c r="BG66" s="2" t="str">
        <f>'All Combined Data'!BF64</f>
        <v>Yes</v>
      </c>
      <c r="BH66" s="2">
        <f>'All Combined Data'!BG64</f>
        <v>4202</v>
      </c>
      <c r="BI66" s="2" t="str">
        <f>'All Combined Data'!BH64</f>
        <v>Franchise</v>
      </c>
      <c r="BJ66" s="2">
        <f>'All Combined Data'!BI64</f>
        <v>5744890612</v>
      </c>
      <c r="BK66" s="2" t="str">
        <f>'All Combined Data'!BJ64</f>
        <v>kaleaachal@char-sengupta.com</v>
      </c>
      <c r="BL66" s="2">
        <f>Combined_data[[#This Row],[Quantity]]*Combined_data[[#This Row],[UnitPrice]]</f>
        <v>22089</v>
      </c>
      <c r="BM66" s="2">
        <f>Combined_data[[#This Row],[TotalAmount]]*(100-Combined_data[[#This Row],[DiscountApplied]])/100</f>
        <v>36704.555</v>
      </c>
      <c r="BN66" s="2">
        <f>Combined_data[[#This Row],[Reveune]]-Combined_data[[#This Row],[Final Amount]]</f>
        <v>-14615.555</v>
      </c>
    </row>
    <row r="67" spans="2:66" x14ac:dyDescent="0.3">
      <c r="B67" s="2" t="str">
        <f>'All Combined Data'!A65</f>
        <v>O1064</v>
      </c>
      <c r="C67" s="2" t="str">
        <f>'All Combined Data'!B65</f>
        <v>C013</v>
      </c>
      <c r="D67" s="2" t="str">
        <f>'All Combined Data'!C65</f>
        <v>P168</v>
      </c>
      <c r="E67" s="14">
        <f>'All Combined Data'!D65</f>
        <v>45776</v>
      </c>
      <c r="F67" s="2">
        <f>'All Combined Data'!E65</f>
        <v>2</v>
      </c>
      <c r="G67" s="2">
        <f>'All Combined Data'!F65</f>
        <v>7363</v>
      </c>
      <c r="H67" s="2">
        <f>'All Combined Data'!G65</f>
        <v>14726</v>
      </c>
      <c r="I67" s="2">
        <f>'All Combined Data'!H65</f>
        <v>0.3</v>
      </c>
      <c r="J67" s="2" t="str">
        <f>'All Combined Data'!I65</f>
        <v>Debit Card</v>
      </c>
      <c r="K67" s="2" t="str">
        <f>'All Combined Data'!J65</f>
        <v>Pending</v>
      </c>
      <c r="L67" s="14">
        <f>'All Combined Data'!K65</f>
        <v>45860</v>
      </c>
      <c r="M67" s="2" t="str">
        <f>'All Combined Data'!L65</f>
        <v>No</v>
      </c>
      <c r="N67" s="2">
        <f>'All Combined Data'!M65</f>
        <v>136</v>
      </c>
      <c r="O67" s="2" t="str">
        <f>'All Combined Data'!N65</f>
        <v>No</v>
      </c>
      <c r="P67" s="2" t="str">
        <f>'All Combined Data'!O65</f>
        <v>Yes</v>
      </c>
      <c r="Q67" s="2" t="str">
        <f>'All Combined Data'!P65</f>
        <v>C013</v>
      </c>
      <c r="R67" s="2" t="str">
        <f>'All Combined Data'!Q65</f>
        <v>Raksha Mittal</v>
      </c>
      <c r="S67" s="2" t="str">
        <f>'All Combined Data'!R65</f>
        <v>mistryhemang@example.org</v>
      </c>
      <c r="T67" s="2">
        <f>'All Combined Data'!S65</f>
        <v>1182449353</v>
      </c>
      <c r="U67" s="2" t="str">
        <f>'All Combined Data'!T65</f>
        <v>Kolkata</v>
      </c>
      <c r="V67" s="2" t="str">
        <f>'All Combined Data'!U65</f>
        <v>West Bengal</v>
      </c>
      <c r="W67" s="2">
        <f>'All Combined Data'!V65</f>
        <v>874016</v>
      </c>
      <c r="X67" s="2" t="str">
        <f>'All Combined Data'!W65</f>
        <v>Male</v>
      </c>
      <c r="Y67" s="14">
        <f>'All Combined Data'!X65</f>
        <v>28624</v>
      </c>
      <c r="Z67" s="2">
        <f>'All Combined Data'!Y65</f>
        <v>44164</v>
      </c>
      <c r="AA67" s="2" t="str">
        <f>'All Combined Data'!Z65</f>
        <v>Grocery</v>
      </c>
      <c r="AB67" s="2">
        <f>'All Combined Data'!AA65</f>
        <v>6582</v>
      </c>
      <c r="AC67" s="2" t="str">
        <f>'All Combined Data'!AB65</f>
        <v>Married</v>
      </c>
      <c r="AD67" s="2" t="str">
        <f>'All Combined Data'!AC65</f>
        <v>Doctor</v>
      </c>
      <c r="AE67" s="2">
        <f>'All Combined Data'!AD65</f>
        <v>755493</v>
      </c>
      <c r="AF67" s="2" t="str">
        <f>'All Combined Data'!AE65</f>
        <v>P168</v>
      </c>
      <c r="AG67" s="2" t="str">
        <f>'All Combined Data'!AF65</f>
        <v>Tempora Laptop</v>
      </c>
      <c r="AH67" s="2" t="str">
        <f>'All Combined Data'!AG65</f>
        <v>Fashion</v>
      </c>
      <c r="AI67" s="2" t="str">
        <f>'All Combined Data'!AH65</f>
        <v>Organic</v>
      </c>
      <c r="AJ67" s="2" t="str">
        <f>'All Combined Data'!AI65</f>
        <v>Parmar, Bhatnagar and Warrior</v>
      </c>
      <c r="AK67" s="2">
        <f>'All Combined Data'!AJ65</f>
        <v>7363</v>
      </c>
      <c r="AL67" s="2">
        <f>'All Combined Data'!AK65</f>
        <v>30</v>
      </c>
      <c r="AM67" s="2">
        <f>'All Combined Data'!AL65</f>
        <v>646</v>
      </c>
      <c r="AN67" s="2">
        <f>'All Combined Data'!AM65</f>
        <v>24</v>
      </c>
      <c r="AO67" s="2" t="str">
        <f>'All Combined Data'!AN65</f>
        <v>India</v>
      </c>
      <c r="AP67" s="2" t="str">
        <f>'All Combined Data'!AO65</f>
        <v>No</v>
      </c>
      <c r="AQ67" s="2">
        <f>'All Combined Data'!AP65</f>
        <v>2.7</v>
      </c>
      <c r="AR67" s="14">
        <f>'All Combined Data'!AQ65</f>
        <v>45376</v>
      </c>
      <c r="AS67" s="2" t="str">
        <f>'All Combined Data'!AR65</f>
        <v>No</v>
      </c>
      <c r="AT67" s="2">
        <f>'All Combined Data'!AS65</f>
        <v>5656</v>
      </c>
      <c r="AU67" s="2">
        <f>'All Combined Data'!AT65</f>
        <v>55</v>
      </c>
      <c r="AV67" s="2">
        <f>'All Combined Data'!AU65</f>
        <v>55</v>
      </c>
      <c r="AW67" s="2" t="str">
        <f>'All Combined Data'!AV65</f>
        <v>S055</v>
      </c>
      <c r="AX67" s="2" t="str">
        <f>'All Combined Data'!AW65</f>
        <v>Raj-Hayre Mart</v>
      </c>
      <c r="AY67" s="2" t="str">
        <f>'All Combined Data'!AX65</f>
        <v>Kolkata</v>
      </c>
      <c r="AZ67" s="2" t="str">
        <f>'All Combined Data'!AY65</f>
        <v>West Bengal</v>
      </c>
      <c r="BA67" s="2">
        <f>'All Combined Data'!AZ65</f>
        <v>270267</v>
      </c>
      <c r="BB67" s="2" t="str">
        <f>'All Combined Data'!BA65</f>
        <v>Zansi Walla</v>
      </c>
      <c r="BC67" s="2">
        <f>'All Combined Data'!BB65</f>
        <v>2013</v>
      </c>
      <c r="BD67" s="2">
        <f>'All Combined Data'!BC65</f>
        <v>20</v>
      </c>
      <c r="BE67" s="2">
        <f>'All Combined Data'!BD65</f>
        <v>18561</v>
      </c>
      <c r="BF67" s="2">
        <f>'All Combined Data'!BE65</f>
        <v>3.7</v>
      </c>
      <c r="BG67" s="2" t="str">
        <f>'All Combined Data'!BF65</f>
        <v>Yes</v>
      </c>
      <c r="BH67" s="2">
        <f>'All Combined Data'!BG65</f>
        <v>4202</v>
      </c>
      <c r="BI67" s="2" t="str">
        <f>'All Combined Data'!BH65</f>
        <v>Franchise</v>
      </c>
      <c r="BJ67" s="2">
        <f>'All Combined Data'!BI65</f>
        <v>5744890612</v>
      </c>
      <c r="BK67" s="2" t="str">
        <f>'All Combined Data'!BJ65</f>
        <v>kaleaachal@char-sengupta.com</v>
      </c>
      <c r="BL67" s="2">
        <f>Combined_data[[#This Row],[Quantity]]*Combined_data[[#This Row],[UnitPrice]]</f>
        <v>14726</v>
      </c>
      <c r="BM67" s="2">
        <f>Combined_data[[#This Row],[TotalAmount]]*(100-Combined_data[[#This Row],[DiscountApplied]])/100</f>
        <v>14681.822</v>
      </c>
      <c r="BN67" s="2">
        <f>Combined_data[[#This Row],[Reveune]]-Combined_data[[#This Row],[Final Amount]]</f>
        <v>44.177999999999884</v>
      </c>
    </row>
    <row r="68" spans="2:66" x14ac:dyDescent="0.3">
      <c r="B68" s="2" t="str">
        <f>'All Combined Data'!A66</f>
        <v>O1065</v>
      </c>
      <c r="C68" s="2" t="str">
        <f>'All Combined Data'!B66</f>
        <v>C048</v>
      </c>
      <c r="D68" s="2" t="str">
        <f>'All Combined Data'!C66</f>
        <v>P152</v>
      </c>
      <c r="E68" s="14">
        <f>'All Combined Data'!D66</f>
        <v>45669</v>
      </c>
      <c r="F68" s="2">
        <f>'All Combined Data'!E66</f>
        <v>4</v>
      </c>
      <c r="G68" s="2">
        <f>'All Combined Data'!F66</f>
        <v>92604</v>
      </c>
      <c r="H68" s="2">
        <f>'All Combined Data'!G66</f>
        <v>463020</v>
      </c>
      <c r="I68" s="2">
        <f>'All Combined Data'!H66</f>
        <v>0.28999999999999998</v>
      </c>
      <c r="J68" s="2" t="str">
        <f>'All Combined Data'!I66</f>
        <v>Debit Card</v>
      </c>
      <c r="K68" s="2" t="str">
        <f>'All Combined Data'!J66</f>
        <v>Shipped</v>
      </c>
      <c r="L68" s="14">
        <f>'All Combined Data'!K66</f>
        <v>45863</v>
      </c>
      <c r="M68" s="2" t="str">
        <f>'All Combined Data'!L66</f>
        <v>No</v>
      </c>
      <c r="N68" s="2">
        <f>'All Combined Data'!M66</f>
        <v>350</v>
      </c>
      <c r="O68" s="2" t="str">
        <f>'All Combined Data'!N66</f>
        <v>Yes</v>
      </c>
      <c r="P68" s="2" t="str">
        <f>'All Combined Data'!O66</f>
        <v>Yes</v>
      </c>
      <c r="Q68" s="2" t="str">
        <f>'All Combined Data'!P66</f>
        <v>C048</v>
      </c>
      <c r="R68" s="2" t="str">
        <f>'All Combined Data'!Q66</f>
        <v>Sudiksha Tiwari</v>
      </c>
      <c r="S68" s="2" t="str">
        <f>'All Combined Data'!R66</f>
        <v>ychaudhary@example.net</v>
      </c>
      <c r="T68" s="2">
        <f>'All Combined Data'!S66</f>
        <v>918367365766</v>
      </c>
      <c r="U68" s="2" t="str">
        <f>'All Combined Data'!T66</f>
        <v>Chennai</v>
      </c>
      <c r="V68" s="2" t="str">
        <f>'All Combined Data'!U66</f>
        <v>Tamil Nadu</v>
      </c>
      <c r="W68" s="2">
        <f>'All Combined Data'!V66</f>
        <v>565452</v>
      </c>
      <c r="X68" s="2" t="str">
        <f>'All Combined Data'!W66</f>
        <v>Female</v>
      </c>
      <c r="Y68" s="14">
        <f>'All Combined Data'!X66</f>
        <v>38819</v>
      </c>
      <c r="Z68" s="2">
        <f>'All Combined Data'!Y66</f>
        <v>45501</v>
      </c>
      <c r="AA68" s="2" t="str">
        <f>'All Combined Data'!Z66</f>
        <v>Fashion</v>
      </c>
      <c r="AB68" s="2">
        <f>'All Combined Data'!AA66</f>
        <v>932</v>
      </c>
      <c r="AC68" s="2" t="str">
        <f>'All Combined Data'!AB66</f>
        <v>Single</v>
      </c>
      <c r="AD68" s="2" t="str">
        <f>'All Combined Data'!AC66</f>
        <v>Business</v>
      </c>
      <c r="AE68" s="2">
        <f>'All Combined Data'!AD66</f>
        <v>1939269</v>
      </c>
      <c r="AF68" s="2" t="str">
        <f>'All Combined Data'!AE66</f>
        <v>P152</v>
      </c>
      <c r="AG68" s="2" t="str">
        <f>'All Combined Data'!AF66</f>
        <v>Rem Shirt</v>
      </c>
      <c r="AH68" s="2" t="str">
        <f>'All Combined Data'!AG66</f>
        <v>Electronics</v>
      </c>
      <c r="AI68" s="2" t="str">
        <f>'All Combined Data'!AH66</f>
        <v>Cotton</v>
      </c>
      <c r="AJ68" s="2" t="str">
        <f>'All Combined Data'!AI66</f>
        <v>Loyal PLC</v>
      </c>
      <c r="AK68" s="2">
        <f>'All Combined Data'!AJ66</f>
        <v>92604</v>
      </c>
      <c r="AL68" s="2">
        <f>'All Combined Data'!AK66</f>
        <v>29</v>
      </c>
      <c r="AM68" s="2">
        <f>'All Combined Data'!AL66</f>
        <v>316</v>
      </c>
      <c r="AN68" s="2">
        <f>'All Combined Data'!AM66</f>
        <v>24</v>
      </c>
      <c r="AO68" s="2" t="str">
        <f>'All Combined Data'!AN66</f>
        <v>Vietnam</v>
      </c>
      <c r="AP68" s="2" t="str">
        <f>'All Combined Data'!AO66</f>
        <v>Yes</v>
      </c>
      <c r="AQ68" s="2">
        <f>'All Combined Data'!AP66</f>
        <v>3</v>
      </c>
      <c r="AR68" s="14">
        <f>'All Combined Data'!AQ66</f>
        <v>45328</v>
      </c>
      <c r="AS68" s="2" t="str">
        <f>'All Combined Data'!AR66</f>
        <v>Yes</v>
      </c>
      <c r="AT68" s="2">
        <f>'All Combined Data'!AS66</f>
        <v>7567</v>
      </c>
      <c r="AU68" s="2">
        <f>'All Combined Data'!AT66</f>
        <v>123</v>
      </c>
      <c r="AV68" s="2">
        <f>'All Combined Data'!AU66</f>
        <v>123</v>
      </c>
      <c r="AW68" s="2" t="str">
        <f>'All Combined Data'!AV66</f>
        <v/>
      </c>
      <c r="AX68" s="2" t="str">
        <f>'All Combined Data'!AW66</f>
        <v/>
      </c>
      <c r="AY68" s="2" t="str">
        <f>'All Combined Data'!AX66</f>
        <v/>
      </c>
      <c r="AZ68" s="2" t="str">
        <f>'All Combined Data'!AY66</f>
        <v/>
      </c>
      <c r="BA68" s="2" t="str">
        <f>'All Combined Data'!AZ66</f>
        <v/>
      </c>
      <c r="BB68" s="2" t="str">
        <f>'All Combined Data'!BA66</f>
        <v/>
      </c>
      <c r="BC68" s="2" t="str">
        <f>'All Combined Data'!BB66</f>
        <v/>
      </c>
      <c r="BD68" s="2" t="str">
        <f>'All Combined Data'!BC66</f>
        <v/>
      </c>
      <c r="BE68" s="2" t="str">
        <f>'All Combined Data'!BD66</f>
        <v/>
      </c>
      <c r="BF68" s="2" t="str">
        <f>'All Combined Data'!BE66</f>
        <v/>
      </c>
      <c r="BG68" s="2" t="str">
        <f>'All Combined Data'!BF66</f>
        <v/>
      </c>
      <c r="BH68" s="2" t="str">
        <f>'All Combined Data'!BG66</f>
        <v/>
      </c>
      <c r="BI68" s="2" t="str">
        <f>'All Combined Data'!BH66</f>
        <v/>
      </c>
      <c r="BJ68" s="2" t="str">
        <f>'All Combined Data'!BI66</f>
        <v/>
      </c>
      <c r="BK68" s="2" t="str">
        <f>'All Combined Data'!BJ66</f>
        <v/>
      </c>
      <c r="BL68" s="2">
        <f>Combined_data[[#This Row],[Quantity]]*Combined_data[[#This Row],[UnitPrice]]</f>
        <v>370416</v>
      </c>
      <c r="BM68" s="2">
        <f>Combined_data[[#This Row],[TotalAmount]]*(100-Combined_data[[#This Row],[DiscountApplied]])/100</f>
        <v>461677.24199999997</v>
      </c>
      <c r="BN68" s="2">
        <f>Combined_data[[#This Row],[Reveune]]-Combined_data[[#This Row],[Final Amount]]</f>
        <v>-91261.241999999969</v>
      </c>
    </row>
    <row r="69" spans="2:66" x14ac:dyDescent="0.3">
      <c r="B69" s="2" t="str">
        <f>'All Combined Data'!A67</f>
        <v>O1066</v>
      </c>
      <c r="C69" s="2" t="str">
        <f>'All Combined Data'!B67</f>
        <v>C012</v>
      </c>
      <c r="D69" s="2" t="str">
        <f>'All Combined Data'!C67</f>
        <v>P152</v>
      </c>
      <c r="E69" s="14">
        <f>'All Combined Data'!D67</f>
        <v>45718</v>
      </c>
      <c r="F69" s="2">
        <f>'All Combined Data'!E67</f>
        <v>4</v>
      </c>
      <c r="G69" s="2">
        <f>'All Combined Data'!F67</f>
        <v>92604</v>
      </c>
      <c r="H69" s="2">
        <f>'All Combined Data'!G67</f>
        <v>370416</v>
      </c>
      <c r="I69" s="2">
        <f>'All Combined Data'!H67</f>
        <v>0.28999999999999998</v>
      </c>
      <c r="J69" s="2" t="str">
        <f>'All Combined Data'!I67</f>
        <v>Cash on Delivery</v>
      </c>
      <c r="K69" s="2" t="str">
        <f>'All Combined Data'!J67</f>
        <v>Cancelled</v>
      </c>
      <c r="L69" s="14">
        <f>'All Combined Data'!K67</f>
        <v>45866</v>
      </c>
      <c r="M69" s="2" t="str">
        <f>'All Combined Data'!L67</f>
        <v>Yes</v>
      </c>
      <c r="N69" s="2">
        <f>'All Combined Data'!M67</f>
        <v>326</v>
      </c>
      <c r="O69" s="2" t="str">
        <f>'All Combined Data'!N67</f>
        <v>Yes</v>
      </c>
      <c r="P69" s="2" t="str">
        <f>'All Combined Data'!O67</f>
        <v>Yes</v>
      </c>
      <c r="Q69" s="2" t="str">
        <f>'All Combined Data'!P67</f>
        <v>C012</v>
      </c>
      <c r="R69" s="2" t="str">
        <f>'All Combined Data'!Q67</f>
        <v>Advika Jayaraman</v>
      </c>
      <c r="S69" s="2" t="str">
        <f>'All Combined Data'!R67</f>
        <v>william46@example.org</v>
      </c>
      <c r="T69" s="2">
        <f>'All Combined Data'!S67</f>
        <v>4751079911</v>
      </c>
      <c r="U69" s="2" t="str">
        <f>'All Combined Data'!T67</f>
        <v>Delhi</v>
      </c>
      <c r="V69" s="2" t="str">
        <f>'All Combined Data'!U67</f>
        <v>Delhi</v>
      </c>
      <c r="W69" s="2">
        <f>'All Combined Data'!V67</f>
        <v>842513</v>
      </c>
      <c r="X69" s="2" t="str">
        <f>'All Combined Data'!W67</f>
        <v>Female</v>
      </c>
      <c r="Y69" s="14">
        <f>'All Combined Data'!X67</f>
        <v>30932</v>
      </c>
      <c r="Z69" s="2">
        <f>'All Combined Data'!Y67</f>
        <v>44913</v>
      </c>
      <c r="AA69" s="2" t="str">
        <f>'All Combined Data'!Z67</f>
        <v>Grocery</v>
      </c>
      <c r="AB69" s="2">
        <f>'All Combined Data'!AA67</f>
        <v>4486</v>
      </c>
      <c r="AC69" s="2" t="str">
        <f>'All Combined Data'!AB67</f>
        <v>Single</v>
      </c>
      <c r="AD69" s="2" t="str">
        <f>'All Combined Data'!AC67</f>
        <v>Doctor</v>
      </c>
      <c r="AE69" s="2">
        <f>'All Combined Data'!AD67</f>
        <v>1389462</v>
      </c>
      <c r="AF69" s="2" t="str">
        <f>'All Combined Data'!AE67</f>
        <v>P152</v>
      </c>
      <c r="AG69" s="2" t="str">
        <f>'All Combined Data'!AF67</f>
        <v>Rem Shirt</v>
      </c>
      <c r="AH69" s="2" t="str">
        <f>'All Combined Data'!AG67</f>
        <v>Electronics</v>
      </c>
      <c r="AI69" s="2" t="str">
        <f>'All Combined Data'!AH67</f>
        <v>Cotton</v>
      </c>
      <c r="AJ69" s="2" t="str">
        <f>'All Combined Data'!AI67</f>
        <v>Loyal PLC</v>
      </c>
      <c r="AK69" s="2">
        <f>'All Combined Data'!AJ67</f>
        <v>92604</v>
      </c>
      <c r="AL69" s="2">
        <f>'All Combined Data'!AK67</f>
        <v>29</v>
      </c>
      <c r="AM69" s="2">
        <f>'All Combined Data'!AL67</f>
        <v>316</v>
      </c>
      <c r="AN69" s="2">
        <f>'All Combined Data'!AM67</f>
        <v>24</v>
      </c>
      <c r="AO69" s="2" t="str">
        <f>'All Combined Data'!AN67</f>
        <v>Vietnam</v>
      </c>
      <c r="AP69" s="2" t="str">
        <f>'All Combined Data'!AO67</f>
        <v>Yes</v>
      </c>
      <c r="AQ69" s="2">
        <f>'All Combined Data'!AP67</f>
        <v>3</v>
      </c>
      <c r="AR69" s="14">
        <f>'All Combined Data'!AQ67</f>
        <v>45328</v>
      </c>
      <c r="AS69" s="2" t="str">
        <f>'All Combined Data'!AR67</f>
        <v>Yes</v>
      </c>
      <c r="AT69" s="2">
        <f>'All Combined Data'!AS67</f>
        <v>7567</v>
      </c>
      <c r="AU69" s="2">
        <f>'All Combined Data'!AT67</f>
        <v>123</v>
      </c>
      <c r="AV69" s="2">
        <f>'All Combined Data'!AU67</f>
        <v>123</v>
      </c>
      <c r="AW69" s="2" t="str">
        <f>'All Combined Data'!AV67</f>
        <v/>
      </c>
      <c r="AX69" s="2" t="str">
        <f>'All Combined Data'!AW67</f>
        <v/>
      </c>
      <c r="AY69" s="2" t="str">
        <f>'All Combined Data'!AX67</f>
        <v/>
      </c>
      <c r="AZ69" s="2" t="str">
        <f>'All Combined Data'!AY67</f>
        <v/>
      </c>
      <c r="BA69" s="2" t="str">
        <f>'All Combined Data'!AZ67</f>
        <v/>
      </c>
      <c r="BB69" s="2" t="str">
        <f>'All Combined Data'!BA67</f>
        <v/>
      </c>
      <c r="BC69" s="2" t="str">
        <f>'All Combined Data'!BB67</f>
        <v/>
      </c>
      <c r="BD69" s="2" t="str">
        <f>'All Combined Data'!BC67</f>
        <v/>
      </c>
      <c r="BE69" s="2" t="str">
        <f>'All Combined Data'!BD67</f>
        <v/>
      </c>
      <c r="BF69" s="2" t="str">
        <f>'All Combined Data'!BE67</f>
        <v/>
      </c>
      <c r="BG69" s="2" t="str">
        <f>'All Combined Data'!BF67</f>
        <v/>
      </c>
      <c r="BH69" s="2" t="str">
        <f>'All Combined Data'!BG67</f>
        <v/>
      </c>
      <c r="BI69" s="2" t="str">
        <f>'All Combined Data'!BH67</f>
        <v/>
      </c>
      <c r="BJ69" s="2" t="str">
        <f>'All Combined Data'!BI67</f>
        <v/>
      </c>
      <c r="BK69" s="2" t="str">
        <f>'All Combined Data'!BJ67</f>
        <v/>
      </c>
      <c r="BL69" s="2">
        <f>Combined_data[[#This Row],[Quantity]]*Combined_data[[#This Row],[UnitPrice]]</f>
        <v>370416</v>
      </c>
      <c r="BM69" s="2">
        <f>Combined_data[[#This Row],[TotalAmount]]*(100-Combined_data[[#This Row],[DiscountApplied]])/100</f>
        <v>369341.79359999998</v>
      </c>
      <c r="BN69" s="2">
        <f>Combined_data[[#This Row],[Reveune]]-Combined_data[[#This Row],[Final Amount]]</f>
        <v>1074.2064000000246</v>
      </c>
    </row>
    <row r="70" spans="2:66" x14ac:dyDescent="0.3">
      <c r="B70" s="2" t="str">
        <f>'All Combined Data'!A68</f>
        <v>O1067</v>
      </c>
      <c r="C70" s="2" t="str">
        <f>'All Combined Data'!B68</f>
        <v>C011</v>
      </c>
      <c r="D70" s="2" t="str">
        <f>'All Combined Data'!C68</f>
        <v>P164</v>
      </c>
      <c r="E70" s="14">
        <f>'All Combined Data'!D68</f>
        <v>45789</v>
      </c>
      <c r="F70" s="2">
        <f>'All Combined Data'!E68</f>
        <v>4</v>
      </c>
      <c r="G70" s="2">
        <f>'All Combined Data'!F68</f>
        <v>61962</v>
      </c>
      <c r="H70" s="2">
        <f>'All Combined Data'!G68</f>
        <v>185886</v>
      </c>
      <c r="I70" s="2">
        <f>'All Combined Data'!H68</f>
        <v>0.19</v>
      </c>
      <c r="J70" s="2" t="str">
        <f>'All Combined Data'!I68</f>
        <v>Cash on Delivery</v>
      </c>
      <c r="K70" s="2" t="str">
        <f>'All Combined Data'!J68</f>
        <v>Delivered</v>
      </c>
      <c r="L70" s="14">
        <f>'All Combined Data'!K68</f>
        <v>45859</v>
      </c>
      <c r="M70" s="2" t="str">
        <f>'All Combined Data'!L68</f>
        <v>Yes</v>
      </c>
      <c r="N70" s="2">
        <f>'All Combined Data'!M68</f>
        <v>117</v>
      </c>
      <c r="O70" s="2" t="str">
        <f>'All Combined Data'!N68</f>
        <v>Yes</v>
      </c>
      <c r="P70" s="2" t="str">
        <f>'All Combined Data'!O68</f>
        <v>No</v>
      </c>
      <c r="Q70" s="2" t="str">
        <f>'All Combined Data'!P68</f>
        <v>C011</v>
      </c>
      <c r="R70" s="2" t="str">
        <f>'All Combined Data'!Q68</f>
        <v>Darsh Murthy</v>
      </c>
      <c r="S70" s="2" t="str">
        <f>'All Combined Data'!R68</f>
        <v>bedivansha@example.net</v>
      </c>
      <c r="T70" s="2">
        <f>'All Combined Data'!S68</f>
        <v>2081219136</v>
      </c>
      <c r="U70" s="2" t="str">
        <f>'All Combined Data'!T68</f>
        <v>Jaipur</v>
      </c>
      <c r="V70" s="2" t="str">
        <f>'All Combined Data'!U68</f>
        <v>Rajasthan</v>
      </c>
      <c r="W70" s="2">
        <f>'All Combined Data'!V68</f>
        <v>939909</v>
      </c>
      <c r="X70" s="2" t="str">
        <f>'All Combined Data'!W68</f>
        <v>Female</v>
      </c>
      <c r="Y70" s="14">
        <f>'All Combined Data'!X68</f>
        <v>23785</v>
      </c>
      <c r="Z70" s="2">
        <f>'All Combined Data'!Y68</f>
        <v>45330</v>
      </c>
      <c r="AA70" s="2" t="str">
        <f>'All Combined Data'!Z68</f>
        <v>Home Appliance</v>
      </c>
      <c r="AB70" s="2">
        <f>'All Combined Data'!AA68</f>
        <v>5413</v>
      </c>
      <c r="AC70" s="2" t="str">
        <f>'All Combined Data'!AB68</f>
        <v>Single</v>
      </c>
      <c r="AD70" s="2" t="str">
        <f>'All Combined Data'!AC68</f>
        <v>Doctor</v>
      </c>
      <c r="AE70" s="2">
        <f>'All Combined Data'!AD68</f>
        <v>1923444</v>
      </c>
      <c r="AF70" s="2" t="str">
        <f>'All Combined Data'!AE68</f>
        <v>P164</v>
      </c>
      <c r="AG70" s="2" t="str">
        <f>'All Combined Data'!AF68</f>
        <v>Repellat Washing Machine</v>
      </c>
      <c r="AH70" s="2" t="str">
        <f>'All Combined Data'!AG68</f>
        <v>Home Appliance</v>
      </c>
      <c r="AI70" s="2" t="str">
        <f>'All Combined Data'!AH68</f>
        <v>LED</v>
      </c>
      <c r="AJ70" s="2" t="str">
        <f>'All Combined Data'!AI68</f>
        <v>Luthra, Sachdeva and Prashad</v>
      </c>
      <c r="AK70" s="2">
        <f>'All Combined Data'!AJ68</f>
        <v>61962</v>
      </c>
      <c r="AL70" s="2">
        <f>'All Combined Data'!AK68</f>
        <v>19</v>
      </c>
      <c r="AM70" s="2">
        <f>'All Combined Data'!AL68</f>
        <v>646</v>
      </c>
      <c r="AN70" s="2">
        <f>'All Combined Data'!AM68</f>
        <v>24</v>
      </c>
      <c r="AO70" s="2" t="str">
        <f>'All Combined Data'!AN68</f>
        <v>Vietnam</v>
      </c>
      <c r="AP70" s="2" t="str">
        <f>'All Combined Data'!AO68</f>
        <v>Yes</v>
      </c>
      <c r="AQ70" s="2">
        <f>'All Combined Data'!AP68</f>
        <v>3.4</v>
      </c>
      <c r="AR70" s="14">
        <f>'All Combined Data'!AQ68</f>
        <v>45461</v>
      </c>
      <c r="AS70" s="2" t="str">
        <f>'All Combined Data'!AR68</f>
        <v>Yes</v>
      </c>
      <c r="AT70" s="2">
        <f>'All Combined Data'!AS68</f>
        <v>6086</v>
      </c>
      <c r="AU70" s="2">
        <f>'All Combined Data'!AT68</f>
        <v>26</v>
      </c>
      <c r="AV70" s="2">
        <f>'All Combined Data'!AU68</f>
        <v>26</v>
      </c>
      <c r="AW70" s="2" t="str">
        <f>'All Combined Data'!AV68</f>
        <v>S026</v>
      </c>
      <c r="AX70" s="2" t="str">
        <f>'All Combined Data'!AW68</f>
        <v>Sarma, Golla and Raghavan Mart</v>
      </c>
      <c r="AY70" s="2" t="str">
        <f>'All Combined Data'!AX68</f>
        <v>Hyderabad</v>
      </c>
      <c r="AZ70" s="2" t="str">
        <f>'All Combined Data'!AY68</f>
        <v>Telangana</v>
      </c>
      <c r="BA70" s="2">
        <f>'All Combined Data'!AZ68</f>
        <v>902771</v>
      </c>
      <c r="BB70" s="2" t="str">
        <f>'All Combined Data'!BA68</f>
        <v>Ridhi Batra</v>
      </c>
      <c r="BC70" s="2">
        <f>'All Combined Data'!BB68</f>
        <v>2008</v>
      </c>
      <c r="BD70" s="2">
        <f>'All Combined Data'!BC68</f>
        <v>87</v>
      </c>
      <c r="BE70" s="2">
        <f>'All Combined Data'!BD68</f>
        <v>3760</v>
      </c>
      <c r="BF70" s="2">
        <f>'All Combined Data'!BE68</f>
        <v>3.5</v>
      </c>
      <c r="BG70" s="2" t="str">
        <f>'All Combined Data'!BF68</f>
        <v>No</v>
      </c>
      <c r="BH70" s="2">
        <f>'All Combined Data'!BG68</f>
        <v>719</v>
      </c>
      <c r="BI70" s="2" t="str">
        <f>'All Combined Data'!BH68</f>
        <v>Outlet</v>
      </c>
      <c r="BJ70" s="2">
        <f>'All Combined Data'!BI68</f>
        <v>914508993588</v>
      </c>
      <c r="BK70" s="2" t="str">
        <f>'All Combined Data'!BJ68</f>
        <v>santyuvraj@pal-rajan.com</v>
      </c>
      <c r="BL70" s="2">
        <f>Combined_data[[#This Row],[Quantity]]*Combined_data[[#This Row],[UnitPrice]]</f>
        <v>247848</v>
      </c>
      <c r="BM70" s="2">
        <f>Combined_data[[#This Row],[TotalAmount]]*(100-Combined_data[[#This Row],[DiscountApplied]])/100</f>
        <v>185532.81659999999</v>
      </c>
      <c r="BN70" s="2">
        <f>Combined_data[[#This Row],[Reveune]]-Combined_data[[#This Row],[Final Amount]]</f>
        <v>62315.183400000009</v>
      </c>
    </row>
    <row r="71" spans="2:66" x14ac:dyDescent="0.3">
      <c r="B71" s="2" t="str">
        <f>'All Combined Data'!A69</f>
        <v>O1068</v>
      </c>
      <c r="C71" s="2" t="str">
        <f>'All Combined Data'!B69</f>
        <v>C035</v>
      </c>
      <c r="D71" s="2" t="str">
        <f>'All Combined Data'!C69</f>
        <v>P106</v>
      </c>
      <c r="E71" s="14">
        <f>'All Combined Data'!D69</f>
        <v>45773</v>
      </c>
      <c r="F71" s="2">
        <f>'All Combined Data'!E69</f>
        <v>1</v>
      </c>
      <c r="G71" s="2">
        <f>'All Combined Data'!F69</f>
        <v>40324</v>
      </c>
      <c r="H71" s="2">
        <f>'All Combined Data'!G69</f>
        <v>120972</v>
      </c>
      <c r="I71" s="2">
        <f>'All Combined Data'!H69</f>
        <v>7.0000000000000007E-2</v>
      </c>
      <c r="J71" s="2" t="str">
        <f>'All Combined Data'!I69</f>
        <v>Cash on Delivery</v>
      </c>
      <c r="K71" s="2" t="str">
        <f>'All Combined Data'!J69</f>
        <v>Delivered</v>
      </c>
      <c r="L71" s="14">
        <f>'All Combined Data'!K69</f>
        <v>45868</v>
      </c>
      <c r="M71" s="2" t="str">
        <f>'All Combined Data'!L69</f>
        <v>Yes</v>
      </c>
      <c r="N71" s="2">
        <f>'All Combined Data'!M69</f>
        <v>475</v>
      </c>
      <c r="O71" s="2" t="str">
        <f>'All Combined Data'!N69</f>
        <v>No</v>
      </c>
      <c r="P71" s="2" t="str">
        <f>'All Combined Data'!O69</f>
        <v>Yes</v>
      </c>
      <c r="Q71" s="2" t="str">
        <f>'All Combined Data'!P69</f>
        <v>C035</v>
      </c>
      <c r="R71" s="2" t="str">
        <f>'All Combined Data'!Q69</f>
        <v>Raksha Sundaram</v>
      </c>
      <c r="S71" s="2" t="str">
        <f>'All Combined Data'!R69</f>
        <v>balakrishnanwriddhish@example.net</v>
      </c>
      <c r="T71" s="2">
        <f>'All Combined Data'!S69</f>
        <v>914808613171</v>
      </c>
      <c r="U71" s="2" t="str">
        <f>'All Combined Data'!T69</f>
        <v>Ahmedabad</v>
      </c>
      <c r="V71" s="2" t="str">
        <f>'All Combined Data'!U69</f>
        <v>Gujarat</v>
      </c>
      <c r="W71" s="2">
        <f>'All Combined Data'!V69</f>
        <v>748467</v>
      </c>
      <c r="X71" s="2" t="str">
        <f>'All Combined Data'!W69</f>
        <v>Male</v>
      </c>
      <c r="Y71" s="14">
        <f>'All Combined Data'!X69</f>
        <v>33485</v>
      </c>
      <c r="Z71" s="2">
        <f>'All Combined Data'!Y69</f>
        <v>44785</v>
      </c>
      <c r="AA71" s="2" t="str">
        <f>'All Combined Data'!Z69</f>
        <v>Grocery</v>
      </c>
      <c r="AB71" s="2">
        <f>'All Combined Data'!AA69</f>
        <v>1060</v>
      </c>
      <c r="AC71" s="2" t="str">
        <f>'All Combined Data'!AB69</f>
        <v>Single</v>
      </c>
      <c r="AD71" s="2" t="str">
        <f>'All Combined Data'!AC69</f>
        <v>Business</v>
      </c>
      <c r="AE71" s="2">
        <f>'All Combined Data'!AD69</f>
        <v>204520</v>
      </c>
      <c r="AF71" s="2" t="str">
        <f>'All Combined Data'!AE69</f>
        <v>P106</v>
      </c>
      <c r="AG71" s="2" t="str">
        <f>'All Combined Data'!AF69</f>
        <v>Non Shirt</v>
      </c>
      <c r="AH71" s="2" t="str">
        <f>'All Combined Data'!AG69</f>
        <v>Home Appliance</v>
      </c>
      <c r="AI71" s="2" t="str">
        <f>'All Combined Data'!AH69</f>
        <v>Organic</v>
      </c>
      <c r="AJ71" s="2" t="str">
        <f>'All Combined Data'!AI69</f>
        <v>Deshpande, Mital and Nagi</v>
      </c>
      <c r="AK71" s="2">
        <f>'All Combined Data'!AJ69</f>
        <v>40324</v>
      </c>
      <c r="AL71" s="2">
        <f>'All Combined Data'!AK69</f>
        <v>7</v>
      </c>
      <c r="AM71" s="2">
        <f>'All Combined Data'!AL69</f>
        <v>254</v>
      </c>
      <c r="AN71" s="2">
        <f>'All Combined Data'!AM69</f>
        <v>6</v>
      </c>
      <c r="AO71" s="2" t="str">
        <f>'All Combined Data'!AN69</f>
        <v>Japan</v>
      </c>
      <c r="AP71" s="2" t="str">
        <f>'All Combined Data'!AO69</f>
        <v>Yes</v>
      </c>
      <c r="AQ71" s="2">
        <f>'All Combined Data'!AP69</f>
        <v>4.4000000000000004</v>
      </c>
      <c r="AR71" s="14">
        <f>'All Combined Data'!AQ69</f>
        <v>45696</v>
      </c>
      <c r="AS71" s="2" t="str">
        <f>'All Combined Data'!AR69</f>
        <v>No</v>
      </c>
      <c r="AT71" s="2">
        <f>'All Combined Data'!AS69</f>
        <v>8382</v>
      </c>
      <c r="AU71" s="2">
        <f>'All Combined Data'!AT69</f>
        <v>104</v>
      </c>
      <c r="AV71" s="2">
        <f>'All Combined Data'!AU69</f>
        <v>104</v>
      </c>
      <c r="AW71" s="2" t="str">
        <f>'All Combined Data'!AV69</f>
        <v/>
      </c>
      <c r="AX71" s="2" t="str">
        <f>'All Combined Data'!AW69</f>
        <v/>
      </c>
      <c r="AY71" s="2" t="str">
        <f>'All Combined Data'!AX69</f>
        <v/>
      </c>
      <c r="AZ71" s="2" t="str">
        <f>'All Combined Data'!AY69</f>
        <v/>
      </c>
      <c r="BA71" s="2" t="str">
        <f>'All Combined Data'!AZ69</f>
        <v/>
      </c>
      <c r="BB71" s="2" t="str">
        <f>'All Combined Data'!BA69</f>
        <v/>
      </c>
      <c r="BC71" s="2" t="str">
        <f>'All Combined Data'!BB69</f>
        <v/>
      </c>
      <c r="BD71" s="2" t="str">
        <f>'All Combined Data'!BC69</f>
        <v/>
      </c>
      <c r="BE71" s="2" t="str">
        <f>'All Combined Data'!BD69</f>
        <v/>
      </c>
      <c r="BF71" s="2" t="str">
        <f>'All Combined Data'!BE69</f>
        <v/>
      </c>
      <c r="BG71" s="2" t="str">
        <f>'All Combined Data'!BF69</f>
        <v/>
      </c>
      <c r="BH71" s="2" t="str">
        <f>'All Combined Data'!BG69</f>
        <v/>
      </c>
      <c r="BI71" s="2" t="str">
        <f>'All Combined Data'!BH69</f>
        <v/>
      </c>
      <c r="BJ71" s="2" t="str">
        <f>'All Combined Data'!BI69</f>
        <v/>
      </c>
      <c r="BK71" s="2" t="str">
        <f>'All Combined Data'!BJ69</f>
        <v/>
      </c>
      <c r="BL71" s="2">
        <f>Combined_data[[#This Row],[Quantity]]*Combined_data[[#This Row],[UnitPrice]]</f>
        <v>40324</v>
      </c>
      <c r="BM71" s="2">
        <f>Combined_data[[#This Row],[TotalAmount]]*(100-Combined_data[[#This Row],[DiscountApplied]])/100</f>
        <v>120887.3196</v>
      </c>
      <c r="BN71" s="2">
        <f>Combined_data[[#This Row],[Reveune]]-Combined_data[[#This Row],[Final Amount]]</f>
        <v>-80563.319600000003</v>
      </c>
    </row>
    <row r="72" spans="2:66" x14ac:dyDescent="0.3">
      <c r="B72" s="2" t="str">
        <f>'All Combined Data'!A70</f>
        <v>O1069</v>
      </c>
      <c r="C72" s="2" t="str">
        <f>'All Combined Data'!B70</f>
        <v>C027</v>
      </c>
      <c r="D72" s="2" t="str">
        <f>'All Combined Data'!C70</f>
        <v>P176</v>
      </c>
      <c r="E72" s="14">
        <f>'All Combined Data'!D70</f>
        <v>45784</v>
      </c>
      <c r="F72" s="2">
        <f>'All Combined Data'!E70</f>
        <v>2</v>
      </c>
      <c r="G72" s="2">
        <f>'All Combined Data'!F70</f>
        <v>93744</v>
      </c>
      <c r="H72" s="2">
        <f>'All Combined Data'!G70</f>
        <v>374976</v>
      </c>
      <c r="I72" s="2">
        <f>'All Combined Data'!H70</f>
        <v>0.21</v>
      </c>
      <c r="J72" s="2" t="str">
        <f>'All Combined Data'!I70</f>
        <v>Credit Card</v>
      </c>
      <c r="K72" s="2" t="str">
        <f>'All Combined Data'!J70</f>
        <v>Pending</v>
      </c>
      <c r="L72" s="14">
        <f>'All Combined Data'!K70</f>
        <v>45860</v>
      </c>
      <c r="M72" s="2" t="str">
        <f>'All Combined Data'!L70</f>
        <v>Yes</v>
      </c>
      <c r="N72" s="2">
        <f>'All Combined Data'!M70</f>
        <v>288</v>
      </c>
      <c r="O72" s="2" t="str">
        <f>'All Combined Data'!N70</f>
        <v>Yes</v>
      </c>
      <c r="P72" s="2" t="str">
        <f>'All Combined Data'!O70</f>
        <v>No</v>
      </c>
      <c r="Q72" s="2" t="str">
        <f>'All Combined Data'!P70</f>
        <v>C027</v>
      </c>
      <c r="R72" s="2" t="str">
        <f>'All Combined Data'!Q70</f>
        <v>Harini Mammen</v>
      </c>
      <c r="S72" s="2" t="str">
        <f>'All Combined Data'!R70</f>
        <v>advaith83@example.org</v>
      </c>
      <c r="T72" s="2">
        <f>'All Combined Data'!S70</f>
        <v>916783777014</v>
      </c>
      <c r="U72" s="2" t="str">
        <f>'All Combined Data'!T70</f>
        <v>Delhi</v>
      </c>
      <c r="V72" s="2" t="str">
        <f>'All Combined Data'!U70</f>
        <v>Delhi</v>
      </c>
      <c r="W72" s="2">
        <f>'All Combined Data'!V70</f>
        <v>634957</v>
      </c>
      <c r="X72" s="2" t="str">
        <f>'All Combined Data'!W70</f>
        <v>Male</v>
      </c>
      <c r="Y72" s="14">
        <f>'All Combined Data'!X70</f>
        <v>35504</v>
      </c>
      <c r="Z72" s="2">
        <f>'All Combined Data'!Y70</f>
        <v>45677</v>
      </c>
      <c r="AA72" s="2" t="str">
        <f>'All Combined Data'!Z70</f>
        <v>Electronics</v>
      </c>
      <c r="AB72" s="2">
        <f>'All Combined Data'!AA70</f>
        <v>614</v>
      </c>
      <c r="AC72" s="2" t="str">
        <f>'All Combined Data'!AB70</f>
        <v>Married</v>
      </c>
      <c r="AD72" s="2" t="str">
        <f>'All Combined Data'!AC70</f>
        <v>Engineer</v>
      </c>
      <c r="AE72" s="2">
        <f>'All Combined Data'!AD70</f>
        <v>1278263</v>
      </c>
      <c r="AF72" s="2" t="str">
        <f>'All Combined Data'!AE70</f>
        <v>P176</v>
      </c>
      <c r="AG72" s="2" t="str">
        <f>'All Combined Data'!AF70</f>
        <v>Vel Rice</v>
      </c>
      <c r="AH72" s="2" t="str">
        <f>'All Combined Data'!AG70</f>
        <v>Fashion</v>
      </c>
      <c r="AI72" s="2" t="str">
        <f>'All Combined Data'!AH70</f>
        <v>LED</v>
      </c>
      <c r="AJ72" s="2" t="str">
        <f>'All Combined Data'!AI70</f>
        <v>Gandhi, Ben and Randhawa</v>
      </c>
      <c r="AK72" s="2">
        <f>'All Combined Data'!AJ70</f>
        <v>93744</v>
      </c>
      <c r="AL72" s="2">
        <f>'All Combined Data'!AK70</f>
        <v>21</v>
      </c>
      <c r="AM72" s="2">
        <f>'All Combined Data'!AL70</f>
        <v>871</v>
      </c>
      <c r="AN72" s="2">
        <f>'All Combined Data'!AM70</f>
        <v>6</v>
      </c>
      <c r="AO72" s="2" t="str">
        <f>'All Combined Data'!AN70</f>
        <v>Vietnam</v>
      </c>
      <c r="AP72" s="2" t="str">
        <f>'All Combined Data'!AO70</f>
        <v>Yes</v>
      </c>
      <c r="AQ72" s="2">
        <f>'All Combined Data'!AP70</f>
        <v>4.4000000000000004</v>
      </c>
      <c r="AR72" s="14">
        <f>'All Combined Data'!AQ70</f>
        <v>45730</v>
      </c>
      <c r="AS72" s="2" t="str">
        <f>'All Combined Data'!AR70</f>
        <v>No</v>
      </c>
      <c r="AT72" s="2">
        <f>'All Combined Data'!AS70</f>
        <v>8362</v>
      </c>
      <c r="AU72" s="2">
        <f>'All Combined Data'!AT70</f>
        <v>47</v>
      </c>
      <c r="AV72" s="2">
        <f>'All Combined Data'!AU70</f>
        <v>47</v>
      </c>
      <c r="AW72" s="2" t="str">
        <f>'All Combined Data'!AV70</f>
        <v>S047</v>
      </c>
      <c r="AX72" s="2" t="str">
        <f>'All Combined Data'!AW70</f>
        <v>Rege, Kurian and Gulati Mart</v>
      </c>
      <c r="AY72" s="2" t="str">
        <f>'All Combined Data'!AX70</f>
        <v>Lucknow</v>
      </c>
      <c r="AZ72" s="2" t="str">
        <f>'All Combined Data'!AY70</f>
        <v>Uttar Pradesh</v>
      </c>
      <c r="BA72" s="2">
        <f>'All Combined Data'!AZ70</f>
        <v>98180</v>
      </c>
      <c r="BB72" s="2" t="str">
        <f>'All Combined Data'!BA70</f>
        <v>Samesh Mutti</v>
      </c>
      <c r="BC72" s="2">
        <f>'All Combined Data'!BB70</f>
        <v>2015</v>
      </c>
      <c r="BD72" s="2">
        <f>'All Combined Data'!BC70</f>
        <v>30</v>
      </c>
      <c r="BE72" s="2">
        <f>'All Combined Data'!BD70</f>
        <v>18909</v>
      </c>
      <c r="BF72" s="2">
        <f>'All Combined Data'!BE70</f>
        <v>4.5</v>
      </c>
      <c r="BG72" s="2" t="str">
        <f>'All Combined Data'!BF70</f>
        <v>Yes</v>
      </c>
      <c r="BH72" s="2">
        <f>'All Combined Data'!BG70</f>
        <v>1733</v>
      </c>
      <c r="BI72" s="2" t="str">
        <f>'All Combined Data'!BH70</f>
        <v>Retail</v>
      </c>
      <c r="BJ72" s="2">
        <f>'All Combined Data'!BI70</f>
        <v>5126944869</v>
      </c>
      <c r="BK72" s="2" t="str">
        <f>'All Combined Data'!BJ70</f>
        <v>anya63@subramanian-gola.com</v>
      </c>
      <c r="BL72" s="2">
        <f>Combined_data[[#This Row],[Quantity]]*Combined_data[[#This Row],[UnitPrice]]</f>
        <v>187488</v>
      </c>
      <c r="BM72" s="2">
        <f>Combined_data[[#This Row],[TotalAmount]]*(100-Combined_data[[#This Row],[DiscountApplied]])/100</f>
        <v>374188.55040000001</v>
      </c>
      <c r="BN72" s="2">
        <f>Combined_data[[#This Row],[Reveune]]-Combined_data[[#This Row],[Final Amount]]</f>
        <v>-186700.55040000001</v>
      </c>
    </row>
    <row r="73" spans="2:66" x14ac:dyDescent="0.3">
      <c r="B73" s="2" t="str">
        <f>'All Combined Data'!A71</f>
        <v>O1070</v>
      </c>
      <c r="C73" s="2" t="str">
        <f>'All Combined Data'!B71</f>
        <v>C087</v>
      </c>
      <c r="D73" s="2" t="str">
        <f>'All Combined Data'!C71</f>
        <v>P170</v>
      </c>
      <c r="E73" s="14">
        <f>'All Combined Data'!D71</f>
        <v>45547</v>
      </c>
      <c r="F73" s="2">
        <f>'All Combined Data'!E71</f>
        <v>3</v>
      </c>
      <c r="G73" s="2">
        <f>'All Combined Data'!F71</f>
        <v>49872</v>
      </c>
      <c r="H73" s="2">
        <f>'All Combined Data'!G71</f>
        <v>199488</v>
      </c>
      <c r="I73" s="2">
        <f>'All Combined Data'!H71</f>
        <v>0.25</v>
      </c>
      <c r="J73" s="2" t="str">
        <f>'All Combined Data'!I71</f>
        <v>Debit Card</v>
      </c>
      <c r="K73" s="2" t="str">
        <f>'All Combined Data'!J71</f>
        <v>Delivered</v>
      </c>
      <c r="L73" s="14">
        <f>'All Combined Data'!K71</f>
        <v>45855</v>
      </c>
      <c r="M73" s="2" t="str">
        <f>'All Combined Data'!L71</f>
        <v>No</v>
      </c>
      <c r="N73" s="2">
        <f>'All Combined Data'!M71</f>
        <v>27</v>
      </c>
      <c r="O73" s="2" t="str">
        <f>'All Combined Data'!N71</f>
        <v>Yes</v>
      </c>
      <c r="P73" s="2" t="str">
        <f>'All Combined Data'!O71</f>
        <v>No</v>
      </c>
      <c r="Q73" s="2" t="str">
        <f>'All Combined Data'!P71</f>
        <v>C087</v>
      </c>
      <c r="R73" s="2" t="str">
        <f>'All Combined Data'!Q71</f>
        <v>Urmi Balay</v>
      </c>
      <c r="S73" s="2" t="str">
        <f>'All Combined Data'!R71</f>
        <v>nilima22@example.net</v>
      </c>
      <c r="T73" s="2">
        <f>'All Combined Data'!S71</f>
        <v>6567661825</v>
      </c>
      <c r="U73" s="2" t="str">
        <f>'All Combined Data'!T71</f>
        <v>Delhi</v>
      </c>
      <c r="V73" s="2" t="str">
        <f>'All Combined Data'!U71</f>
        <v>Delhi</v>
      </c>
      <c r="W73" s="2">
        <f>'All Combined Data'!V71</f>
        <v>286823</v>
      </c>
      <c r="X73" s="2" t="str">
        <f>'All Combined Data'!W71</f>
        <v>Male</v>
      </c>
      <c r="Y73" s="14">
        <f>'All Combined Data'!X71</f>
        <v>21834</v>
      </c>
      <c r="Z73" s="2">
        <f>'All Combined Data'!Y71</f>
        <v>44098</v>
      </c>
      <c r="AA73" s="2" t="str">
        <f>'All Combined Data'!Z71</f>
        <v>Home Appliance</v>
      </c>
      <c r="AB73" s="2">
        <f>'All Combined Data'!AA71</f>
        <v>2168</v>
      </c>
      <c r="AC73" s="2" t="str">
        <f>'All Combined Data'!AB71</f>
        <v>Married</v>
      </c>
      <c r="AD73" s="2" t="str">
        <f>'All Combined Data'!AC71</f>
        <v>Engineer</v>
      </c>
      <c r="AE73" s="2">
        <f>'All Combined Data'!AD71</f>
        <v>1382729</v>
      </c>
      <c r="AF73" s="2" t="str">
        <f>'All Combined Data'!AE71</f>
        <v>P170</v>
      </c>
      <c r="AG73" s="2" t="str">
        <f>'All Combined Data'!AF71</f>
        <v>Iste Phone</v>
      </c>
      <c r="AH73" s="2" t="str">
        <f>'All Combined Data'!AG71</f>
        <v>Electronics</v>
      </c>
      <c r="AI73" s="2" t="str">
        <f>'All Combined Data'!AH71</f>
        <v>Organic</v>
      </c>
      <c r="AJ73" s="2" t="str">
        <f>'All Combined Data'!AI71</f>
        <v>Nazareth-De</v>
      </c>
      <c r="AK73" s="2">
        <f>'All Combined Data'!AJ71</f>
        <v>49872</v>
      </c>
      <c r="AL73" s="2">
        <f>'All Combined Data'!AK71</f>
        <v>25</v>
      </c>
      <c r="AM73" s="2">
        <f>'All Combined Data'!AL71</f>
        <v>810</v>
      </c>
      <c r="AN73" s="2">
        <f>'All Combined Data'!AM71</f>
        <v>24</v>
      </c>
      <c r="AO73" s="2" t="str">
        <f>'All Combined Data'!AN71</f>
        <v>China</v>
      </c>
      <c r="AP73" s="2" t="str">
        <f>'All Combined Data'!AO71</f>
        <v>Yes</v>
      </c>
      <c r="AQ73" s="2">
        <f>'All Combined Data'!AP71</f>
        <v>4.0999999999999996</v>
      </c>
      <c r="AR73" s="14">
        <f>'All Combined Data'!AQ71</f>
        <v>45638</v>
      </c>
      <c r="AS73" s="2" t="str">
        <f>'All Combined Data'!AR71</f>
        <v>No</v>
      </c>
      <c r="AT73" s="2">
        <f>'All Combined Data'!AS71</f>
        <v>9332</v>
      </c>
      <c r="AU73" s="2">
        <f>'All Combined Data'!AT71</f>
        <v>17</v>
      </c>
      <c r="AV73" s="2">
        <f>'All Combined Data'!AU71</f>
        <v>17</v>
      </c>
      <c r="AW73" s="2" t="str">
        <f>'All Combined Data'!AV71</f>
        <v>S017</v>
      </c>
      <c r="AX73" s="2" t="str">
        <f>'All Combined Data'!AW71</f>
        <v>Sharaf-Krishnan Mart</v>
      </c>
      <c r="AY73" s="2" t="str">
        <f>'All Combined Data'!AX71</f>
        <v>Delhi</v>
      </c>
      <c r="AZ73" s="2" t="str">
        <f>'All Combined Data'!AY71</f>
        <v>Delhi</v>
      </c>
      <c r="BA73" s="2">
        <f>'All Combined Data'!AZ71</f>
        <v>748969</v>
      </c>
      <c r="BB73" s="2" t="str">
        <f>'All Combined Data'!BA71</f>
        <v>Abhimanyu Vaidya</v>
      </c>
      <c r="BC73" s="2">
        <f>'All Combined Data'!BB71</f>
        <v>2013</v>
      </c>
      <c r="BD73" s="2">
        <f>'All Combined Data'!BC71</f>
        <v>30</v>
      </c>
      <c r="BE73" s="2">
        <f>'All Combined Data'!BD71</f>
        <v>5322</v>
      </c>
      <c r="BF73" s="2">
        <f>'All Combined Data'!BE71</f>
        <v>4.8</v>
      </c>
      <c r="BG73" s="2" t="str">
        <f>'All Combined Data'!BF71</f>
        <v>No</v>
      </c>
      <c r="BH73" s="2">
        <f>'All Combined Data'!BG71</f>
        <v>1802</v>
      </c>
      <c r="BI73" s="2" t="str">
        <f>'All Combined Data'!BH71</f>
        <v>Franchise</v>
      </c>
      <c r="BJ73" s="2">
        <f>'All Combined Data'!BI71</f>
        <v>5899441715</v>
      </c>
      <c r="BK73" s="2" t="str">
        <f>'All Combined Data'!BJ71</f>
        <v>ekta44@misra.net</v>
      </c>
      <c r="BL73" s="2">
        <f>Combined_data[[#This Row],[Quantity]]*Combined_data[[#This Row],[UnitPrice]]</f>
        <v>149616</v>
      </c>
      <c r="BM73" s="2">
        <f>Combined_data[[#This Row],[TotalAmount]]*(100-Combined_data[[#This Row],[DiscountApplied]])/100</f>
        <v>198989.28</v>
      </c>
      <c r="BN73" s="2">
        <f>Combined_data[[#This Row],[Reveune]]-Combined_data[[#This Row],[Final Amount]]</f>
        <v>-49373.279999999999</v>
      </c>
    </row>
    <row r="74" spans="2:66" x14ac:dyDescent="0.3">
      <c r="B74" s="2" t="str">
        <f>'All Combined Data'!A72</f>
        <v>O1071</v>
      </c>
      <c r="C74" s="2" t="str">
        <f>'All Combined Data'!B72</f>
        <v>C030</v>
      </c>
      <c r="D74" s="2" t="str">
        <f>'All Combined Data'!C72</f>
        <v>P110</v>
      </c>
      <c r="E74" s="14">
        <f>'All Combined Data'!D72</f>
        <v>45851</v>
      </c>
      <c r="F74" s="2">
        <f>'All Combined Data'!E72</f>
        <v>3</v>
      </c>
      <c r="G74" s="2">
        <f>'All Combined Data'!F72</f>
        <v>85386</v>
      </c>
      <c r="H74" s="2">
        <f>'All Combined Data'!G72</f>
        <v>426930</v>
      </c>
      <c r="I74" s="2">
        <f>'All Combined Data'!H72</f>
        <v>0.09</v>
      </c>
      <c r="J74" s="2" t="str">
        <f>'All Combined Data'!I72</f>
        <v>Cash on Delivery</v>
      </c>
      <c r="K74" s="2" t="str">
        <f>'All Combined Data'!J72</f>
        <v>Cancelled</v>
      </c>
      <c r="L74" s="14">
        <f>'All Combined Data'!K72</f>
        <v>45864</v>
      </c>
      <c r="M74" s="2" t="str">
        <f>'All Combined Data'!L72</f>
        <v>No</v>
      </c>
      <c r="N74" s="2">
        <f>'All Combined Data'!M72</f>
        <v>15</v>
      </c>
      <c r="O74" s="2" t="str">
        <f>'All Combined Data'!N72</f>
        <v>No</v>
      </c>
      <c r="P74" s="2" t="str">
        <f>'All Combined Data'!O72</f>
        <v>No</v>
      </c>
      <c r="Q74" s="2" t="str">
        <f>'All Combined Data'!P72</f>
        <v>C030</v>
      </c>
      <c r="R74" s="2" t="str">
        <f>'All Combined Data'!Q72</f>
        <v>Manthan Modi</v>
      </c>
      <c r="S74" s="2" t="str">
        <f>'All Combined Data'!R72</f>
        <v>kotharijagat@example.net</v>
      </c>
      <c r="T74" s="2">
        <f>'All Combined Data'!S72</f>
        <v>9993867749</v>
      </c>
      <c r="U74" s="2" t="str">
        <f>'All Combined Data'!T72</f>
        <v>Jaipur</v>
      </c>
      <c r="V74" s="2" t="str">
        <f>'All Combined Data'!U72</f>
        <v>Rajasthan</v>
      </c>
      <c r="W74" s="2">
        <f>'All Combined Data'!V72</f>
        <v>499091</v>
      </c>
      <c r="X74" s="2" t="str">
        <f>'All Combined Data'!W72</f>
        <v>Female</v>
      </c>
      <c r="Y74" s="14">
        <f>'All Combined Data'!X72</f>
        <v>26912</v>
      </c>
      <c r="Z74" s="2">
        <f>'All Combined Data'!Y72</f>
        <v>44683</v>
      </c>
      <c r="AA74" s="2" t="str">
        <f>'All Combined Data'!Z72</f>
        <v>Grocery</v>
      </c>
      <c r="AB74" s="2">
        <f>'All Combined Data'!AA72</f>
        <v>6835</v>
      </c>
      <c r="AC74" s="2" t="str">
        <f>'All Combined Data'!AB72</f>
        <v>Married</v>
      </c>
      <c r="AD74" s="2" t="str">
        <f>'All Combined Data'!AC72</f>
        <v>Engineer</v>
      </c>
      <c r="AE74" s="2">
        <f>'All Combined Data'!AD72</f>
        <v>1612147</v>
      </c>
      <c r="AF74" s="2" t="str">
        <f>'All Combined Data'!AE72</f>
        <v>P110</v>
      </c>
      <c r="AG74" s="2" t="str">
        <f>'All Combined Data'!AF72</f>
        <v>Maiores Rice</v>
      </c>
      <c r="AH74" s="2" t="str">
        <f>'All Combined Data'!AG72</f>
        <v>Electronics</v>
      </c>
      <c r="AI74" s="2" t="str">
        <f>'All Combined Data'!AH72</f>
        <v>Smart</v>
      </c>
      <c r="AJ74" s="2" t="str">
        <f>'All Combined Data'!AI72</f>
        <v>Iyengar PLC</v>
      </c>
      <c r="AK74" s="2">
        <f>'All Combined Data'!AJ72</f>
        <v>85386</v>
      </c>
      <c r="AL74" s="2">
        <f>'All Combined Data'!AK72</f>
        <v>9</v>
      </c>
      <c r="AM74" s="2">
        <f>'All Combined Data'!AL72</f>
        <v>930</v>
      </c>
      <c r="AN74" s="2">
        <f>'All Combined Data'!AM72</f>
        <v>24</v>
      </c>
      <c r="AO74" s="2" t="str">
        <f>'All Combined Data'!AN72</f>
        <v>China</v>
      </c>
      <c r="AP74" s="2" t="str">
        <f>'All Combined Data'!AO72</f>
        <v>Yes</v>
      </c>
      <c r="AQ74" s="2">
        <f>'All Combined Data'!AP72</f>
        <v>2.6</v>
      </c>
      <c r="AR74" s="14">
        <f>'All Combined Data'!AQ72</f>
        <v>45606</v>
      </c>
      <c r="AS74" s="2" t="str">
        <f>'All Combined Data'!AR72</f>
        <v>No</v>
      </c>
      <c r="AT74" s="2">
        <f>'All Combined Data'!AS72</f>
        <v>5729</v>
      </c>
      <c r="AU74" s="2">
        <f>'All Combined Data'!AT72</f>
        <v>92</v>
      </c>
      <c r="AV74" s="2">
        <f>'All Combined Data'!AU72</f>
        <v>92</v>
      </c>
      <c r="AW74" s="2" t="str">
        <f>'All Combined Data'!AV72</f>
        <v>S092</v>
      </c>
      <c r="AX74" s="2" t="str">
        <f>'All Combined Data'!AW72</f>
        <v>Morar Group Mart</v>
      </c>
      <c r="AY74" s="2" t="str">
        <f>'All Combined Data'!AX72</f>
        <v>Jaipur</v>
      </c>
      <c r="AZ74" s="2" t="str">
        <f>'All Combined Data'!AY72</f>
        <v>Rajasthan</v>
      </c>
      <c r="BA74" s="2">
        <f>'All Combined Data'!AZ72</f>
        <v>919657</v>
      </c>
      <c r="BB74" s="2" t="str">
        <f>'All Combined Data'!BA72</f>
        <v>Gautam Kalla</v>
      </c>
      <c r="BC74" s="2">
        <f>'All Combined Data'!BB72</f>
        <v>2015</v>
      </c>
      <c r="BD74" s="2">
        <f>'All Combined Data'!BC72</f>
        <v>67</v>
      </c>
      <c r="BE74" s="2">
        <f>'All Combined Data'!BD72</f>
        <v>9683</v>
      </c>
      <c r="BF74" s="2">
        <f>'All Combined Data'!BE72</f>
        <v>3.2</v>
      </c>
      <c r="BG74" s="2" t="str">
        <f>'All Combined Data'!BF72</f>
        <v>No</v>
      </c>
      <c r="BH74" s="2">
        <f>'All Combined Data'!BG72</f>
        <v>2014</v>
      </c>
      <c r="BI74" s="2" t="str">
        <f>'All Combined Data'!BH72</f>
        <v>Franchise</v>
      </c>
      <c r="BJ74" s="2">
        <f>'All Combined Data'!BI72</f>
        <v>919022784699</v>
      </c>
      <c r="BK74" s="2" t="str">
        <f>'All Combined Data'!BJ72</f>
        <v>nhayre@nadig.biz</v>
      </c>
      <c r="BL74" s="2">
        <f>Combined_data[[#This Row],[Quantity]]*Combined_data[[#This Row],[UnitPrice]]</f>
        <v>256158</v>
      </c>
      <c r="BM74" s="2">
        <f>Combined_data[[#This Row],[TotalAmount]]*(100-Combined_data[[#This Row],[DiscountApplied]])/100</f>
        <v>426545.76299999998</v>
      </c>
      <c r="BN74" s="2">
        <f>Combined_data[[#This Row],[Reveune]]-Combined_data[[#This Row],[Final Amount]]</f>
        <v>-170387.76299999998</v>
      </c>
    </row>
    <row r="75" spans="2:66" x14ac:dyDescent="0.3">
      <c r="B75" s="2" t="str">
        <f>'All Combined Data'!A73</f>
        <v>O1072</v>
      </c>
      <c r="C75" s="2" t="str">
        <f>'All Combined Data'!B73</f>
        <v>C063</v>
      </c>
      <c r="D75" s="2" t="str">
        <f>'All Combined Data'!C73</f>
        <v>P130</v>
      </c>
      <c r="E75" s="14">
        <f>'All Combined Data'!D73</f>
        <v>45498</v>
      </c>
      <c r="F75" s="2">
        <f>'All Combined Data'!E73</f>
        <v>3</v>
      </c>
      <c r="G75" s="2">
        <f>'All Combined Data'!F73</f>
        <v>50486</v>
      </c>
      <c r="H75" s="2">
        <f>'All Combined Data'!G73</f>
        <v>252430</v>
      </c>
      <c r="I75" s="2">
        <f>'All Combined Data'!H73</f>
        <v>0.23</v>
      </c>
      <c r="J75" s="2" t="str">
        <f>'All Combined Data'!I73</f>
        <v>Net Banking</v>
      </c>
      <c r="K75" s="2" t="str">
        <f>'All Combined Data'!J73</f>
        <v>Cancelled</v>
      </c>
      <c r="L75" s="14">
        <f>'All Combined Data'!K73</f>
        <v>45860</v>
      </c>
      <c r="M75" s="2" t="str">
        <f>'All Combined Data'!L73</f>
        <v>Yes</v>
      </c>
      <c r="N75" s="2">
        <f>'All Combined Data'!M73</f>
        <v>348</v>
      </c>
      <c r="O75" s="2" t="str">
        <f>'All Combined Data'!N73</f>
        <v>No</v>
      </c>
      <c r="P75" s="2" t="str">
        <f>'All Combined Data'!O73</f>
        <v>Yes</v>
      </c>
      <c r="Q75" s="2" t="str">
        <f>'All Combined Data'!P73</f>
        <v>C063</v>
      </c>
      <c r="R75" s="2" t="str">
        <f>'All Combined Data'!Q73</f>
        <v>Jairaj Batta</v>
      </c>
      <c r="S75" s="2" t="str">
        <f>'All Combined Data'!R73</f>
        <v>onishankar@example.org</v>
      </c>
      <c r="T75" s="2">
        <f>'All Combined Data'!S73</f>
        <v>917980893246</v>
      </c>
      <c r="U75" s="2" t="str">
        <f>'All Combined Data'!T73</f>
        <v>Jaipur</v>
      </c>
      <c r="V75" s="2" t="str">
        <f>'All Combined Data'!U73</f>
        <v>Rajasthan</v>
      </c>
      <c r="W75" s="2">
        <f>'All Combined Data'!V73</f>
        <v>953962</v>
      </c>
      <c r="X75" s="2" t="str">
        <f>'All Combined Data'!W73</f>
        <v>Female</v>
      </c>
      <c r="Y75" s="14">
        <f>'All Combined Data'!X73</f>
        <v>38261</v>
      </c>
      <c r="Z75" s="2">
        <f>'All Combined Data'!Y73</f>
        <v>44293</v>
      </c>
      <c r="AA75" s="2" t="str">
        <f>'All Combined Data'!Z73</f>
        <v>Home Appliance</v>
      </c>
      <c r="AB75" s="2">
        <f>'All Combined Data'!AA73</f>
        <v>3243</v>
      </c>
      <c r="AC75" s="2" t="str">
        <f>'All Combined Data'!AB73</f>
        <v>Married</v>
      </c>
      <c r="AD75" s="2" t="str">
        <f>'All Combined Data'!AC73</f>
        <v>Business</v>
      </c>
      <c r="AE75" s="2">
        <f>'All Combined Data'!AD73</f>
        <v>1620438</v>
      </c>
      <c r="AF75" s="2" t="str">
        <f>'All Combined Data'!AE73</f>
        <v>P130</v>
      </c>
      <c r="AG75" s="2" t="str">
        <f>'All Combined Data'!AF73</f>
        <v>Quod TV</v>
      </c>
      <c r="AH75" s="2" t="str">
        <f>'All Combined Data'!AG73</f>
        <v>Grocery</v>
      </c>
      <c r="AI75" s="2" t="str">
        <f>'All Combined Data'!AH73</f>
        <v>Smart</v>
      </c>
      <c r="AJ75" s="2" t="str">
        <f>'All Combined Data'!AI73</f>
        <v>Narayanan PLC</v>
      </c>
      <c r="AK75" s="2">
        <f>'All Combined Data'!AJ73</f>
        <v>50486</v>
      </c>
      <c r="AL75" s="2">
        <f>'All Combined Data'!AK73</f>
        <v>23</v>
      </c>
      <c r="AM75" s="2">
        <f>'All Combined Data'!AL73</f>
        <v>367</v>
      </c>
      <c r="AN75" s="2">
        <f>'All Combined Data'!AM73</f>
        <v>24</v>
      </c>
      <c r="AO75" s="2" t="str">
        <f>'All Combined Data'!AN73</f>
        <v>Vietnam</v>
      </c>
      <c r="AP75" s="2" t="str">
        <f>'All Combined Data'!AO73</f>
        <v>Yes</v>
      </c>
      <c r="AQ75" s="2">
        <f>'All Combined Data'!AP73</f>
        <v>4.9000000000000004</v>
      </c>
      <c r="AR75" s="14">
        <f>'All Combined Data'!AQ73</f>
        <v>45421</v>
      </c>
      <c r="AS75" s="2" t="str">
        <f>'All Combined Data'!AR73</f>
        <v>No</v>
      </c>
      <c r="AT75" s="2">
        <f>'All Combined Data'!AS73</f>
        <v>5498</v>
      </c>
      <c r="AU75" s="2">
        <f>'All Combined Data'!AT73</f>
        <v>62</v>
      </c>
      <c r="AV75" s="2">
        <f>'All Combined Data'!AU73</f>
        <v>62</v>
      </c>
      <c r="AW75" s="2" t="str">
        <f>'All Combined Data'!AV73</f>
        <v>S062</v>
      </c>
      <c r="AX75" s="2" t="str">
        <f>'All Combined Data'!AW73</f>
        <v>Lata Group Mart</v>
      </c>
      <c r="AY75" s="2" t="str">
        <f>'All Combined Data'!AX73</f>
        <v>Delhi</v>
      </c>
      <c r="AZ75" s="2" t="str">
        <f>'All Combined Data'!AY73</f>
        <v>Delhi</v>
      </c>
      <c r="BA75" s="2">
        <f>'All Combined Data'!AZ73</f>
        <v>872346</v>
      </c>
      <c r="BB75" s="2" t="str">
        <f>'All Combined Data'!BA73</f>
        <v>Jairaj Kothari</v>
      </c>
      <c r="BC75" s="2">
        <f>'All Combined Data'!BB73</f>
        <v>2014</v>
      </c>
      <c r="BD75" s="2">
        <f>'All Combined Data'!BC73</f>
        <v>11</v>
      </c>
      <c r="BE75" s="2">
        <f>'All Combined Data'!BD73</f>
        <v>6504</v>
      </c>
      <c r="BF75" s="2">
        <f>'All Combined Data'!BE73</f>
        <v>4.8</v>
      </c>
      <c r="BG75" s="2" t="str">
        <f>'All Combined Data'!BF73</f>
        <v>No</v>
      </c>
      <c r="BH75" s="2">
        <f>'All Combined Data'!BG73</f>
        <v>3735</v>
      </c>
      <c r="BI75" s="2" t="str">
        <f>'All Combined Data'!BH73</f>
        <v>Franchise</v>
      </c>
      <c r="BJ75" s="2">
        <f>'All Combined Data'!BI73</f>
        <v>7303718376</v>
      </c>
      <c r="BK75" s="2" t="str">
        <f>'All Combined Data'!BJ73</f>
        <v>ekantika20@verma.info</v>
      </c>
      <c r="BL75" s="2">
        <f>Combined_data[[#This Row],[Quantity]]*Combined_data[[#This Row],[UnitPrice]]</f>
        <v>151458</v>
      </c>
      <c r="BM75" s="2">
        <f>Combined_data[[#This Row],[TotalAmount]]*(100-Combined_data[[#This Row],[DiscountApplied]])/100</f>
        <v>251849.41099999996</v>
      </c>
      <c r="BN75" s="2">
        <f>Combined_data[[#This Row],[Reveune]]-Combined_data[[#This Row],[Final Amount]]</f>
        <v>-100391.41099999996</v>
      </c>
    </row>
    <row r="76" spans="2:66" x14ac:dyDescent="0.3">
      <c r="B76" s="2" t="str">
        <f>'All Combined Data'!A74</f>
        <v>O1073</v>
      </c>
      <c r="C76" s="2" t="str">
        <f>'All Combined Data'!B74</f>
        <v>C099</v>
      </c>
      <c r="D76" s="2" t="str">
        <f>'All Combined Data'!C74</f>
        <v>P180</v>
      </c>
      <c r="E76" s="14">
        <f>'All Combined Data'!D74</f>
        <v>45699</v>
      </c>
      <c r="F76" s="2">
        <f>'All Combined Data'!E74</f>
        <v>3</v>
      </c>
      <c r="G76" s="2">
        <f>'All Combined Data'!F74</f>
        <v>31647</v>
      </c>
      <c r="H76" s="2">
        <f>'All Combined Data'!G74</f>
        <v>63294</v>
      </c>
      <c r="I76" s="2">
        <f>'All Combined Data'!H74</f>
        <v>0.14000000000000001</v>
      </c>
      <c r="J76" s="2" t="str">
        <f>'All Combined Data'!I74</f>
        <v>Credit Card</v>
      </c>
      <c r="K76" s="2" t="str">
        <f>'All Combined Data'!J74</f>
        <v>Delivered</v>
      </c>
      <c r="L76" s="14">
        <f>'All Combined Data'!K74</f>
        <v>45863</v>
      </c>
      <c r="M76" s="2" t="str">
        <f>'All Combined Data'!L74</f>
        <v>No</v>
      </c>
      <c r="N76" s="2">
        <f>'All Combined Data'!M74</f>
        <v>78</v>
      </c>
      <c r="O76" s="2" t="str">
        <f>'All Combined Data'!N74</f>
        <v>No</v>
      </c>
      <c r="P76" s="2" t="str">
        <f>'All Combined Data'!O74</f>
        <v>Yes</v>
      </c>
      <c r="Q76" s="2" t="str">
        <f>'All Combined Data'!P74</f>
        <v>C099</v>
      </c>
      <c r="R76" s="2" t="str">
        <f>'All Combined Data'!Q74</f>
        <v>Frederick Merchant</v>
      </c>
      <c r="S76" s="2" t="str">
        <f>'All Combined Data'!R74</f>
        <v>ethanbutala@example.com</v>
      </c>
      <c r="T76" s="2">
        <f>'All Combined Data'!S74</f>
        <v>916265511047</v>
      </c>
      <c r="U76" s="2" t="str">
        <f>'All Combined Data'!T74</f>
        <v>Pune</v>
      </c>
      <c r="V76" s="2" t="str">
        <f>'All Combined Data'!U74</f>
        <v>Maharashtra</v>
      </c>
      <c r="W76" s="2">
        <f>'All Combined Data'!V74</f>
        <v>412126</v>
      </c>
      <c r="X76" s="2" t="str">
        <f>'All Combined Data'!W74</f>
        <v>Male</v>
      </c>
      <c r="Y76" s="14">
        <f>'All Combined Data'!X74</f>
        <v>32904</v>
      </c>
      <c r="Z76" s="2">
        <f>'All Combined Data'!Y74</f>
        <v>45758</v>
      </c>
      <c r="AA76" s="2" t="str">
        <f>'All Combined Data'!Z74</f>
        <v>Grocery</v>
      </c>
      <c r="AB76" s="2">
        <f>'All Combined Data'!AA74</f>
        <v>8141</v>
      </c>
      <c r="AC76" s="2" t="str">
        <f>'All Combined Data'!AB74</f>
        <v>Married</v>
      </c>
      <c r="AD76" s="2" t="str">
        <f>'All Combined Data'!AC74</f>
        <v>Engineer</v>
      </c>
      <c r="AE76" s="2">
        <f>'All Combined Data'!AD74</f>
        <v>395147</v>
      </c>
      <c r="AF76" s="2" t="str">
        <f>'All Combined Data'!AE74</f>
        <v>P180</v>
      </c>
      <c r="AG76" s="2" t="str">
        <f>'All Combined Data'!AF74</f>
        <v>Accusamus TV</v>
      </c>
      <c r="AH76" s="2" t="str">
        <f>'All Combined Data'!AG74</f>
        <v>Grocery</v>
      </c>
      <c r="AI76" s="2" t="str">
        <f>'All Combined Data'!AH74</f>
        <v>Cotton</v>
      </c>
      <c r="AJ76" s="2" t="str">
        <f>'All Combined Data'!AI74</f>
        <v>Oza, Dara and Sami</v>
      </c>
      <c r="AK76" s="2">
        <f>'All Combined Data'!AJ74</f>
        <v>31647</v>
      </c>
      <c r="AL76" s="2">
        <f>'All Combined Data'!AK74</f>
        <v>14</v>
      </c>
      <c r="AM76" s="2">
        <f>'All Combined Data'!AL74</f>
        <v>124</v>
      </c>
      <c r="AN76" s="2">
        <f>'All Combined Data'!AM74</f>
        <v>6</v>
      </c>
      <c r="AO76" s="2" t="str">
        <f>'All Combined Data'!AN74</f>
        <v>China</v>
      </c>
      <c r="AP76" s="2" t="str">
        <f>'All Combined Data'!AO74</f>
        <v>No</v>
      </c>
      <c r="AQ76" s="2">
        <f>'All Combined Data'!AP74</f>
        <v>4.0999999999999996</v>
      </c>
      <c r="AR76" s="14">
        <f>'All Combined Data'!AQ74</f>
        <v>45837</v>
      </c>
      <c r="AS76" s="2" t="str">
        <f>'All Combined Data'!AR74</f>
        <v>No</v>
      </c>
      <c r="AT76" s="2">
        <f>'All Combined Data'!AS74</f>
        <v>2030</v>
      </c>
      <c r="AU76" s="2">
        <f>'All Combined Data'!AT74</f>
        <v>161</v>
      </c>
      <c r="AV76" s="2">
        <f>'All Combined Data'!AU74</f>
        <v>161</v>
      </c>
      <c r="AW76" s="2" t="str">
        <f>'All Combined Data'!AV74</f>
        <v/>
      </c>
      <c r="AX76" s="2" t="str">
        <f>'All Combined Data'!AW74</f>
        <v/>
      </c>
      <c r="AY76" s="2" t="str">
        <f>'All Combined Data'!AX74</f>
        <v/>
      </c>
      <c r="AZ76" s="2" t="str">
        <f>'All Combined Data'!AY74</f>
        <v/>
      </c>
      <c r="BA76" s="2" t="str">
        <f>'All Combined Data'!AZ74</f>
        <v/>
      </c>
      <c r="BB76" s="2" t="str">
        <f>'All Combined Data'!BA74</f>
        <v/>
      </c>
      <c r="BC76" s="2" t="str">
        <f>'All Combined Data'!BB74</f>
        <v/>
      </c>
      <c r="BD76" s="2" t="str">
        <f>'All Combined Data'!BC74</f>
        <v/>
      </c>
      <c r="BE76" s="2" t="str">
        <f>'All Combined Data'!BD74</f>
        <v/>
      </c>
      <c r="BF76" s="2" t="str">
        <f>'All Combined Data'!BE74</f>
        <v/>
      </c>
      <c r="BG76" s="2" t="str">
        <f>'All Combined Data'!BF74</f>
        <v/>
      </c>
      <c r="BH76" s="2" t="str">
        <f>'All Combined Data'!BG74</f>
        <v/>
      </c>
      <c r="BI76" s="2" t="str">
        <f>'All Combined Data'!BH74</f>
        <v/>
      </c>
      <c r="BJ76" s="2" t="str">
        <f>'All Combined Data'!BI74</f>
        <v/>
      </c>
      <c r="BK76" s="2" t="str">
        <f>'All Combined Data'!BJ74</f>
        <v/>
      </c>
      <c r="BL76" s="2">
        <f>Combined_data[[#This Row],[Quantity]]*Combined_data[[#This Row],[UnitPrice]]</f>
        <v>94941</v>
      </c>
      <c r="BM76" s="2">
        <f>Combined_data[[#This Row],[TotalAmount]]*(100-Combined_data[[#This Row],[DiscountApplied]])/100</f>
        <v>63205.388399999996</v>
      </c>
      <c r="BN76" s="2">
        <f>Combined_data[[#This Row],[Reveune]]-Combined_data[[#This Row],[Final Amount]]</f>
        <v>31735.611600000004</v>
      </c>
    </row>
    <row r="77" spans="2:66" x14ac:dyDescent="0.3">
      <c r="B77" s="2" t="str">
        <f>'All Combined Data'!A75</f>
        <v>O1074</v>
      </c>
      <c r="C77" s="2" t="str">
        <f>'All Combined Data'!B75</f>
        <v>C095</v>
      </c>
      <c r="D77" s="2" t="str">
        <f>'All Combined Data'!C75</f>
        <v>P150</v>
      </c>
      <c r="E77" s="14">
        <f>'All Combined Data'!D75</f>
        <v>45735</v>
      </c>
      <c r="F77" s="2">
        <f>'All Combined Data'!E75</f>
        <v>3</v>
      </c>
      <c r="G77" s="2">
        <f>'All Combined Data'!F75</f>
        <v>98841</v>
      </c>
      <c r="H77" s="2">
        <f>'All Combined Data'!G75</f>
        <v>296523</v>
      </c>
      <c r="I77" s="2">
        <f>'All Combined Data'!H75</f>
        <v>0.18</v>
      </c>
      <c r="J77" s="2" t="str">
        <f>'All Combined Data'!I75</f>
        <v>Credit Card</v>
      </c>
      <c r="K77" s="2" t="str">
        <f>'All Combined Data'!J75</f>
        <v>Delivered</v>
      </c>
      <c r="L77" s="14">
        <f>'All Combined Data'!K75</f>
        <v>45855</v>
      </c>
      <c r="M77" s="2" t="str">
        <f>'All Combined Data'!L75</f>
        <v>Yes</v>
      </c>
      <c r="N77" s="2">
        <f>'All Combined Data'!M75</f>
        <v>482</v>
      </c>
      <c r="O77" s="2" t="str">
        <f>'All Combined Data'!N75</f>
        <v>No</v>
      </c>
      <c r="P77" s="2" t="str">
        <f>'All Combined Data'!O75</f>
        <v>No</v>
      </c>
      <c r="Q77" s="2" t="str">
        <f>'All Combined Data'!P75</f>
        <v>C095</v>
      </c>
      <c r="R77" s="2" t="str">
        <f>'All Combined Data'!Q75</f>
        <v>Kashvi Bhasin</v>
      </c>
      <c r="S77" s="2" t="str">
        <f>'All Combined Data'!R75</f>
        <v>bsura@example.org</v>
      </c>
      <c r="T77" s="2">
        <f>'All Combined Data'!S75</f>
        <v>8600848408</v>
      </c>
      <c r="U77" s="2" t="str">
        <f>'All Combined Data'!T75</f>
        <v>Hyderabad</v>
      </c>
      <c r="V77" s="2" t="str">
        <f>'All Combined Data'!U75</f>
        <v>Telangana</v>
      </c>
      <c r="W77" s="2">
        <f>'All Combined Data'!V75</f>
        <v>211823</v>
      </c>
      <c r="X77" s="2" t="str">
        <f>'All Combined Data'!W75</f>
        <v>Male</v>
      </c>
      <c r="Y77" s="14">
        <f>'All Combined Data'!X75</f>
        <v>26518</v>
      </c>
      <c r="Z77" s="2">
        <f>'All Combined Data'!Y75</f>
        <v>45663</v>
      </c>
      <c r="AA77" s="2" t="str">
        <f>'All Combined Data'!Z75</f>
        <v>Fashion</v>
      </c>
      <c r="AB77" s="2">
        <f>'All Combined Data'!AA75</f>
        <v>7485</v>
      </c>
      <c r="AC77" s="2" t="str">
        <f>'All Combined Data'!AB75</f>
        <v>Single</v>
      </c>
      <c r="AD77" s="2" t="str">
        <f>'All Combined Data'!AC75</f>
        <v>Business</v>
      </c>
      <c r="AE77" s="2">
        <f>'All Combined Data'!AD75</f>
        <v>1395061</v>
      </c>
      <c r="AF77" s="2" t="str">
        <f>'All Combined Data'!AE75</f>
        <v>P150</v>
      </c>
      <c r="AG77" s="2" t="str">
        <f>'All Combined Data'!AF75</f>
        <v>Aliquid Phone</v>
      </c>
      <c r="AH77" s="2" t="str">
        <f>'All Combined Data'!AG75</f>
        <v>Grocery</v>
      </c>
      <c r="AI77" s="2" t="str">
        <f>'All Combined Data'!AH75</f>
        <v>Notebook</v>
      </c>
      <c r="AJ77" s="2" t="str">
        <f>'All Combined Data'!AI75</f>
        <v>Kar-Yogi</v>
      </c>
      <c r="AK77" s="2">
        <f>'All Combined Data'!AJ75</f>
        <v>98841</v>
      </c>
      <c r="AL77" s="2">
        <f>'All Combined Data'!AK75</f>
        <v>18</v>
      </c>
      <c r="AM77" s="2">
        <f>'All Combined Data'!AL75</f>
        <v>888</v>
      </c>
      <c r="AN77" s="2">
        <f>'All Combined Data'!AM75</f>
        <v>6</v>
      </c>
      <c r="AO77" s="2" t="str">
        <f>'All Combined Data'!AN75</f>
        <v>Vietnam</v>
      </c>
      <c r="AP77" s="2" t="str">
        <f>'All Combined Data'!AO75</f>
        <v>No</v>
      </c>
      <c r="AQ77" s="2">
        <f>'All Combined Data'!AP75</f>
        <v>3.4</v>
      </c>
      <c r="AR77" s="14">
        <f>'All Combined Data'!AQ75</f>
        <v>45207</v>
      </c>
      <c r="AS77" s="2" t="str">
        <f>'All Combined Data'!AR75</f>
        <v>Yes</v>
      </c>
      <c r="AT77" s="2">
        <f>'All Combined Data'!AS75</f>
        <v>3536</v>
      </c>
      <c r="AU77" s="2">
        <f>'All Combined Data'!AT75</f>
        <v>10</v>
      </c>
      <c r="AV77" s="2">
        <f>'All Combined Data'!AU75</f>
        <v>10</v>
      </c>
      <c r="AW77" s="2" t="str">
        <f>'All Combined Data'!AV75</f>
        <v>S010</v>
      </c>
      <c r="AX77" s="2" t="str">
        <f>'All Combined Data'!AW75</f>
        <v>Zachariah, Lanka and Manda Mart</v>
      </c>
      <c r="AY77" s="2" t="str">
        <f>'All Combined Data'!AX75</f>
        <v>Delhi</v>
      </c>
      <c r="AZ77" s="2" t="str">
        <f>'All Combined Data'!AY75</f>
        <v>Delhi</v>
      </c>
      <c r="BA77" s="2">
        <f>'All Combined Data'!AZ75</f>
        <v>310698</v>
      </c>
      <c r="BB77" s="2" t="str">
        <f>'All Combined Data'!BA75</f>
        <v>Mitesh Bhagat</v>
      </c>
      <c r="BC77" s="2">
        <f>'All Combined Data'!BB75</f>
        <v>2008</v>
      </c>
      <c r="BD77" s="2">
        <f>'All Combined Data'!BC75</f>
        <v>88</v>
      </c>
      <c r="BE77" s="2">
        <f>'All Combined Data'!BD75</f>
        <v>5157</v>
      </c>
      <c r="BF77" s="2">
        <f>'All Combined Data'!BE75</f>
        <v>4.4000000000000004</v>
      </c>
      <c r="BG77" s="2" t="str">
        <f>'All Combined Data'!BF75</f>
        <v>Yes</v>
      </c>
      <c r="BH77" s="2">
        <f>'All Combined Data'!BG75</f>
        <v>2545</v>
      </c>
      <c r="BI77" s="2" t="str">
        <f>'All Combined Data'!BH75</f>
        <v>Retail</v>
      </c>
      <c r="BJ77" s="2">
        <f>'All Combined Data'!BI75</f>
        <v>614973103</v>
      </c>
      <c r="BK77" s="2" t="str">
        <f>'All Combined Data'!BJ75</f>
        <v>bishakhabumb@dalia-morar.biz</v>
      </c>
      <c r="BL77" s="2">
        <f>Combined_data[[#This Row],[Quantity]]*Combined_data[[#This Row],[UnitPrice]]</f>
        <v>296523</v>
      </c>
      <c r="BM77" s="2">
        <f>Combined_data[[#This Row],[TotalAmount]]*(100-Combined_data[[#This Row],[DiscountApplied]])/100</f>
        <v>295989.2586</v>
      </c>
      <c r="BN77" s="2">
        <f>Combined_data[[#This Row],[Reveune]]-Combined_data[[#This Row],[Final Amount]]</f>
        <v>533.74139999999898</v>
      </c>
    </row>
    <row r="78" spans="2:66" x14ac:dyDescent="0.3">
      <c r="B78" s="2" t="str">
        <f>'All Combined Data'!A76</f>
        <v>O1075</v>
      </c>
      <c r="C78" s="2" t="str">
        <f>'All Combined Data'!B76</f>
        <v>C047</v>
      </c>
      <c r="D78" s="2" t="str">
        <f>'All Combined Data'!C76</f>
        <v>P198</v>
      </c>
      <c r="E78" s="14">
        <f>'All Combined Data'!D76</f>
        <v>45619</v>
      </c>
      <c r="F78" s="2">
        <f>'All Combined Data'!E76</f>
        <v>3</v>
      </c>
      <c r="G78" s="2">
        <f>'All Combined Data'!F76</f>
        <v>59479</v>
      </c>
      <c r="H78" s="2">
        <f>'All Combined Data'!G76</f>
        <v>59479</v>
      </c>
      <c r="I78" s="2">
        <f>'All Combined Data'!H76</f>
        <v>0.19</v>
      </c>
      <c r="J78" s="2" t="str">
        <f>'All Combined Data'!I76</f>
        <v>Debit Card</v>
      </c>
      <c r="K78" s="2" t="str">
        <f>'All Combined Data'!J76</f>
        <v>Delivered</v>
      </c>
      <c r="L78" s="14">
        <f>'All Combined Data'!K76</f>
        <v>45855</v>
      </c>
      <c r="M78" s="2" t="str">
        <f>'All Combined Data'!L76</f>
        <v>Yes</v>
      </c>
      <c r="N78" s="2">
        <f>'All Combined Data'!M76</f>
        <v>220</v>
      </c>
      <c r="O78" s="2" t="str">
        <f>'All Combined Data'!N76</f>
        <v>No</v>
      </c>
      <c r="P78" s="2" t="str">
        <f>'All Combined Data'!O76</f>
        <v>No</v>
      </c>
      <c r="Q78" s="2" t="str">
        <f>'All Combined Data'!P76</f>
        <v>C047</v>
      </c>
      <c r="R78" s="2" t="str">
        <f>'All Combined Data'!Q76</f>
        <v>Caleb Verma</v>
      </c>
      <c r="S78" s="2" t="str">
        <f>'All Combined Data'!R76</f>
        <v>tara00@example.com</v>
      </c>
      <c r="T78" s="2">
        <f>'All Combined Data'!S76</f>
        <v>6177115921</v>
      </c>
      <c r="U78" s="2" t="str">
        <f>'All Combined Data'!T76</f>
        <v>Mumbai</v>
      </c>
      <c r="V78" s="2" t="str">
        <f>'All Combined Data'!U76</f>
        <v>Maharashtra</v>
      </c>
      <c r="W78" s="2">
        <f>'All Combined Data'!V76</f>
        <v>499856</v>
      </c>
      <c r="X78" s="2" t="str">
        <f>'All Combined Data'!W76</f>
        <v>Male</v>
      </c>
      <c r="Y78" s="14">
        <f>'All Combined Data'!X76</f>
        <v>36596</v>
      </c>
      <c r="Z78" s="2">
        <f>'All Combined Data'!Y76</f>
        <v>45676</v>
      </c>
      <c r="AA78" s="2" t="str">
        <f>'All Combined Data'!Z76</f>
        <v>Fashion</v>
      </c>
      <c r="AB78" s="2">
        <f>'All Combined Data'!AA76</f>
        <v>4716</v>
      </c>
      <c r="AC78" s="2" t="str">
        <f>'All Combined Data'!AB76</f>
        <v>Single</v>
      </c>
      <c r="AD78" s="2" t="str">
        <f>'All Combined Data'!AC76</f>
        <v>Teacher</v>
      </c>
      <c r="AE78" s="2">
        <f>'All Combined Data'!AD76</f>
        <v>626974</v>
      </c>
      <c r="AF78" s="2" t="str">
        <f>'All Combined Data'!AE76</f>
        <v>P198</v>
      </c>
      <c r="AG78" s="2" t="str">
        <f>'All Combined Data'!AF76</f>
        <v>Illo Laptop</v>
      </c>
      <c r="AH78" s="2" t="str">
        <f>'All Combined Data'!AG76</f>
        <v>Fashion</v>
      </c>
      <c r="AI78" s="2" t="str">
        <f>'All Combined Data'!AH76</f>
        <v>LED</v>
      </c>
      <c r="AJ78" s="2" t="str">
        <f>'All Combined Data'!AI76</f>
        <v>Thaker, Sagar and Sampath</v>
      </c>
      <c r="AK78" s="2">
        <f>'All Combined Data'!AJ76</f>
        <v>59479</v>
      </c>
      <c r="AL78" s="2">
        <f>'All Combined Data'!AK76</f>
        <v>19</v>
      </c>
      <c r="AM78" s="2">
        <f>'All Combined Data'!AL76</f>
        <v>696</v>
      </c>
      <c r="AN78" s="2">
        <f>'All Combined Data'!AM76</f>
        <v>24</v>
      </c>
      <c r="AO78" s="2" t="str">
        <f>'All Combined Data'!AN76</f>
        <v>China</v>
      </c>
      <c r="AP78" s="2" t="str">
        <f>'All Combined Data'!AO76</f>
        <v>Yes</v>
      </c>
      <c r="AQ78" s="2">
        <f>'All Combined Data'!AP76</f>
        <v>4.4000000000000004</v>
      </c>
      <c r="AR78" s="14">
        <f>'All Combined Data'!AQ76</f>
        <v>45849</v>
      </c>
      <c r="AS78" s="2" t="str">
        <f>'All Combined Data'!AR76</f>
        <v>Yes</v>
      </c>
      <c r="AT78" s="2">
        <f>'All Combined Data'!AS76</f>
        <v>8089</v>
      </c>
      <c r="AU78" s="2">
        <f>'All Combined Data'!AT76</f>
        <v>104</v>
      </c>
      <c r="AV78" s="2">
        <f>'All Combined Data'!AU76</f>
        <v>104</v>
      </c>
      <c r="AW78" s="2" t="str">
        <f>'All Combined Data'!AV76</f>
        <v/>
      </c>
      <c r="AX78" s="2" t="str">
        <f>'All Combined Data'!AW76</f>
        <v/>
      </c>
      <c r="AY78" s="2" t="str">
        <f>'All Combined Data'!AX76</f>
        <v/>
      </c>
      <c r="AZ78" s="2" t="str">
        <f>'All Combined Data'!AY76</f>
        <v/>
      </c>
      <c r="BA78" s="2" t="str">
        <f>'All Combined Data'!AZ76</f>
        <v/>
      </c>
      <c r="BB78" s="2" t="str">
        <f>'All Combined Data'!BA76</f>
        <v/>
      </c>
      <c r="BC78" s="2" t="str">
        <f>'All Combined Data'!BB76</f>
        <v/>
      </c>
      <c r="BD78" s="2" t="str">
        <f>'All Combined Data'!BC76</f>
        <v/>
      </c>
      <c r="BE78" s="2" t="str">
        <f>'All Combined Data'!BD76</f>
        <v/>
      </c>
      <c r="BF78" s="2" t="str">
        <f>'All Combined Data'!BE76</f>
        <v/>
      </c>
      <c r="BG78" s="2" t="str">
        <f>'All Combined Data'!BF76</f>
        <v/>
      </c>
      <c r="BH78" s="2" t="str">
        <f>'All Combined Data'!BG76</f>
        <v/>
      </c>
      <c r="BI78" s="2" t="str">
        <f>'All Combined Data'!BH76</f>
        <v/>
      </c>
      <c r="BJ78" s="2" t="str">
        <f>'All Combined Data'!BI76</f>
        <v/>
      </c>
      <c r="BK78" s="2" t="str">
        <f>'All Combined Data'!BJ76</f>
        <v/>
      </c>
      <c r="BL78" s="2">
        <f>Combined_data[[#This Row],[Quantity]]*Combined_data[[#This Row],[UnitPrice]]</f>
        <v>178437</v>
      </c>
      <c r="BM78" s="2">
        <f>Combined_data[[#This Row],[TotalAmount]]*(100-Combined_data[[#This Row],[DiscountApplied]])/100</f>
        <v>59365.9899</v>
      </c>
      <c r="BN78" s="2">
        <f>Combined_data[[#This Row],[Reveune]]-Combined_data[[#This Row],[Final Amount]]</f>
        <v>119071.0101</v>
      </c>
    </row>
    <row r="79" spans="2:66" x14ac:dyDescent="0.3">
      <c r="B79" s="2" t="str">
        <f>'All Combined Data'!A77</f>
        <v>O1076</v>
      </c>
      <c r="C79" s="2" t="str">
        <f>'All Combined Data'!B77</f>
        <v>C014</v>
      </c>
      <c r="D79" s="2" t="str">
        <f>'All Combined Data'!C77</f>
        <v>P104</v>
      </c>
      <c r="E79" s="14">
        <f>'All Combined Data'!D77</f>
        <v>45783</v>
      </c>
      <c r="F79" s="2">
        <f>'All Combined Data'!E77</f>
        <v>1</v>
      </c>
      <c r="G79" s="2">
        <f>'All Combined Data'!F77</f>
        <v>38790</v>
      </c>
      <c r="H79" s="2">
        <f>'All Combined Data'!G77</f>
        <v>116370</v>
      </c>
      <c r="I79" s="2">
        <f>'All Combined Data'!H77</f>
        <v>0.27</v>
      </c>
      <c r="J79" s="2" t="str">
        <f>'All Combined Data'!I77</f>
        <v>Cash on Delivery</v>
      </c>
      <c r="K79" s="2" t="str">
        <f>'All Combined Data'!J77</f>
        <v>Delivered</v>
      </c>
      <c r="L79" s="14">
        <f>'All Combined Data'!K77</f>
        <v>45864</v>
      </c>
      <c r="M79" s="2" t="str">
        <f>'All Combined Data'!L77</f>
        <v>No</v>
      </c>
      <c r="N79" s="2">
        <f>'All Combined Data'!M77</f>
        <v>442</v>
      </c>
      <c r="O79" s="2" t="str">
        <f>'All Combined Data'!N77</f>
        <v>No</v>
      </c>
      <c r="P79" s="2" t="str">
        <f>'All Combined Data'!O77</f>
        <v>Yes</v>
      </c>
      <c r="Q79" s="2" t="str">
        <f>'All Combined Data'!P77</f>
        <v>C014</v>
      </c>
      <c r="R79" s="2" t="str">
        <f>'All Combined Data'!Q77</f>
        <v>Gauri De</v>
      </c>
      <c r="S79" s="2" t="str">
        <f>'All Combined Data'!R77</f>
        <v>neel78@example.net</v>
      </c>
      <c r="T79" s="2">
        <f>'All Combined Data'!S77</f>
        <v>8011280598</v>
      </c>
      <c r="U79" s="2" t="str">
        <f>'All Combined Data'!T77</f>
        <v>Bangalore</v>
      </c>
      <c r="V79" s="2" t="str">
        <f>'All Combined Data'!U77</f>
        <v>Karnataka</v>
      </c>
      <c r="W79" s="2">
        <f>'All Combined Data'!V77</f>
        <v>620450</v>
      </c>
      <c r="X79" s="2" t="str">
        <f>'All Combined Data'!W77</f>
        <v>Male</v>
      </c>
      <c r="Y79" s="14">
        <f>'All Combined Data'!X77</f>
        <v>30641</v>
      </c>
      <c r="Z79" s="2">
        <f>'All Combined Data'!Y77</f>
        <v>44680</v>
      </c>
      <c r="AA79" s="2" t="str">
        <f>'All Combined Data'!Z77</f>
        <v>Fashion</v>
      </c>
      <c r="AB79" s="2">
        <f>'All Combined Data'!AA77</f>
        <v>9677</v>
      </c>
      <c r="AC79" s="2" t="str">
        <f>'All Combined Data'!AB77</f>
        <v>Married</v>
      </c>
      <c r="AD79" s="2" t="str">
        <f>'All Combined Data'!AC77</f>
        <v>Student</v>
      </c>
      <c r="AE79" s="2">
        <f>'All Combined Data'!AD77</f>
        <v>1037603</v>
      </c>
      <c r="AF79" s="2" t="str">
        <f>'All Combined Data'!AE77</f>
        <v>P104</v>
      </c>
      <c r="AG79" s="2" t="str">
        <f>'All Combined Data'!AF77</f>
        <v>Deleniti TV</v>
      </c>
      <c r="AH79" s="2" t="str">
        <f>'All Combined Data'!AG77</f>
        <v>Electronics</v>
      </c>
      <c r="AI79" s="2" t="str">
        <f>'All Combined Data'!AH77</f>
        <v>Organic</v>
      </c>
      <c r="AJ79" s="2" t="str">
        <f>'All Combined Data'!AI77</f>
        <v>Ahuja-Randhawa</v>
      </c>
      <c r="AK79" s="2">
        <f>'All Combined Data'!AJ77</f>
        <v>38790</v>
      </c>
      <c r="AL79" s="2">
        <f>'All Combined Data'!AK77</f>
        <v>27</v>
      </c>
      <c r="AM79" s="2">
        <f>'All Combined Data'!AL77</f>
        <v>966</v>
      </c>
      <c r="AN79" s="2">
        <f>'All Combined Data'!AM77</f>
        <v>12</v>
      </c>
      <c r="AO79" s="2" t="str">
        <f>'All Combined Data'!AN77</f>
        <v>Japan</v>
      </c>
      <c r="AP79" s="2" t="str">
        <f>'All Combined Data'!AO77</f>
        <v>Yes</v>
      </c>
      <c r="AQ79" s="2">
        <f>'All Combined Data'!AP77</f>
        <v>4.7</v>
      </c>
      <c r="AR79" s="14">
        <f>'All Combined Data'!AQ77</f>
        <v>45275</v>
      </c>
      <c r="AS79" s="2" t="str">
        <f>'All Combined Data'!AR77</f>
        <v>No</v>
      </c>
      <c r="AT79" s="2">
        <f>'All Combined Data'!AS77</f>
        <v>8691</v>
      </c>
      <c r="AU79" s="2">
        <f>'All Combined Data'!AT77</f>
        <v>47</v>
      </c>
      <c r="AV79" s="2">
        <f>'All Combined Data'!AU77</f>
        <v>47</v>
      </c>
      <c r="AW79" s="2" t="str">
        <f>'All Combined Data'!AV77</f>
        <v>S047</v>
      </c>
      <c r="AX79" s="2" t="str">
        <f>'All Combined Data'!AW77</f>
        <v>Rege, Kurian and Gulati Mart</v>
      </c>
      <c r="AY79" s="2" t="str">
        <f>'All Combined Data'!AX77</f>
        <v>Lucknow</v>
      </c>
      <c r="AZ79" s="2" t="str">
        <f>'All Combined Data'!AY77</f>
        <v>Uttar Pradesh</v>
      </c>
      <c r="BA79" s="2">
        <f>'All Combined Data'!AZ77</f>
        <v>98180</v>
      </c>
      <c r="BB79" s="2" t="str">
        <f>'All Combined Data'!BA77</f>
        <v>Samesh Mutti</v>
      </c>
      <c r="BC79" s="2">
        <f>'All Combined Data'!BB77</f>
        <v>2015</v>
      </c>
      <c r="BD79" s="2">
        <f>'All Combined Data'!BC77</f>
        <v>30</v>
      </c>
      <c r="BE79" s="2">
        <f>'All Combined Data'!BD77</f>
        <v>18909</v>
      </c>
      <c r="BF79" s="2">
        <f>'All Combined Data'!BE77</f>
        <v>4.5</v>
      </c>
      <c r="BG79" s="2" t="str">
        <f>'All Combined Data'!BF77</f>
        <v>Yes</v>
      </c>
      <c r="BH79" s="2">
        <f>'All Combined Data'!BG77</f>
        <v>1733</v>
      </c>
      <c r="BI79" s="2" t="str">
        <f>'All Combined Data'!BH77</f>
        <v>Retail</v>
      </c>
      <c r="BJ79" s="2">
        <f>'All Combined Data'!BI77</f>
        <v>5126944869</v>
      </c>
      <c r="BK79" s="2" t="str">
        <f>'All Combined Data'!BJ77</f>
        <v>anya63@subramanian-gola.com</v>
      </c>
      <c r="BL79" s="2">
        <f>Combined_data[[#This Row],[Quantity]]*Combined_data[[#This Row],[UnitPrice]]</f>
        <v>38790</v>
      </c>
      <c r="BM79" s="2">
        <f>Combined_data[[#This Row],[TotalAmount]]*(100-Combined_data[[#This Row],[DiscountApplied]])/100</f>
        <v>116055.80099999999</v>
      </c>
      <c r="BN79" s="2">
        <f>Combined_data[[#This Row],[Reveune]]-Combined_data[[#This Row],[Final Amount]]</f>
        <v>-77265.800999999992</v>
      </c>
    </row>
    <row r="80" spans="2:66" x14ac:dyDescent="0.3">
      <c r="B80" s="2" t="str">
        <f>'All Combined Data'!A78</f>
        <v>O1077</v>
      </c>
      <c r="C80" s="2" t="str">
        <f>'All Combined Data'!B78</f>
        <v>C038</v>
      </c>
      <c r="D80" s="2" t="str">
        <f>'All Combined Data'!C78</f>
        <v>P153</v>
      </c>
      <c r="E80" s="14">
        <f>'All Combined Data'!D78</f>
        <v>45818</v>
      </c>
      <c r="F80" s="2">
        <f>'All Combined Data'!E78</f>
        <v>4</v>
      </c>
      <c r="G80" s="2">
        <f>'All Combined Data'!F78</f>
        <v>83491</v>
      </c>
      <c r="H80" s="2">
        <f>'All Combined Data'!G78</f>
        <v>83491</v>
      </c>
      <c r="I80" s="2">
        <f>'All Combined Data'!H78</f>
        <v>0.05</v>
      </c>
      <c r="J80" s="2" t="str">
        <f>'All Combined Data'!I78</f>
        <v>Cash on Delivery</v>
      </c>
      <c r="K80" s="2" t="str">
        <f>'All Combined Data'!J78</f>
        <v>Shipped</v>
      </c>
      <c r="L80" s="14">
        <f>'All Combined Data'!K78</f>
        <v>45862</v>
      </c>
      <c r="M80" s="2" t="str">
        <f>'All Combined Data'!L78</f>
        <v>Yes</v>
      </c>
      <c r="N80" s="2">
        <f>'All Combined Data'!M78</f>
        <v>350</v>
      </c>
      <c r="O80" s="2" t="str">
        <f>'All Combined Data'!N78</f>
        <v>No</v>
      </c>
      <c r="P80" s="2" t="str">
        <f>'All Combined Data'!O78</f>
        <v>Yes</v>
      </c>
      <c r="Q80" s="2" t="str">
        <f>'All Combined Data'!P78</f>
        <v>C038</v>
      </c>
      <c r="R80" s="2" t="str">
        <f>'All Combined Data'!Q78</f>
        <v>Falan Singh</v>
      </c>
      <c r="S80" s="2" t="str">
        <f>'All Combined Data'!R78</f>
        <v>hamsini96@example.net</v>
      </c>
      <c r="T80" s="2">
        <f>'All Combined Data'!S78</f>
        <v>915865780913</v>
      </c>
      <c r="U80" s="2" t="str">
        <f>'All Combined Data'!T78</f>
        <v>Pune</v>
      </c>
      <c r="V80" s="2" t="str">
        <f>'All Combined Data'!U78</f>
        <v>Maharashtra</v>
      </c>
      <c r="W80" s="2">
        <f>'All Combined Data'!V78</f>
        <v>316117</v>
      </c>
      <c r="X80" s="2" t="str">
        <f>'All Combined Data'!W78</f>
        <v>Male</v>
      </c>
      <c r="Y80" s="14">
        <f>'All Combined Data'!X78</f>
        <v>25883</v>
      </c>
      <c r="Z80" s="2">
        <f>'All Combined Data'!Y78</f>
        <v>44958</v>
      </c>
      <c r="AA80" s="2" t="str">
        <f>'All Combined Data'!Z78</f>
        <v>Fashion</v>
      </c>
      <c r="AB80" s="2">
        <f>'All Combined Data'!AA78</f>
        <v>1036</v>
      </c>
      <c r="AC80" s="2" t="str">
        <f>'All Combined Data'!AB78</f>
        <v>Single</v>
      </c>
      <c r="AD80" s="2" t="str">
        <f>'All Combined Data'!AC78</f>
        <v>Student</v>
      </c>
      <c r="AE80" s="2">
        <f>'All Combined Data'!AD78</f>
        <v>1199897</v>
      </c>
      <c r="AF80" s="2" t="str">
        <f>'All Combined Data'!AE78</f>
        <v>P153</v>
      </c>
      <c r="AG80" s="2" t="str">
        <f>'All Combined Data'!AF78</f>
        <v>Quis Shirt</v>
      </c>
      <c r="AH80" s="2" t="str">
        <f>'All Combined Data'!AG78</f>
        <v>Electronics</v>
      </c>
      <c r="AI80" s="2" t="str">
        <f>'All Combined Data'!AH78</f>
        <v>Notebook</v>
      </c>
      <c r="AJ80" s="2" t="str">
        <f>'All Combined Data'!AI78</f>
        <v>Sastry PLC</v>
      </c>
      <c r="AK80" s="2">
        <f>'All Combined Data'!AJ78</f>
        <v>83491</v>
      </c>
      <c r="AL80" s="2">
        <f>'All Combined Data'!AK78</f>
        <v>5</v>
      </c>
      <c r="AM80" s="2">
        <f>'All Combined Data'!AL78</f>
        <v>93</v>
      </c>
      <c r="AN80" s="2">
        <f>'All Combined Data'!AM78</f>
        <v>12</v>
      </c>
      <c r="AO80" s="2" t="str">
        <f>'All Combined Data'!AN78</f>
        <v>Japan</v>
      </c>
      <c r="AP80" s="2" t="str">
        <f>'All Combined Data'!AO78</f>
        <v>No</v>
      </c>
      <c r="AQ80" s="2">
        <f>'All Combined Data'!AP78</f>
        <v>3.6</v>
      </c>
      <c r="AR80" s="14">
        <f>'All Combined Data'!AQ78</f>
        <v>45098</v>
      </c>
      <c r="AS80" s="2" t="str">
        <f>'All Combined Data'!AR78</f>
        <v>Yes</v>
      </c>
      <c r="AT80" s="2">
        <f>'All Combined Data'!AS78</f>
        <v>7063</v>
      </c>
      <c r="AU80" s="2">
        <f>'All Combined Data'!AT78</f>
        <v>79</v>
      </c>
      <c r="AV80" s="2">
        <f>'All Combined Data'!AU78</f>
        <v>79</v>
      </c>
      <c r="AW80" s="2" t="str">
        <f>'All Combined Data'!AV78</f>
        <v>S079</v>
      </c>
      <c r="AX80" s="2" t="str">
        <f>'All Combined Data'!AW78</f>
        <v>Yogi, Randhawa and Baral Mart</v>
      </c>
      <c r="AY80" s="2" t="str">
        <f>'All Combined Data'!AX78</f>
        <v>Chennai</v>
      </c>
      <c r="AZ80" s="2" t="str">
        <f>'All Combined Data'!AY78</f>
        <v>Tamil Nadu</v>
      </c>
      <c r="BA80" s="2">
        <f>'All Combined Data'!AZ78</f>
        <v>803476</v>
      </c>
      <c r="BB80" s="2" t="str">
        <f>'All Combined Data'!BA78</f>
        <v>Bhavika Shenoy</v>
      </c>
      <c r="BC80" s="2">
        <f>'All Combined Data'!BB78</f>
        <v>2004</v>
      </c>
      <c r="BD80" s="2">
        <f>'All Combined Data'!BC78</f>
        <v>27</v>
      </c>
      <c r="BE80" s="2">
        <f>'All Combined Data'!BD78</f>
        <v>1058</v>
      </c>
      <c r="BF80" s="2">
        <f>'All Combined Data'!BE78</f>
        <v>4.9000000000000004</v>
      </c>
      <c r="BG80" s="2" t="str">
        <f>'All Combined Data'!BF78</f>
        <v>No</v>
      </c>
      <c r="BH80" s="2">
        <f>'All Combined Data'!BG78</f>
        <v>765</v>
      </c>
      <c r="BI80" s="2" t="str">
        <f>'All Combined Data'!BH78</f>
        <v>Retail</v>
      </c>
      <c r="BJ80" s="2">
        <f>'All Combined Data'!BI78</f>
        <v>916490827718</v>
      </c>
      <c r="BK80" s="2" t="str">
        <f>'All Combined Data'!BJ78</f>
        <v>golekrishna@sachdev-naik.info</v>
      </c>
      <c r="BL80" s="2">
        <f>Combined_data[[#This Row],[Quantity]]*Combined_data[[#This Row],[UnitPrice]]</f>
        <v>333964</v>
      </c>
      <c r="BM80" s="2">
        <f>Combined_data[[#This Row],[TotalAmount]]*(100-Combined_data[[#This Row],[DiscountApplied]])/100</f>
        <v>83449.254499999995</v>
      </c>
      <c r="BN80" s="2">
        <f>Combined_data[[#This Row],[Reveune]]-Combined_data[[#This Row],[Final Amount]]</f>
        <v>250514.74550000002</v>
      </c>
    </row>
    <row r="81" spans="2:66" x14ac:dyDescent="0.3">
      <c r="B81" s="2" t="str">
        <f>'All Combined Data'!A79</f>
        <v>O1078</v>
      </c>
      <c r="C81" s="2" t="str">
        <f>'All Combined Data'!B79</f>
        <v>C018</v>
      </c>
      <c r="D81" s="2" t="str">
        <f>'All Combined Data'!C79</f>
        <v>P135</v>
      </c>
      <c r="E81" s="14">
        <f>'All Combined Data'!D79</f>
        <v>45529</v>
      </c>
      <c r="F81" s="2">
        <f>'All Combined Data'!E79</f>
        <v>3</v>
      </c>
      <c r="G81" s="2">
        <f>'All Combined Data'!F79</f>
        <v>12336</v>
      </c>
      <c r="H81" s="2">
        <f>'All Combined Data'!G79</f>
        <v>37008</v>
      </c>
      <c r="I81" s="2">
        <f>'All Combined Data'!H79</f>
        <v>0.3</v>
      </c>
      <c r="J81" s="2" t="str">
        <f>'All Combined Data'!I79</f>
        <v>Net Banking</v>
      </c>
      <c r="K81" s="2" t="str">
        <f>'All Combined Data'!J79</f>
        <v>Shipped</v>
      </c>
      <c r="L81" s="14">
        <f>'All Combined Data'!K79</f>
        <v>45859</v>
      </c>
      <c r="M81" s="2" t="str">
        <f>'All Combined Data'!L79</f>
        <v>Yes</v>
      </c>
      <c r="N81" s="2">
        <f>'All Combined Data'!M79</f>
        <v>85</v>
      </c>
      <c r="O81" s="2" t="str">
        <f>'All Combined Data'!N79</f>
        <v>No</v>
      </c>
      <c r="P81" s="2" t="str">
        <f>'All Combined Data'!O79</f>
        <v>No</v>
      </c>
      <c r="Q81" s="2" t="str">
        <f>'All Combined Data'!P79</f>
        <v>C018</v>
      </c>
      <c r="R81" s="2" t="str">
        <f>'All Combined Data'!Q79</f>
        <v>Owen Mitra</v>
      </c>
      <c r="S81" s="2" t="str">
        <f>'All Combined Data'!R79</f>
        <v>tacharya@example.com</v>
      </c>
      <c r="T81" s="2">
        <f>'All Combined Data'!S79</f>
        <v>916995777387</v>
      </c>
      <c r="U81" s="2" t="str">
        <f>'All Combined Data'!T79</f>
        <v>Mumbai</v>
      </c>
      <c r="V81" s="2" t="str">
        <f>'All Combined Data'!U79</f>
        <v>Maharashtra</v>
      </c>
      <c r="W81" s="2">
        <f>'All Combined Data'!V79</f>
        <v>148951</v>
      </c>
      <c r="X81" s="2" t="str">
        <f>'All Combined Data'!W79</f>
        <v>Female</v>
      </c>
      <c r="Y81" s="14">
        <f>'All Combined Data'!X79</f>
        <v>27585</v>
      </c>
      <c r="Z81" s="2">
        <f>'All Combined Data'!Y79</f>
        <v>44992</v>
      </c>
      <c r="AA81" s="2" t="str">
        <f>'All Combined Data'!Z79</f>
        <v>Fashion</v>
      </c>
      <c r="AB81" s="2">
        <f>'All Combined Data'!AA79</f>
        <v>1927</v>
      </c>
      <c r="AC81" s="2" t="str">
        <f>'All Combined Data'!AB79</f>
        <v>Married</v>
      </c>
      <c r="AD81" s="2" t="str">
        <f>'All Combined Data'!AC79</f>
        <v>Business</v>
      </c>
      <c r="AE81" s="2">
        <f>'All Combined Data'!AD79</f>
        <v>531680</v>
      </c>
      <c r="AF81" s="2" t="str">
        <f>'All Combined Data'!AE79</f>
        <v>P135</v>
      </c>
      <c r="AG81" s="2" t="str">
        <f>'All Combined Data'!AF79</f>
        <v>At Rice</v>
      </c>
      <c r="AH81" s="2" t="str">
        <f>'All Combined Data'!AG79</f>
        <v>Grocery</v>
      </c>
      <c r="AI81" s="2" t="str">
        <f>'All Combined Data'!AH79</f>
        <v>Cotton</v>
      </c>
      <c r="AJ81" s="2" t="str">
        <f>'All Combined Data'!AI79</f>
        <v>Chaudry, Yadav and Grover</v>
      </c>
      <c r="AK81" s="2">
        <f>'All Combined Data'!AJ79</f>
        <v>12336</v>
      </c>
      <c r="AL81" s="2">
        <f>'All Combined Data'!AK79</f>
        <v>30</v>
      </c>
      <c r="AM81" s="2">
        <f>'All Combined Data'!AL79</f>
        <v>404</v>
      </c>
      <c r="AN81" s="2">
        <f>'All Combined Data'!AM79</f>
        <v>6</v>
      </c>
      <c r="AO81" s="2" t="str">
        <f>'All Combined Data'!AN79</f>
        <v>Vietnam</v>
      </c>
      <c r="AP81" s="2" t="str">
        <f>'All Combined Data'!AO79</f>
        <v>Yes</v>
      </c>
      <c r="AQ81" s="2">
        <f>'All Combined Data'!AP79</f>
        <v>3.6</v>
      </c>
      <c r="AR81" s="14">
        <f>'All Combined Data'!AQ79</f>
        <v>45327</v>
      </c>
      <c r="AS81" s="2" t="str">
        <f>'All Combined Data'!AR79</f>
        <v>No</v>
      </c>
      <c r="AT81" s="2">
        <f>'All Combined Data'!AS79</f>
        <v>7243</v>
      </c>
      <c r="AU81" s="2">
        <f>'All Combined Data'!AT79</f>
        <v>12</v>
      </c>
      <c r="AV81" s="2">
        <f>'All Combined Data'!AU79</f>
        <v>12</v>
      </c>
      <c r="AW81" s="2" t="str">
        <f>'All Combined Data'!AV79</f>
        <v>S012</v>
      </c>
      <c r="AX81" s="2" t="str">
        <f>'All Combined Data'!AW79</f>
        <v>Soman, Keer and Soni Mart</v>
      </c>
      <c r="AY81" s="2" t="str">
        <f>'All Combined Data'!AX79</f>
        <v>Ahmedabad</v>
      </c>
      <c r="AZ81" s="2" t="str">
        <f>'All Combined Data'!AY79</f>
        <v>Gujarat</v>
      </c>
      <c r="BA81" s="2">
        <f>'All Combined Data'!AZ79</f>
        <v>160898</v>
      </c>
      <c r="BB81" s="2" t="str">
        <f>'All Combined Data'!BA79</f>
        <v>Jai Sen</v>
      </c>
      <c r="BC81" s="2">
        <f>'All Combined Data'!BB79</f>
        <v>2002</v>
      </c>
      <c r="BD81" s="2">
        <f>'All Combined Data'!BC79</f>
        <v>86</v>
      </c>
      <c r="BE81" s="2">
        <f>'All Combined Data'!BD79</f>
        <v>4050</v>
      </c>
      <c r="BF81" s="2">
        <f>'All Combined Data'!BE79</f>
        <v>3.8</v>
      </c>
      <c r="BG81" s="2" t="str">
        <f>'All Combined Data'!BF79</f>
        <v>No</v>
      </c>
      <c r="BH81" s="2">
        <f>'All Combined Data'!BG79</f>
        <v>3523</v>
      </c>
      <c r="BI81" s="2" t="str">
        <f>'All Combined Data'!BH79</f>
        <v>Franchise</v>
      </c>
      <c r="BJ81" s="2">
        <f>'All Combined Data'!BI79</f>
        <v>912332061632</v>
      </c>
      <c r="BK81" s="2" t="str">
        <f>'All Combined Data'!BJ79</f>
        <v>ekaja11@ranganathan-nanda.com</v>
      </c>
      <c r="BL81" s="2">
        <f>Combined_data[[#This Row],[Quantity]]*Combined_data[[#This Row],[UnitPrice]]</f>
        <v>37008</v>
      </c>
      <c r="BM81" s="2">
        <f>Combined_data[[#This Row],[TotalAmount]]*(100-Combined_data[[#This Row],[DiscountApplied]])/100</f>
        <v>36896.976000000002</v>
      </c>
      <c r="BN81" s="2">
        <f>Combined_data[[#This Row],[Reveune]]-Combined_data[[#This Row],[Final Amount]]</f>
        <v>111.02399999999761</v>
      </c>
    </row>
    <row r="82" spans="2:66" x14ac:dyDescent="0.3">
      <c r="B82" s="2" t="str">
        <f>'All Combined Data'!A80</f>
        <v>O1079</v>
      </c>
      <c r="C82" s="2" t="str">
        <f>'All Combined Data'!B80</f>
        <v>C054</v>
      </c>
      <c r="D82" s="2" t="str">
        <f>'All Combined Data'!C80</f>
        <v>P139</v>
      </c>
      <c r="E82" s="14">
        <f>'All Combined Data'!D80</f>
        <v>45694</v>
      </c>
      <c r="F82" s="2">
        <f>'All Combined Data'!E80</f>
        <v>4</v>
      </c>
      <c r="G82" s="2">
        <f>'All Combined Data'!F80</f>
        <v>49066</v>
      </c>
      <c r="H82" s="2">
        <f>'All Combined Data'!G80</f>
        <v>49066</v>
      </c>
      <c r="I82" s="2">
        <f>'All Combined Data'!H80</f>
        <v>0.11</v>
      </c>
      <c r="J82" s="2" t="str">
        <f>'All Combined Data'!I80</f>
        <v>UPI</v>
      </c>
      <c r="K82" s="2" t="str">
        <f>'All Combined Data'!J80</f>
        <v>Pending</v>
      </c>
      <c r="L82" s="14">
        <f>'All Combined Data'!K80</f>
        <v>45860</v>
      </c>
      <c r="M82" s="2" t="str">
        <f>'All Combined Data'!L80</f>
        <v>Yes</v>
      </c>
      <c r="N82" s="2">
        <f>'All Combined Data'!M80</f>
        <v>369</v>
      </c>
      <c r="O82" s="2" t="str">
        <f>'All Combined Data'!N80</f>
        <v>No</v>
      </c>
      <c r="P82" s="2" t="str">
        <f>'All Combined Data'!O80</f>
        <v>Yes</v>
      </c>
      <c r="Q82" s="2" t="str">
        <f>'All Combined Data'!P80</f>
        <v>C054</v>
      </c>
      <c r="R82" s="2" t="str">
        <f>'All Combined Data'!Q80</f>
        <v>Ishwar Ravel</v>
      </c>
      <c r="S82" s="2" t="str">
        <f>'All Combined Data'!R80</f>
        <v>naironveer@example.net</v>
      </c>
      <c r="T82" s="2">
        <f>'All Combined Data'!S80</f>
        <v>5161369681</v>
      </c>
      <c r="U82" s="2" t="str">
        <f>'All Combined Data'!T80</f>
        <v>Delhi</v>
      </c>
      <c r="V82" s="2" t="str">
        <f>'All Combined Data'!U80</f>
        <v>Delhi</v>
      </c>
      <c r="W82" s="2">
        <f>'All Combined Data'!V80</f>
        <v>453521</v>
      </c>
      <c r="X82" s="2" t="str">
        <f>'All Combined Data'!W80</f>
        <v>Male</v>
      </c>
      <c r="Y82" s="14">
        <f>'All Combined Data'!X80</f>
        <v>34436</v>
      </c>
      <c r="Z82" s="2">
        <f>'All Combined Data'!Y80</f>
        <v>44382</v>
      </c>
      <c r="AA82" s="2" t="str">
        <f>'All Combined Data'!Z80</f>
        <v>Fashion</v>
      </c>
      <c r="AB82" s="2">
        <f>'All Combined Data'!AA80</f>
        <v>6845</v>
      </c>
      <c r="AC82" s="2" t="str">
        <f>'All Combined Data'!AB80</f>
        <v>Single</v>
      </c>
      <c r="AD82" s="2" t="str">
        <f>'All Combined Data'!AC80</f>
        <v>Teacher</v>
      </c>
      <c r="AE82" s="2">
        <f>'All Combined Data'!AD80</f>
        <v>533862</v>
      </c>
      <c r="AF82" s="2" t="str">
        <f>'All Combined Data'!AE80</f>
        <v>P139</v>
      </c>
      <c r="AG82" s="2" t="str">
        <f>'All Combined Data'!AF80</f>
        <v>Officia TV</v>
      </c>
      <c r="AH82" s="2" t="str">
        <f>'All Combined Data'!AG80</f>
        <v>Fashion</v>
      </c>
      <c r="AI82" s="2" t="str">
        <f>'All Combined Data'!AH80</f>
        <v>Notebook</v>
      </c>
      <c r="AJ82" s="2" t="str">
        <f>'All Combined Data'!AI80</f>
        <v>Gera, Mishra and Chad</v>
      </c>
      <c r="AK82" s="2">
        <f>'All Combined Data'!AJ80</f>
        <v>49066</v>
      </c>
      <c r="AL82" s="2">
        <f>'All Combined Data'!AK80</f>
        <v>11</v>
      </c>
      <c r="AM82" s="2">
        <f>'All Combined Data'!AL80</f>
        <v>454</v>
      </c>
      <c r="AN82" s="2">
        <f>'All Combined Data'!AM80</f>
        <v>36</v>
      </c>
      <c r="AO82" s="2" t="str">
        <f>'All Combined Data'!AN80</f>
        <v>China</v>
      </c>
      <c r="AP82" s="2" t="str">
        <f>'All Combined Data'!AO80</f>
        <v>No</v>
      </c>
      <c r="AQ82" s="2">
        <f>'All Combined Data'!AP80</f>
        <v>2.7</v>
      </c>
      <c r="AR82" s="14">
        <f>'All Combined Data'!AQ80</f>
        <v>45803</v>
      </c>
      <c r="AS82" s="2" t="str">
        <f>'All Combined Data'!AR80</f>
        <v>No</v>
      </c>
      <c r="AT82" s="2">
        <f>'All Combined Data'!AS80</f>
        <v>9921</v>
      </c>
      <c r="AU82" s="2">
        <f>'All Combined Data'!AT80</f>
        <v>131</v>
      </c>
      <c r="AV82" s="2">
        <f>'All Combined Data'!AU80</f>
        <v>131</v>
      </c>
      <c r="AW82" s="2" t="str">
        <f>'All Combined Data'!AV80</f>
        <v/>
      </c>
      <c r="AX82" s="2" t="str">
        <f>'All Combined Data'!AW80</f>
        <v/>
      </c>
      <c r="AY82" s="2" t="str">
        <f>'All Combined Data'!AX80</f>
        <v/>
      </c>
      <c r="AZ82" s="2" t="str">
        <f>'All Combined Data'!AY80</f>
        <v/>
      </c>
      <c r="BA82" s="2" t="str">
        <f>'All Combined Data'!AZ80</f>
        <v/>
      </c>
      <c r="BB82" s="2" t="str">
        <f>'All Combined Data'!BA80</f>
        <v/>
      </c>
      <c r="BC82" s="2" t="str">
        <f>'All Combined Data'!BB80</f>
        <v/>
      </c>
      <c r="BD82" s="2" t="str">
        <f>'All Combined Data'!BC80</f>
        <v/>
      </c>
      <c r="BE82" s="2" t="str">
        <f>'All Combined Data'!BD80</f>
        <v/>
      </c>
      <c r="BF82" s="2" t="str">
        <f>'All Combined Data'!BE80</f>
        <v/>
      </c>
      <c r="BG82" s="2" t="str">
        <f>'All Combined Data'!BF80</f>
        <v/>
      </c>
      <c r="BH82" s="2" t="str">
        <f>'All Combined Data'!BG80</f>
        <v/>
      </c>
      <c r="BI82" s="2" t="str">
        <f>'All Combined Data'!BH80</f>
        <v/>
      </c>
      <c r="BJ82" s="2" t="str">
        <f>'All Combined Data'!BI80</f>
        <v/>
      </c>
      <c r="BK82" s="2" t="str">
        <f>'All Combined Data'!BJ80</f>
        <v/>
      </c>
      <c r="BL82" s="2">
        <f>Combined_data[[#This Row],[Quantity]]*Combined_data[[#This Row],[UnitPrice]]</f>
        <v>196264</v>
      </c>
      <c r="BM82" s="2">
        <f>Combined_data[[#This Row],[TotalAmount]]*(100-Combined_data[[#This Row],[DiscountApplied]])/100</f>
        <v>49012.027399999999</v>
      </c>
      <c r="BN82" s="2">
        <f>Combined_data[[#This Row],[Reveune]]-Combined_data[[#This Row],[Final Amount]]</f>
        <v>147251.97260000001</v>
      </c>
    </row>
    <row r="83" spans="2:66" x14ac:dyDescent="0.3">
      <c r="B83" s="2" t="str">
        <f>'All Combined Data'!A81</f>
        <v>O1080</v>
      </c>
      <c r="C83" s="2" t="str">
        <f>'All Combined Data'!B81</f>
        <v>C059</v>
      </c>
      <c r="D83" s="2" t="str">
        <f>'All Combined Data'!C81</f>
        <v>P114</v>
      </c>
      <c r="E83" s="14">
        <f>'All Combined Data'!D81</f>
        <v>45652</v>
      </c>
      <c r="F83" s="2">
        <f>'All Combined Data'!E81</f>
        <v>2</v>
      </c>
      <c r="G83" s="2">
        <f>'All Combined Data'!F81</f>
        <v>54455</v>
      </c>
      <c r="H83" s="2">
        <f>'All Combined Data'!G81</f>
        <v>163365</v>
      </c>
      <c r="I83" s="2">
        <f>'All Combined Data'!H81</f>
        <v>0.27</v>
      </c>
      <c r="J83" s="2" t="str">
        <f>'All Combined Data'!I81</f>
        <v>Credit Card</v>
      </c>
      <c r="K83" s="2" t="str">
        <f>'All Combined Data'!J81</f>
        <v>Cancelled</v>
      </c>
      <c r="L83" s="14">
        <f>'All Combined Data'!K81</f>
        <v>45866</v>
      </c>
      <c r="M83" s="2" t="str">
        <f>'All Combined Data'!L81</f>
        <v>No</v>
      </c>
      <c r="N83" s="2">
        <f>'All Combined Data'!M81</f>
        <v>430</v>
      </c>
      <c r="O83" s="2" t="str">
        <f>'All Combined Data'!N81</f>
        <v>No</v>
      </c>
      <c r="P83" s="2" t="str">
        <f>'All Combined Data'!O81</f>
        <v>No</v>
      </c>
      <c r="Q83" s="2" t="str">
        <f>'All Combined Data'!P81</f>
        <v>C059</v>
      </c>
      <c r="R83" s="2" t="str">
        <f>'All Combined Data'!Q81</f>
        <v>Andrew Patil</v>
      </c>
      <c r="S83" s="2" t="str">
        <f>'All Combined Data'!R81</f>
        <v>pranit35@example.com</v>
      </c>
      <c r="T83" s="2">
        <f>'All Combined Data'!S81</f>
        <v>913221418880</v>
      </c>
      <c r="U83" s="2" t="str">
        <f>'All Combined Data'!T81</f>
        <v>Lucknow</v>
      </c>
      <c r="V83" s="2" t="str">
        <f>'All Combined Data'!U81</f>
        <v>Uttar Pradesh</v>
      </c>
      <c r="W83" s="2">
        <f>'All Combined Data'!V81</f>
        <v>929622</v>
      </c>
      <c r="X83" s="2" t="str">
        <f>'All Combined Data'!W81</f>
        <v>Female</v>
      </c>
      <c r="Y83" s="14">
        <f>'All Combined Data'!X81</f>
        <v>26242</v>
      </c>
      <c r="Z83" s="2">
        <f>'All Combined Data'!Y81</f>
        <v>44542</v>
      </c>
      <c r="AA83" s="2" t="str">
        <f>'All Combined Data'!Z81</f>
        <v>Electronics</v>
      </c>
      <c r="AB83" s="2">
        <f>'All Combined Data'!AA81</f>
        <v>1876</v>
      </c>
      <c r="AC83" s="2" t="str">
        <f>'All Combined Data'!AB81</f>
        <v>Married</v>
      </c>
      <c r="AD83" s="2" t="str">
        <f>'All Combined Data'!AC81</f>
        <v>Teacher</v>
      </c>
      <c r="AE83" s="2">
        <f>'All Combined Data'!AD81</f>
        <v>1727869</v>
      </c>
      <c r="AF83" s="2" t="str">
        <f>'All Combined Data'!AE81</f>
        <v>P114</v>
      </c>
      <c r="AG83" s="2" t="str">
        <f>'All Combined Data'!AF81</f>
        <v>Dolor Shirt</v>
      </c>
      <c r="AH83" s="2" t="str">
        <f>'All Combined Data'!AG81</f>
        <v>Electronics</v>
      </c>
      <c r="AI83" s="2" t="str">
        <f>'All Combined Data'!AH81</f>
        <v>Cotton</v>
      </c>
      <c r="AJ83" s="2" t="str">
        <f>'All Combined Data'!AI81</f>
        <v>Sampath, Purohit and Borah</v>
      </c>
      <c r="AK83" s="2">
        <f>'All Combined Data'!AJ81</f>
        <v>54455</v>
      </c>
      <c r="AL83" s="2">
        <f>'All Combined Data'!AK81</f>
        <v>27</v>
      </c>
      <c r="AM83" s="2">
        <f>'All Combined Data'!AL81</f>
        <v>507</v>
      </c>
      <c r="AN83" s="2">
        <f>'All Combined Data'!AM81</f>
        <v>24</v>
      </c>
      <c r="AO83" s="2" t="str">
        <f>'All Combined Data'!AN81</f>
        <v>Japan</v>
      </c>
      <c r="AP83" s="2" t="str">
        <f>'All Combined Data'!AO81</f>
        <v>Yes</v>
      </c>
      <c r="AQ83" s="2">
        <f>'All Combined Data'!AP81</f>
        <v>3.6</v>
      </c>
      <c r="AR83" s="14">
        <f>'All Combined Data'!AQ81</f>
        <v>45456</v>
      </c>
      <c r="AS83" s="2" t="str">
        <f>'All Combined Data'!AR81</f>
        <v>No</v>
      </c>
      <c r="AT83" s="2">
        <f>'All Combined Data'!AS81</f>
        <v>5136</v>
      </c>
      <c r="AU83" s="2">
        <f>'All Combined Data'!AT81</f>
        <v>50</v>
      </c>
      <c r="AV83" s="2">
        <f>'All Combined Data'!AU81</f>
        <v>50</v>
      </c>
      <c r="AW83" s="2" t="str">
        <f>'All Combined Data'!AV81</f>
        <v>S050</v>
      </c>
      <c r="AX83" s="2" t="str">
        <f>'All Combined Data'!AW81</f>
        <v>Iyer-Vasa Mart</v>
      </c>
      <c r="AY83" s="2" t="str">
        <f>'All Combined Data'!AX81</f>
        <v>Delhi</v>
      </c>
      <c r="AZ83" s="2" t="str">
        <f>'All Combined Data'!AY81</f>
        <v>Delhi</v>
      </c>
      <c r="BA83" s="2">
        <f>'All Combined Data'!AZ81</f>
        <v>118489</v>
      </c>
      <c r="BB83" s="2" t="str">
        <f>'All Combined Data'!BA81</f>
        <v>Idika Malhotra</v>
      </c>
      <c r="BC83" s="2">
        <f>'All Combined Data'!BB81</f>
        <v>2004</v>
      </c>
      <c r="BD83" s="2">
        <f>'All Combined Data'!BC81</f>
        <v>96</v>
      </c>
      <c r="BE83" s="2">
        <f>'All Combined Data'!BD81</f>
        <v>10169</v>
      </c>
      <c r="BF83" s="2">
        <f>'All Combined Data'!BE81</f>
        <v>3.2</v>
      </c>
      <c r="BG83" s="2" t="str">
        <f>'All Combined Data'!BF81</f>
        <v>Yes</v>
      </c>
      <c r="BH83" s="2">
        <f>'All Combined Data'!BG81</f>
        <v>4757</v>
      </c>
      <c r="BI83" s="2" t="str">
        <f>'All Combined Data'!BH81</f>
        <v>Franchise</v>
      </c>
      <c r="BJ83" s="2">
        <f>'All Combined Data'!BI81</f>
        <v>919376904268</v>
      </c>
      <c r="BK83" s="2" t="str">
        <f>'All Combined Data'!BJ81</f>
        <v>borayahvi@oak-dada.net</v>
      </c>
      <c r="BL83" s="2">
        <f>Combined_data[[#This Row],[Quantity]]*Combined_data[[#This Row],[UnitPrice]]</f>
        <v>108910</v>
      </c>
      <c r="BM83" s="2">
        <f>Combined_data[[#This Row],[TotalAmount]]*(100-Combined_data[[#This Row],[DiscountApplied]])/100</f>
        <v>162923.91450000001</v>
      </c>
      <c r="BN83" s="2">
        <f>Combined_data[[#This Row],[Reveune]]-Combined_data[[#This Row],[Final Amount]]</f>
        <v>-54013.914500000014</v>
      </c>
    </row>
    <row r="84" spans="2:66" x14ac:dyDescent="0.3">
      <c r="B84" s="2" t="str">
        <f>'All Combined Data'!A82</f>
        <v>O1081</v>
      </c>
      <c r="C84" s="2" t="str">
        <f>'All Combined Data'!B82</f>
        <v>C057</v>
      </c>
      <c r="D84" s="2" t="str">
        <f>'All Combined Data'!C82</f>
        <v>P143</v>
      </c>
      <c r="E84" s="14">
        <f>'All Combined Data'!D82</f>
        <v>45512</v>
      </c>
      <c r="F84" s="2">
        <f>'All Combined Data'!E82</f>
        <v>4</v>
      </c>
      <c r="G84" s="2">
        <f>'All Combined Data'!F82</f>
        <v>35282</v>
      </c>
      <c r="H84" s="2">
        <f>'All Combined Data'!G82</f>
        <v>176410</v>
      </c>
      <c r="I84" s="2">
        <f>'All Combined Data'!H82</f>
        <v>0.06</v>
      </c>
      <c r="J84" s="2" t="str">
        <f>'All Combined Data'!I82</f>
        <v>Debit Card</v>
      </c>
      <c r="K84" s="2" t="str">
        <f>'All Combined Data'!J82</f>
        <v>Pending</v>
      </c>
      <c r="L84" s="14">
        <f>'All Combined Data'!K82</f>
        <v>45858</v>
      </c>
      <c r="M84" s="2" t="str">
        <f>'All Combined Data'!L82</f>
        <v>No</v>
      </c>
      <c r="N84" s="2">
        <f>'All Combined Data'!M82</f>
        <v>308</v>
      </c>
      <c r="O84" s="2" t="str">
        <f>'All Combined Data'!N82</f>
        <v>Yes</v>
      </c>
      <c r="P84" s="2" t="str">
        <f>'All Combined Data'!O82</f>
        <v>No</v>
      </c>
      <c r="Q84" s="2" t="str">
        <f>'All Combined Data'!P82</f>
        <v>C057</v>
      </c>
      <c r="R84" s="2" t="str">
        <f>'All Combined Data'!Q82</f>
        <v>Vamakshi Thaker</v>
      </c>
      <c r="S84" s="2" t="str">
        <f>'All Combined Data'!R82</f>
        <v>davidseshadri@example.org</v>
      </c>
      <c r="T84" s="2">
        <f>'All Combined Data'!S82</f>
        <v>1820377889</v>
      </c>
      <c r="U84" s="2" t="str">
        <f>'All Combined Data'!T82</f>
        <v>Hyderabad</v>
      </c>
      <c r="V84" s="2" t="str">
        <f>'All Combined Data'!U82</f>
        <v>Telangana</v>
      </c>
      <c r="W84" s="2">
        <f>'All Combined Data'!V82</f>
        <v>554665</v>
      </c>
      <c r="X84" s="2" t="str">
        <f>'All Combined Data'!W82</f>
        <v>Female</v>
      </c>
      <c r="Y84" s="14">
        <f>'All Combined Data'!X82</f>
        <v>38622</v>
      </c>
      <c r="Z84" s="2">
        <f>'All Combined Data'!Y82</f>
        <v>44190</v>
      </c>
      <c r="AA84" s="2" t="str">
        <f>'All Combined Data'!Z82</f>
        <v>Fashion</v>
      </c>
      <c r="AB84" s="2">
        <f>'All Combined Data'!AA82</f>
        <v>4664</v>
      </c>
      <c r="AC84" s="2" t="str">
        <f>'All Combined Data'!AB82</f>
        <v>Single</v>
      </c>
      <c r="AD84" s="2" t="str">
        <f>'All Combined Data'!AC82</f>
        <v>Teacher</v>
      </c>
      <c r="AE84" s="2">
        <f>'All Combined Data'!AD82</f>
        <v>936406</v>
      </c>
      <c r="AF84" s="2" t="str">
        <f>'All Combined Data'!AE82</f>
        <v>P143</v>
      </c>
      <c r="AG84" s="2" t="str">
        <f>'All Combined Data'!AF82</f>
        <v>Molestiae TV</v>
      </c>
      <c r="AH84" s="2" t="str">
        <f>'All Combined Data'!AG82</f>
        <v>Fashion</v>
      </c>
      <c r="AI84" s="2" t="str">
        <f>'All Combined Data'!AH82</f>
        <v>Smart</v>
      </c>
      <c r="AJ84" s="2" t="str">
        <f>'All Combined Data'!AI82</f>
        <v>Grewal-Sur</v>
      </c>
      <c r="AK84" s="2">
        <f>'All Combined Data'!AJ82</f>
        <v>35282</v>
      </c>
      <c r="AL84" s="2">
        <f>'All Combined Data'!AK82</f>
        <v>6</v>
      </c>
      <c r="AM84" s="2">
        <f>'All Combined Data'!AL82</f>
        <v>129</v>
      </c>
      <c r="AN84" s="2">
        <f>'All Combined Data'!AM82</f>
        <v>36</v>
      </c>
      <c r="AO84" s="2" t="str">
        <f>'All Combined Data'!AN82</f>
        <v>India</v>
      </c>
      <c r="AP84" s="2" t="str">
        <f>'All Combined Data'!AO82</f>
        <v>Yes</v>
      </c>
      <c r="AQ84" s="2">
        <f>'All Combined Data'!AP82</f>
        <v>3.7</v>
      </c>
      <c r="AR84" s="14">
        <f>'All Combined Data'!AQ82</f>
        <v>45746</v>
      </c>
      <c r="AS84" s="2" t="str">
        <f>'All Combined Data'!AR82</f>
        <v>No</v>
      </c>
      <c r="AT84" s="2">
        <f>'All Combined Data'!AS82</f>
        <v>9409</v>
      </c>
      <c r="AU84" s="2">
        <f>'All Combined Data'!AT82</f>
        <v>81</v>
      </c>
      <c r="AV84" s="2">
        <f>'All Combined Data'!AU82</f>
        <v>81</v>
      </c>
      <c r="AW84" s="2" t="str">
        <f>'All Combined Data'!AV82</f>
        <v>S081</v>
      </c>
      <c r="AX84" s="2" t="str">
        <f>'All Combined Data'!AW82</f>
        <v>Behl, Saini and Morar Mart</v>
      </c>
      <c r="AY84" s="2" t="str">
        <f>'All Combined Data'!AX82</f>
        <v>Kolkata</v>
      </c>
      <c r="AZ84" s="2" t="str">
        <f>'All Combined Data'!AY82</f>
        <v>West Bengal</v>
      </c>
      <c r="BA84" s="2">
        <f>'All Combined Data'!AZ82</f>
        <v>742123</v>
      </c>
      <c r="BB84" s="2" t="str">
        <f>'All Combined Data'!BA82</f>
        <v>Zehaan Arora</v>
      </c>
      <c r="BC84" s="2">
        <f>'All Combined Data'!BB82</f>
        <v>2002</v>
      </c>
      <c r="BD84" s="2">
        <f>'All Combined Data'!BC82</f>
        <v>35</v>
      </c>
      <c r="BE84" s="2">
        <f>'All Combined Data'!BD82</f>
        <v>12364</v>
      </c>
      <c r="BF84" s="2">
        <f>'All Combined Data'!BE82</f>
        <v>5</v>
      </c>
      <c r="BG84" s="2" t="str">
        <f>'All Combined Data'!BF82</f>
        <v>Yes</v>
      </c>
      <c r="BH84" s="2">
        <f>'All Combined Data'!BG82</f>
        <v>1226</v>
      </c>
      <c r="BI84" s="2" t="str">
        <f>'All Combined Data'!BH82</f>
        <v>Outlet</v>
      </c>
      <c r="BJ84" s="2">
        <f>'All Combined Data'!BI82</f>
        <v>7780973397</v>
      </c>
      <c r="BK84" s="2" t="str">
        <f>'All Combined Data'!BJ82</f>
        <v>crout@ahuja.net</v>
      </c>
      <c r="BL84" s="2">
        <f>Combined_data[[#This Row],[Quantity]]*Combined_data[[#This Row],[UnitPrice]]</f>
        <v>141128</v>
      </c>
      <c r="BM84" s="2">
        <f>Combined_data[[#This Row],[TotalAmount]]*(100-Combined_data[[#This Row],[DiscountApplied]])/100</f>
        <v>176304.15399999998</v>
      </c>
      <c r="BN84" s="2">
        <f>Combined_data[[#This Row],[Reveune]]-Combined_data[[#This Row],[Final Amount]]</f>
        <v>-35176.15399999998</v>
      </c>
    </row>
    <row r="85" spans="2:66" x14ac:dyDescent="0.3">
      <c r="B85" s="2" t="str">
        <f>'All Combined Data'!A83</f>
        <v>O1082</v>
      </c>
      <c r="C85" s="2" t="str">
        <f>'All Combined Data'!B83</f>
        <v>C041</v>
      </c>
      <c r="D85" s="2" t="str">
        <f>'All Combined Data'!C83</f>
        <v>P123</v>
      </c>
      <c r="E85" s="14">
        <f>'All Combined Data'!D83</f>
        <v>45765</v>
      </c>
      <c r="F85" s="2">
        <f>'All Combined Data'!E83</f>
        <v>4</v>
      </c>
      <c r="G85" s="2">
        <f>'All Combined Data'!F83</f>
        <v>19394</v>
      </c>
      <c r="H85" s="2">
        <f>'All Combined Data'!G83</f>
        <v>58182</v>
      </c>
      <c r="I85" s="2">
        <f>'All Combined Data'!H83</f>
        <v>0.18</v>
      </c>
      <c r="J85" s="2" t="str">
        <f>'All Combined Data'!I83</f>
        <v>UPI</v>
      </c>
      <c r="K85" s="2" t="str">
        <f>'All Combined Data'!J83</f>
        <v>Cancelled</v>
      </c>
      <c r="L85" s="14">
        <f>'All Combined Data'!K83</f>
        <v>45861</v>
      </c>
      <c r="M85" s="2" t="str">
        <f>'All Combined Data'!L83</f>
        <v>Yes</v>
      </c>
      <c r="N85" s="2">
        <f>'All Combined Data'!M83</f>
        <v>166</v>
      </c>
      <c r="O85" s="2" t="str">
        <f>'All Combined Data'!N83</f>
        <v>No</v>
      </c>
      <c r="P85" s="2" t="str">
        <f>'All Combined Data'!O83</f>
        <v>No</v>
      </c>
      <c r="Q85" s="2" t="str">
        <f>'All Combined Data'!P83</f>
        <v>C041</v>
      </c>
      <c r="R85" s="2" t="str">
        <f>'All Combined Data'!Q83</f>
        <v>Anthony Randhawa</v>
      </c>
      <c r="S85" s="2" t="str">
        <f>'All Combined Data'!R83</f>
        <v>abhiram90@example.net</v>
      </c>
      <c r="T85" s="2">
        <f>'All Combined Data'!S83</f>
        <v>7439533942</v>
      </c>
      <c r="U85" s="2" t="str">
        <f>'All Combined Data'!T83</f>
        <v>Lucknow</v>
      </c>
      <c r="V85" s="2" t="str">
        <f>'All Combined Data'!U83</f>
        <v>Uttar Pradesh</v>
      </c>
      <c r="W85" s="2">
        <f>'All Combined Data'!V83</f>
        <v>47095</v>
      </c>
      <c r="X85" s="2" t="str">
        <f>'All Combined Data'!W83</f>
        <v>Male</v>
      </c>
      <c r="Y85" s="14">
        <f>'All Combined Data'!X83</f>
        <v>25014</v>
      </c>
      <c r="Z85" s="2">
        <f>'All Combined Data'!Y83</f>
        <v>44308</v>
      </c>
      <c r="AA85" s="2" t="str">
        <f>'All Combined Data'!Z83</f>
        <v>Electronics</v>
      </c>
      <c r="AB85" s="2">
        <f>'All Combined Data'!AA83</f>
        <v>6968</v>
      </c>
      <c r="AC85" s="2" t="str">
        <f>'All Combined Data'!AB83</f>
        <v>Married</v>
      </c>
      <c r="AD85" s="2" t="str">
        <f>'All Combined Data'!AC83</f>
        <v>Teacher</v>
      </c>
      <c r="AE85" s="2">
        <f>'All Combined Data'!AD83</f>
        <v>628362</v>
      </c>
      <c r="AF85" s="2" t="str">
        <f>'All Combined Data'!AE83</f>
        <v>P123</v>
      </c>
      <c r="AG85" s="2" t="str">
        <f>'All Combined Data'!AF83</f>
        <v>Perspiciatis TV</v>
      </c>
      <c r="AH85" s="2" t="str">
        <f>'All Combined Data'!AG83</f>
        <v>Grocery</v>
      </c>
      <c r="AI85" s="2" t="str">
        <f>'All Combined Data'!AH83</f>
        <v>Notebook</v>
      </c>
      <c r="AJ85" s="2" t="str">
        <f>'All Combined Data'!AI83</f>
        <v>Merchant Group</v>
      </c>
      <c r="AK85" s="2">
        <f>'All Combined Data'!AJ83</f>
        <v>19394</v>
      </c>
      <c r="AL85" s="2">
        <f>'All Combined Data'!AK83</f>
        <v>18</v>
      </c>
      <c r="AM85" s="2">
        <f>'All Combined Data'!AL83</f>
        <v>891</v>
      </c>
      <c r="AN85" s="2">
        <f>'All Combined Data'!AM83</f>
        <v>12</v>
      </c>
      <c r="AO85" s="2" t="str">
        <f>'All Combined Data'!AN83</f>
        <v>India</v>
      </c>
      <c r="AP85" s="2" t="str">
        <f>'All Combined Data'!AO83</f>
        <v>No</v>
      </c>
      <c r="AQ85" s="2">
        <f>'All Combined Data'!AP83</f>
        <v>4.5</v>
      </c>
      <c r="AR85" s="14">
        <f>'All Combined Data'!AQ83</f>
        <v>44892</v>
      </c>
      <c r="AS85" s="2" t="str">
        <f>'All Combined Data'!AR83</f>
        <v>No</v>
      </c>
      <c r="AT85" s="2">
        <f>'All Combined Data'!AS83</f>
        <v>6547</v>
      </c>
      <c r="AU85" s="2">
        <f>'All Combined Data'!AT83</f>
        <v>61</v>
      </c>
      <c r="AV85" s="2">
        <f>'All Combined Data'!AU83</f>
        <v>61</v>
      </c>
      <c r="AW85" s="2" t="str">
        <f>'All Combined Data'!AV83</f>
        <v>S061</v>
      </c>
      <c r="AX85" s="2" t="str">
        <f>'All Combined Data'!AW83</f>
        <v>Swamy-Guha Mart</v>
      </c>
      <c r="AY85" s="2" t="str">
        <f>'All Combined Data'!AX83</f>
        <v>Mumbai</v>
      </c>
      <c r="AZ85" s="2" t="str">
        <f>'All Combined Data'!AY83</f>
        <v>Maharashtra</v>
      </c>
      <c r="BA85" s="2">
        <f>'All Combined Data'!AZ83</f>
        <v>20802</v>
      </c>
      <c r="BB85" s="2" t="str">
        <f>'All Combined Data'!BA83</f>
        <v>Baghyawati Luthra</v>
      </c>
      <c r="BC85" s="2">
        <f>'All Combined Data'!BB83</f>
        <v>2006</v>
      </c>
      <c r="BD85" s="2">
        <f>'All Combined Data'!BC83</f>
        <v>87</v>
      </c>
      <c r="BE85" s="2">
        <f>'All Combined Data'!BD83</f>
        <v>15530</v>
      </c>
      <c r="BF85" s="2">
        <f>'All Combined Data'!BE83</f>
        <v>4.5999999999999996</v>
      </c>
      <c r="BG85" s="2" t="str">
        <f>'All Combined Data'!BF83</f>
        <v>Yes</v>
      </c>
      <c r="BH85" s="2">
        <f>'All Combined Data'!BG83</f>
        <v>3216</v>
      </c>
      <c r="BI85" s="2" t="str">
        <f>'All Combined Data'!BH83</f>
        <v>Retail</v>
      </c>
      <c r="BJ85" s="2">
        <f>'All Combined Data'!BI83</f>
        <v>917031207356</v>
      </c>
      <c r="BK85" s="2" t="str">
        <f>'All Combined Data'!BJ83</f>
        <v>wishi57@balay.com</v>
      </c>
      <c r="BL85" s="2">
        <f>Combined_data[[#This Row],[Quantity]]*Combined_data[[#This Row],[UnitPrice]]</f>
        <v>77576</v>
      </c>
      <c r="BM85" s="2">
        <f>Combined_data[[#This Row],[TotalAmount]]*(100-Combined_data[[#This Row],[DiscountApplied]])/100</f>
        <v>58077.272399999994</v>
      </c>
      <c r="BN85" s="2">
        <f>Combined_data[[#This Row],[Reveune]]-Combined_data[[#This Row],[Final Amount]]</f>
        <v>19498.727600000006</v>
      </c>
    </row>
    <row r="86" spans="2:66" x14ac:dyDescent="0.3">
      <c r="B86" s="2" t="str">
        <f>'All Combined Data'!A84</f>
        <v>O1083</v>
      </c>
      <c r="C86" s="2" t="str">
        <f>'All Combined Data'!B84</f>
        <v>C051</v>
      </c>
      <c r="D86" s="2" t="str">
        <f>'All Combined Data'!C84</f>
        <v>P147</v>
      </c>
      <c r="E86" s="14">
        <f>'All Combined Data'!D84</f>
        <v>45525</v>
      </c>
      <c r="F86" s="2">
        <f>'All Combined Data'!E84</f>
        <v>1</v>
      </c>
      <c r="G86" s="2">
        <f>'All Combined Data'!F84</f>
        <v>72764</v>
      </c>
      <c r="H86" s="2">
        <f>'All Combined Data'!G84</f>
        <v>363820</v>
      </c>
      <c r="I86" s="2">
        <f>'All Combined Data'!H84</f>
        <v>0.28000000000000003</v>
      </c>
      <c r="J86" s="2" t="str">
        <f>'All Combined Data'!I84</f>
        <v>Debit Card</v>
      </c>
      <c r="K86" s="2" t="str">
        <f>'All Combined Data'!J84</f>
        <v>Shipped</v>
      </c>
      <c r="L86" s="14">
        <f>'All Combined Data'!K84</f>
        <v>45856</v>
      </c>
      <c r="M86" s="2" t="str">
        <f>'All Combined Data'!L84</f>
        <v>Yes</v>
      </c>
      <c r="N86" s="2">
        <f>'All Combined Data'!M84</f>
        <v>487</v>
      </c>
      <c r="O86" s="2" t="str">
        <f>'All Combined Data'!N84</f>
        <v>No</v>
      </c>
      <c r="P86" s="2" t="str">
        <f>'All Combined Data'!O84</f>
        <v>Yes</v>
      </c>
      <c r="Q86" s="2" t="str">
        <f>'All Combined Data'!P84</f>
        <v>C051</v>
      </c>
      <c r="R86" s="2" t="str">
        <f>'All Combined Data'!Q84</f>
        <v>Nandini Boase</v>
      </c>
      <c r="S86" s="2" t="str">
        <f>'All Combined Data'!R84</f>
        <v>azaanchand@example.net</v>
      </c>
      <c r="T86" s="2">
        <f>'All Combined Data'!S84</f>
        <v>3667525459</v>
      </c>
      <c r="U86" s="2" t="str">
        <f>'All Combined Data'!T84</f>
        <v>Delhi</v>
      </c>
      <c r="V86" s="2" t="str">
        <f>'All Combined Data'!U84</f>
        <v>Delhi</v>
      </c>
      <c r="W86" s="2">
        <f>'All Combined Data'!V84</f>
        <v>22901</v>
      </c>
      <c r="X86" s="2" t="str">
        <f>'All Combined Data'!W84</f>
        <v>Female</v>
      </c>
      <c r="Y86" s="14">
        <f>'All Combined Data'!X84</f>
        <v>28511</v>
      </c>
      <c r="Z86" s="2">
        <f>'All Combined Data'!Y84</f>
        <v>45404</v>
      </c>
      <c r="AA86" s="2" t="str">
        <f>'All Combined Data'!Z84</f>
        <v>Home Appliance</v>
      </c>
      <c r="AB86" s="2">
        <f>'All Combined Data'!AA84</f>
        <v>7141</v>
      </c>
      <c r="AC86" s="2" t="str">
        <f>'All Combined Data'!AB84</f>
        <v>Single</v>
      </c>
      <c r="AD86" s="2" t="str">
        <f>'All Combined Data'!AC84</f>
        <v>Engineer</v>
      </c>
      <c r="AE86" s="2">
        <f>'All Combined Data'!AD84</f>
        <v>846464</v>
      </c>
      <c r="AF86" s="2" t="str">
        <f>'All Combined Data'!AE84</f>
        <v>P147</v>
      </c>
      <c r="AG86" s="2" t="str">
        <f>'All Combined Data'!AF84</f>
        <v>Earum Laptop</v>
      </c>
      <c r="AH86" s="2" t="str">
        <f>'All Combined Data'!AG84</f>
        <v>Electronics</v>
      </c>
      <c r="AI86" s="2" t="str">
        <f>'All Combined Data'!AH84</f>
        <v>Notebook</v>
      </c>
      <c r="AJ86" s="2" t="str">
        <f>'All Combined Data'!AI84</f>
        <v>Tiwari-Talwar</v>
      </c>
      <c r="AK86" s="2">
        <f>'All Combined Data'!AJ84</f>
        <v>72764</v>
      </c>
      <c r="AL86" s="2">
        <f>'All Combined Data'!AK84</f>
        <v>28</v>
      </c>
      <c r="AM86" s="2">
        <f>'All Combined Data'!AL84</f>
        <v>886</v>
      </c>
      <c r="AN86" s="2">
        <f>'All Combined Data'!AM84</f>
        <v>12</v>
      </c>
      <c r="AO86" s="2" t="str">
        <f>'All Combined Data'!AN84</f>
        <v>Japan</v>
      </c>
      <c r="AP86" s="2" t="str">
        <f>'All Combined Data'!AO84</f>
        <v>No</v>
      </c>
      <c r="AQ86" s="2">
        <f>'All Combined Data'!AP84</f>
        <v>4.7</v>
      </c>
      <c r="AR86" s="14">
        <f>'All Combined Data'!AQ84</f>
        <v>45394</v>
      </c>
      <c r="AS86" s="2" t="str">
        <f>'All Combined Data'!AR84</f>
        <v>No</v>
      </c>
      <c r="AT86" s="2">
        <f>'All Combined Data'!AS84</f>
        <v>6554</v>
      </c>
      <c r="AU86" s="2">
        <f>'All Combined Data'!AT84</f>
        <v>30</v>
      </c>
      <c r="AV86" s="2">
        <f>'All Combined Data'!AU84</f>
        <v>30</v>
      </c>
      <c r="AW86" s="2" t="str">
        <f>'All Combined Data'!AV84</f>
        <v>S030</v>
      </c>
      <c r="AX86" s="2" t="str">
        <f>'All Combined Data'!AW84</f>
        <v>Desai, Tara and Agrawal Mart</v>
      </c>
      <c r="AY86" s="2" t="str">
        <f>'All Combined Data'!AX84</f>
        <v>Bangalore</v>
      </c>
      <c r="AZ86" s="2" t="str">
        <f>'All Combined Data'!AY84</f>
        <v>Karnataka</v>
      </c>
      <c r="BA86" s="2">
        <f>'All Combined Data'!AZ84</f>
        <v>869782</v>
      </c>
      <c r="BB86" s="2" t="str">
        <f>'All Combined Data'!BA84</f>
        <v>Kabir Chawla</v>
      </c>
      <c r="BC86" s="2">
        <f>'All Combined Data'!BB84</f>
        <v>2015</v>
      </c>
      <c r="BD86" s="2">
        <f>'All Combined Data'!BC84</f>
        <v>14</v>
      </c>
      <c r="BE86" s="2">
        <f>'All Combined Data'!BD84</f>
        <v>1546</v>
      </c>
      <c r="BF86" s="2">
        <f>'All Combined Data'!BE84</f>
        <v>4.2</v>
      </c>
      <c r="BG86" s="2" t="str">
        <f>'All Combined Data'!BF84</f>
        <v>Yes</v>
      </c>
      <c r="BH86" s="2">
        <f>'All Combined Data'!BG84</f>
        <v>2647</v>
      </c>
      <c r="BI86" s="2" t="str">
        <f>'All Combined Data'!BH84</f>
        <v>Retail</v>
      </c>
      <c r="BJ86" s="2">
        <f>'All Combined Data'!BI84</f>
        <v>9958669346</v>
      </c>
      <c r="BK86" s="2" t="str">
        <f>'All Combined Data'!BJ84</f>
        <v>chaitaly72@sachar.net</v>
      </c>
      <c r="BL86" s="2">
        <f>Combined_data[[#This Row],[Quantity]]*Combined_data[[#This Row],[UnitPrice]]</f>
        <v>72764</v>
      </c>
      <c r="BM86" s="2">
        <f>Combined_data[[#This Row],[TotalAmount]]*(100-Combined_data[[#This Row],[DiscountApplied]])/100</f>
        <v>362801.304</v>
      </c>
      <c r="BN86" s="2">
        <f>Combined_data[[#This Row],[Reveune]]-Combined_data[[#This Row],[Final Amount]]</f>
        <v>-290037.304</v>
      </c>
    </row>
    <row r="87" spans="2:66" x14ac:dyDescent="0.3">
      <c r="B87" s="2" t="str">
        <f>'All Combined Data'!A85</f>
        <v>O1084</v>
      </c>
      <c r="C87" s="2" t="str">
        <f>'All Combined Data'!B85</f>
        <v>C057</v>
      </c>
      <c r="D87" s="2" t="str">
        <f>'All Combined Data'!C85</f>
        <v>P138</v>
      </c>
      <c r="E87" s="14">
        <f>'All Combined Data'!D85</f>
        <v>45846</v>
      </c>
      <c r="F87" s="2">
        <f>'All Combined Data'!E85</f>
        <v>1</v>
      </c>
      <c r="G87" s="2">
        <f>'All Combined Data'!F85</f>
        <v>97904</v>
      </c>
      <c r="H87" s="2">
        <f>'All Combined Data'!G85</f>
        <v>391616</v>
      </c>
      <c r="I87" s="2">
        <f>'All Combined Data'!H85</f>
        <v>0.27</v>
      </c>
      <c r="J87" s="2" t="str">
        <f>'All Combined Data'!I85</f>
        <v>Net Banking</v>
      </c>
      <c r="K87" s="2" t="str">
        <f>'All Combined Data'!J85</f>
        <v>Shipped</v>
      </c>
      <c r="L87" s="14">
        <f>'All Combined Data'!K85</f>
        <v>45860</v>
      </c>
      <c r="M87" s="2" t="str">
        <f>'All Combined Data'!L85</f>
        <v>No</v>
      </c>
      <c r="N87" s="2">
        <f>'All Combined Data'!M85</f>
        <v>123</v>
      </c>
      <c r="O87" s="2" t="str">
        <f>'All Combined Data'!N85</f>
        <v>No</v>
      </c>
      <c r="P87" s="2" t="str">
        <f>'All Combined Data'!O85</f>
        <v>Yes</v>
      </c>
      <c r="Q87" s="2" t="str">
        <f>'All Combined Data'!P85</f>
        <v>C057</v>
      </c>
      <c r="R87" s="2" t="str">
        <f>'All Combined Data'!Q85</f>
        <v>Vamakshi Thaker</v>
      </c>
      <c r="S87" s="2" t="str">
        <f>'All Combined Data'!R85</f>
        <v>davidseshadri@example.org</v>
      </c>
      <c r="T87" s="2">
        <f>'All Combined Data'!S85</f>
        <v>1820377889</v>
      </c>
      <c r="U87" s="2" t="str">
        <f>'All Combined Data'!T85</f>
        <v>Hyderabad</v>
      </c>
      <c r="V87" s="2" t="str">
        <f>'All Combined Data'!U85</f>
        <v>Telangana</v>
      </c>
      <c r="W87" s="2">
        <f>'All Combined Data'!V85</f>
        <v>554665</v>
      </c>
      <c r="X87" s="2" t="str">
        <f>'All Combined Data'!W85</f>
        <v>Female</v>
      </c>
      <c r="Y87" s="14">
        <f>'All Combined Data'!X85</f>
        <v>38622</v>
      </c>
      <c r="Z87" s="2">
        <f>'All Combined Data'!Y85</f>
        <v>44190</v>
      </c>
      <c r="AA87" s="2" t="str">
        <f>'All Combined Data'!Z85</f>
        <v>Fashion</v>
      </c>
      <c r="AB87" s="2">
        <f>'All Combined Data'!AA85</f>
        <v>4664</v>
      </c>
      <c r="AC87" s="2" t="str">
        <f>'All Combined Data'!AB85</f>
        <v>Single</v>
      </c>
      <c r="AD87" s="2" t="str">
        <f>'All Combined Data'!AC85</f>
        <v>Teacher</v>
      </c>
      <c r="AE87" s="2">
        <f>'All Combined Data'!AD85</f>
        <v>936406</v>
      </c>
      <c r="AF87" s="2" t="str">
        <f>'All Combined Data'!AE85</f>
        <v>P138</v>
      </c>
      <c r="AG87" s="2" t="str">
        <f>'All Combined Data'!AF85</f>
        <v>Molestias Phone</v>
      </c>
      <c r="AH87" s="2" t="str">
        <f>'All Combined Data'!AG85</f>
        <v>Grocery</v>
      </c>
      <c r="AI87" s="2" t="str">
        <f>'All Combined Data'!AH85</f>
        <v>Notebook</v>
      </c>
      <c r="AJ87" s="2" t="str">
        <f>'All Combined Data'!AI85</f>
        <v>Ramanathan, Comar and Pall</v>
      </c>
      <c r="AK87" s="2">
        <f>'All Combined Data'!AJ85</f>
        <v>97904</v>
      </c>
      <c r="AL87" s="2">
        <f>'All Combined Data'!AK85</f>
        <v>27</v>
      </c>
      <c r="AM87" s="2">
        <f>'All Combined Data'!AL85</f>
        <v>968</v>
      </c>
      <c r="AN87" s="2">
        <f>'All Combined Data'!AM85</f>
        <v>36</v>
      </c>
      <c r="AO87" s="2" t="str">
        <f>'All Combined Data'!AN85</f>
        <v>China</v>
      </c>
      <c r="AP87" s="2" t="str">
        <f>'All Combined Data'!AO85</f>
        <v>No</v>
      </c>
      <c r="AQ87" s="2">
        <f>'All Combined Data'!AP85</f>
        <v>4.0999999999999996</v>
      </c>
      <c r="AR87" s="14">
        <f>'All Combined Data'!AQ85</f>
        <v>45305</v>
      </c>
      <c r="AS87" s="2" t="str">
        <f>'All Combined Data'!AR85</f>
        <v>No</v>
      </c>
      <c r="AT87" s="2">
        <f>'All Combined Data'!AS85</f>
        <v>7687</v>
      </c>
      <c r="AU87" s="2">
        <f>'All Combined Data'!AT85</f>
        <v>74</v>
      </c>
      <c r="AV87" s="2">
        <f>'All Combined Data'!AU85</f>
        <v>74</v>
      </c>
      <c r="AW87" s="2" t="str">
        <f>'All Combined Data'!AV85</f>
        <v>S074</v>
      </c>
      <c r="AX87" s="2" t="str">
        <f>'All Combined Data'!AW85</f>
        <v>Madan Inc Mart</v>
      </c>
      <c r="AY87" s="2" t="str">
        <f>'All Combined Data'!AX85</f>
        <v>Pune</v>
      </c>
      <c r="AZ87" s="2" t="str">
        <f>'All Combined Data'!AY85</f>
        <v>Maharashtra</v>
      </c>
      <c r="BA87" s="2">
        <f>'All Combined Data'!AZ85</f>
        <v>16451</v>
      </c>
      <c r="BB87" s="2" t="str">
        <f>'All Combined Data'!BA85</f>
        <v>Brinda Raju</v>
      </c>
      <c r="BC87" s="2">
        <f>'All Combined Data'!BB85</f>
        <v>2015</v>
      </c>
      <c r="BD87" s="2">
        <f>'All Combined Data'!BC85</f>
        <v>5</v>
      </c>
      <c r="BE87" s="2">
        <f>'All Combined Data'!BD85</f>
        <v>11870</v>
      </c>
      <c r="BF87" s="2">
        <f>'All Combined Data'!BE85</f>
        <v>4.8</v>
      </c>
      <c r="BG87" s="2" t="str">
        <f>'All Combined Data'!BF85</f>
        <v>Yes</v>
      </c>
      <c r="BH87" s="2">
        <f>'All Combined Data'!BG85</f>
        <v>1568</v>
      </c>
      <c r="BI87" s="2" t="str">
        <f>'All Combined Data'!BH85</f>
        <v>Franchise</v>
      </c>
      <c r="BJ87" s="2">
        <f>'All Combined Data'!BI85</f>
        <v>916815798123</v>
      </c>
      <c r="BK87" s="2" t="str">
        <f>'All Combined Data'!BJ85</f>
        <v>cbains@wagle.com</v>
      </c>
      <c r="BL87" s="2">
        <f>Combined_data[[#This Row],[Quantity]]*Combined_data[[#This Row],[UnitPrice]]</f>
        <v>97904</v>
      </c>
      <c r="BM87" s="2">
        <f>Combined_data[[#This Row],[TotalAmount]]*(100-Combined_data[[#This Row],[DiscountApplied]])/100</f>
        <v>390558.63679999998</v>
      </c>
      <c r="BN87" s="2">
        <f>Combined_data[[#This Row],[Reveune]]-Combined_data[[#This Row],[Final Amount]]</f>
        <v>-292654.63679999998</v>
      </c>
    </row>
    <row r="88" spans="2:66" x14ac:dyDescent="0.3">
      <c r="B88" s="2" t="str">
        <f>'All Combined Data'!A86</f>
        <v>O1085</v>
      </c>
      <c r="C88" s="2" t="str">
        <f>'All Combined Data'!B86</f>
        <v>C092</v>
      </c>
      <c r="D88" s="2" t="str">
        <f>'All Combined Data'!C86</f>
        <v>P155</v>
      </c>
      <c r="E88" s="14">
        <f>'All Combined Data'!D86</f>
        <v>45837</v>
      </c>
      <c r="F88" s="2">
        <f>'All Combined Data'!E86</f>
        <v>4</v>
      </c>
      <c r="G88" s="2">
        <f>'All Combined Data'!F86</f>
        <v>56076</v>
      </c>
      <c r="H88" s="2">
        <f>'All Combined Data'!G86</f>
        <v>56076</v>
      </c>
      <c r="I88" s="2">
        <f>'All Combined Data'!H86</f>
        <v>0.2</v>
      </c>
      <c r="J88" s="2" t="str">
        <f>'All Combined Data'!I86</f>
        <v>Net Banking</v>
      </c>
      <c r="K88" s="2" t="str">
        <f>'All Combined Data'!J86</f>
        <v>Cancelled</v>
      </c>
      <c r="L88" s="14">
        <f>'All Combined Data'!K86</f>
        <v>45867</v>
      </c>
      <c r="M88" s="2" t="str">
        <f>'All Combined Data'!L86</f>
        <v>No</v>
      </c>
      <c r="N88" s="2">
        <f>'All Combined Data'!M86</f>
        <v>273</v>
      </c>
      <c r="O88" s="2" t="str">
        <f>'All Combined Data'!N86</f>
        <v>No</v>
      </c>
      <c r="P88" s="2" t="str">
        <f>'All Combined Data'!O86</f>
        <v>Yes</v>
      </c>
      <c r="Q88" s="2" t="str">
        <f>'All Combined Data'!P86</f>
        <v>C092</v>
      </c>
      <c r="R88" s="2" t="str">
        <f>'All Combined Data'!Q86</f>
        <v>Ranveer Dalal</v>
      </c>
      <c r="S88" s="2" t="str">
        <f>'All Combined Data'!R86</f>
        <v>skibe@example.net</v>
      </c>
      <c r="T88" s="2">
        <f>'All Combined Data'!S86</f>
        <v>3638546785</v>
      </c>
      <c r="U88" s="2" t="str">
        <f>'All Combined Data'!T86</f>
        <v>Pune</v>
      </c>
      <c r="V88" s="2" t="str">
        <f>'All Combined Data'!U86</f>
        <v>Maharashtra</v>
      </c>
      <c r="W88" s="2">
        <f>'All Combined Data'!V86</f>
        <v>458771</v>
      </c>
      <c r="X88" s="2" t="str">
        <f>'All Combined Data'!W86</f>
        <v>Female</v>
      </c>
      <c r="Y88" s="14">
        <f>'All Combined Data'!X86</f>
        <v>33417</v>
      </c>
      <c r="Z88" s="2">
        <f>'All Combined Data'!Y86</f>
        <v>45022</v>
      </c>
      <c r="AA88" s="2" t="str">
        <f>'All Combined Data'!Z86</f>
        <v>Electronics</v>
      </c>
      <c r="AB88" s="2">
        <f>'All Combined Data'!AA86</f>
        <v>6982</v>
      </c>
      <c r="AC88" s="2" t="str">
        <f>'All Combined Data'!AB86</f>
        <v>Married</v>
      </c>
      <c r="AD88" s="2" t="str">
        <f>'All Combined Data'!AC86</f>
        <v>Engineer</v>
      </c>
      <c r="AE88" s="2">
        <f>'All Combined Data'!AD86</f>
        <v>1109164</v>
      </c>
      <c r="AF88" s="2" t="str">
        <f>'All Combined Data'!AE86</f>
        <v>P155</v>
      </c>
      <c r="AG88" s="2" t="str">
        <f>'All Combined Data'!AF86</f>
        <v>Odio Washing Machine</v>
      </c>
      <c r="AH88" s="2" t="str">
        <f>'All Combined Data'!AG86</f>
        <v>Fashion</v>
      </c>
      <c r="AI88" s="2" t="str">
        <f>'All Combined Data'!AH86</f>
        <v>Notebook</v>
      </c>
      <c r="AJ88" s="2" t="str">
        <f>'All Combined Data'!AI86</f>
        <v>Pall-Chahal</v>
      </c>
      <c r="AK88" s="2">
        <f>'All Combined Data'!AJ86</f>
        <v>56076</v>
      </c>
      <c r="AL88" s="2">
        <f>'All Combined Data'!AK86</f>
        <v>20</v>
      </c>
      <c r="AM88" s="2">
        <f>'All Combined Data'!AL86</f>
        <v>621</v>
      </c>
      <c r="AN88" s="2">
        <f>'All Combined Data'!AM86</f>
        <v>36</v>
      </c>
      <c r="AO88" s="2" t="str">
        <f>'All Combined Data'!AN86</f>
        <v>Japan</v>
      </c>
      <c r="AP88" s="2" t="str">
        <f>'All Combined Data'!AO86</f>
        <v>No</v>
      </c>
      <c r="AQ88" s="2">
        <f>'All Combined Data'!AP86</f>
        <v>3</v>
      </c>
      <c r="AR88" s="14">
        <f>'All Combined Data'!AQ86</f>
        <v>45441</v>
      </c>
      <c r="AS88" s="2" t="str">
        <f>'All Combined Data'!AR86</f>
        <v>Yes</v>
      </c>
      <c r="AT88" s="2">
        <f>'All Combined Data'!AS86</f>
        <v>6656</v>
      </c>
      <c r="AU88" s="2">
        <f>'All Combined Data'!AT86</f>
        <v>94</v>
      </c>
      <c r="AV88" s="2">
        <f>'All Combined Data'!AU86</f>
        <v>94</v>
      </c>
      <c r="AW88" s="2" t="str">
        <f>'All Combined Data'!AV86</f>
        <v>S094</v>
      </c>
      <c r="AX88" s="2" t="str">
        <f>'All Combined Data'!AW86</f>
        <v>Sahni-Dube Mart</v>
      </c>
      <c r="AY88" s="2" t="str">
        <f>'All Combined Data'!AX86</f>
        <v>Hyderabad</v>
      </c>
      <c r="AZ88" s="2" t="str">
        <f>'All Combined Data'!AY86</f>
        <v>Telangana</v>
      </c>
      <c r="BA88" s="2">
        <f>'All Combined Data'!AZ86</f>
        <v>220102</v>
      </c>
      <c r="BB88" s="2" t="str">
        <f>'All Combined Data'!BA86</f>
        <v>Rajeshri Deshpande</v>
      </c>
      <c r="BC88" s="2">
        <f>'All Combined Data'!BB86</f>
        <v>2008</v>
      </c>
      <c r="BD88" s="2">
        <f>'All Combined Data'!BC86</f>
        <v>77</v>
      </c>
      <c r="BE88" s="2">
        <f>'All Combined Data'!BD86</f>
        <v>3019</v>
      </c>
      <c r="BF88" s="2">
        <f>'All Combined Data'!BE86</f>
        <v>3.3</v>
      </c>
      <c r="BG88" s="2" t="str">
        <f>'All Combined Data'!BF86</f>
        <v>Yes</v>
      </c>
      <c r="BH88" s="2">
        <f>'All Combined Data'!BG86</f>
        <v>1202</v>
      </c>
      <c r="BI88" s="2" t="str">
        <f>'All Combined Data'!BH86</f>
        <v>Outlet</v>
      </c>
      <c r="BJ88" s="2">
        <f>'All Combined Data'!BI86</f>
        <v>912679692786</v>
      </c>
      <c r="BK88" s="2" t="str">
        <f>'All Combined Data'!BJ86</f>
        <v>wrajagopalan@grewal.org</v>
      </c>
      <c r="BL88" s="2">
        <f>Combined_data[[#This Row],[Quantity]]*Combined_data[[#This Row],[UnitPrice]]</f>
        <v>224304</v>
      </c>
      <c r="BM88" s="2">
        <f>Combined_data[[#This Row],[TotalAmount]]*(100-Combined_data[[#This Row],[DiscountApplied]])/100</f>
        <v>55963.847999999998</v>
      </c>
      <c r="BN88" s="2">
        <f>Combined_data[[#This Row],[Reveune]]-Combined_data[[#This Row],[Final Amount]]</f>
        <v>168340.152</v>
      </c>
    </row>
    <row r="89" spans="2:66" x14ac:dyDescent="0.3">
      <c r="B89" s="2" t="str">
        <f>'All Combined Data'!A87</f>
        <v>O1086</v>
      </c>
      <c r="C89" s="2" t="str">
        <f>'All Combined Data'!B87</f>
        <v>C047</v>
      </c>
      <c r="D89" s="2" t="str">
        <f>'All Combined Data'!C87</f>
        <v>P190</v>
      </c>
      <c r="E89" s="14">
        <f>'All Combined Data'!D87</f>
        <v>45649</v>
      </c>
      <c r="F89" s="2">
        <f>'All Combined Data'!E87</f>
        <v>5</v>
      </c>
      <c r="G89" s="2">
        <f>'All Combined Data'!F87</f>
        <v>10335</v>
      </c>
      <c r="H89" s="2">
        <f>'All Combined Data'!G87</f>
        <v>51675</v>
      </c>
      <c r="I89" s="2">
        <f>'All Combined Data'!H87</f>
        <v>0.26</v>
      </c>
      <c r="J89" s="2" t="str">
        <f>'All Combined Data'!I87</f>
        <v>Credit Card</v>
      </c>
      <c r="K89" s="2" t="str">
        <f>'All Combined Data'!J87</f>
        <v>Delivered</v>
      </c>
      <c r="L89" s="14">
        <f>'All Combined Data'!K87</f>
        <v>45864</v>
      </c>
      <c r="M89" s="2" t="str">
        <f>'All Combined Data'!L87</f>
        <v>Yes</v>
      </c>
      <c r="N89" s="2">
        <f>'All Combined Data'!M87</f>
        <v>336</v>
      </c>
      <c r="O89" s="2" t="str">
        <f>'All Combined Data'!N87</f>
        <v>No</v>
      </c>
      <c r="P89" s="2" t="str">
        <f>'All Combined Data'!O87</f>
        <v>Yes</v>
      </c>
      <c r="Q89" s="2" t="str">
        <f>'All Combined Data'!P87</f>
        <v>C047</v>
      </c>
      <c r="R89" s="2" t="str">
        <f>'All Combined Data'!Q87</f>
        <v>Caleb Verma</v>
      </c>
      <c r="S89" s="2" t="str">
        <f>'All Combined Data'!R87</f>
        <v>tara00@example.com</v>
      </c>
      <c r="T89" s="2">
        <f>'All Combined Data'!S87</f>
        <v>6177115921</v>
      </c>
      <c r="U89" s="2" t="str">
        <f>'All Combined Data'!T87</f>
        <v>Mumbai</v>
      </c>
      <c r="V89" s="2" t="str">
        <f>'All Combined Data'!U87</f>
        <v>Maharashtra</v>
      </c>
      <c r="W89" s="2">
        <f>'All Combined Data'!V87</f>
        <v>499856</v>
      </c>
      <c r="X89" s="2" t="str">
        <f>'All Combined Data'!W87</f>
        <v>Male</v>
      </c>
      <c r="Y89" s="14">
        <f>'All Combined Data'!X87</f>
        <v>36596</v>
      </c>
      <c r="Z89" s="2">
        <f>'All Combined Data'!Y87</f>
        <v>45676</v>
      </c>
      <c r="AA89" s="2" t="str">
        <f>'All Combined Data'!Z87</f>
        <v>Fashion</v>
      </c>
      <c r="AB89" s="2">
        <f>'All Combined Data'!AA87</f>
        <v>4716</v>
      </c>
      <c r="AC89" s="2" t="str">
        <f>'All Combined Data'!AB87</f>
        <v>Single</v>
      </c>
      <c r="AD89" s="2" t="str">
        <f>'All Combined Data'!AC87</f>
        <v>Teacher</v>
      </c>
      <c r="AE89" s="2">
        <f>'All Combined Data'!AD87</f>
        <v>626974</v>
      </c>
      <c r="AF89" s="2" t="str">
        <f>'All Combined Data'!AE87</f>
        <v>P190</v>
      </c>
      <c r="AG89" s="2" t="str">
        <f>'All Combined Data'!AF87</f>
        <v>Sapiente Laptop</v>
      </c>
      <c r="AH89" s="2" t="str">
        <f>'All Combined Data'!AG87</f>
        <v>Fashion</v>
      </c>
      <c r="AI89" s="2" t="str">
        <f>'All Combined Data'!AH87</f>
        <v>LED</v>
      </c>
      <c r="AJ89" s="2" t="str">
        <f>'All Combined Data'!AI87</f>
        <v>Mane, Bala and Mitra</v>
      </c>
      <c r="AK89" s="2">
        <f>'All Combined Data'!AJ87</f>
        <v>10335</v>
      </c>
      <c r="AL89" s="2">
        <f>'All Combined Data'!AK87</f>
        <v>26</v>
      </c>
      <c r="AM89" s="2">
        <f>'All Combined Data'!AL87</f>
        <v>652</v>
      </c>
      <c r="AN89" s="2">
        <f>'All Combined Data'!AM87</f>
        <v>36</v>
      </c>
      <c r="AO89" s="2" t="str">
        <f>'All Combined Data'!AN87</f>
        <v>Vietnam</v>
      </c>
      <c r="AP89" s="2" t="str">
        <f>'All Combined Data'!AO87</f>
        <v>Yes</v>
      </c>
      <c r="AQ89" s="2">
        <f>'All Combined Data'!AP87</f>
        <v>4.9000000000000004</v>
      </c>
      <c r="AR89" s="14">
        <f>'All Combined Data'!AQ87</f>
        <v>45078</v>
      </c>
      <c r="AS89" s="2" t="str">
        <f>'All Combined Data'!AR87</f>
        <v>Yes</v>
      </c>
      <c r="AT89" s="2">
        <f>'All Combined Data'!AS87</f>
        <v>8180</v>
      </c>
      <c r="AU89" s="2">
        <f>'All Combined Data'!AT87</f>
        <v>8</v>
      </c>
      <c r="AV89" s="2">
        <f>'All Combined Data'!AU87</f>
        <v>8</v>
      </c>
      <c r="AW89" s="2" t="str">
        <f>'All Combined Data'!AV87</f>
        <v>S008</v>
      </c>
      <c r="AX89" s="2" t="str">
        <f>'All Combined Data'!AW87</f>
        <v>Palan LLC Mart</v>
      </c>
      <c r="AY89" s="2" t="str">
        <f>'All Combined Data'!AX87</f>
        <v>Delhi</v>
      </c>
      <c r="AZ89" s="2" t="str">
        <f>'All Combined Data'!AY87</f>
        <v>Delhi</v>
      </c>
      <c r="BA89" s="2">
        <f>'All Combined Data'!AZ87</f>
        <v>157043</v>
      </c>
      <c r="BB89" s="2" t="str">
        <f>'All Combined Data'!BA87</f>
        <v>Ekansh Palla</v>
      </c>
      <c r="BC89" s="2">
        <f>'All Combined Data'!BB87</f>
        <v>2018</v>
      </c>
      <c r="BD89" s="2">
        <f>'All Combined Data'!BC87</f>
        <v>49</v>
      </c>
      <c r="BE89" s="2">
        <f>'All Combined Data'!BD87</f>
        <v>18441</v>
      </c>
      <c r="BF89" s="2">
        <f>'All Combined Data'!BE87</f>
        <v>3.6</v>
      </c>
      <c r="BG89" s="2" t="str">
        <f>'All Combined Data'!BF87</f>
        <v>Yes</v>
      </c>
      <c r="BH89" s="2">
        <f>'All Combined Data'!BG87</f>
        <v>3151</v>
      </c>
      <c r="BI89" s="2" t="str">
        <f>'All Combined Data'!BH87</f>
        <v>Outlet</v>
      </c>
      <c r="BJ89" s="2">
        <f>'All Combined Data'!BI87</f>
        <v>1006762676</v>
      </c>
      <c r="BK89" s="2" t="str">
        <f>'All Combined Data'!BJ87</f>
        <v>keya17@kar.com</v>
      </c>
      <c r="BL89" s="2">
        <f>Combined_data[[#This Row],[Quantity]]*Combined_data[[#This Row],[UnitPrice]]</f>
        <v>51675</v>
      </c>
      <c r="BM89" s="2">
        <f>Combined_data[[#This Row],[TotalAmount]]*(100-Combined_data[[#This Row],[DiscountApplied]])/100</f>
        <v>51540.644999999997</v>
      </c>
      <c r="BN89" s="2">
        <f>Combined_data[[#This Row],[Reveune]]-Combined_data[[#This Row],[Final Amount]]</f>
        <v>134.3550000000032</v>
      </c>
    </row>
    <row r="90" spans="2:66" x14ac:dyDescent="0.3">
      <c r="B90" s="2" t="str">
        <f>'All Combined Data'!A88</f>
        <v>O1087</v>
      </c>
      <c r="C90" s="2" t="str">
        <f>'All Combined Data'!B88</f>
        <v>C083</v>
      </c>
      <c r="D90" s="2" t="str">
        <f>'All Combined Data'!C88</f>
        <v>P179</v>
      </c>
      <c r="E90" s="14">
        <f>'All Combined Data'!D88</f>
        <v>45667</v>
      </c>
      <c r="F90" s="2">
        <f>'All Combined Data'!E88</f>
        <v>1</v>
      </c>
      <c r="G90" s="2">
        <f>'All Combined Data'!F88</f>
        <v>59299</v>
      </c>
      <c r="H90" s="2">
        <f>'All Combined Data'!G88</f>
        <v>296495</v>
      </c>
      <c r="I90" s="2">
        <f>'All Combined Data'!H88</f>
        <v>0.24</v>
      </c>
      <c r="J90" s="2" t="str">
        <f>'All Combined Data'!I88</f>
        <v>Net Banking</v>
      </c>
      <c r="K90" s="2" t="str">
        <f>'All Combined Data'!J88</f>
        <v>Pending</v>
      </c>
      <c r="L90" s="14">
        <f>'All Combined Data'!K88</f>
        <v>45857</v>
      </c>
      <c r="M90" s="2" t="str">
        <f>'All Combined Data'!L88</f>
        <v>No</v>
      </c>
      <c r="N90" s="2">
        <f>'All Combined Data'!M88</f>
        <v>54</v>
      </c>
      <c r="O90" s="2" t="str">
        <f>'All Combined Data'!N88</f>
        <v>Yes</v>
      </c>
      <c r="P90" s="2" t="str">
        <f>'All Combined Data'!O88</f>
        <v>Yes</v>
      </c>
      <c r="Q90" s="2" t="str">
        <f>'All Combined Data'!P88</f>
        <v>C083</v>
      </c>
      <c r="R90" s="2" t="str">
        <f>'All Combined Data'!Q88</f>
        <v>Aarini Grewal</v>
      </c>
      <c r="S90" s="2" t="str">
        <f>'All Combined Data'!R88</f>
        <v>nazarethchakrika@example.net</v>
      </c>
      <c r="T90" s="2">
        <f>'All Combined Data'!S88</f>
        <v>3296685161</v>
      </c>
      <c r="U90" s="2" t="str">
        <f>'All Combined Data'!T88</f>
        <v>Jaipur</v>
      </c>
      <c r="V90" s="2" t="str">
        <f>'All Combined Data'!U88</f>
        <v>Rajasthan</v>
      </c>
      <c r="W90" s="2">
        <f>'All Combined Data'!V88</f>
        <v>275304</v>
      </c>
      <c r="X90" s="2" t="str">
        <f>'All Combined Data'!W88</f>
        <v>Male</v>
      </c>
      <c r="Y90" s="14">
        <f>'All Combined Data'!X88</f>
        <v>31281</v>
      </c>
      <c r="Z90" s="2">
        <f>'All Combined Data'!Y88</f>
        <v>44759</v>
      </c>
      <c r="AA90" s="2" t="str">
        <f>'All Combined Data'!Z88</f>
        <v>Grocery</v>
      </c>
      <c r="AB90" s="2">
        <f>'All Combined Data'!AA88</f>
        <v>3077</v>
      </c>
      <c r="AC90" s="2" t="str">
        <f>'All Combined Data'!AB88</f>
        <v>Single</v>
      </c>
      <c r="AD90" s="2" t="str">
        <f>'All Combined Data'!AC88</f>
        <v>Teacher</v>
      </c>
      <c r="AE90" s="2">
        <f>'All Combined Data'!AD88</f>
        <v>995038</v>
      </c>
      <c r="AF90" s="2" t="str">
        <f>'All Combined Data'!AE88</f>
        <v>P179</v>
      </c>
      <c r="AG90" s="2" t="str">
        <f>'All Combined Data'!AF88</f>
        <v>Delectus Laptop</v>
      </c>
      <c r="AH90" s="2" t="str">
        <f>'All Combined Data'!AG88</f>
        <v>Home Appliance</v>
      </c>
      <c r="AI90" s="2" t="str">
        <f>'All Combined Data'!AH88</f>
        <v>Android</v>
      </c>
      <c r="AJ90" s="2" t="str">
        <f>'All Combined Data'!AI88</f>
        <v>Kara, Venkataraman and Saxena</v>
      </c>
      <c r="AK90" s="2">
        <f>'All Combined Data'!AJ88</f>
        <v>59299</v>
      </c>
      <c r="AL90" s="2">
        <f>'All Combined Data'!AK88</f>
        <v>24</v>
      </c>
      <c r="AM90" s="2">
        <f>'All Combined Data'!AL88</f>
        <v>5</v>
      </c>
      <c r="AN90" s="2">
        <f>'All Combined Data'!AM88</f>
        <v>6</v>
      </c>
      <c r="AO90" s="2" t="str">
        <f>'All Combined Data'!AN88</f>
        <v>India</v>
      </c>
      <c r="AP90" s="2" t="str">
        <f>'All Combined Data'!AO88</f>
        <v>No</v>
      </c>
      <c r="AQ90" s="2">
        <f>'All Combined Data'!AP88</f>
        <v>3</v>
      </c>
      <c r="AR90" s="14">
        <f>'All Combined Data'!AQ88</f>
        <v>44773</v>
      </c>
      <c r="AS90" s="2" t="str">
        <f>'All Combined Data'!AR88</f>
        <v>Yes</v>
      </c>
      <c r="AT90" s="2">
        <f>'All Combined Data'!AS88</f>
        <v>9992</v>
      </c>
      <c r="AU90" s="2">
        <f>'All Combined Data'!AT88</f>
        <v>88</v>
      </c>
      <c r="AV90" s="2">
        <f>'All Combined Data'!AU88</f>
        <v>88</v>
      </c>
      <c r="AW90" s="2" t="str">
        <f>'All Combined Data'!AV88</f>
        <v>S088</v>
      </c>
      <c r="AX90" s="2" t="str">
        <f>'All Combined Data'!AW88</f>
        <v>Muni Ltd Mart</v>
      </c>
      <c r="AY90" s="2" t="str">
        <f>'All Combined Data'!AX88</f>
        <v>Delhi</v>
      </c>
      <c r="AZ90" s="2" t="str">
        <f>'All Combined Data'!AY88</f>
        <v>Delhi</v>
      </c>
      <c r="BA90" s="2">
        <f>'All Combined Data'!AZ88</f>
        <v>533448</v>
      </c>
      <c r="BB90" s="2" t="str">
        <f>'All Combined Data'!BA88</f>
        <v>Ridhi Dalal</v>
      </c>
      <c r="BC90" s="2">
        <f>'All Combined Data'!BB88</f>
        <v>2003</v>
      </c>
      <c r="BD90" s="2">
        <f>'All Combined Data'!BC88</f>
        <v>47</v>
      </c>
      <c r="BE90" s="2">
        <f>'All Combined Data'!BD88</f>
        <v>7735</v>
      </c>
      <c r="BF90" s="2">
        <f>'All Combined Data'!BE88</f>
        <v>4.9000000000000004</v>
      </c>
      <c r="BG90" s="2" t="str">
        <f>'All Combined Data'!BF88</f>
        <v>No</v>
      </c>
      <c r="BH90" s="2">
        <f>'All Combined Data'!BG88</f>
        <v>4924</v>
      </c>
      <c r="BI90" s="2" t="str">
        <f>'All Combined Data'!BH88</f>
        <v>Franchise</v>
      </c>
      <c r="BJ90" s="2">
        <f>'All Combined Data'!BI88</f>
        <v>2241098813</v>
      </c>
      <c r="BK90" s="2" t="str">
        <f>'All Combined Data'!BJ88</f>
        <v>eiravati42@mander.com</v>
      </c>
      <c r="BL90" s="2">
        <f>Combined_data[[#This Row],[Quantity]]*Combined_data[[#This Row],[UnitPrice]]</f>
        <v>59299</v>
      </c>
      <c r="BM90" s="2">
        <f>Combined_data[[#This Row],[TotalAmount]]*(100-Combined_data[[#This Row],[DiscountApplied]])/100</f>
        <v>295783.41200000001</v>
      </c>
      <c r="BN90" s="2">
        <f>Combined_data[[#This Row],[Reveune]]-Combined_data[[#This Row],[Final Amount]]</f>
        <v>-236484.41200000001</v>
      </c>
    </row>
    <row r="91" spans="2:66" x14ac:dyDescent="0.3">
      <c r="B91" s="2" t="str">
        <f>'All Combined Data'!A89</f>
        <v>O1088</v>
      </c>
      <c r="C91" s="2" t="str">
        <f>'All Combined Data'!B89</f>
        <v>C034</v>
      </c>
      <c r="D91" s="2" t="str">
        <f>'All Combined Data'!C89</f>
        <v>P129</v>
      </c>
      <c r="E91" s="14">
        <f>'All Combined Data'!D89</f>
        <v>45714</v>
      </c>
      <c r="F91" s="2">
        <f>'All Combined Data'!E89</f>
        <v>5</v>
      </c>
      <c r="G91" s="2">
        <f>'All Combined Data'!F89</f>
        <v>39710</v>
      </c>
      <c r="H91" s="2">
        <f>'All Combined Data'!G89</f>
        <v>198550</v>
      </c>
      <c r="I91" s="2">
        <f>'All Combined Data'!H89</f>
        <v>0.25</v>
      </c>
      <c r="J91" s="2" t="str">
        <f>'All Combined Data'!I89</f>
        <v>Cash on Delivery</v>
      </c>
      <c r="K91" s="2" t="str">
        <f>'All Combined Data'!J89</f>
        <v>Shipped</v>
      </c>
      <c r="L91" s="14">
        <f>'All Combined Data'!K89</f>
        <v>45857</v>
      </c>
      <c r="M91" s="2" t="str">
        <f>'All Combined Data'!L89</f>
        <v>No</v>
      </c>
      <c r="N91" s="2">
        <f>'All Combined Data'!M89</f>
        <v>191</v>
      </c>
      <c r="O91" s="2" t="str">
        <f>'All Combined Data'!N89</f>
        <v>No</v>
      </c>
      <c r="P91" s="2" t="str">
        <f>'All Combined Data'!O89</f>
        <v>No</v>
      </c>
      <c r="Q91" s="2" t="str">
        <f>'All Combined Data'!P89</f>
        <v>C034</v>
      </c>
      <c r="R91" s="2" t="str">
        <f>'All Combined Data'!Q89</f>
        <v>Nandini Bansal</v>
      </c>
      <c r="S91" s="2" t="str">
        <f>'All Combined Data'!R89</f>
        <v>uchakrabarti@example.com</v>
      </c>
      <c r="T91" s="2">
        <f>'All Combined Data'!S89</f>
        <v>1680876038</v>
      </c>
      <c r="U91" s="2" t="str">
        <f>'All Combined Data'!T89</f>
        <v>Pune</v>
      </c>
      <c r="V91" s="2" t="str">
        <f>'All Combined Data'!U89</f>
        <v>Maharashtra</v>
      </c>
      <c r="W91" s="2">
        <f>'All Combined Data'!V89</f>
        <v>977034</v>
      </c>
      <c r="X91" s="2" t="str">
        <f>'All Combined Data'!W89</f>
        <v>Male</v>
      </c>
      <c r="Y91" s="14">
        <f>'All Combined Data'!X89</f>
        <v>35398</v>
      </c>
      <c r="Z91" s="2">
        <f>'All Combined Data'!Y89</f>
        <v>44435</v>
      </c>
      <c r="AA91" s="2" t="str">
        <f>'All Combined Data'!Z89</f>
        <v>Electronics</v>
      </c>
      <c r="AB91" s="2">
        <f>'All Combined Data'!AA89</f>
        <v>3972</v>
      </c>
      <c r="AC91" s="2" t="str">
        <f>'All Combined Data'!AB89</f>
        <v>Single</v>
      </c>
      <c r="AD91" s="2" t="str">
        <f>'All Combined Data'!AC89</f>
        <v>Business</v>
      </c>
      <c r="AE91" s="2">
        <f>'All Combined Data'!AD89</f>
        <v>1218463</v>
      </c>
      <c r="AF91" s="2" t="str">
        <f>'All Combined Data'!AE89</f>
        <v>P129</v>
      </c>
      <c r="AG91" s="2" t="str">
        <f>'All Combined Data'!AF89</f>
        <v>Corrupti Phone</v>
      </c>
      <c r="AH91" s="2" t="str">
        <f>'All Combined Data'!AG89</f>
        <v>Grocery</v>
      </c>
      <c r="AI91" s="2" t="str">
        <f>'All Combined Data'!AH89</f>
        <v>Organic</v>
      </c>
      <c r="AJ91" s="2" t="str">
        <f>'All Combined Data'!AI89</f>
        <v>Gala, Kohli and Varty</v>
      </c>
      <c r="AK91" s="2">
        <f>'All Combined Data'!AJ89</f>
        <v>39710</v>
      </c>
      <c r="AL91" s="2">
        <f>'All Combined Data'!AK89</f>
        <v>25</v>
      </c>
      <c r="AM91" s="2">
        <f>'All Combined Data'!AL89</f>
        <v>985</v>
      </c>
      <c r="AN91" s="2">
        <f>'All Combined Data'!AM89</f>
        <v>36</v>
      </c>
      <c r="AO91" s="2" t="str">
        <f>'All Combined Data'!AN89</f>
        <v>Vietnam</v>
      </c>
      <c r="AP91" s="2" t="str">
        <f>'All Combined Data'!AO89</f>
        <v>No</v>
      </c>
      <c r="AQ91" s="2">
        <f>'All Combined Data'!AP89</f>
        <v>4.5999999999999996</v>
      </c>
      <c r="AR91" s="14">
        <f>'All Combined Data'!AQ89</f>
        <v>45030</v>
      </c>
      <c r="AS91" s="2" t="str">
        <f>'All Combined Data'!AR89</f>
        <v>Yes</v>
      </c>
      <c r="AT91" s="2">
        <f>'All Combined Data'!AS89</f>
        <v>7303</v>
      </c>
      <c r="AU91" s="2">
        <f>'All Combined Data'!AT89</f>
        <v>157</v>
      </c>
      <c r="AV91" s="2">
        <f>'All Combined Data'!AU89</f>
        <v>157</v>
      </c>
      <c r="AW91" s="2" t="str">
        <f>'All Combined Data'!AV89</f>
        <v/>
      </c>
      <c r="AX91" s="2" t="str">
        <f>'All Combined Data'!AW89</f>
        <v/>
      </c>
      <c r="AY91" s="2" t="str">
        <f>'All Combined Data'!AX89</f>
        <v/>
      </c>
      <c r="AZ91" s="2" t="str">
        <f>'All Combined Data'!AY89</f>
        <v/>
      </c>
      <c r="BA91" s="2" t="str">
        <f>'All Combined Data'!AZ89</f>
        <v/>
      </c>
      <c r="BB91" s="2" t="str">
        <f>'All Combined Data'!BA89</f>
        <v/>
      </c>
      <c r="BC91" s="2" t="str">
        <f>'All Combined Data'!BB89</f>
        <v/>
      </c>
      <c r="BD91" s="2" t="str">
        <f>'All Combined Data'!BC89</f>
        <v/>
      </c>
      <c r="BE91" s="2" t="str">
        <f>'All Combined Data'!BD89</f>
        <v/>
      </c>
      <c r="BF91" s="2" t="str">
        <f>'All Combined Data'!BE89</f>
        <v/>
      </c>
      <c r="BG91" s="2" t="str">
        <f>'All Combined Data'!BF89</f>
        <v/>
      </c>
      <c r="BH91" s="2" t="str">
        <f>'All Combined Data'!BG89</f>
        <v/>
      </c>
      <c r="BI91" s="2" t="str">
        <f>'All Combined Data'!BH89</f>
        <v/>
      </c>
      <c r="BJ91" s="2" t="str">
        <f>'All Combined Data'!BI89</f>
        <v/>
      </c>
      <c r="BK91" s="2" t="str">
        <f>'All Combined Data'!BJ89</f>
        <v/>
      </c>
      <c r="BL91" s="2">
        <f>Combined_data[[#This Row],[Quantity]]*Combined_data[[#This Row],[UnitPrice]]</f>
        <v>198550</v>
      </c>
      <c r="BM91" s="2">
        <f>Combined_data[[#This Row],[TotalAmount]]*(100-Combined_data[[#This Row],[DiscountApplied]])/100</f>
        <v>198053.625</v>
      </c>
      <c r="BN91" s="2">
        <f>Combined_data[[#This Row],[Reveune]]-Combined_data[[#This Row],[Final Amount]]</f>
        <v>496.375</v>
      </c>
    </row>
    <row r="92" spans="2:66" x14ac:dyDescent="0.3">
      <c r="B92" s="2" t="str">
        <f>'All Combined Data'!A90</f>
        <v>O1089</v>
      </c>
      <c r="C92" s="2" t="str">
        <f>'All Combined Data'!B90</f>
        <v>C099</v>
      </c>
      <c r="D92" s="2" t="str">
        <f>'All Combined Data'!C90</f>
        <v>P187</v>
      </c>
      <c r="E92" s="14">
        <f>'All Combined Data'!D90</f>
        <v>45685</v>
      </c>
      <c r="F92" s="2">
        <f>'All Combined Data'!E90</f>
        <v>5</v>
      </c>
      <c r="G92" s="2">
        <f>'All Combined Data'!F90</f>
        <v>52931</v>
      </c>
      <c r="H92" s="2">
        <f>'All Combined Data'!G90</f>
        <v>264655</v>
      </c>
      <c r="I92" s="2">
        <f>'All Combined Data'!H90</f>
        <v>0.28000000000000003</v>
      </c>
      <c r="J92" s="2" t="str">
        <f>'All Combined Data'!I90</f>
        <v>Debit Card</v>
      </c>
      <c r="K92" s="2" t="str">
        <f>'All Combined Data'!J90</f>
        <v>Pending</v>
      </c>
      <c r="L92" s="14">
        <f>'All Combined Data'!K90</f>
        <v>45858</v>
      </c>
      <c r="M92" s="2" t="str">
        <f>'All Combined Data'!L90</f>
        <v>Yes</v>
      </c>
      <c r="N92" s="2">
        <f>'All Combined Data'!M90</f>
        <v>247</v>
      </c>
      <c r="O92" s="2" t="str">
        <f>'All Combined Data'!N90</f>
        <v>Yes</v>
      </c>
      <c r="P92" s="2" t="str">
        <f>'All Combined Data'!O90</f>
        <v>No</v>
      </c>
      <c r="Q92" s="2" t="str">
        <f>'All Combined Data'!P90</f>
        <v>C099</v>
      </c>
      <c r="R92" s="2" t="str">
        <f>'All Combined Data'!Q90</f>
        <v>Frederick Merchant</v>
      </c>
      <c r="S92" s="2" t="str">
        <f>'All Combined Data'!R90</f>
        <v>ethanbutala@example.com</v>
      </c>
      <c r="T92" s="2">
        <f>'All Combined Data'!S90</f>
        <v>916265511047</v>
      </c>
      <c r="U92" s="2" t="str">
        <f>'All Combined Data'!T90</f>
        <v>Pune</v>
      </c>
      <c r="V92" s="2" t="str">
        <f>'All Combined Data'!U90</f>
        <v>Maharashtra</v>
      </c>
      <c r="W92" s="2">
        <f>'All Combined Data'!V90</f>
        <v>412126</v>
      </c>
      <c r="X92" s="2" t="str">
        <f>'All Combined Data'!W90</f>
        <v>Male</v>
      </c>
      <c r="Y92" s="14">
        <f>'All Combined Data'!X90</f>
        <v>32904</v>
      </c>
      <c r="Z92" s="2">
        <f>'All Combined Data'!Y90</f>
        <v>45758</v>
      </c>
      <c r="AA92" s="2" t="str">
        <f>'All Combined Data'!Z90</f>
        <v>Grocery</v>
      </c>
      <c r="AB92" s="2">
        <f>'All Combined Data'!AA90</f>
        <v>8141</v>
      </c>
      <c r="AC92" s="2" t="str">
        <f>'All Combined Data'!AB90</f>
        <v>Married</v>
      </c>
      <c r="AD92" s="2" t="str">
        <f>'All Combined Data'!AC90</f>
        <v>Engineer</v>
      </c>
      <c r="AE92" s="2">
        <f>'All Combined Data'!AD90</f>
        <v>395147</v>
      </c>
      <c r="AF92" s="2" t="str">
        <f>'All Combined Data'!AE90</f>
        <v>P187</v>
      </c>
      <c r="AG92" s="2" t="str">
        <f>'All Combined Data'!AF90</f>
        <v>Commodi Phone</v>
      </c>
      <c r="AH92" s="2" t="str">
        <f>'All Combined Data'!AG90</f>
        <v>Electronics</v>
      </c>
      <c r="AI92" s="2" t="str">
        <f>'All Combined Data'!AH90</f>
        <v>Android</v>
      </c>
      <c r="AJ92" s="2" t="str">
        <f>'All Combined Data'!AI90</f>
        <v>Dey Inc</v>
      </c>
      <c r="AK92" s="2">
        <f>'All Combined Data'!AJ90</f>
        <v>52931</v>
      </c>
      <c r="AL92" s="2">
        <f>'All Combined Data'!AK90</f>
        <v>28</v>
      </c>
      <c r="AM92" s="2">
        <f>'All Combined Data'!AL90</f>
        <v>450</v>
      </c>
      <c r="AN92" s="2">
        <f>'All Combined Data'!AM90</f>
        <v>36</v>
      </c>
      <c r="AO92" s="2" t="str">
        <f>'All Combined Data'!AN90</f>
        <v>Vietnam</v>
      </c>
      <c r="AP92" s="2" t="str">
        <f>'All Combined Data'!AO90</f>
        <v>Yes</v>
      </c>
      <c r="AQ92" s="2">
        <f>'All Combined Data'!AP90</f>
        <v>3.7</v>
      </c>
      <c r="AR92" s="14">
        <f>'All Combined Data'!AQ90</f>
        <v>45674</v>
      </c>
      <c r="AS92" s="2" t="str">
        <f>'All Combined Data'!AR90</f>
        <v>No</v>
      </c>
      <c r="AT92" s="2">
        <f>'All Combined Data'!AS90</f>
        <v>7019</v>
      </c>
      <c r="AU92" s="2">
        <f>'All Combined Data'!AT90</f>
        <v>148</v>
      </c>
      <c r="AV92" s="2">
        <f>'All Combined Data'!AU90</f>
        <v>148</v>
      </c>
      <c r="AW92" s="2" t="str">
        <f>'All Combined Data'!AV90</f>
        <v/>
      </c>
      <c r="AX92" s="2" t="str">
        <f>'All Combined Data'!AW90</f>
        <v/>
      </c>
      <c r="AY92" s="2" t="str">
        <f>'All Combined Data'!AX90</f>
        <v/>
      </c>
      <c r="AZ92" s="2" t="str">
        <f>'All Combined Data'!AY90</f>
        <v/>
      </c>
      <c r="BA92" s="2" t="str">
        <f>'All Combined Data'!AZ90</f>
        <v/>
      </c>
      <c r="BB92" s="2" t="str">
        <f>'All Combined Data'!BA90</f>
        <v/>
      </c>
      <c r="BC92" s="2" t="str">
        <f>'All Combined Data'!BB90</f>
        <v/>
      </c>
      <c r="BD92" s="2" t="str">
        <f>'All Combined Data'!BC90</f>
        <v/>
      </c>
      <c r="BE92" s="2" t="str">
        <f>'All Combined Data'!BD90</f>
        <v/>
      </c>
      <c r="BF92" s="2" t="str">
        <f>'All Combined Data'!BE90</f>
        <v/>
      </c>
      <c r="BG92" s="2" t="str">
        <f>'All Combined Data'!BF90</f>
        <v/>
      </c>
      <c r="BH92" s="2" t="str">
        <f>'All Combined Data'!BG90</f>
        <v/>
      </c>
      <c r="BI92" s="2" t="str">
        <f>'All Combined Data'!BH90</f>
        <v/>
      </c>
      <c r="BJ92" s="2" t="str">
        <f>'All Combined Data'!BI90</f>
        <v/>
      </c>
      <c r="BK92" s="2" t="str">
        <f>'All Combined Data'!BJ90</f>
        <v/>
      </c>
      <c r="BL92" s="2">
        <f>Combined_data[[#This Row],[Quantity]]*Combined_data[[#This Row],[UnitPrice]]</f>
        <v>264655</v>
      </c>
      <c r="BM92" s="2">
        <f>Combined_data[[#This Row],[TotalAmount]]*(100-Combined_data[[#This Row],[DiscountApplied]])/100</f>
        <v>263913.96600000001</v>
      </c>
      <c r="BN92" s="2">
        <f>Combined_data[[#This Row],[Reveune]]-Combined_data[[#This Row],[Final Amount]]</f>
        <v>741.0339999999851</v>
      </c>
    </row>
    <row r="93" spans="2:66" x14ac:dyDescent="0.3">
      <c r="B93" s="2" t="str">
        <f>'All Combined Data'!A91</f>
        <v>O1090</v>
      </c>
      <c r="C93" s="2" t="str">
        <f>'All Combined Data'!B91</f>
        <v>C054</v>
      </c>
      <c r="D93" s="2" t="str">
        <f>'All Combined Data'!C91</f>
        <v>P111</v>
      </c>
      <c r="E93" s="14">
        <f>'All Combined Data'!D91</f>
        <v>45736</v>
      </c>
      <c r="F93" s="2">
        <f>'All Combined Data'!E91</f>
        <v>1</v>
      </c>
      <c r="G93" s="2">
        <f>'All Combined Data'!F91</f>
        <v>90766</v>
      </c>
      <c r="H93" s="2">
        <f>'All Combined Data'!G91</f>
        <v>181532</v>
      </c>
      <c r="I93" s="2">
        <f>'All Combined Data'!H91</f>
        <v>0.14000000000000001</v>
      </c>
      <c r="J93" s="2" t="str">
        <f>'All Combined Data'!I91</f>
        <v>UPI</v>
      </c>
      <c r="K93" s="2" t="str">
        <f>'All Combined Data'!J91</f>
        <v>Pending</v>
      </c>
      <c r="L93" s="14">
        <f>'All Combined Data'!K91</f>
        <v>45864</v>
      </c>
      <c r="M93" s="2" t="str">
        <f>'All Combined Data'!L91</f>
        <v>No</v>
      </c>
      <c r="N93" s="2">
        <f>'All Combined Data'!M91</f>
        <v>233</v>
      </c>
      <c r="O93" s="2" t="str">
        <f>'All Combined Data'!N91</f>
        <v>Yes</v>
      </c>
      <c r="P93" s="2" t="str">
        <f>'All Combined Data'!O91</f>
        <v>No</v>
      </c>
      <c r="Q93" s="2" t="str">
        <f>'All Combined Data'!P91</f>
        <v>C054</v>
      </c>
      <c r="R93" s="2" t="str">
        <f>'All Combined Data'!Q91</f>
        <v>Ishwar Ravel</v>
      </c>
      <c r="S93" s="2" t="str">
        <f>'All Combined Data'!R91</f>
        <v>naironveer@example.net</v>
      </c>
      <c r="T93" s="2">
        <f>'All Combined Data'!S91</f>
        <v>5161369681</v>
      </c>
      <c r="U93" s="2" t="str">
        <f>'All Combined Data'!T91</f>
        <v>Delhi</v>
      </c>
      <c r="V93" s="2" t="str">
        <f>'All Combined Data'!U91</f>
        <v>Delhi</v>
      </c>
      <c r="W93" s="2">
        <f>'All Combined Data'!V91</f>
        <v>453521</v>
      </c>
      <c r="X93" s="2" t="str">
        <f>'All Combined Data'!W91</f>
        <v>Male</v>
      </c>
      <c r="Y93" s="14">
        <f>'All Combined Data'!X91</f>
        <v>34436</v>
      </c>
      <c r="Z93" s="2">
        <f>'All Combined Data'!Y91</f>
        <v>44382</v>
      </c>
      <c r="AA93" s="2" t="str">
        <f>'All Combined Data'!Z91</f>
        <v>Fashion</v>
      </c>
      <c r="AB93" s="2">
        <f>'All Combined Data'!AA91</f>
        <v>6845</v>
      </c>
      <c r="AC93" s="2" t="str">
        <f>'All Combined Data'!AB91</f>
        <v>Single</v>
      </c>
      <c r="AD93" s="2" t="str">
        <f>'All Combined Data'!AC91</f>
        <v>Teacher</v>
      </c>
      <c r="AE93" s="2">
        <f>'All Combined Data'!AD91</f>
        <v>533862</v>
      </c>
      <c r="AF93" s="2" t="str">
        <f>'All Combined Data'!AE91</f>
        <v>P111</v>
      </c>
      <c r="AG93" s="2" t="str">
        <f>'All Combined Data'!AF91</f>
        <v>Ducimus TV</v>
      </c>
      <c r="AH93" s="2" t="str">
        <f>'All Combined Data'!AG91</f>
        <v>Grocery</v>
      </c>
      <c r="AI93" s="2" t="str">
        <f>'All Combined Data'!AH91</f>
        <v>Android</v>
      </c>
      <c r="AJ93" s="2" t="str">
        <f>'All Combined Data'!AI91</f>
        <v>Bala, Shenoy and Kadakia</v>
      </c>
      <c r="AK93" s="2">
        <f>'All Combined Data'!AJ91</f>
        <v>90766</v>
      </c>
      <c r="AL93" s="2">
        <f>'All Combined Data'!AK91</f>
        <v>14</v>
      </c>
      <c r="AM93" s="2">
        <f>'All Combined Data'!AL91</f>
        <v>716</v>
      </c>
      <c r="AN93" s="2">
        <f>'All Combined Data'!AM91</f>
        <v>36</v>
      </c>
      <c r="AO93" s="2" t="str">
        <f>'All Combined Data'!AN91</f>
        <v>Vietnam</v>
      </c>
      <c r="AP93" s="2" t="str">
        <f>'All Combined Data'!AO91</f>
        <v>No</v>
      </c>
      <c r="AQ93" s="2">
        <f>'All Combined Data'!AP91</f>
        <v>3.6</v>
      </c>
      <c r="AR93" s="14">
        <f>'All Combined Data'!AQ91</f>
        <v>45440</v>
      </c>
      <c r="AS93" s="2" t="str">
        <f>'All Combined Data'!AR91</f>
        <v>Yes</v>
      </c>
      <c r="AT93" s="2">
        <f>'All Combined Data'!AS91</f>
        <v>8079</v>
      </c>
      <c r="AU93" s="2">
        <f>'All Combined Data'!AT91</f>
        <v>71</v>
      </c>
      <c r="AV93" s="2">
        <f>'All Combined Data'!AU91</f>
        <v>71</v>
      </c>
      <c r="AW93" s="2" t="str">
        <f>'All Combined Data'!AV91</f>
        <v>S071</v>
      </c>
      <c r="AX93" s="2" t="str">
        <f>'All Combined Data'!AW91</f>
        <v>Thaman-Chana Mart</v>
      </c>
      <c r="AY93" s="2" t="str">
        <f>'All Combined Data'!AX91</f>
        <v>Bangalore</v>
      </c>
      <c r="AZ93" s="2" t="str">
        <f>'All Combined Data'!AY91</f>
        <v>Karnataka</v>
      </c>
      <c r="BA93" s="2">
        <f>'All Combined Data'!AZ91</f>
        <v>646225</v>
      </c>
      <c r="BB93" s="2" t="str">
        <f>'All Combined Data'!BA91</f>
        <v>Vamakshi Bawa</v>
      </c>
      <c r="BC93" s="2">
        <f>'All Combined Data'!BB91</f>
        <v>2005</v>
      </c>
      <c r="BD93" s="2">
        <f>'All Combined Data'!BC91</f>
        <v>35</v>
      </c>
      <c r="BE93" s="2">
        <f>'All Combined Data'!BD91</f>
        <v>11420</v>
      </c>
      <c r="BF93" s="2">
        <f>'All Combined Data'!BE91</f>
        <v>4.5999999999999996</v>
      </c>
      <c r="BG93" s="2" t="str">
        <f>'All Combined Data'!BF91</f>
        <v>No</v>
      </c>
      <c r="BH93" s="2">
        <f>'All Combined Data'!BG91</f>
        <v>731</v>
      </c>
      <c r="BI93" s="2" t="str">
        <f>'All Combined Data'!BH91</f>
        <v>Outlet</v>
      </c>
      <c r="BJ93" s="2">
        <f>'All Combined Data'!BI91</f>
        <v>6416862278</v>
      </c>
      <c r="BK93" s="2" t="str">
        <f>'All Combined Data'!BJ91</f>
        <v>vinayarana@hayre.com</v>
      </c>
      <c r="BL93" s="2">
        <f>Combined_data[[#This Row],[Quantity]]*Combined_data[[#This Row],[UnitPrice]]</f>
        <v>90766</v>
      </c>
      <c r="BM93" s="2">
        <f>Combined_data[[#This Row],[TotalAmount]]*(100-Combined_data[[#This Row],[DiscountApplied]])/100</f>
        <v>181277.85519999999</v>
      </c>
      <c r="BN93" s="2">
        <f>Combined_data[[#This Row],[Reveune]]-Combined_data[[#This Row],[Final Amount]]</f>
        <v>-90511.855199999991</v>
      </c>
    </row>
    <row r="94" spans="2:66" x14ac:dyDescent="0.3">
      <c r="B94" s="2" t="str">
        <f>'All Combined Data'!A92</f>
        <v>O1091</v>
      </c>
      <c r="C94" s="2" t="str">
        <f>'All Combined Data'!B92</f>
        <v>C045</v>
      </c>
      <c r="D94" s="2" t="str">
        <f>'All Combined Data'!C92</f>
        <v>P161</v>
      </c>
      <c r="E94" s="14">
        <f>'All Combined Data'!D92</f>
        <v>45518</v>
      </c>
      <c r="F94" s="2">
        <f>'All Combined Data'!E92</f>
        <v>1</v>
      </c>
      <c r="G94" s="2">
        <f>'All Combined Data'!F92</f>
        <v>98254</v>
      </c>
      <c r="H94" s="2">
        <f>'All Combined Data'!G92</f>
        <v>393016</v>
      </c>
      <c r="I94" s="2">
        <f>'All Combined Data'!H92</f>
        <v>0.15</v>
      </c>
      <c r="J94" s="2" t="str">
        <f>'All Combined Data'!I92</f>
        <v>Net Banking</v>
      </c>
      <c r="K94" s="2" t="str">
        <f>'All Combined Data'!J92</f>
        <v>Pending</v>
      </c>
      <c r="L94" s="14">
        <f>'All Combined Data'!K92</f>
        <v>45869</v>
      </c>
      <c r="M94" s="2" t="str">
        <f>'All Combined Data'!L92</f>
        <v>Yes</v>
      </c>
      <c r="N94" s="2">
        <f>'All Combined Data'!M92</f>
        <v>153</v>
      </c>
      <c r="O94" s="2" t="str">
        <f>'All Combined Data'!N92</f>
        <v>Yes</v>
      </c>
      <c r="P94" s="2" t="str">
        <f>'All Combined Data'!O92</f>
        <v>Yes</v>
      </c>
      <c r="Q94" s="2" t="str">
        <f>'All Combined Data'!P92</f>
        <v>C045</v>
      </c>
      <c r="R94" s="2" t="str">
        <f>'All Combined Data'!Q92</f>
        <v>Darsh Rao</v>
      </c>
      <c r="S94" s="2" t="str">
        <f>'All Combined Data'!R92</f>
        <v>ranveer17@example.org</v>
      </c>
      <c r="T94" s="2">
        <f>'All Combined Data'!S92</f>
        <v>3900532931</v>
      </c>
      <c r="U94" s="2" t="str">
        <f>'All Combined Data'!T92</f>
        <v>Chennai</v>
      </c>
      <c r="V94" s="2" t="str">
        <f>'All Combined Data'!U92</f>
        <v>Tamil Nadu</v>
      </c>
      <c r="W94" s="2">
        <f>'All Combined Data'!V92</f>
        <v>933529</v>
      </c>
      <c r="X94" s="2" t="str">
        <f>'All Combined Data'!W92</f>
        <v>Male</v>
      </c>
      <c r="Y94" s="14">
        <f>'All Combined Data'!X92</f>
        <v>21818</v>
      </c>
      <c r="Z94" s="2">
        <f>'All Combined Data'!Y92</f>
        <v>44889</v>
      </c>
      <c r="AA94" s="2" t="str">
        <f>'All Combined Data'!Z92</f>
        <v>Grocery</v>
      </c>
      <c r="AB94" s="2">
        <f>'All Combined Data'!AA92</f>
        <v>9000</v>
      </c>
      <c r="AC94" s="2" t="str">
        <f>'All Combined Data'!AB92</f>
        <v>Married</v>
      </c>
      <c r="AD94" s="2" t="str">
        <f>'All Combined Data'!AC92</f>
        <v>Student</v>
      </c>
      <c r="AE94" s="2">
        <f>'All Combined Data'!AD92</f>
        <v>1892611</v>
      </c>
      <c r="AF94" s="2" t="str">
        <f>'All Combined Data'!AE92</f>
        <v>P161</v>
      </c>
      <c r="AG94" s="2" t="str">
        <f>'All Combined Data'!AF92</f>
        <v>Veritatis Washing Machine</v>
      </c>
      <c r="AH94" s="2" t="str">
        <f>'All Combined Data'!AG92</f>
        <v>Electronics</v>
      </c>
      <c r="AI94" s="2" t="str">
        <f>'All Combined Data'!AH92</f>
        <v>Cotton</v>
      </c>
      <c r="AJ94" s="2" t="str">
        <f>'All Combined Data'!AI92</f>
        <v>Deshmukh Group</v>
      </c>
      <c r="AK94" s="2">
        <f>'All Combined Data'!AJ92</f>
        <v>98254</v>
      </c>
      <c r="AL94" s="2">
        <f>'All Combined Data'!AK92</f>
        <v>15</v>
      </c>
      <c r="AM94" s="2">
        <f>'All Combined Data'!AL92</f>
        <v>226</v>
      </c>
      <c r="AN94" s="2">
        <f>'All Combined Data'!AM92</f>
        <v>24</v>
      </c>
      <c r="AO94" s="2" t="str">
        <f>'All Combined Data'!AN92</f>
        <v>China</v>
      </c>
      <c r="AP94" s="2" t="str">
        <f>'All Combined Data'!AO92</f>
        <v>Yes</v>
      </c>
      <c r="AQ94" s="2">
        <f>'All Combined Data'!AP92</f>
        <v>3.8</v>
      </c>
      <c r="AR94" s="14">
        <f>'All Combined Data'!AQ92</f>
        <v>44851</v>
      </c>
      <c r="AS94" s="2" t="str">
        <f>'All Combined Data'!AR92</f>
        <v>Yes</v>
      </c>
      <c r="AT94" s="2">
        <f>'All Combined Data'!AS92</f>
        <v>9694</v>
      </c>
      <c r="AU94" s="2">
        <f>'All Combined Data'!AT92</f>
        <v>54</v>
      </c>
      <c r="AV94" s="2">
        <f>'All Combined Data'!AU92</f>
        <v>54</v>
      </c>
      <c r="AW94" s="2" t="str">
        <f>'All Combined Data'!AV92</f>
        <v>S054</v>
      </c>
      <c r="AX94" s="2" t="str">
        <f>'All Combined Data'!AW92</f>
        <v>Chaudhuri-Nanda Mart</v>
      </c>
      <c r="AY94" s="2" t="str">
        <f>'All Combined Data'!AX92</f>
        <v>Hyderabad</v>
      </c>
      <c r="AZ94" s="2" t="str">
        <f>'All Combined Data'!AY92</f>
        <v>Telangana</v>
      </c>
      <c r="BA94" s="2">
        <f>'All Combined Data'!AZ92</f>
        <v>942843</v>
      </c>
      <c r="BB94" s="2" t="str">
        <f>'All Combined Data'!BA92</f>
        <v>Urishilla Oza</v>
      </c>
      <c r="BC94" s="2">
        <f>'All Combined Data'!BB92</f>
        <v>2004</v>
      </c>
      <c r="BD94" s="2">
        <f>'All Combined Data'!BC92</f>
        <v>79</v>
      </c>
      <c r="BE94" s="2">
        <f>'All Combined Data'!BD92</f>
        <v>4570</v>
      </c>
      <c r="BF94" s="2">
        <f>'All Combined Data'!BE92</f>
        <v>3.3</v>
      </c>
      <c r="BG94" s="2" t="str">
        <f>'All Combined Data'!BF92</f>
        <v>Yes</v>
      </c>
      <c r="BH94" s="2">
        <f>'All Combined Data'!BG92</f>
        <v>4182</v>
      </c>
      <c r="BI94" s="2" t="str">
        <f>'All Combined Data'!BH92</f>
        <v>Franchise</v>
      </c>
      <c r="BJ94" s="2">
        <f>'All Combined Data'!BI92</f>
        <v>2763655647</v>
      </c>
      <c r="BK94" s="2" t="str">
        <f>'All Combined Data'!BJ92</f>
        <v>karankarnik@madan.net</v>
      </c>
      <c r="BL94" s="2">
        <f>Combined_data[[#This Row],[Quantity]]*Combined_data[[#This Row],[UnitPrice]]</f>
        <v>98254</v>
      </c>
      <c r="BM94" s="2">
        <f>Combined_data[[#This Row],[TotalAmount]]*(100-Combined_data[[#This Row],[DiscountApplied]])/100</f>
        <v>392426.47599999997</v>
      </c>
      <c r="BN94" s="2">
        <f>Combined_data[[#This Row],[Reveune]]-Combined_data[[#This Row],[Final Amount]]</f>
        <v>-294172.47599999997</v>
      </c>
    </row>
    <row r="95" spans="2:66" x14ac:dyDescent="0.3">
      <c r="B95" s="2" t="str">
        <f>'All Combined Data'!A93</f>
        <v>O1092</v>
      </c>
      <c r="C95" s="2" t="str">
        <f>'All Combined Data'!B93</f>
        <v>C003</v>
      </c>
      <c r="D95" s="2" t="str">
        <f>'All Combined Data'!C93</f>
        <v>P144</v>
      </c>
      <c r="E95" s="14">
        <f>'All Combined Data'!D93</f>
        <v>45709</v>
      </c>
      <c r="F95" s="2">
        <f>'All Combined Data'!E93</f>
        <v>1</v>
      </c>
      <c r="G95" s="2">
        <f>'All Combined Data'!F93</f>
        <v>29538</v>
      </c>
      <c r="H95" s="2">
        <f>'All Combined Data'!G93</f>
        <v>59076</v>
      </c>
      <c r="I95" s="2">
        <f>'All Combined Data'!H93</f>
        <v>0.24</v>
      </c>
      <c r="J95" s="2" t="str">
        <f>'All Combined Data'!I93</f>
        <v>Debit Card</v>
      </c>
      <c r="K95" s="2" t="str">
        <f>'All Combined Data'!J93</f>
        <v>Shipped</v>
      </c>
      <c r="L95" s="14">
        <f>'All Combined Data'!K93</f>
        <v>45856</v>
      </c>
      <c r="M95" s="2" t="str">
        <f>'All Combined Data'!L93</f>
        <v>Yes</v>
      </c>
      <c r="N95" s="2">
        <f>'All Combined Data'!M93</f>
        <v>169</v>
      </c>
      <c r="O95" s="2" t="str">
        <f>'All Combined Data'!N93</f>
        <v>No</v>
      </c>
      <c r="P95" s="2" t="str">
        <f>'All Combined Data'!O93</f>
        <v>No</v>
      </c>
      <c r="Q95" s="2" t="str">
        <f>'All Combined Data'!P93</f>
        <v>C003</v>
      </c>
      <c r="R95" s="2" t="str">
        <f>'All Combined Data'!Q93</f>
        <v>Chakradev Kari</v>
      </c>
      <c r="S95" s="2" t="str">
        <f>'All Combined Data'!R93</f>
        <v>fariq31@example.com</v>
      </c>
      <c r="T95" s="2">
        <f>'All Combined Data'!S93</f>
        <v>7525534192</v>
      </c>
      <c r="U95" s="2" t="str">
        <f>'All Combined Data'!T93</f>
        <v>Hyderabad</v>
      </c>
      <c r="V95" s="2" t="str">
        <f>'All Combined Data'!U93</f>
        <v>Telangana</v>
      </c>
      <c r="W95" s="2">
        <f>'All Combined Data'!V93</f>
        <v>276483</v>
      </c>
      <c r="X95" s="2" t="str">
        <f>'All Combined Data'!W93</f>
        <v>Male</v>
      </c>
      <c r="Y95" s="14">
        <f>'All Combined Data'!X93</f>
        <v>38764</v>
      </c>
      <c r="Z95" s="2">
        <f>'All Combined Data'!Y93</f>
        <v>45035</v>
      </c>
      <c r="AA95" s="2" t="str">
        <f>'All Combined Data'!Z93</f>
        <v>Home Appliance</v>
      </c>
      <c r="AB95" s="2">
        <f>'All Combined Data'!AA93</f>
        <v>9028</v>
      </c>
      <c r="AC95" s="2" t="str">
        <f>'All Combined Data'!AB93</f>
        <v>Married</v>
      </c>
      <c r="AD95" s="2" t="str">
        <f>'All Combined Data'!AC93</f>
        <v>Doctor</v>
      </c>
      <c r="AE95" s="2">
        <f>'All Combined Data'!AD93</f>
        <v>1142059</v>
      </c>
      <c r="AF95" s="2" t="str">
        <f>'All Combined Data'!AE93</f>
        <v>P144</v>
      </c>
      <c r="AG95" s="2" t="str">
        <f>'All Combined Data'!AF93</f>
        <v>Quidem Washing Machine</v>
      </c>
      <c r="AH95" s="2" t="str">
        <f>'All Combined Data'!AG93</f>
        <v>Electronics</v>
      </c>
      <c r="AI95" s="2" t="str">
        <f>'All Combined Data'!AH93</f>
        <v>Organic</v>
      </c>
      <c r="AJ95" s="2" t="str">
        <f>'All Combined Data'!AI93</f>
        <v>Ghose, Ganesan and Suri</v>
      </c>
      <c r="AK95" s="2">
        <f>'All Combined Data'!AJ93</f>
        <v>29538</v>
      </c>
      <c r="AL95" s="2">
        <f>'All Combined Data'!AK93</f>
        <v>24</v>
      </c>
      <c r="AM95" s="2">
        <f>'All Combined Data'!AL93</f>
        <v>44</v>
      </c>
      <c r="AN95" s="2">
        <f>'All Combined Data'!AM93</f>
        <v>24</v>
      </c>
      <c r="AO95" s="2" t="str">
        <f>'All Combined Data'!AN93</f>
        <v>Japan</v>
      </c>
      <c r="AP95" s="2" t="str">
        <f>'All Combined Data'!AO93</f>
        <v>Yes</v>
      </c>
      <c r="AQ95" s="2">
        <f>'All Combined Data'!AP93</f>
        <v>2.7</v>
      </c>
      <c r="AR95" s="14">
        <f>'All Combined Data'!AQ93</f>
        <v>45207</v>
      </c>
      <c r="AS95" s="2" t="str">
        <f>'All Combined Data'!AR93</f>
        <v>No</v>
      </c>
      <c r="AT95" s="2">
        <f>'All Combined Data'!AS93</f>
        <v>7581</v>
      </c>
      <c r="AU95" s="2">
        <f>'All Combined Data'!AT93</f>
        <v>11</v>
      </c>
      <c r="AV95" s="2">
        <f>'All Combined Data'!AU93</f>
        <v>11</v>
      </c>
      <c r="AW95" s="2" t="str">
        <f>'All Combined Data'!AV93</f>
        <v>S011</v>
      </c>
      <c r="AX95" s="2" t="str">
        <f>'All Combined Data'!AW93</f>
        <v>Suresh-Lanka Mart</v>
      </c>
      <c r="AY95" s="2" t="str">
        <f>'All Combined Data'!AX93</f>
        <v>Kolkata</v>
      </c>
      <c r="AZ95" s="2" t="str">
        <f>'All Combined Data'!AY93</f>
        <v>West Bengal</v>
      </c>
      <c r="BA95" s="2">
        <f>'All Combined Data'!AZ93</f>
        <v>862565</v>
      </c>
      <c r="BB95" s="2" t="str">
        <f>'All Combined Data'!BA93</f>
        <v>Sanaya Basu</v>
      </c>
      <c r="BC95" s="2">
        <f>'All Combined Data'!BB93</f>
        <v>2007</v>
      </c>
      <c r="BD95" s="2">
        <f>'All Combined Data'!BC93</f>
        <v>91</v>
      </c>
      <c r="BE95" s="2">
        <f>'All Combined Data'!BD93</f>
        <v>13868</v>
      </c>
      <c r="BF95" s="2">
        <f>'All Combined Data'!BE93</f>
        <v>4</v>
      </c>
      <c r="BG95" s="2" t="str">
        <f>'All Combined Data'!BF93</f>
        <v>No</v>
      </c>
      <c r="BH95" s="2">
        <f>'All Combined Data'!BG93</f>
        <v>3893</v>
      </c>
      <c r="BI95" s="2" t="str">
        <f>'All Combined Data'!BH93</f>
        <v>Franchise</v>
      </c>
      <c r="BJ95" s="2">
        <f>'All Combined Data'!BI93</f>
        <v>7743490211</v>
      </c>
      <c r="BK95" s="2" t="str">
        <f>'All Combined Data'!BJ93</f>
        <v>odika93@bhat.biz</v>
      </c>
      <c r="BL95" s="2">
        <f>Combined_data[[#This Row],[Quantity]]*Combined_data[[#This Row],[UnitPrice]]</f>
        <v>29538</v>
      </c>
      <c r="BM95" s="2">
        <f>Combined_data[[#This Row],[TotalAmount]]*(100-Combined_data[[#This Row],[DiscountApplied]])/100</f>
        <v>58934.217600000004</v>
      </c>
      <c r="BN95" s="2">
        <f>Combined_data[[#This Row],[Reveune]]-Combined_data[[#This Row],[Final Amount]]</f>
        <v>-29396.217600000004</v>
      </c>
    </row>
    <row r="96" spans="2:66" x14ac:dyDescent="0.3">
      <c r="B96" s="2" t="str">
        <f>'All Combined Data'!A94</f>
        <v>O1093</v>
      </c>
      <c r="C96" s="2" t="str">
        <f>'All Combined Data'!B94</f>
        <v>C030</v>
      </c>
      <c r="D96" s="2" t="str">
        <f>'All Combined Data'!C94</f>
        <v>P152</v>
      </c>
      <c r="E96" s="14">
        <f>'All Combined Data'!D94</f>
        <v>45657</v>
      </c>
      <c r="F96" s="2">
        <f>'All Combined Data'!E94</f>
        <v>2</v>
      </c>
      <c r="G96" s="2">
        <f>'All Combined Data'!F94</f>
        <v>92604</v>
      </c>
      <c r="H96" s="2">
        <f>'All Combined Data'!G94</f>
        <v>185208</v>
      </c>
      <c r="I96" s="2">
        <f>'All Combined Data'!H94</f>
        <v>0.28999999999999998</v>
      </c>
      <c r="J96" s="2" t="str">
        <f>'All Combined Data'!I94</f>
        <v>Net Banking</v>
      </c>
      <c r="K96" s="2" t="str">
        <f>'All Combined Data'!J94</f>
        <v>Cancelled</v>
      </c>
      <c r="L96" s="14">
        <f>'All Combined Data'!K94</f>
        <v>45858</v>
      </c>
      <c r="M96" s="2" t="str">
        <f>'All Combined Data'!L94</f>
        <v>Yes</v>
      </c>
      <c r="N96" s="2">
        <f>'All Combined Data'!M94</f>
        <v>377</v>
      </c>
      <c r="O96" s="2" t="str">
        <f>'All Combined Data'!N94</f>
        <v>Yes</v>
      </c>
      <c r="P96" s="2" t="str">
        <f>'All Combined Data'!O94</f>
        <v>No</v>
      </c>
      <c r="Q96" s="2" t="str">
        <f>'All Combined Data'!P94</f>
        <v>C030</v>
      </c>
      <c r="R96" s="2" t="str">
        <f>'All Combined Data'!Q94</f>
        <v>Manthan Modi</v>
      </c>
      <c r="S96" s="2" t="str">
        <f>'All Combined Data'!R94</f>
        <v>kotharijagat@example.net</v>
      </c>
      <c r="T96" s="2">
        <f>'All Combined Data'!S94</f>
        <v>9993867749</v>
      </c>
      <c r="U96" s="2" t="str">
        <f>'All Combined Data'!T94</f>
        <v>Jaipur</v>
      </c>
      <c r="V96" s="2" t="str">
        <f>'All Combined Data'!U94</f>
        <v>Rajasthan</v>
      </c>
      <c r="W96" s="2">
        <f>'All Combined Data'!V94</f>
        <v>499091</v>
      </c>
      <c r="X96" s="2" t="str">
        <f>'All Combined Data'!W94</f>
        <v>Female</v>
      </c>
      <c r="Y96" s="14">
        <f>'All Combined Data'!X94</f>
        <v>26912</v>
      </c>
      <c r="Z96" s="2">
        <f>'All Combined Data'!Y94</f>
        <v>44683</v>
      </c>
      <c r="AA96" s="2" t="str">
        <f>'All Combined Data'!Z94</f>
        <v>Grocery</v>
      </c>
      <c r="AB96" s="2">
        <f>'All Combined Data'!AA94</f>
        <v>6835</v>
      </c>
      <c r="AC96" s="2" t="str">
        <f>'All Combined Data'!AB94</f>
        <v>Married</v>
      </c>
      <c r="AD96" s="2" t="str">
        <f>'All Combined Data'!AC94</f>
        <v>Engineer</v>
      </c>
      <c r="AE96" s="2">
        <f>'All Combined Data'!AD94</f>
        <v>1612147</v>
      </c>
      <c r="AF96" s="2" t="str">
        <f>'All Combined Data'!AE94</f>
        <v>P152</v>
      </c>
      <c r="AG96" s="2" t="str">
        <f>'All Combined Data'!AF94</f>
        <v>Rem Shirt</v>
      </c>
      <c r="AH96" s="2" t="str">
        <f>'All Combined Data'!AG94</f>
        <v>Electronics</v>
      </c>
      <c r="AI96" s="2" t="str">
        <f>'All Combined Data'!AH94</f>
        <v>Cotton</v>
      </c>
      <c r="AJ96" s="2" t="str">
        <f>'All Combined Data'!AI94</f>
        <v>Loyal PLC</v>
      </c>
      <c r="AK96" s="2">
        <f>'All Combined Data'!AJ94</f>
        <v>92604</v>
      </c>
      <c r="AL96" s="2">
        <f>'All Combined Data'!AK94</f>
        <v>29</v>
      </c>
      <c r="AM96" s="2">
        <f>'All Combined Data'!AL94</f>
        <v>316</v>
      </c>
      <c r="AN96" s="2">
        <f>'All Combined Data'!AM94</f>
        <v>24</v>
      </c>
      <c r="AO96" s="2" t="str">
        <f>'All Combined Data'!AN94</f>
        <v>Vietnam</v>
      </c>
      <c r="AP96" s="2" t="str">
        <f>'All Combined Data'!AO94</f>
        <v>Yes</v>
      </c>
      <c r="AQ96" s="2">
        <f>'All Combined Data'!AP94</f>
        <v>3</v>
      </c>
      <c r="AR96" s="14">
        <f>'All Combined Data'!AQ94</f>
        <v>45328</v>
      </c>
      <c r="AS96" s="2" t="str">
        <f>'All Combined Data'!AR94</f>
        <v>Yes</v>
      </c>
      <c r="AT96" s="2">
        <f>'All Combined Data'!AS94</f>
        <v>7567</v>
      </c>
      <c r="AU96" s="2">
        <f>'All Combined Data'!AT94</f>
        <v>123</v>
      </c>
      <c r="AV96" s="2">
        <f>'All Combined Data'!AU94</f>
        <v>123</v>
      </c>
      <c r="AW96" s="2" t="str">
        <f>'All Combined Data'!AV94</f>
        <v/>
      </c>
      <c r="AX96" s="2" t="str">
        <f>'All Combined Data'!AW94</f>
        <v/>
      </c>
      <c r="AY96" s="2" t="str">
        <f>'All Combined Data'!AX94</f>
        <v/>
      </c>
      <c r="AZ96" s="2" t="str">
        <f>'All Combined Data'!AY94</f>
        <v/>
      </c>
      <c r="BA96" s="2" t="str">
        <f>'All Combined Data'!AZ94</f>
        <v/>
      </c>
      <c r="BB96" s="2" t="str">
        <f>'All Combined Data'!BA94</f>
        <v/>
      </c>
      <c r="BC96" s="2" t="str">
        <f>'All Combined Data'!BB94</f>
        <v/>
      </c>
      <c r="BD96" s="2" t="str">
        <f>'All Combined Data'!BC94</f>
        <v/>
      </c>
      <c r="BE96" s="2" t="str">
        <f>'All Combined Data'!BD94</f>
        <v/>
      </c>
      <c r="BF96" s="2" t="str">
        <f>'All Combined Data'!BE94</f>
        <v/>
      </c>
      <c r="BG96" s="2" t="str">
        <f>'All Combined Data'!BF94</f>
        <v/>
      </c>
      <c r="BH96" s="2" t="str">
        <f>'All Combined Data'!BG94</f>
        <v/>
      </c>
      <c r="BI96" s="2" t="str">
        <f>'All Combined Data'!BH94</f>
        <v/>
      </c>
      <c r="BJ96" s="2" t="str">
        <f>'All Combined Data'!BI94</f>
        <v/>
      </c>
      <c r="BK96" s="2" t="str">
        <f>'All Combined Data'!BJ94</f>
        <v/>
      </c>
      <c r="BL96" s="2">
        <f>Combined_data[[#This Row],[Quantity]]*Combined_data[[#This Row],[UnitPrice]]</f>
        <v>185208</v>
      </c>
      <c r="BM96" s="2">
        <f>Combined_data[[#This Row],[TotalAmount]]*(100-Combined_data[[#This Row],[DiscountApplied]])/100</f>
        <v>184670.89679999999</v>
      </c>
      <c r="BN96" s="2">
        <f>Combined_data[[#This Row],[Reveune]]-Combined_data[[#This Row],[Final Amount]]</f>
        <v>537.10320000001229</v>
      </c>
    </row>
    <row r="97" spans="2:66" x14ac:dyDescent="0.3">
      <c r="B97" s="2" t="str">
        <f>'All Combined Data'!A95</f>
        <v>O1094</v>
      </c>
      <c r="C97" s="2" t="str">
        <f>'All Combined Data'!B95</f>
        <v>C076</v>
      </c>
      <c r="D97" s="2" t="str">
        <f>'All Combined Data'!C95</f>
        <v>P155</v>
      </c>
      <c r="E97" s="14">
        <f>'All Combined Data'!D95</f>
        <v>45580</v>
      </c>
      <c r="F97" s="2">
        <f>'All Combined Data'!E95</f>
        <v>4</v>
      </c>
      <c r="G97" s="2">
        <f>'All Combined Data'!F95</f>
        <v>56076</v>
      </c>
      <c r="H97" s="2">
        <f>'All Combined Data'!G95</f>
        <v>56076</v>
      </c>
      <c r="I97" s="2">
        <f>'All Combined Data'!H95</f>
        <v>0.2</v>
      </c>
      <c r="J97" s="2" t="str">
        <f>'All Combined Data'!I95</f>
        <v>Debit Card</v>
      </c>
      <c r="K97" s="2" t="str">
        <f>'All Combined Data'!J95</f>
        <v>Shipped</v>
      </c>
      <c r="L97" s="14">
        <f>'All Combined Data'!K95</f>
        <v>45862</v>
      </c>
      <c r="M97" s="2" t="str">
        <f>'All Combined Data'!L95</f>
        <v>No</v>
      </c>
      <c r="N97" s="2">
        <f>'All Combined Data'!M95</f>
        <v>385</v>
      </c>
      <c r="O97" s="2" t="str">
        <f>'All Combined Data'!N95</f>
        <v>Yes</v>
      </c>
      <c r="P97" s="2" t="str">
        <f>'All Combined Data'!O95</f>
        <v>Yes</v>
      </c>
      <c r="Q97" s="2" t="str">
        <f>'All Combined Data'!P95</f>
        <v>C076</v>
      </c>
      <c r="R97" s="2" t="str">
        <f>'All Combined Data'!Q95</f>
        <v>Jagat Dave</v>
      </c>
      <c r="S97" s="2" t="str">
        <f>'All Combined Data'!R95</f>
        <v>rameshkashvi@example.com</v>
      </c>
      <c r="T97" s="2">
        <f>'All Combined Data'!S95</f>
        <v>5239868000</v>
      </c>
      <c r="U97" s="2" t="str">
        <f>'All Combined Data'!T95</f>
        <v>Bangalore</v>
      </c>
      <c r="V97" s="2" t="str">
        <f>'All Combined Data'!U95</f>
        <v>Karnataka</v>
      </c>
      <c r="W97" s="2">
        <f>'All Combined Data'!V95</f>
        <v>578729</v>
      </c>
      <c r="X97" s="2" t="str">
        <f>'All Combined Data'!W95</f>
        <v>Male</v>
      </c>
      <c r="Y97" s="14">
        <f>'All Combined Data'!X95</f>
        <v>34560</v>
      </c>
      <c r="Z97" s="2">
        <f>'All Combined Data'!Y95</f>
        <v>44462</v>
      </c>
      <c r="AA97" s="2" t="str">
        <f>'All Combined Data'!Z95</f>
        <v>Home Appliance</v>
      </c>
      <c r="AB97" s="2">
        <f>'All Combined Data'!AA95</f>
        <v>6375</v>
      </c>
      <c r="AC97" s="2" t="str">
        <f>'All Combined Data'!AB95</f>
        <v>Single</v>
      </c>
      <c r="AD97" s="2" t="str">
        <f>'All Combined Data'!AC95</f>
        <v>Doctor</v>
      </c>
      <c r="AE97" s="2">
        <f>'All Combined Data'!AD95</f>
        <v>334697</v>
      </c>
      <c r="AF97" s="2" t="str">
        <f>'All Combined Data'!AE95</f>
        <v>P155</v>
      </c>
      <c r="AG97" s="2" t="str">
        <f>'All Combined Data'!AF95</f>
        <v>Odio Washing Machine</v>
      </c>
      <c r="AH97" s="2" t="str">
        <f>'All Combined Data'!AG95</f>
        <v>Fashion</v>
      </c>
      <c r="AI97" s="2" t="str">
        <f>'All Combined Data'!AH95</f>
        <v>Notebook</v>
      </c>
      <c r="AJ97" s="2" t="str">
        <f>'All Combined Data'!AI95</f>
        <v>Pall-Chahal</v>
      </c>
      <c r="AK97" s="2">
        <f>'All Combined Data'!AJ95</f>
        <v>56076</v>
      </c>
      <c r="AL97" s="2">
        <f>'All Combined Data'!AK95</f>
        <v>20</v>
      </c>
      <c r="AM97" s="2">
        <f>'All Combined Data'!AL95</f>
        <v>621</v>
      </c>
      <c r="AN97" s="2">
        <f>'All Combined Data'!AM95</f>
        <v>36</v>
      </c>
      <c r="AO97" s="2" t="str">
        <f>'All Combined Data'!AN95</f>
        <v>Japan</v>
      </c>
      <c r="AP97" s="2" t="str">
        <f>'All Combined Data'!AO95</f>
        <v>No</v>
      </c>
      <c r="AQ97" s="2">
        <f>'All Combined Data'!AP95</f>
        <v>3</v>
      </c>
      <c r="AR97" s="14">
        <f>'All Combined Data'!AQ95</f>
        <v>45441</v>
      </c>
      <c r="AS97" s="2" t="str">
        <f>'All Combined Data'!AR95</f>
        <v>Yes</v>
      </c>
      <c r="AT97" s="2">
        <f>'All Combined Data'!AS95</f>
        <v>6656</v>
      </c>
      <c r="AU97" s="2">
        <f>'All Combined Data'!AT95</f>
        <v>94</v>
      </c>
      <c r="AV97" s="2">
        <f>'All Combined Data'!AU95</f>
        <v>94</v>
      </c>
      <c r="AW97" s="2" t="str">
        <f>'All Combined Data'!AV95</f>
        <v>S094</v>
      </c>
      <c r="AX97" s="2" t="str">
        <f>'All Combined Data'!AW95</f>
        <v>Sahni-Dube Mart</v>
      </c>
      <c r="AY97" s="2" t="str">
        <f>'All Combined Data'!AX95</f>
        <v>Hyderabad</v>
      </c>
      <c r="AZ97" s="2" t="str">
        <f>'All Combined Data'!AY95</f>
        <v>Telangana</v>
      </c>
      <c r="BA97" s="2">
        <f>'All Combined Data'!AZ95</f>
        <v>220102</v>
      </c>
      <c r="BB97" s="2" t="str">
        <f>'All Combined Data'!BA95</f>
        <v>Rajeshri Deshpande</v>
      </c>
      <c r="BC97" s="2">
        <f>'All Combined Data'!BB95</f>
        <v>2008</v>
      </c>
      <c r="BD97" s="2">
        <f>'All Combined Data'!BC95</f>
        <v>77</v>
      </c>
      <c r="BE97" s="2">
        <f>'All Combined Data'!BD95</f>
        <v>3019</v>
      </c>
      <c r="BF97" s="2">
        <f>'All Combined Data'!BE95</f>
        <v>3.3</v>
      </c>
      <c r="BG97" s="2" t="str">
        <f>'All Combined Data'!BF95</f>
        <v>Yes</v>
      </c>
      <c r="BH97" s="2">
        <f>'All Combined Data'!BG95</f>
        <v>1202</v>
      </c>
      <c r="BI97" s="2" t="str">
        <f>'All Combined Data'!BH95</f>
        <v>Outlet</v>
      </c>
      <c r="BJ97" s="2">
        <f>'All Combined Data'!BI95</f>
        <v>912679692786</v>
      </c>
      <c r="BK97" s="2" t="str">
        <f>'All Combined Data'!BJ95</f>
        <v>wrajagopalan@grewal.org</v>
      </c>
      <c r="BL97" s="2">
        <f>Combined_data[[#This Row],[Quantity]]*Combined_data[[#This Row],[UnitPrice]]</f>
        <v>224304</v>
      </c>
      <c r="BM97" s="2">
        <f>Combined_data[[#This Row],[TotalAmount]]*(100-Combined_data[[#This Row],[DiscountApplied]])/100</f>
        <v>55963.847999999998</v>
      </c>
      <c r="BN97" s="2">
        <f>Combined_data[[#This Row],[Reveune]]-Combined_data[[#This Row],[Final Amount]]</f>
        <v>168340.152</v>
      </c>
    </row>
    <row r="98" spans="2:66" x14ac:dyDescent="0.3">
      <c r="B98" s="2" t="str">
        <f>'All Combined Data'!A96</f>
        <v>O1095</v>
      </c>
      <c r="C98" s="2" t="str">
        <f>'All Combined Data'!B96</f>
        <v>C069</v>
      </c>
      <c r="D98" s="2" t="str">
        <f>'All Combined Data'!C96</f>
        <v>P124</v>
      </c>
      <c r="E98" s="14">
        <f>'All Combined Data'!D96</f>
        <v>45590</v>
      </c>
      <c r="F98" s="2">
        <f>'All Combined Data'!E96</f>
        <v>3</v>
      </c>
      <c r="G98" s="2">
        <f>'All Combined Data'!F96</f>
        <v>43565</v>
      </c>
      <c r="H98" s="2">
        <f>'All Combined Data'!G96</f>
        <v>130695</v>
      </c>
      <c r="I98" s="2">
        <f>'All Combined Data'!H96</f>
        <v>0.26</v>
      </c>
      <c r="J98" s="2" t="str">
        <f>'All Combined Data'!I96</f>
        <v>Debit Card</v>
      </c>
      <c r="K98" s="2" t="str">
        <f>'All Combined Data'!J96</f>
        <v>Cancelled</v>
      </c>
      <c r="L98" s="14">
        <f>'All Combined Data'!K96</f>
        <v>45862</v>
      </c>
      <c r="M98" s="2" t="str">
        <f>'All Combined Data'!L96</f>
        <v>Yes</v>
      </c>
      <c r="N98" s="2">
        <f>'All Combined Data'!M96</f>
        <v>134</v>
      </c>
      <c r="O98" s="2" t="str">
        <f>'All Combined Data'!N96</f>
        <v>No</v>
      </c>
      <c r="P98" s="2" t="str">
        <f>'All Combined Data'!O96</f>
        <v>No</v>
      </c>
      <c r="Q98" s="2" t="str">
        <f>'All Combined Data'!P96</f>
        <v>C069</v>
      </c>
      <c r="R98" s="2" t="str">
        <f>'All Combined Data'!Q96</f>
        <v>Ryan Das</v>
      </c>
      <c r="S98" s="2" t="str">
        <f>'All Combined Data'!R96</f>
        <v>ethanseth@example.org</v>
      </c>
      <c r="T98" s="2">
        <f>'All Combined Data'!S96</f>
        <v>7155188442</v>
      </c>
      <c r="U98" s="2" t="str">
        <f>'All Combined Data'!T96</f>
        <v>Mumbai</v>
      </c>
      <c r="V98" s="2" t="str">
        <f>'All Combined Data'!U96</f>
        <v>Maharashtra</v>
      </c>
      <c r="W98" s="2">
        <f>'All Combined Data'!V96</f>
        <v>583132</v>
      </c>
      <c r="X98" s="2" t="str">
        <f>'All Combined Data'!W96</f>
        <v>Female</v>
      </c>
      <c r="Y98" s="14">
        <f>'All Combined Data'!X96</f>
        <v>27632</v>
      </c>
      <c r="Z98" s="2">
        <f>'All Combined Data'!Y96</f>
        <v>45562</v>
      </c>
      <c r="AA98" s="2" t="str">
        <f>'All Combined Data'!Z96</f>
        <v>Grocery</v>
      </c>
      <c r="AB98" s="2">
        <f>'All Combined Data'!AA96</f>
        <v>9531</v>
      </c>
      <c r="AC98" s="2" t="str">
        <f>'All Combined Data'!AB96</f>
        <v>Single</v>
      </c>
      <c r="AD98" s="2" t="str">
        <f>'All Combined Data'!AC96</f>
        <v>Business</v>
      </c>
      <c r="AE98" s="2">
        <f>'All Combined Data'!AD96</f>
        <v>1236784</v>
      </c>
      <c r="AF98" s="2" t="str">
        <f>'All Combined Data'!AE96</f>
        <v>P124</v>
      </c>
      <c r="AG98" s="2" t="str">
        <f>'All Combined Data'!AF96</f>
        <v>Cum Laptop</v>
      </c>
      <c r="AH98" s="2" t="str">
        <f>'All Combined Data'!AG96</f>
        <v>Grocery</v>
      </c>
      <c r="AI98" s="2" t="str">
        <f>'All Combined Data'!AH96</f>
        <v>LED</v>
      </c>
      <c r="AJ98" s="2" t="str">
        <f>'All Combined Data'!AI96</f>
        <v>Dhar, Pall and Muni</v>
      </c>
      <c r="AK98" s="2">
        <f>'All Combined Data'!AJ96</f>
        <v>43565</v>
      </c>
      <c r="AL98" s="2">
        <f>'All Combined Data'!AK96</f>
        <v>26</v>
      </c>
      <c r="AM98" s="2">
        <f>'All Combined Data'!AL96</f>
        <v>879</v>
      </c>
      <c r="AN98" s="2">
        <f>'All Combined Data'!AM96</f>
        <v>36</v>
      </c>
      <c r="AO98" s="2" t="str">
        <f>'All Combined Data'!AN96</f>
        <v>Vietnam</v>
      </c>
      <c r="AP98" s="2" t="str">
        <f>'All Combined Data'!AO96</f>
        <v>No</v>
      </c>
      <c r="AQ98" s="2">
        <f>'All Combined Data'!AP96</f>
        <v>4.7</v>
      </c>
      <c r="AR98" s="14">
        <f>'All Combined Data'!AQ96</f>
        <v>45291</v>
      </c>
      <c r="AS98" s="2" t="str">
        <f>'All Combined Data'!AR96</f>
        <v>Yes</v>
      </c>
      <c r="AT98" s="2">
        <f>'All Combined Data'!AS96</f>
        <v>2122</v>
      </c>
      <c r="AU98" s="2">
        <f>'All Combined Data'!AT96</f>
        <v>58</v>
      </c>
      <c r="AV98" s="2">
        <f>'All Combined Data'!AU96</f>
        <v>58</v>
      </c>
      <c r="AW98" s="2" t="str">
        <f>'All Combined Data'!AV96</f>
        <v>S058</v>
      </c>
      <c r="AX98" s="2" t="str">
        <f>'All Combined Data'!AW96</f>
        <v>Chawla LLC Mart</v>
      </c>
      <c r="AY98" s="2" t="str">
        <f>'All Combined Data'!AX96</f>
        <v>Chennai</v>
      </c>
      <c r="AZ98" s="2" t="str">
        <f>'All Combined Data'!AY96</f>
        <v>Tamil Nadu</v>
      </c>
      <c r="BA98" s="2">
        <f>'All Combined Data'!AZ96</f>
        <v>164334</v>
      </c>
      <c r="BB98" s="2" t="str">
        <f>'All Combined Data'!BA96</f>
        <v>Jonathan Deep</v>
      </c>
      <c r="BC98" s="2">
        <f>'All Combined Data'!BB96</f>
        <v>2008</v>
      </c>
      <c r="BD98" s="2">
        <f>'All Combined Data'!BC96</f>
        <v>27</v>
      </c>
      <c r="BE98" s="2">
        <f>'All Combined Data'!BD96</f>
        <v>2018</v>
      </c>
      <c r="BF98" s="2">
        <f>'All Combined Data'!BE96</f>
        <v>4.9000000000000004</v>
      </c>
      <c r="BG98" s="2" t="str">
        <f>'All Combined Data'!BF96</f>
        <v>No</v>
      </c>
      <c r="BH98" s="2">
        <f>'All Combined Data'!BG96</f>
        <v>2546</v>
      </c>
      <c r="BI98" s="2" t="str">
        <f>'All Combined Data'!BH96</f>
        <v>Retail</v>
      </c>
      <c r="BJ98" s="2">
        <f>'All Combined Data'!BI96</f>
        <v>2005577848</v>
      </c>
      <c r="BK98" s="2" t="str">
        <f>'All Combined Data'!BJ96</f>
        <v>sdeshmukh@goel.net</v>
      </c>
      <c r="BL98" s="2">
        <f>Combined_data[[#This Row],[Quantity]]*Combined_data[[#This Row],[UnitPrice]]</f>
        <v>130695</v>
      </c>
      <c r="BM98" s="2">
        <f>Combined_data[[#This Row],[TotalAmount]]*(100-Combined_data[[#This Row],[DiscountApplied]])/100</f>
        <v>130355.19299999998</v>
      </c>
      <c r="BN98" s="2">
        <f>Combined_data[[#This Row],[Reveune]]-Combined_data[[#This Row],[Final Amount]]</f>
        <v>339.80700000001525</v>
      </c>
    </row>
    <row r="99" spans="2:66" x14ac:dyDescent="0.3">
      <c r="B99" s="2" t="str">
        <f>'All Combined Data'!A97</f>
        <v>O1096</v>
      </c>
      <c r="C99" s="2" t="str">
        <f>'All Combined Data'!B97</f>
        <v>C077</v>
      </c>
      <c r="D99" s="2" t="str">
        <f>'All Combined Data'!C97</f>
        <v>P150</v>
      </c>
      <c r="E99" s="14">
        <f>'All Combined Data'!D97</f>
        <v>45848</v>
      </c>
      <c r="F99" s="2">
        <f>'All Combined Data'!E97</f>
        <v>5</v>
      </c>
      <c r="G99" s="2">
        <f>'All Combined Data'!F97</f>
        <v>98841</v>
      </c>
      <c r="H99" s="2">
        <f>'All Combined Data'!G97</f>
        <v>395364</v>
      </c>
      <c r="I99" s="2">
        <f>'All Combined Data'!H97</f>
        <v>0.18</v>
      </c>
      <c r="J99" s="2" t="str">
        <f>'All Combined Data'!I97</f>
        <v>Cash on Delivery</v>
      </c>
      <c r="K99" s="2" t="str">
        <f>'All Combined Data'!J97</f>
        <v>Delivered</v>
      </c>
      <c r="L99" s="14">
        <f>'All Combined Data'!K97</f>
        <v>45864</v>
      </c>
      <c r="M99" s="2" t="str">
        <f>'All Combined Data'!L97</f>
        <v>No</v>
      </c>
      <c r="N99" s="2">
        <f>'All Combined Data'!M97</f>
        <v>180</v>
      </c>
      <c r="O99" s="2" t="str">
        <f>'All Combined Data'!N97</f>
        <v>No</v>
      </c>
      <c r="P99" s="2" t="str">
        <f>'All Combined Data'!O97</f>
        <v>Yes</v>
      </c>
      <c r="Q99" s="2" t="str">
        <f>'All Combined Data'!P97</f>
        <v>C077</v>
      </c>
      <c r="R99" s="2" t="str">
        <f>'All Combined Data'!Q97</f>
        <v>Eiravati Gaba</v>
      </c>
      <c r="S99" s="2" t="str">
        <f>'All Combined Data'!R97</f>
        <v>lmistry@example.com</v>
      </c>
      <c r="T99" s="2">
        <f>'All Combined Data'!S97</f>
        <v>8879470551</v>
      </c>
      <c r="U99" s="2" t="str">
        <f>'All Combined Data'!T97</f>
        <v>Jaipur</v>
      </c>
      <c r="V99" s="2" t="str">
        <f>'All Combined Data'!U97</f>
        <v>Rajasthan</v>
      </c>
      <c r="W99" s="2">
        <f>'All Combined Data'!V97</f>
        <v>940974</v>
      </c>
      <c r="X99" s="2" t="str">
        <f>'All Combined Data'!W97</f>
        <v>Female</v>
      </c>
      <c r="Y99" s="14">
        <f>'All Combined Data'!X97</f>
        <v>38042</v>
      </c>
      <c r="Z99" s="2">
        <f>'All Combined Data'!Y97</f>
        <v>45825</v>
      </c>
      <c r="AA99" s="2" t="str">
        <f>'All Combined Data'!Z97</f>
        <v>Fashion</v>
      </c>
      <c r="AB99" s="2">
        <f>'All Combined Data'!AA97</f>
        <v>8990</v>
      </c>
      <c r="AC99" s="2" t="str">
        <f>'All Combined Data'!AB97</f>
        <v>Married</v>
      </c>
      <c r="AD99" s="2" t="str">
        <f>'All Combined Data'!AC97</f>
        <v>Business</v>
      </c>
      <c r="AE99" s="2">
        <f>'All Combined Data'!AD97</f>
        <v>330580</v>
      </c>
      <c r="AF99" s="2" t="str">
        <f>'All Combined Data'!AE97</f>
        <v>P150</v>
      </c>
      <c r="AG99" s="2" t="str">
        <f>'All Combined Data'!AF97</f>
        <v>Aliquid Phone</v>
      </c>
      <c r="AH99" s="2" t="str">
        <f>'All Combined Data'!AG97</f>
        <v>Grocery</v>
      </c>
      <c r="AI99" s="2" t="str">
        <f>'All Combined Data'!AH97</f>
        <v>Notebook</v>
      </c>
      <c r="AJ99" s="2" t="str">
        <f>'All Combined Data'!AI97</f>
        <v>Kar-Yogi</v>
      </c>
      <c r="AK99" s="2">
        <f>'All Combined Data'!AJ97</f>
        <v>98841</v>
      </c>
      <c r="AL99" s="2">
        <f>'All Combined Data'!AK97</f>
        <v>18</v>
      </c>
      <c r="AM99" s="2">
        <f>'All Combined Data'!AL97</f>
        <v>888</v>
      </c>
      <c r="AN99" s="2">
        <f>'All Combined Data'!AM97</f>
        <v>6</v>
      </c>
      <c r="AO99" s="2" t="str">
        <f>'All Combined Data'!AN97</f>
        <v>Vietnam</v>
      </c>
      <c r="AP99" s="2" t="str">
        <f>'All Combined Data'!AO97</f>
        <v>No</v>
      </c>
      <c r="AQ99" s="2">
        <f>'All Combined Data'!AP97</f>
        <v>3.4</v>
      </c>
      <c r="AR99" s="14">
        <f>'All Combined Data'!AQ97</f>
        <v>45207</v>
      </c>
      <c r="AS99" s="2" t="str">
        <f>'All Combined Data'!AR97</f>
        <v>Yes</v>
      </c>
      <c r="AT99" s="2">
        <f>'All Combined Data'!AS97</f>
        <v>3536</v>
      </c>
      <c r="AU99" s="2">
        <f>'All Combined Data'!AT97</f>
        <v>10</v>
      </c>
      <c r="AV99" s="2">
        <f>'All Combined Data'!AU97</f>
        <v>10</v>
      </c>
      <c r="AW99" s="2" t="str">
        <f>'All Combined Data'!AV97</f>
        <v>S010</v>
      </c>
      <c r="AX99" s="2" t="str">
        <f>'All Combined Data'!AW97</f>
        <v>Zachariah, Lanka and Manda Mart</v>
      </c>
      <c r="AY99" s="2" t="str">
        <f>'All Combined Data'!AX97</f>
        <v>Delhi</v>
      </c>
      <c r="AZ99" s="2" t="str">
        <f>'All Combined Data'!AY97</f>
        <v>Delhi</v>
      </c>
      <c r="BA99" s="2">
        <f>'All Combined Data'!AZ97</f>
        <v>310698</v>
      </c>
      <c r="BB99" s="2" t="str">
        <f>'All Combined Data'!BA97</f>
        <v>Mitesh Bhagat</v>
      </c>
      <c r="BC99" s="2">
        <f>'All Combined Data'!BB97</f>
        <v>2008</v>
      </c>
      <c r="BD99" s="2">
        <f>'All Combined Data'!BC97</f>
        <v>88</v>
      </c>
      <c r="BE99" s="2">
        <f>'All Combined Data'!BD97</f>
        <v>5157</v>
      </c>
      <c r="BF99" s="2">
        <f>'All Combined Data'!BE97</f>
        <v>4.4000000000000004</v>
      </c>
      <c r="BG99" s="2" t="str">
        <f>'All Combined Data'!BF97</f>
        <v>Yes</v>
      </c>
      <c r="BH99" s="2">
        <f>'All Combined Data'!BG97</f>
        <v>2545</v>
      </c>
      <c r="BI99" s="2" t="str">
        <f>'All Combined Data'!BH97</f>
        <v>Retail</v>
      </c>
      <c r="BJ99" s="2">
        <f>'All Combined Data'!BI97</f>
        <v>614973103</v>
      </c>
      <c r="BK99" s="2" t="str">
        <f>'All Combined Data'!BJ97</f>
        <v>bishakhabumb@dalia-morar.biz</v>
      </c>
      <c r="BL99" s="2">
        <f>Combined_data[[#This Row],[Quantity]]*Combined_data[[#This Row],[UnitPrice]]</f>
        <v>494205</v>
      </c>
      <c r="BM99" s="2">
        <f>Combined_data[[#This Row],[TotalAmount]]*(100-Combined_data[[#This Row],[DiscountApplied]])/100</f>
        <v>394652.34479999996</v>
      </c>
      <c r="BN99" s="2">
        <f>Combined_data[[#This Row],[Reveune]]-Combined_data[[#This Row],[Final Amount]]</f>
        <v>99552.655200000037</v>
      </c>
    </row>
    <row r="100" spans="2:66" x14ac:dyDescent="0.3">
      <c r="B100" s="2" t="str">
        <f>'All Combined Data'!A98</f>
        <v>O1097</v>
      </c>
      <c r="C100" s="2" t="str">
        <f>'All Combined Data'!B98</f>
        <v>C087</v>
      </c>
      <c r="D100" s="2" t="str">
        <f>'All Combined Data'!C98</f>
        <v>P191</v>
      </c>
      <c r="E100" s="14">
        <f>'All Combined Data'!D98</f>
        <v>45761</v>
      </c>
      <c r="F100" s="2">
        <f>'All Combined Data'!E98</f>
        <v>3</v>
      </c>
      <c r="G100" s="2">
        <f>'All Combined Data'!F98</f>
        <v>31432</v>
      </c>
      <c r="H100" s="2">
        <f>'All Combined Data'!G98</f>
        <v>157160</v>
      </c>
      <c r="I100" s="2">
        <f>'All Combined Data'!H98</f>
        <v>0.28999999999999998</v>
      </c>
      <c r="J100" s="2" t="str">
        <f>'All Combined Data'!I98</f>
        <v>Cash on Delivery</v>
      </c>
      <c r="K100" s="2" t="str">
        <f>'All Combined Data'!J98</f>
        <v>Delivered</v>
      </c>
      <c r="L100" s="14">
        <f>'All Combined Data'!K98</f>
        <v>45862</v>
      </c>
      <c r="M100" s="2" t="str">
        <f>'All Combined Data'!L98</f>
        <v>Yes</v>
      </c>
      <c r="N100" s="2">
        <f>'All Combined Data'!M98</f>
        <v>160</v>
      </c>
      <c r="O100" s="2" t="str">
        <f>'All Combined Data'!N98</f>
        <v>Yes</v>
      </c>
      <c r="P100" s="2" t="str">
        <f>'All Combined Data'!O98</f>
        <v>Yes</v>
      </c>
      <c r="Q100" s="2" t="str">
        <f>'All Combined Data'!P98</f>
        <v>C087</v>
      </c>
      <c r="R100" s="2" t="str">
        <f>'All Combined Data'!Q98</f>
        <v>Urmi Balay</v>
      </c>
      <c r="S100" s="2" t="str">
        <f>'All Combined Data'!R98</f>
        <v>nilima22@example.net</v>
      </c>
      <c r="T100" s="2">
        <f>'All Combined Data'!S98</f>
        <v>6567661825</v>
      </c>
      <c r="U100" s="2" t="str">
        <f>'All Combined Data'!T98</f>
        <v>Delhi</v>
      </c>
      <c r="V100" s="2" t="str">
        <f>'All Combined Data'!U98</f>
        <v>Delhi</v>
      </c>
      <c r="W100" s="2">
        <f>'All Combined Data'!V98</f>
        <v>286823</v>
      </c>
      <c r="X100" s="2" t="str">
        <f>'All Combined Data'!W98</f>
        <v>Male</v>
      </c>
      <c r="Y100" s="14">
        <f>'All Combined Data'!X98</f>
        <v>21834</v>
      </c>
      <c r="Z100" s="2">
        <f>'All Combined Data'!Y98</f>
        <v>44098</v>
      </c>
      <c r="AA100" s="2" t="str">
        <f>'All Combined Data'!Z98</f>
        <v>Home Appliance</v>
      </c>
      <c r="AB100" s="2">
        <f>'All Combined Data'!AA98</f>
        <v>2168</v>
      </c>
      <c r="AC100" s="2" t="str">
        <f>'All Combined Data'!AB98</f>
        <v>Married</v>
      </c>
      <c r="AD100" s="2" t="str">
        <f>'All Combined Data'!AC98</f>
        <v>Engineer</v>
      </c>
      <c r="AE100" s="2">
        <f>'All Combined Data'!AD98</f>
        <v>1382729</v>
      </c>
      <c r="AF100" s="2" t="str">
        <f>'All Combined Data'!AE98</f>
        <v>P191</v>
      </c>
      <c r="AG100" s="2" t="str">
        <f>'All Combined Data'!AF98</f>
        <v>Quas Shirt</v>
      </c>
      <c r="AH100" s="2" t="str">
        <f>'All Combined Data'!AG98</f>
        <v>Electronics</v>
      </c>
      <c r="AI100" s="2" t="str">
        <f>'All Combined Data'!AH98</f>
        <v>LED</v>
      </c>
      <c r="AJ100" s="2" t="str">
        <f>'All Combined Data'!AI98</f>
        <v>Upadhyay, Gulati and Ramanathan</v>
      </c>
      <c r="AK100" s="2">
        <f>'All Combined Data'!AJ98</f>
        <v>31432</v>
      </c>
      <c r="AL100" s="2">
        <f>'All Combined Data'!AK98</f>
        <v>29</v>
      </c>
      <c r="AM100" s="2">
        <f>'All Combined Data'!AL98</f>
        <v>660</v>
      </c>
      <c r="AN100" s="2">
        <f>'All Combined Data'!AM98</f>
        <v>24</v>
      </c>
      <c r="AO100" s="2" t="str">
        <f>'All Combined Data'!AN98</f>
        <v>Vietnam</v>
      </c>
      <c r="AP100" s="2" t="str">
        <f>'All Combined Data'!AO98</f>
        <v>No</v>
      </c>
      <c r="AQ100" s="2">
        <f>'All Combined Data'!AP98</f>
        <v>4.9000000000000004</v>
      </c>
      <c r="AR100" s="14">
        <f>'All Combined Data'!AQ98</f>
        <v>45218</v>
      </c>
      <c r="AS100" s="2" t="str">
        <f>'All Combined Data'!AR98</f>
        <v>Yes</v>
      </c>
      <c r="AT100" s="2">
        <f>'All Combined Data'!AS98</f>
        <v>3514</v>
      </c>
      <c r="AU100" s="2">
        <f>'All Combined Data'!AT98</f>
        <v>39</v>
      </c>
      <c r="AV100" s="2">
        <f>'All Combined Data'!AU98</f>
        <v>39</v>
      </c>
      <c r="AW100" s="2" t="str">
        <f>'All Combined Data'!AV98</f>
        <v>S039</v>
      </c>
      <c r="AX100" s="2" t="str">
        <f>'All Combined Data'!AW98</f>
        <v>Bhavsar, Krishna and Chaudhari Mart</v>
      </c>
      <c r="AY100" s="2" t="str">
        <f>'All Combined Data'!AX98</f>
        <v>Lucknow</v>
      </c>
      <c r="AZ100" s="2" t="str">
        <f>'All Combined Data'!AY98</f>
        <v>Uttar Pradesh</v>
      </c>
      <c r="BA100" s="2">
        <f>'All Combined Data'!AZ98</f>
        <v>975523</v>
      </c>
      <c r="BB100" s="2" t="str">
        <f>'All Combined Data'!BA98</f>
        <v>Bhavani Boase</v>
      </c>
      <c r="BC100" s="2">
        <f>'All Combined Data'!BB98</f>
        <v>2020</v>
      </c>
      <c r="BD100" s="2">
        <f>'All Combined Data'!BC98</f>
        <v>14</v>
      </c>
      <c r="BE100" s="2">
        <f>'All Combined Data'!BD98</f>
        <v>17257</v>
      </c>
      <c r="BF100" s="2">
        <f>'All Combined Data'!BE98</f>
        <v>3.9</v>
      </c>
      <c r="BG100" s="2" t="str">
        <f>'All Combined Data'!BF98</f>
        <v>No</v>
      </c>
      <c r="BH100" s="2">
        <f>'All Combined Data'!BG98</f>
        <v>954</v>
      </c>
      <c r="BI100" s="2" t="str">
        <f>'All Combined Data'!BH98</f>
        <v>Franchise</v>
      </c>
      <c r="BJ100" s="2">
        <f>'All Combined Data'!BI98</f>
        <v>915775949299</v>
      </c>
      <c r="BK100" s="2" t="str">
        <f>'All Combined Data'!BJ98</f>
        <v>diya62@munshi.com</v>
      </c>
      <c r="BL100" s="2">
        <f>Combined_data[[#This Row],[Quantity]]*Combined_data[[#This Row],[UnitPrice]]</f>
        <v>94296</v>
      </c>
      <c r="BM100" s="2">
        <f>Combined_data[[#This Row],[TotalAmount]]*(100-Combined_data[[#This Row],[DiscountApplied]])/100</f>
        <v>156704.236</v>
      </c>
      <c r="BN100" s="2">
        <f>Combined_data[[#This Row],[Reveune]]-Combined_data[[#This Row],[Final Amount]]</f>
        <v>-62408.236000000004</v>
      </c>
    </row>
    <row r="101" spans="2:66" x14ac:dyDescent="0.3">
      <c r="B101" s="2" t="str">
        <f>'All Combined Data'!A99</f>
        <v>O1098</v>
      </c>
      <c r="C101" s="2" t="str">
        <f>'All Combined Data'!B99</f>
        <v>C040</v>
      </c>
      <c r="D101" s="2" t="str">
        <f>'All Combined Data'!C99</f>
        <v>P115</v>
      </c>
      <c r="E101" s="14">
        <f>'All Combined Data'!D99</f>
        <v>45612</v>
      </c>
      <c r="F101" s="2">
        <f>'All Combined Data'!E99</f>
        <v>2</v>
      </c>
      <c r="G101" s="2">
        <f>'All Combined Data'!F99</f>
        <v>67949</v>
      </c>
      <c r="H101" s="2">
        <f>'All Combined Data'!G99</f>
        <v>203847</v>
      </c>
      <c r="I101" s="2">
        <f>'All Combined Data'!H99</f>
        <v>0.05</v>
      </c>
      <c r="J101" s="2" t="str">
        <f>'All Combined Data'!I99</f>
        <v>Debit Card</v>
      </c>
      <c r="K101" s="2" t="str">
        <f>'All Combined Data'!J99</f>
        <v>Cancelled</v>
      </c>
      <c r="L101" s="14">
        <f>'All Combined Data'!K99</f>
        <v>45865</v>
      </c>
      <c r="M101" s="2" t="str">
        <f>'All Combined Data'!L99</f>
        <v>No</v>
      </c>
      <c r="N101" s="2">
        <f>'All Combined Data'!M99</f>
        <v>305</v>
      </c>
      <c r="O101" s="2" t="str">
        <f>'All Combined Data'!N99</f>
        <v>Yes</v>
      </c>
      <c r="P101" s="2" t="str">
        <f>'All Combined Data'!O99</f>
        <v>No</v>
      </c>
      <c r="Q101" s="2" t="str">
        <f>'All Combined Data'!P99</f>
        <v>C040</v>
      </c>
      <c r="R101" s="2" t="str">
        <f>'All Combined Data'!Q99</f>
        <v>Aadhya Andra</v>
      </c>
      <c r="S101" s="2" t="str">
        <f>'All Combined Data'!R99</f>
        <v>rmani@example.net</v>
      </c>
      <c r="T101" s="2">
        <f>'All Combined Data'!S99</f>
        <v>911759464743</v>
      </c>
      <c r="U101" s="2" t="str">
        <f>'All Combined Data'!T99</f>
        <v>Lucknow</v>
      </c>
      <c r="V101" s="2" t="str">
        <f>'All Combined Data'!U99</f>
        <v>Uttar Pradesh</v>
      </c>
      <c r="W101" s="2">
        <f>'All Combined Data'!V99</f>
        <v>713695</v>
      </c>
      <c r="X101" s="2" t="str">
        <f>'All Combined Data'!W99</f>
        <v>Male</v>
      </c>
      <c r="Y101" s="14">
        <f>'All Combined Data'!X99</f>
        <v>36035</v>
      </c>
      <c r="Z101" s="2">
        <f>'All Combined Data'!Y99</f>
        <v>44947</v>
      </c>
      <c r="AA101" s="2" t="str">
        <f>'All Combined Data'!Z99</f>
        <v>Home Appliance</v>
      </c>
      <c r="AB101" s="2">
        <f>'All Combined Data'!AA99</f>
        <v>6715</v>
      </c>
      <c r="AC101" s="2" t="str">
        <f>'All Combined Data'!AB99</f>
        <v>Single</v>
      </c>
      <c r="AD101" s="2" t="str">
        <f>'All Combined Data'!AC99</f>
        <v>Student</v>
      </c>
      <c r="AE101" s="2">
        <f>'All Combined Data'!AD99</f>
        <v>716351</v>
      </c>
      <c r="AF101" s="2" t="str">
        <f>'All Combined Data'!AE99</f>
        <v>P115</v>
      </c>
      <c r="AG101" s="2" t="str">
        <f>'All Combined Data'!AF99</f>
        <v>Sapiente TV</v>
      </c>
      <c r="AH101" s="2" t="str">
        <f>'All Combined Data'!AG99</f>
        <v>Fashion</v>
      </c>
      <c r="AI101" s="2" t="str">
        <f>'All Combined Data'!AH99</f>
        <v>Android</v>
      </c>
      <c r="AJ101" s="2" t="str">
        <f>'All Combined Data'!AI99</f>
        <v>Rattan-Warrior</v>
      </c>
      <c r="AK101" s="2">
        <f>'All Combined Data'!AJ99</f>
        <v>67949</v>
      </c>
      <c r="AL101" s="2">
        <f>'All Combined Data'!AK99</f>
        <v>5</v>
      </c>
      <c r="AM101" s="2">
        <f>'All Combined Data'!AL99</f>
        <v>673</v>
      </c>
      <c r="AN101" s="2">
        <f>'All Combined Data'!AM99</f>
        <v>36</v>
      </c>
      <c r="AO101" s="2" t="str">
        <f>'All Combined Data'!AN99</f>
        <v>Japan</v>
      </c>
      <c r="AP101" s="2" t="str">
        <f>'All Combined Data'!AO99</f>
        <v>Yes</v>
      </c>
      <c r="AQ101" s="2">
        <f>'All Combined Data'!AP99</f>
        <v>3</v>
      </c>
      <c r="AR101" s="14">
        <f>'All Combined Data'!AQ99</f>
        <v>45545</v>
      </c>
      <c r="AS101" s="2" t="str">
        <f>'All Combined Data'!AR99</f>
        <v>No</v>
      </c>
      <c r="AT101" s="2">
        <f>'All Combined Data'!AS99</f>
        <v>9168</v>
      </c>
      <c r="AU101" s="2">
        <f>'All Combined Data'!AT99</f>
        <v>153</v>
      </c>
      <c r="AV101" s="2">
        <f>'All Combined Data'!AU99</f>
        <v>153</v>
      </c>
      <c r="AW101" s="2" t="str">
        <f>'All Combined Data'!AV99</f>
        <v/>
      </c>
      <c r="AX101" s="2" t="str">
        <f>'All Combined Data'!AW99</f>
        <v/>
      </c>
      <c r="AY101" s="2" t="str">
        <f>'All Combined Data'!AX99</f>
        <v/>
      </c>
      <c r="AZ101" s="2" t="str">
        <f>'All Combined Data'!AY99</f>
        <v/>
      </c>
      <c r="BA101" s="2" t="str">
        <f>'All Combined Data'!AZ99</f>
        <v/>
      </c>
      <c r="BB101" s="2" t="str">
        <f>'All Combined Data'!BA99</f>
        <v/>
      </c>
      <c r="BC101" s="2" t="str">
        <f>'All Combined Data'!BB99</f>
        <v/>
      </c>
      <c r="BD101" s="2" t="str">
        <f>'All Combined Data'!BC99</f>
        <v/>
      </c>
      <c r="BE101" s="2" t="str">
        <f>'All Combined Data'!BD99</f>
        <v/>
      </c>
      <c r="BF101" s="2" t="str">
        <f>'All Combined Data'!BE99</f>
        <v/>
      </c>
      <c r="BG101" s="2" t="str">
        <f>'All Combined Data'!BF99</f>
        <v/>
      </c>
      <c r="BH101" s="2" t="str">
        <f>'All Combined Data'!BG99</f>
        <v/>
      </c>
      <c r="BI101" s="2" t="str">
        <f>'All Combined Data'!BH99</f>
        <v/>
      </c>
      <c r="BJ101" s="2" t="str">
        <f>'All Combined Data'!BI99</f>
        <v/>
      </c>
      <c r="BK101" s="2" t="str">
        <f>'All Combined Data'!BJ99</f>
        <v/>
      </c>
      <c r="BL101" s="2">
        <f>Combined_data[[#This Row],[Quantity]]*Combined_data[[#This Row],[UnitPrice]]</f>
        <v>135898</v>
      </c>
      <c r="BM101" s="2">
        <f>Combined_data[[#This Row],[TotalAmount]]*(100-Combined_data[[#This Row],[DiscountApplied]])/100</f>
        <v>203745.07650000002</v>
      </c>
      <c r="BN101" s="2">
        <f>Combined_data[[#This Row],[Reveune]]-Combined_data[[#This Row],[Final Amount]]</f>
        <v>-67847.076500000025</v>
      </c>
    </row>
    <row r="102" spans="2:66" x14ac:dyDescent="0.3">
      <c r="B102" s="2" t="str">
        <f>'All Combined Data'!A100</f>
        <v>O1099</v>
      </c>
      <c r="C102" s="2" t="str">
        <f>'All Combined Data'!B100</f>
        <v>C055</v>
      </c>
      <c r="D102" s="2" t="str">
        <f>'All Combined Data'!C100</f>
        <v>P124</v>
      </c>
      <c r="E102" s="14">
        <f>'All Combined Data'!D100</f>
        <v>45594</v>
      </c>
      <c r="F102" s="2">
        <f>'All Combined Data'!E100</f>
        <v>4</v>
      </c>
      <c r="G102" s="2">
        <f>'All Combined Data'!F100</f>
        <v>43565</v>
      </c>
      <c r="H102" s="2">
        <f>'All Combined Data'!G100</f>
        <v>217825</v>
      </c>
      <c r="I102" s="2">
        <f>'All Combined Data'!H100</f>
        <v>0.26</v>
      </c>
      <c r="J102" s="2" t="str">
        <f>'All Combined Data'!I100</f>
        <v>Debit Card</v>
      </c>
      <c r="K102" s="2" t="str">
        <f>'All Combined Data'!J100</f>
        <v>Shipped</v>
      </c>
      <c r="L102" s="14">
        <f>'All Combined Data'!K100</f>
        <v>45860</v>
      </c>
      <c r="M102" s="2" t="str">
        <f>'All Combined Data'!L100</f>
        <v>No</v>
      </c>
      <c r="N102" s="2">
        <f>'All Combined Data'!M100</f>
        <v>147</v>
      </c>
      <c r="O102" s="2" t="str">
        <f>'All Combined Data'!N100</f>
        <v>Yes</v>
      </c>
      <c r="P102" s="2" t="str">
        <f>'All Combined Data'!O100</f>
        <v>Yes</v>
      </c>
      <c r="Q102" s="2" t="str">
        <f>'All Combined Data'!P100</f>
        <v>C055</v>
      </c>
      <c r="R102" s="2" t="str">
        <f>'All Combined Data'!Q100</f>
        <v>Ikshita Panchal</v>
      </c>
      <c r="S102" s="2" t="str">
        <f>'All Combined Data'!R100</f>
        <v>warinderchauhan@example.org</v>
      </c>
      <c r="T102" s="2">
        <f>'All Combined Data'!S100</f>
        <v>3292127799</v>
      </c>
      <c r="U102" s="2" t="str">
        <f>'All Combined Data'!T100</f>
        <v>Mumbai</v>
      </c>
      <c r="V102" s="2" t="str">
        <f>'All Combined Data'!U100</f>
        <v>Maharashtra</v>
      </c>
      <c r="W102" s="2">
        <f>'All Combined Data'!V100</f>
        <v>995527</v>
      </c>
      <c r="X102" s="2" t="str">
        <f>'All Combined Data'!W100</f>
        <v>Female</v>
      </c>
      <c r="Y102" s="14">
        <f>'All Combined Data'!X100</f>
        <v>23445</v>
      </c>
      <c r="Z102" s="2">
        <f>'All Combined Data'!Y100</f>
        <v>45484</v>
      </c>
      <c r="AA102" s="2" t="str">
        <f>'All Combined Data'!Z100</f>
        <v>Electronics</v>
      </c>
      <c r="AB102" s="2">
        <f>'All Combined Data'!AA100</f>
        <v>7811</v>
      </c>
      <c r="AC102" s="2" t="str">
        <f>'All Combined Data'!AB100</f>
        <v>Single</v>
      </c>
      <c r="AD102" s="2" t="str">
        <f>'All Combined Data'!AC100</f>
        <v>Doctor</v>
      </c>
      <c r="AE102" s="2">
        <f>'All Combined Data'!AD100</f>
        <v>1912506</v>
      </c>
      <c r="AF102" s="2" t="str">
        <f>'All Combined Data'!AE100</f>
        <v>P124</v>
      </c>
      <c r="AG102" s="2" t="str">
        <f>'All Combined Data'!AF100</f>
        <v>Cum Laptop</v>
      </c>
      <c r="AH102" s="2" t="str">
        <f>'All Combined Data'!AG100</f>
        <v>Grocery</v>
      </c>
      <c r="AI102" s="2" t="str">
        <f>'All Combined Data'!AH100</f>
        <v>LED</v>
      </c>
      <c r="AJ102" s="2" t="str">
        <f>'All Combined Data'!AI100</f>
        <v>Dhar, Pall and Muni</v>
      </c>
      <c r="AK102" s="2">
        <f>'All Combined Data'!AJ100</f>
        <v>43565</v>
      </c>
      <c r="AL102" s="2">
        <f>'All Combined Data'!AK100</f>
        <v>26</v>
      </c>
      <c r="AM102" s="2">
        <f>'All Combined Data'!AL100</f>
        <v>879</v>
      </c>
      <c r="AN102" s="2">
        <f>'All Combined Data'!AM100</f>
        <v>36</v>
      </c>
      <c r="AO102" s="2" t="str">
        <f>'All Combined Data'!AN100</f>
        <v>Vietnam</v>
      </c>
      <c r="AP102" s="2" t="str">
        <f>'All Combined Data'!AO100</f>
        <v>No</v>
      </c>
      <c r="AQ102" s="2">
        <f>'All Combined Data'!AP100</f>
        <v>4.7</v>
      </c>
      <c r="AR102" s="14">
        <f>'All Combined Data'!AQ100</f>
        <v>45291</v>
      </c>
      <c r="AS102" s="2" t="str">
        <f>'All Combined Data'!AR100</f>
        <v>Yes</v>
      </c>
      <c r="AT102" s="2">
        <f>'All Combined Data'!AS100</f>
        <v>2122</v>
      </c>
      <c r="AU102" s="2">
        <f>'All Combined Data'!AT100</f>
        <v>58</v>
      </c>
      <c r="AV102" s="2">
        <f>'All Combined Data'!AU100</f>
        <v>58</v>
      </c>
      <c r="AW102" s="2" t="str">
        <f>'All Combined Data'!AV100</f>
        <v>S058</v>
      </c>
      <c r="AX102" s="2" t="str">
        <f>'All Combined Data'!AW100</f>
        <v>Chawla LLC Mart</v>
      </c>
      <c r="AY102" s="2" t="str">
        <f>'All Combined Data'!AX100</f>
        <v>Chennai</v>
      </c>
      <c r="AZ102" s="2" t="str">
        <f>'All Combined Data'!AY100</f>
        <v>Tamil Nadu</v>
      </c>
      <c r="BA102" s="2">
        <f>'All Combined Data'!AZ100</f>
        <v>164334</v>
      </c>
      <c r="BB102" s="2" t="str">
        <f>'All Combined Data'!BA100</f>
        <v>Jonathan Deep</v>
      </c>
      <c r="BC102" s="2">
        <f>'All Combined Data'!BB100</f>
        <v>2008</v>
      </c>
      <c r="BD102" s="2">
        <f>'All Combined Data'!BC100</f>
        <v>27</v>
      </c>
      <c r="BE102" s="2">
        <f>'All Combined Data'!BD100</f>
        <v>2018</v>
      </c>
      <c r="BF102" s="2">
        <f>'All Combined Data'!BE100</f>
        <v>4.9000000000000004</v>
      </c>
      <c r="BG102" s="2" t="str">
        <f>'All Combined Data'!BF100</f>
        <v>No</v>
      </c>
      <c r="BH102" s="2">
        <f>'All Combined Data'!BG100</f>
        <v>2546</v>
      </c>
      <c r="BI102" s="2" t="str">
        <f>'All Combined Data'!BH100</f>
        <v>Retail</v>
      </c>
      <c r="BJ102" s="2">
        <f>'All Combined Data'!BI100</f>
        <v>2005577848</v>
      </c>
      <c r="BK102" s="2" t="str">
        <f>'All Combined Data'!BJ100</f>
        <v>sdeshmukh@goel.net</v>
      </c>
      <c r="BL102" s="2">
        <f>Combined_data[[#This Row],[Quantity]]*Combined_data[[#This Row],[UnitPrice]]</f>
        <v>174260</v>
      </c>
      <c r="BM102" s="2">
        <f>Combined_data[[#This Row],[TotalAmount]]*(100-Combined_data[[#This Row],[DiscountApplied]])/100</f>
        <v>217258.655</v>
      </c>
      <c r="BN102" s="2">
        <f>Combined_data[[#This Row],[Reveune]]-Combined_data[[#This Row],[Final Amount]]</f>
        <v>-42998.654999999999</v>
      </c>
    </row>
    <row r="103" spans="2:66" x14ac:dyDescent="0.3">
      <c r="B103" s="2" t="str">
        <f>'All Combined Data'!A101</f>
        <v>O1100</v>
      </c>
      <c r="C103" s="2" t="str">
        <f>'All Combined Data'!B101</f>
        <v>C041</v>
      </c>
      <c r="D103" s="2" t="str">
        <f>'All Combined Data'!C101</f>
        <v>P158</v>
      </c>
      <c r="E103" s="14">
        <f>'All Combined Data'!D101</f>
        <v>45518</v>
      </c>
      <c r="F103" s="2">
        <f>'All Combined Data'!E101</f>
        <v>5</v>
      </c>
      <c r="G103" s="2">
        <f>'All Combined Data'!F101</f>
        <v>92731</v>
      </c>
      <c r="H103" s="2">
        <f>'All Combined Data'!G101</f>
        <v>92731</v>
      </c>
      <c r="I103" s="2">
        <f>'All Combined Data'!H101</f>
        <v>0.12</v>
      </c>
      <c r="J103" s="2" t="str">
        <f>'All Combined Data'!I101</f>
        <v>UPI</v>
      </c>
      <c r="K103" s="2" t="str">
        <f>'All Combined Data'!J101</f>
        <v>Delivered</v>
      </c>
      <c r="L103" s="14">
        <f>'All Combined Data'!K101</f>
        <v>45859</v>
      </c>
      <c r="M103" s="2" t="str">
        <f>'All Combined Data'!L101</f>
        <v>No</v>
      </c>
      <c r="N103" s="2">
        <f>'All Combined Data'!M101</f>
        <v>69</v>
      </c>
      <c r="O103" s="2" t="str">
        <f>'All Combined Data'!N101</f>
        <v>Yes</v>
      </c>
      <c r="P103" s="2" t="str">
        <f>'All Combined Data'!O101</f>
        <v>No</v>
      </c>
      <c r="Q103" s="2" t="str">
        <f>'All Combined Data'!P101</f>
        <v>C041</v>
      </c>
      <c r="R103" s="2" t="str">
        <f>'All Combined Data'!Q101</f>
        <v>Anthony Randhawa</v>
      </c>
      <c r="S103" s="2" t="str">
        <f>'All Combined Data'!R101</f>
        <v>abhiram90@example.net</v>
      </c>
      <c r="T103" s="2">
        <f>'All Combined Data'!S101</f>
        <v>7439533942</v>
      </c>
      <c r="U103" s="2" t="str">
        <f>'All Combined Data'!T101</f>
        <v>Lucknow</v>
      </c>
      <c r="V103" s="2" t="str">
        <f>'All Combined Data'!U101</f>
        <v>Uttar Pradesh</v>
      </c>
      <c r="W103" s="2">
        <f>'All Combined Data'!V101</f>
        <v>47095</v>
      </c>
      <c r="X103" s="2" t="str">
        <f>'All Combined Data'!W101</f>
        <v>Male</v>
      </c>
      <c r="Y103" s="14">
        <f>'All Combined Data'!X101</f>
        <v>25014</v>
      </c>
      <c r="Z103" s="2">
        <f>'All Combined Data'!Y101</f>
        <v>44308</v>
      </c>
      <c r="AA103" s="2" t="str">
        <f>'All Combined Data'!Z101</f>
        <v>Electronics</v>
      </c>
      <c r="AB103" s="2">
        <f>'All Combined Data'!AA101</f>
        <v>6968</v>
      </c>
      <c r="AC103" s="2" t="str">
        <f>'All Combined Data'!AB101</f>
        <v>Married</v>
      </c>
      <c r="AD103" s="2" t="str">
        <f>'All Combined Data'!AC101</f>
        <v>Teacher</v>
      </c>
      <c r="AE103" s="2">
        <f>'All Combined Data'!AD101</f>
        <v>628362</v>
      </c>
      <c r="AF103" s="2" t="str">
        <f>'All Combined Data'!AE101</f>
        <v>P158</v>
      </c>
      <c r="AG103" s="2" t="str">
        <f>'All Combined Data'!AF101</f>
        <v>Deserunt Washing Machine</v>
      </c>
      <c r="AH103" s="2" t="str">
        <f>'All Combined Data'!AG101</f>
        <v>Home Appliance</v>
      </c>
      <c r="AI103" s="2" t="str">
        <f>'All Combined Data'!AH101</f>
        <v>Organic</v>
      </c>
      <c r="AJ103" s="2" t="str">
        <f>'All Combined Data'!AI101</f>
        <v>Jhaveri Inc</v>
      </c>
      <c r="AK103" s="2">
        <f>'All Combined Data'!AJ101</f>
        <v>92731</v>
      </c>
      <c r="AL103" s="2">
        <f>'All Combined Data'!AK101</f>
        <v>12</v>
      </c>
      <c r="AM103" s="2">
        <f>'All Combined Data'!AL101</f>
        <v>512</v>
      </c>
      <c r="AN103" s="2">
        <f>'All Combined Data'!AM101</f>
        <v>24</v>
      </c>
      <c r="AO103" s="2" t="str">
        <f>'All Combined Data'!AN101</f>
        <v>India</v>
      </c>
      <c r="AP103" s="2" t="str">
        <f>'All Combined Data'!AO101</f>
        <v>No</v>
      </c>
      <c r="AQ103" s="2">
        <f>'All Combined Data'!AP101</f>
        <v>4.7</v>
      </c>
      <c r="AR103" s="14">
        <f>'All Combined Data'!AQ101</f>
        <v>45644</v>
      </c>
      <c r="AS103" s="2" t="str">
        <f>'All Combined Data'!AR101</f>
        <v>Yes</v>
      </c>
      <c r="AT103" s="2">
        <f>'All Combined Data'!AS101</f>
        <v>8148</v>
      </c>
      <c r="AU103" s="2">
        <f>'All Combined Data'!AT101</f>
        <v>8</v>
      </c>
      <c r="AV103" s="2">
        <f>'All Combined Data'!AU101</f>
        <v>8</v>
      </c>
      <c r="AW103" s="2" t="str">
        <f>'All Combined Data'!AV101</f>
        <v>S008</v>
      </c>
      <c r="AX103" s="2" t="str">
        <f>'All Combined Data'!AW101</f>
        <v>Palan LLC Mart</v>
      </c>
      <c r="AY103" s="2" t="str">
        <f>'All Combined Data'!AX101</f>
        <v>Delhi</v>
      </c>
      <c r="AZ103" s="2" t="str">
        <f>'All Combined Data'!AY101</f>
        <v>Delhi</v>
      </c>
      <c r="BA103" s="2">
        <f>'All Combined Data'!AZ101</f>
        <v>157043</v>
      </c>
      <c r="BB103" s="2" t="str">
        <f>'All Combined Data'!BA101</f>
        <v>Ekansh Palla</v>
      </c>
      <c r="BC103" s="2">
        <f>'All Combined Data'!BB101</f>
        <v>2018</v>
      </c>
      <c r="BD103" s="2">
        <f>'All Combined Data'!BC101</f>
        <v>49</v>
      </c>
      <c r="BE103" s="2">
        <f>'All Combined Data'!BD101</f>
        <v>18441</v>
      </c>
      <c r="BF103" s="2">
        <f>'All Combined Data'!BE101</f>
        <v>3.6</v>
      </c>
      <c r="BG103" s="2" t="str">
        <f>'All Combined Data'!BF101</f>
        <v>Yes</v>
      </c>
      <c r="BH103" s="2">
        <f>'All Combined Data'!BG101</f>
        <v>3151</v>
      </c>
      <c r="BI103" s="2" t="str">
        <f>'All Combined Data'!BH101</f>
        <v>Outlet</v>
      </c>
      <c r="BJ103" s="2">
        <f>'All Combined Data'!BI101</f>
        <v>1006762676</v>
      </c>
      <c r="BK103" s="2" t="str">
        <f>'All Combined Data'!BJ101</f>
        <v>keya17@kar.com</v>
      </c>
      <c r="BL103" s="2">
        <f>Combined_data[[#This Row],[Quantity]]*Combined_data[[#This Row],[UnitPrice]]</f>
        <v>463655</v>
      </c>
      <c r="BM103" s="2">
        <f>Combined_data[[#This Row],[TotalAmount]]*(100-Combined_data[[#This Row],[DiscountApplied]])/100</f>
        <v>92619.722799999989</v>
      </c>
      <c r="BN103" s="2">
        <f>Combined_data[[#This Row],[Reveune]]-Combined_data[[#This Row],[Final Amount]]</f>
        <v>371035.27720000001</v>
      </c>
    </row>
  </sheetData>
  <phoneticPr fontId="18" type="noConversion"/>
  <pageMargins left="0.7" right="0.7" top="0.75" bottom="0.75" header="0.3" footer="0.3"/>
  <ignoredErrors>
    <ignoredError xmlns:x16r3="http://schemas.microsoft.com/office/spreadsheetml/2018/08/main" sqref="E4:E103 L4:L103 Y4:Y103 AR4:AR103" x16r3:misleadingFormat="1"/>
  </ignoredErrors>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9E-6B7C-47E0-ACF7-B1DF5A49A9C4}">
  <dimension ref="A1:F67"/>
  <sheetViews>
    <sheetView topLeftCell="A16" zoomScale="120" workbookViewId="0">
      <selection activeCell="B23" sqref="B23"/>
    </sheetView>
  </sheetViews>
  <sheetFormatPr defaultRowHeight="14.4" x14ac:dyDescent="0.3"/>
  <cols>
    <col min="1" max="1" width="8.88671875" style="2"/>
    <col min="2" max="2" width="16.109375" style="2" bestFit="1" customWidth="1"/>
    <col min="3" max="3" width="11.33203125" style="2" bestFit="1" customWidth="1"/>
    <col min="4" max="5" width="8.88671875" style="2"/>
    <col min="6" max="6" width="15.6640625" customWidth="1"/>
  </cols>
  <sheetData>
    <row r="1" spans="1:6" x14ac:dyDescent="0.3">
      <c r="F1" s="2">
        <f>COUNTA(F3:F67)</f>
        <v>15</v>
      </c>
    </row>
    <row r="2" spans="1:6" x14ac:dyDescent="0.3">
      <c r="A2" s="8" t="s">
        <v>254</v>
      </c>
      <c r="B2" s="8" t="s">
        <v>1218</v>
      </c>
      <c r="C2" s="8" t="s">
        <v>1213</v>
      </c>
      <c r="D2" s="8" t="s">
        <v>1214</v>
      </c>
      <c r="E2" s="8" t="s">
        <v>1217</v>
      </c>
      <c r="F2" s="10" t="s">
        <v>1237</v>
      </c>
    </row>
    <row r="3" spans="1:6" x14ac:dyDescent="0.3">
      <c r="A3" s="8" cm="1">
        <f t="array" ref="A3:A67">_xlfn.SEQUENCE(COUNTA(B:B)-1,1,1,1)</f>
        <v>1</v>
      </c>
      <c r="B3" s="8" t="str" cm="1">
        <f t="array" ref="B3:B67">TRANSPOSE(Combined_data[#Headers])</f>
        <v>OrderID</v>
      </c>
      <c r="C3" s="8" cm="1">
        <f t="array" ref="C3:C67">TRANSPOSE('Final Data'!B1:BN1)</f>
        <v>0</v>
      </c>
      <c r="D3" s="8" cm="1">
        <f t="array" ref="D3:D67">TRANSPOSE('Final Data'!B2:BN2)</f>
        <v>100</v>
      </c>
      <c r="E3" s="9">
        <f>C3/D3</f>
        <v>0</v>
      </c>
      <c r="F3" t="s">
        <v>1219</v>
      </c>
    </row>
    <row r="4" spans="1:6" x14ac:dyDescent="0.3">
      <c r="A4" s="8">
        <v>2</v>
      </c>
      <c r="B4" s="8" t="str">
        <v>CustomerID</v>
      </c>
      <c r="C4" s="8">
        <v>0</v>
      </c>
      <c r="D4" s="8">
        <v>100</v>
      </c>
      <c r="E4" s="9">
        <f t="shared" ref="E4:E67" si="0">C4/D4</f>
        <v>0</v>
      </c>
      <c r="F4" t="s">
        <v>1220</v>
      </c>
    </row>
    <row r="5" spans="1:6" x14ac:dyDescent="0.3">
      <c r="A5" s="8">
        <v>3</v>
      </c>
      <c r="B5" s="8" t="str">
        <v>ProductID</v>
      </c>
      <c r="C5" s="8">
        <v>0</v>
      </c>
      <c r="D5" s="8">
        <v>100</v>
      </c>
      <c r="E5" s="9">
        <f t="shared" si="0"/>
        <v>0</v>
      </c>
      <c r="F5" t="s">
        <v>1221</v>
      </c>
    </row>
    <row r="6" spans="1:6" x14ac:dyDescent="0.3">
      <c r="A6" s="8">
        <v>4</v>
      </c>
      <c r="B6" s="8" t="str">
        <v>OrderDate</v>
      </c>
      <c r="C6" s="8">
        <v>0</v>
      </c>
      <c r="D6" s="8">
        <v>100</v>
      </c>
      <c r="E6" s="9">
        <f t="shared" si="0"/>
        <v>0</v>
      </c>
    </row>
    <row r="7" spans="1:6" x14ac:dyDescent="0.3">
      <c r="A7" s="8">
        <v>5</v>
      </c>
      <c r="B7" s="8" t="str">
        <v>Quantity</v>
      </c>
      <c r="C7" s="8">
        <v>0</v>
      </c>
      <c r="D7" s="8">
        <v>100</v>
      </c>
      <c r="E7" s="9">
        <f t="shared" si="0"/>
        <v>0</v>
      </c>
      <c r="F7" t="s">
        <v>1222</v>
      </c>
    </row>
    <row r="8" spans="1:6" x14ac:dyDescent="0.3">
      <c r="A8" s="8">
        <v>6</v>
      </c>
      <c r="B8" s="8" t="str">
        <v>UnitPrice</v>
      </c>
      <c r="C8" s="8">
        <v>0</v>
      </c>
      <c r="D8" s="8">
        <v>100</v>
      </c>
      <c r="E8" s="9">
        <f t="shared" si="0"/>
        <v>0</v>
      </c>
      <c r="F8" t="s">
        <v>1223</v>
      </c>
    </row>
    <row r="9" spans="1:6" x14ac:dyDescent="0.3">
      <c r="A9" s="8">
        <v>7</v>
      </c>
      <c r="B9" s="8" t="str">
        <v>TotalAmount</v>
      </c>
      <c r="C9" s="8">
        <v>0</v>
      </c>
      <c r="D9" s="8">
        <v>100</v>
      </c>
      <c r="E9" s="9">
        <f t="shared" si="0"/>
        <v>0</v>
      </c>
    </row>
    <row r="10" spans="1:6" x14ac:dyDescent="0.3">
      <c r="A10" s="8">
        <v>8</v>
      </c>
      <c r="B10" s="8" t="str">
        <v>DiscountApplied</v>
      </c>
      <c r="C10" s="8">
        <v>0</v>
      </c>
      <c r="D10" s="8">
        <v>100</v>
      </c>
      <c r="E10" s="9">
        <f t="shared" si="0"/>
        <v>0</v>
      </c>
      <c r="F10" t="s">
        <v>1230</v>
      </c>
    </row>
    <row r="11" spans="1:6" x14ac:dyDescent="0.3">
      <c r="A11" s="8">
        <v>9</v>
      </c>
      <c r="B11" s="8" t="str">
        <v>PaymentMode</v>
      </c>
      <c r="C11" s="8">
        <v>0</v>
      </c>
      <c r="D11" s="8">
        <v>100</v>
      </c>
      <c r="E11" s="9">
        <f t="shared" si="0"/>
        <v>0</v>
      </c>
    </row>
    <row r="12" spans="1:6" x14ac:dyDescent="0.3">
      <c r="A12" s="8">
        <v>10</v>
      </c>
      <c r="B12" s="8" t="str">
        <v>OrderStatus</v>
      </c>
      <c r="C12" s="8">
        <v>0</v>
      </c>
      <c r="D12" s="8">
        <v>100</v>
      </c>
      <c r="E12" s="9">
        <f t="shared" si="0"/>
        <v>0</v>
      </c>
    </row>
    <row r="13" spans="1:6" x14ac:dyDescent="0.3">
      <c r="A13" s="8">
        <v>11</v>
      </c>
      <c r="B13" s="8" t="str">
        <v>DeliveryDate</v>
      </c>
      <c r="C13" s="8">
        <v>0</v>
      </c>
      <c r="D13" s="8">
        <v>100</v>
      </c>
      <c r="E13" s="9">
        <f t="shared" si="0"/>
        <v>0</v>
      </c>
    </row>
    <row r="14" spans="1:6" x14ac:dyDescent="0.3">
      <c r="A14" s="8">
        <v>12</v>
      </c>
      <c r="B14" s="8" t="str">
        <v>IsGift</v>
      </c>
      <c r="C14" s="8">
        <v>0</v>
      </c>
      <c r="D14" s="8">
        <v>100</v>
      </c>
      <c r="E14" s="9">
        <f t="shared" si="0"/>
        <v>0</v>
      </c>
    </row>
    <row r="15" spans="1:6" x14ac:dyDescent="0.3">
      <c r="A15" s="8">
        <v>13</v>
      </c>
      <c r="B15" s="8" t="str">
        <v>ShippingCharges</v>
      </c>
      <c r="C15" s="8">
        <v>0</v>
      </c>
      <c r="D15" s="8">
        <v>100</v>
      </c>
      <c r="E15" s="9">
        <f t="shared" si="0"/>
        <v>0</v>
      </c>
      <c r="F15" t="s">
        <v>1231</v>
      </c>
    </row>
    <row r="16" spans="1:6" x14ac:dyDescent="0.3">
      <c r="A16" s="8">
        <v>14</v>
      </c>
      <c r="B16" s="8" t="str">
        <v>CouponUsed</v>
      </c>
      <c r="C16" s="8">
        <v>0</v>
      </c>
      <c r="D16" s="8">
        <v>100</v>
      </c>
      <c r="E16" s="9">
        <f t="shared" si="0"/>
        <v>0</v>
      </c>
    </row>
    <row r="17" spans="1:6" x14ac:dyDescent="0.3">
      <c r="A17" s="8">
        <v>15</v>
      </c>
      <c r="B17" s="8" t="str">
        <v>ReviewGiven</v>
      </c>
      <c r="C17" s="8">
        <v>0</v>
      </c>
      <c r="D17" s="8">
        <v>100</v>
      </c>
      <c r="E17" s="9">
        <f t="shared" si="0"/>
        <v>0</v>
      </c>
    </row>
    <row r="18" spans="1:6" x14ac:dyDescent="0.3">
      <c r="A18" s="8">
        <v>16</v>
      </c>
      <c r="B18" s="8" t="str">
        <v>CustomerID2</v>
      </c>
      <c r="C18" s="8">
        <v>0</v>
      </c>
      <c r="D18" s="8">
        <v>100</v>
      </c>
      <c r="E18" s="9">
        <f t="shared" si="0"/>
        <v>0</v>
      </c>
    </row>
    <row r="19" spans="1:6" x14ac:dyDescent="0.3">
      <c r="A19" s="8">
        <v>17</v>
      </c>
      <c r="B19" s="8" t="str">
        <v>CustomerName</v>
      </c>
      <c r="C19" s="8">
        <v>0</v>
      </c>
      <c r="D19" s="8">
        <v>100</v>
      </c>
      <c r="E19" s="9">
        <f t="shared" si="0"/>
        <v>0</v>
      </c>
    </row>
    <row r="20" spans="1:6" x14ac:dyDescent="0.3">
      <c r="A20" s="8">
        <v>18</v>
      </c>
      <c r="B20" s="8" t="str">
        <v>Email</v>
      </c>
      <c r="C20" s="8">
        <v>0</v>
      </c>
      <c r="D20" s="8">
        <v>100</v>
      </c>
      <c r="E20" s="9">
        <f t="shared" si="0"/>
        <v>0</v>
      </c>
    </row>
    <row r="21" spans="1:6" x14ac:dyDescent="0.3">
      <c r="A21" s="8">
        <v>19</v>
      </c>
      <c r="B21" s="8" t="str">
        <v>Phone</v>
      </c>
      <c r="C21" s="8">
        <v>0</v>
      </c>
      <c r="D21" s="8">
        <v>100</v>
      </c>
      <c r="E21" s="9">
        <f t="shared" si="0"/>
        <v>0</v>
      </c>
    </row>
    <row r="22" spans="1:6" x14ac:dyDescent="0.3">
      <c r="A22" s="8">
        <v>20</v>
      </c>
      <c r="B22" s="8" t="str">
        <v>City</v>
      </c>
      <c r="C22" s="8">
        <v>0</v>
      </c>
      <c r="D22" s="8">
        <v>100</v>
      </c>
      <c r="E22" s="9">
        <f t="shared" si="0"/>
        <v>0</v>
      </c>
    </row>
    <row r="23" spans="1:6" x14ac:dyDescent="0.3">
      <c r="A23" s="8">
        <v>21</v>
      </c>
      <c r="B23" s="8" t="str">
        <v>State</v>
      </c>
      <c r="C23" s="8">
        <v>0</v>
      </c>
      <c r="D23" s="8">
        <v>100</v>
      </c>
      <c r="E23" s="9">
        <f t="shared" si="0"/>
        <v>0</v>
      </c>
    </row>
    <row r="24" spans="1:6" x14ac:dyDescent="0.3">
      <c r="A24" s="8">
        <v>22</v>
      </c>
      <c r="B24" s="8" t="str">
        <v>Pincode</v>
      </c>
      <c r="C24" s="8">
        <v>0</v>
      </c>
      <c r="D24" s="8">
        <v>100</v>
      </c>
      <c r="E24" s="9">
        <f t="shared" si="0"/>
        <v>0</v>
      </c>
    </row>
    <row r="25" spans="1:6" x14ac:dyDescent="0.3">
      <c r="A25" s="8">
        <v>23</v>
      </c>
      <c r="B25" s="8" t="str">
        <v>Gender</v>
      </c>
      <c r="C25" s="8">
        <v>0</v>
      </c>
      <c r="D25" s="8">
        <v>100</v>
      </c>
      <c r="E25" s="9">
        <f t="shared" si="0"/>
        <v>0</v>
      </c>
      <c r="F25" t="s">
        <v>1232</v>
      </c>
    </row>
    <row r="26" spans="1:6" x14ac:dyDescent="0.3">
      <c r="A26" s="8">
        <v>24</v>
      </c>
      <c r="B26" s="8" t="str">
        <v>DateOfBirth</v>
      </c>
      <c r="C26" s="8">
        <v>0</v>
      </c>
      <c r="D26" s="8">
        <v>100</v>
      </c>
      <c r="E26" s="9">
        <f t="shared" si="0"/>
        <v>0</v>
      </c>
    </row>
    <row r="27" spans="1:6" x14ac:dyDescent="0.3">
      <c r="A27" s="8">
        <v>25</v>
      </c>
      <c r="B27" s="8" t="str">
        <v>CustomerSince</v>
      </c>
      <c r="C27" s="8">
        <v>0</v>
      </c>
      <c r="D27" s="8">
        <v>100</v>
      </c>
      <c r="E27" s="9">
        <f t="shared" si="0"/>
        <v>0</v>
      </c>
    </row>
    <row r="28" spans="1:6" x14ac:dyDescent="0.3">
      <c r="A28" s="8">
        <v>26</v>
      </c>
      <c r="B28" s="8" t="str">
        <v>PreferredCategory</v>
      </c>
      <c r="C28" s="8">
        <v>0</v>
      </c>
      <c r="D28" s="8">
        <v>100</v>
      </c>
      <c r="E28" s="9">
        <f t="shared" si="0"/>
        <v>0</v>
      </c>
    </row>
    <row r="29" spans="1:6" x14ac:dyDescent="0.3">
      <c r="A29" s="8">
        <v>27</v>
      </c>
      <c r="B29" s="8" t="str">
        <v>LoyaltyPoints</v>
      </c>
      <c r="C29" s="8">
        <v>0</v>
      </c>
      <c r="D29" s="8">
        <v>100</v>
      </c>
      <c r="E29" s="9">
        <f t="shared" si="0"/>
        <v>0</v>
      </c>
      <c r="F29" t="s">
        <v>1233</v>
      </c>
    </row>
    <row r="30" spans="1:6" x14ac:dyDescent="0.3">
      <c r="A30" s="8">
        <v>28</v>
      </c>
      <c r="B30" s="8" t="str">
        <v>MaritalStatus</v>
      </c>
      <c r="C30" s="8">
        <v>0</v>
      </c>
      <c r="D30" s="8">
        <v>100</v>
      </c>
      <c r="E30" s="9">
        <f t="shared" si="0"/>
        <v>0</v>
      </c>
    </row>
    <row r="31" spans="1:6" x14ac:dyDescent="0.3">
      <c r="A31" s="8">
        <v>29</v>
      </c>
      <c r="B31" s="8" t="str">
        <v>Occupation</v>
      </c>
      <c r="C31" s="8">
        <v>0</v>
      </c>
      <c r="D31" s="8">
        <v>100</v>
      </c>
      <c r="E31" s="9">
        <f t="shared" si="0"/>
        <v>0</v>
      </c>
    </row>
    <row r="32" spans="1:6" x14ac:dyDescent="0.3">
      <c r="A32" s="8">
        <v>30</v>
      </c>
      <c r="B32" s="8" t="str">
        <v>AnnualIncome</v>
      </c>
      <c r="C32" s="8">
        <v>0</v>
      </c>
      <c r="D32" s="8">
        <v>100</v>
      </c>
      <c r="E32" s="9">
        <f t="shared" si="0"/>
        <v>0</v>
      </c>
    </row>
    <row r="33" spans="1:6" x14ac:dyDescent="0.3">
      <c r="A33" s="8">
        <v>31</v>
      </c>
      <c r="B33" s="8" t="str">
        <v>ProductID3</v>
      </c>
      <c r="C33" s="8">
        <v>0</v>
      </c>
      <c r="D33" s="8">
        <v>100</v>
      </c>
      <c r="E33" s="9">
        <f t="shared" si="0"/>
        <v>0</v>
      </c>
    </row>
    <row r="34" spans="1:6" x14ac:dyDescent="0.3">
      <c r="A34" s="8">
        <v>32</v>
      </c>
      <c r="B34" s="8" t="str">
        <v>ProductName</v>
      </c>
      <c r="C34" s="8">
        <v>0</v>
      </c>
      <c r="D34" s="8">
        <v>100</v>
      </c>
      <c r="E34" s="9">
        <f t="shared" si="0"/>
        <v>0</v>
      </c>
    </row>
    <row r="35" spans="1:6" x14ac:dyDescent="0.3">
      <c r="A35" s="8">
        <v>33</v>
      </c>
      <c r="B35" s="8" t="str">
        <v>Category</v>
      </c>
      <c r="C35" s="8">
        <v>0</v>
      </c>
      <c r="D35" s="8">
        <v>100</v>
      </c>
      <c r="E35" s="9">
        <f t="shared" si="0"/>
        <v>0</v>
      </c>
    </row>
    <row r="36" spans="1:6" x14ac:dyDescent="0.3">
      <c r="A36" s="8">
        <v>34</v>
      </c>
      <c r="B36" s="8" t="str">
        <v>SubCategory</v>
      </c>
      <c r="C36" s="8">
        <v>0</v>
      </c>
      <c r="D36" s="8">
        <v>100</v>
      </c>
      <c r="E36" s="9">
        <f t="shared" si="0"/>
        <v>0</v>
      </c>
    </row>
    <row r="37" spans="1:6" x14ac:dyDescent="0.3">
      <c r="A37" s="8">
        <v>35</v>
      </c>
      <c r="B37" s="8" t="str">
        <v>Brand</v>
      </c>
      <c r="C37" s="8">
        <v>0</v>
      </c>
      <c r="D37" s="8">
        <v>100</v>
      </c>
      <c r="E37" s="9">
        <f t="shared" si="0"/>
        <v>0</v>
      </c>
    </row>
    <row r="38" spans="1:6" x14ac:dyDescent="0.3">
      <c r="A38" s="8">
        <v>36</v>
      </c>
      <c r="B38" s="8" t="str">
        <v>Price</v>
      </c>
      <c r="C38" s="8">
        <v>0</v>
      </c>
      <c r="D38" s="8">
        <v>100</v>
      </c>
      <c r="E38" s="9">
        <f t="shared" si="0"/>
        <v>0</v>
      </c>
    </row>
    <row r="39" spans="1:6" x14ac:dyDescent="0.3">
      <c r="A39" s="8">
        <v>37</v>
      </c>
      <c r="B39" s="8" t="str">
        <v>Discount</v>
      </c>
      <c r="C39" s="8">
        <v>0</v>
      </c>
      <c r="D39" s="8">
        <v>100</v>
      </c>
      <c r="E39" s="9">
        <f t="shared" si="0"/>
        <v>0</v>
      </c>
    </row>
    <row r="40" spans="1:6" x14ac:dyDescent="0.3">
      <c r="A40" s="8">
        <v>38</v>
      </c>
      <c r="B40" s="8" t="str">
        <v>StockQty</v>
      </c>
      <c r="C40" s="8">
        <v>0</v>
      </c>
      <c r="D40" s="8">
        <v>100</v>
      </c>
      <c r="E40" s="9">
        <f t="shared" si="0"/>
        <v>0</v>
      </c>
      <c r="F40" t="s">
        <v>1234</v>
      </c>
    </row>
    <row r="41" spans="1:6" x14ac:dyDescent="0.3">
      <c r="A41" s="8">
        <v>39</v>
      </c>
      <c r="B41" s="8" t="str">
        <v>WarrantyMonths</v>
      </c>
      <c r="C41" s="8">
        <v>0</v>
      </c>
      <c r="D41" s="8">
        <v>100</v>
      </c>
      <c r="E41" s="9">
        <f t="shared" si="0"/>
        <v>0</v>
      </c>
    </row>
    <row r="42" spans="1:6" x14ac:dyDescent="0.3">
      <c r="A42" s="8">
        <v>40</v>
      </c>
      <c r="B42" s="8" t="str">
        <v>MadeIn</v>
      </c>
      <c r="C42" s="8">
        <v>0</v>
      </c>
      <c r="D42" s="8">
        <v>100</v>
      </c>
      <c r="E42" s="9">
        <f t="shared" si="0"/>
        <v>0</v>
      </c>
    </row>
    <row r="43" spans="1:6" x14ac:dyDescent="0.3">
      <c r="A43" s="8">
        <v>41</v>
      </c>
      <c r="B43" s="8" t="str">
        <v>IsAvailable</v>
      </c>
      <c r="C43" s="8">
        <v>0</v>
      </c>
      <c r="D43" s="8">
        <v>100</v>
      </c>
      <c r="E43" s="9">
        <f t="shared" si="0"/>
        <v>0</v>
      </c>
    </row>
    <row r="44" spans="1:6" x14ac:dyDescent="0.3">
      <c r="A44" s="8">
        <v>42</v>
      </c>
      <c r="B44" s="8" t="str">
        <v>Rating</v>
      </c>
      <c r="C44" s="8">
        <v>0</v>
      </c>
      <c r="D44" s="8">
        <v>100</v>
      </c>
      <c r="E44" s="9">
        <f t="shared" si="0"/>
        <v>0</v>
      </c>
      <c r="F44" t="s">
        <v>1235</v>
      </c>
    </row>
    <row r="45" spans="1:6" x14ac:dyDescent="0.3">
      <c r="A45" s="8">
        <v>43</v>
      </c>
      <c r="B45" s="8" t="str">
        <v>LaunchDate</v>
      </c>
      <c r="C45" s="8">
        <v>0</v>
      </c>
      <c r="D45" s="8">
        <v>100</v>
      </c>
      <c r="E45" s="9">
        <f t="shared" si="0"/>
        <v>0</v>
      </c>
    </row>
    <row r="46" spans="1:6" x14ac:dyDescent="0.3">
      <c r="A46" s="8">
        <v>44</v>
      </c>
      <c r="B46" s="8" t="str">
        <v>Returnable</v>
      </c>
      <c r="C46" s="8">
        <v>0</v>
      </c>
      <c r="D46" s="8">
        <v>100</v>
      </c>
      <c r="E46" s="9">
        <f t="shared" si="0"/>
        <v>0</v>
      </c>
    </row>
    <row r="47" spans="1:6" x14ac:dyDescent="0.3">
      <c r="A47" s="8">
        <v>45</v>
      </c>
      <c r="B47" s="8" t="str">
        <v>HSNCode</v>
      </c>
      <c r="C47" s="8">
        <v>0</v>
      </c>
      <c r="D47" s="8">
        <v>100</v>
      </c>
      <c r="E47" s="9">
        <f t="shared" si="0"/>
        <v>0</v>
      </c>
    </row>
    <row r="48" spans="1:6" x14ac:dyDescent="0.3">
      <c r="A48" s="8">
        <v>46</v>
      </c>
      <c r="B48" s="8" t="str">
        <v>Store ID</v>
      </c>
      <c r="C48" s="8">
        <v>0</v>
      </c>
      <c r="D48" s="8">
        <v>100</v>
      </c>
      <c r="E48" s="9">
        <f t="shared" si="0"/>
        <v>0</v>
      </c>
    </row>
    <row r="49" spans="1:6" x14ac:dyDescent="0.3">
      <c r="A49" s="8">
        <v>47</v>
      </c>
      <c r="B49" s="8" t="str">
        <v>New StoreID</v>
      </c>
      <c r="C49" s="8">
        <v>0</v>
      </c>
      <c r="D49" s="8">
        <v>100</v>
      </c>
      <c r="E49" s="9">
        <f t="shared" si="0"/>
        <v>0</v>
      </c>
      <c r="F49" t="s">
        <v>1236</v>
      </c>
    </row>
    <row r="50" spans="1:6" x14ac:dyDescent="0.3">
      <c r="A50" s="8">
        <v>48</v>
      </c>
      <c r="B50" s="8" t="str">
        <v>StoreID</v>
      </c>
      <c r="C50" s="8">
        <v>45</v>
      </c>
      <c r="D50" s="8">
        <v>100</v>
      </c>
      <c r="E50" s="9">
        <f t="shared" si="0"/>
        <v>0.45</v>
      </c>
    </row>
    <row r="51" spans="1:6" x14ac:dyDescent="0.3">
      <c r="A51" s="8">
        <v>49</v>
      </c>
      <c r="B51" s="8" t="str">
        <v>StoreName</v>
      </c>
      <c r="C51" s="8">
        <v>45</v>
      </c>
      <c r="D51" s="8">
        <v>100</v>
      </c>
      <c r="E51" s="9">
        <f t="shared" si="0"/>
        <v>0.45</v>
      </c>
    </row>
    <row r="52" spans="1:6" x14ac:dyDescent="0.3">
      <c r="A52" s="8">
        <v>50</v>
      </c>
      <c r="B52" s="8" t="str">
        <v>City4</v>
      </c>
      <c r="C52" s="8">
        <v>45</v>
      </c>
      <c r="D52" s="8">
        <v>100</v>
      </c>
      <c r="E52" s="9">
        <f t="shared" si="0"/>
        <v>0.45</v>
      </c>
    </row>
    <row r="53" spans="1:6" x14ac:dyDescent="0.3">
      <c r="A53" s="8">
        <v>51</v>
      </c>
      <c r="B53" s="8" t="str">
        <v>State5</v>
      </c>
      <c r="C53" s="8">
        <v>45</v>
      </c>
      <c r="D53" s="8">
        <v>100</v>
      </c>
      <c r="E53" s="9">
        <f t="shared" si="0"/>
        <v>0.45</v>
      </c>
    </row>
    <row r="54" spans="1:6" x14ac:dyDescent="0.3">
      <c r="A54" s="8">
        <v>52</v>
      </c>
      <c r="B54" s="8" t="str">
        <v>Pincode6</v>
      </c>
      <c r="C54" s="8">
        <v>45</v>
      </c>
      <c r="D54" s="8">
        <v>100</v>
      </c>
      <c r="E54" s="9">
        <f t="shared" si="0"/>
        <v>0.45</v>
      </c>
    </row>
    <row r="55" spans="1:6" x14ac:dyDescent="0.3">
      <c r="A55" s="8">
        <v>53</v>
      </c>
      <c r="B55" s="8" t="str">
        <v>Manager</v>
      </c>
      <c r="C55" s="8">
        <v>45</v>
      </c>
      <c r="D55" s="8">
        <v>100</v>
      </c>
      <c r="E55" s="9">
        <f t="shared" si="0"/>
        <v>0.45</v>
      </c>
    </row>
    <row r="56" spans="1:6" x14ac:dyDescent="0.3">
      <c r="A56" s="8">
        <v>54</v>
      </c>
      <c r="B56" s="8" t="str">
        <v>EstablishedYear</v>
      </c>
      <c r="C56" s="8">
        <v>45</v>
      </c>
      <c r="D56" s="8">
        <v>100</v>
      </c>
      <c r="E56" s="9">
        <f t="shared" si="0"/>
        <v>0.45</v>
      </c>
    </row>
    <row r="57" spans="1:6" x14ac:dyDescent="0.3">
      <c r="A57" s="8">
        <v>55</v>
      </c>
      <c r="B57" s="8" t="str">
        <v>Employees</v>
      </c>
      <c r="C57" s="8">
        <v>45</v>
      </c>
      <c r="D57" s="8">
        <v>100</v>
      </c>
      <c r="E57" s="9">
        <f t="shared" si="0"/>
        <v>0.45</v>
      </c>
    </row>
    <row r="58" spans="1:6" x14ac:dyDescent="0.3">
      <c r="A58" s="8">
        <v>56</v>
      </c>
      <c r="B58" s="8" t="str">
        <v>MonthlyFootfall</v>
      </c>
      <c r="C58" s="8">
        <v>45</v>
      </c>
      <c r="D58" s="8">
        <v>100</v>
      </c>
      <c r="E58" s="9">
        <f t="shared" si="0"/>
        <v>0.45</v>
      </c>
    </row>
    <row r="59" spans="1:6" x14ac:dyDescent="0.3">
      <c r="A59" s="8">
        <v>57</v>
      </c>
      <c r="B59" s="8" t="str">
        <v>StoreRating</v>
      </c>
      <c r="C59" s="8">
        <v>45</v>
      </c>
      <c r="D59" s="8">
        <v>100</v>
      </c>
      <c r="E59" s="9">
        <f t="shared" si="0"/>
        <v>0.45</v>
      </c>
    </row>
    <row r="60" spans="1:6" x14ac:dyDescent="0.3">
      <c r="A60" s="8">
        <v>58</v>
      </c>
      <c r="B60" s="8" t="str">
        <v>OnlineEnabled</v>
      </c>
      <c r="C60" s="8">
        <v>45</v>
      </c>
      <c r="D60" s="8">
        <v>100</v>
      </c>
      <c r="E60" s="9">
        <f t="shared" si="0"/>
        <v>0.45</v>
      </c>
    </row>
    <row r="61" spans="1:6" x14ac:dyDescent="0.3">
      <c r="A61" s="8">
        <v>59</v>
      </c>
      <c r="B61" s="8" t="str">
        <v>AreaSqFt</v>
      </c>
      <c r="C61" s="8">
        <v>45</v>
      </c>
      <c r="D61" s="8">
        <v>100</v>
      </c>
      <c r="E61" s="9">
        <f t="shared" si="0"/>
        <v>0.45</v>
      </c>
    </row>
    <row r="62" spans="1:6" x14ac:dyDescent="0.3">
      <c r="A62" s="8">
        <v>60</v>
      </c>
      <c r="B62" s="8" t="str">
        <v>StoreType</v>
      </c>
      <c r="C62" s="8">
        <v>45</v>
      </c>
      <c r="D62" s="8">
        <v>100</v>
      </c>
      <c r="E62" s="9">
        <f t="shared" si="0"/>
        <v>0.45</v>
      </c>
    </row>
    <row r="63" spans="1:6" x14ac:dyDescent="0.3">
      <c r="A63" s="8">
        <v>61</v>
      </c>
      <c r="B63" s="8" t="str">
        <v>ContactNumber</v>
      </c>
      <c r="C63" s="8">
        <v>45</v>
      </c>
      <c r="D63" s="8">
        <v>100</v>
      </c>
      <c r="E63" s="9">
        <f t="shared" si="0"/>
        <v>0.45</v>
      </c>
    </row>
    <row r="64" spans="1:6" x14ac:dyDescent="0.3">
      <c r="A64" s="8">
        <v>62</v>
      </c>
      <c r="B64" s="8" t="str">
        <v>Email7</v>
      </c>
      <c r="C64" s="8">
        <v>45</v>
      </c>
      <c r="D64" s="8">
        <v>100</v>
      </c>
      <c r="E64" s="9">
        <f t="shared" si="0"/>
        <v>0.45</v>
      </c>
    </row>
    <row r="65" spans="1:6" x14ac:dyDescent="0.3">
      <c r="A65" s="8">
        <v>63</v>
      </c>
      <c r="B65" s="8" t="str">
        <v>Reveune</v>
      </c>
      <c r="C65" s="8">
        <v>0</v>
      </c>
      <c r="D65" s="8">
        <v>100</v>
      </c>
      <c r="E65" s="9">
        <f t="shared" si="0"/>
        <v>0</v>
      </c>
      <c r="F65" t="s">
        <v>1228</v>
      </c>
    </row>
    <row r="66" spans="1:6" x14ac:dyDescent="0.3">
      <c r="A66" s="2">
        <v>64</v>
      </c>
      <c r="B66" s="2" t="str">
        <v>Final Amount</v>
      </c>
      <c r="C66" s="2">
        <v>0</v>
      </c>
      <c r="D66" s="2">
        <v>100</v>
      </c>
      <c r="E66" s="9">
        <f t="shared" si="0"/>
        <v>0</v>
      </c>
      <c r="F66" t="s">
        <v>1229</v>
      </c>
    </row>
    <row r="67" spans="1:6" x14ac:dyDescent="0.3">
      <c r="A67" s="2">
        <v>65</v>
      </c>
      <c r="B67" s="2" t="str">
        <v>Profit</v>
      </c>
      <c r="C67" s="2">
        <v>0</v>
      </c>
      <c r="D67" s="2">
        <v>100</v>
      </c>
      <c r="E67" s="9">
        <f t="shared" si="0"/>
        <v>0</v>
      </c>
      <c r="F67" t="s">
        <v>1227</v>
      </c>
    </row>
  </sheetData>
  <conditionalFormatting sqref="E3:E67">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2EF7D1D-3EF1-499F-8297-00EC3C9B94B5}">
  <ds:schemaRefs/>
</ds:datastoreItem>
</file>

<file path=customXml/itemProps2.xml><?xml version="1.0" encoding="utf-8"?>
<ds:datastoreItem xmlns:ds="http://schemas.openxmlformats.org/officeDocument/2006/customXml" ds:itemID="{C195DAEC-58AB-4830-843D-3BA11C139A01}">
  <ds:schemaRefs/>
</ds:datastoreItem>
</file>

<file path=customXml/itemProps3.xml><?xml version="1.0" encoding="utf-8"?>
<ds:datastoreItem xmlns:ds="http://schemas.openxmlformats.org/officeDocument/2006/customXml" ds:itemID="{BA493794-44C0-4C46-90F7-E50ACBF6E1F6}">
  <ds:schemaRefs/>
</ds:datastoreItem>
</file>

<file path=customXml/itemProps4.xml><?xml version="1.0" encoding="utf-8"?>
<ds:datastoreItem xmlns:ds="http://schemas.openxmlformats.org/officeDocument/2006/customXml" ds:itemID="{3360BE47-EEE6-4CAA-9E70-D26B674B3E40}">
  <ds:schemaRefs/>
</ds:datastoreItem>
</file>

<file path=customXml/itemProps5.xml><?xml version="1.0" encoding="utf-8"?>
<ds:datastoreItem xmlns:ds="http://schemas.openxmlformats.org/officeDocument/2006/customXml" ds:itemID="{A45E93CD-2355-423F-A013-EA4A7D7B108F}">
  <ds:schemaRefs/>
</ds:datastoreItem>
</file>

<file path=customXml/itemProps6.xml><?xml version="1.0" encoding="utf-8"?>
<ds:datastoreItem xmlns:ds="http://schemas.openxmlformats.org/officeDocument/2006/customXml" ds:itemID="{DCA9A8CD-E496-4ADF-88AB-039B4607279A}">
  <ds:schemaRefs/>
</ds:datastoreItem>
</file>

<file path=customXml/itemProps7.xml><?xml version="1.0" encoding="utf-8"?>
<ds:datastoreItem xmlns:ds="http://schemas.openxmlformats.org/officeDocument/2006/customXml" ds:itemID="{C37B98F7-200D-4AAE-9ED6-574377519E54}">
  <ds:schemaRefs/>
</ds:datastoreItem>
</file>

<file path=customXml/itemProps8.xml><?xml version="1.0" encoding="utf-8"?>
<ds:datastoreItem xmlns:ds="http://schemas.openxmlformats.org/officeDocument/2006/customXml" ds:itemID="{0C2834DD-687E-4B68-910B-543689E2B2A7}">
  <ds:schemaRefs/>
</ds:datastoreItem>
</file>

<file path=customXml/itemProps9.xml><?xml version="1.0" encoding="utf-8"?>
<ds:datastoreItem xmlns:ds="http://schemas.openxmlformats.org/officeDocument/2006/customXml" ds:itemID="{4EE05392-0E98-4A57-8782-0629DB9535AB}">
  <ds:schemaRefs/>
</ds:datastoreItem>
</file>

<file path=customXml/itemProps10.xml><?xml version="1.0" encoding="utf-8"?>
<ds:datastoreItem xmlns:ds="http://schemas.openxmlformats.org/officeDocument/2006/customXml" ds:itemID="{CB9CCFB0-FB03-41B5-A6A6-F8595086025E}">
  <ds:schemaRefs/>
</ds:datastoreItem>
</file>

<file path=customXml/itemProps11.xml><?xml version="1.0" encoding="utf-8"?>
<ds:datastoreItem xmlns:ds="http://schemas.openxmlformats.org/officeDocument/2006/customXml" ds:itemID="{DFD9D427-4AAC-453D-929C-F4772135B556}">
  <ds:schemaRefs/>
</ds:datastoreItem>
</file>

<file path=customXml/itemProps12.xml><?xml version="1.0" encoding="utf-8"?>
<ds:datastoreItem xmlns:ds="http://schemas.openxmlformats.org/officeDocument/2006/customXml" ds:itemID="{9FF70CE6-9967-4FDF-AEC9-EB5971C566D9}">
  <ds:schemaRefs/>
</ds:datastoreItem>
</file>

<file path=customXml/itemProps13.xml><?xml version="1.0" encoding="utf-8"?>
<ds:datastoreItem xmlns:ds="http://schemas.openxmlformats.org/officeDocument/2006/customXml" ds:itemID="{B1A0AF06-A43A-42B6-BA3E-6827A6F3626D}">
  <ds:schemaRefs/>
</ds:datastoreItem>
</file>

<file path=customXml/itemProps14.xml><?xml version="1.0" encoding="utf-8"?>
<ds:datastoreItem xmlns:ds="http://schemas.openxmlformats.org/officeDocument/2006/customXml" ds:itemID="{8E451E52-B9CA-4FE7-80F8-4B892BEBDD02}">
  <ds:schemaRefs/>
</ds:datastoreItem>
</file>

<file path=customXml/itemProps15.xml><?xml version="1.0" encoding="utf-8"?>
<ds:datastoreItem xmlns:ds="http://schemas.openxmlformats.org/officeDocument/2006/customXml" ds:itemID="{BEA26171-1107-4411-9548-8CDCBD6D861F}">
  <ds:schemaRefs/>
</ds:datastoreItem>
</file>

<file path=customXml/itemProps16.xml><?xml version="1.0" encoding="utf-8"?>
<ds:datastoreItem xmlns:ds="http://schemas.openxmlformats.org/officeDocument/2006/customXml" ds:itemID="{1E7A59EF-3641-4A46-8213-AB9AEF2B287A}">
  <ds:schemaRefs/>
</ds:datastoreItem>
</file>

<file path=customXml/itemProps17.xml><?xml version="1.0" encoding="utf-8"?>
<ds:datastoreItem xmlns:ds="http://schemas.openxmlformats.org/officeDocument/2006/customXml" ds:itemID="{0867FBB6-5D2D-4972-B829-0C52A5A5F9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Products</vt:lpstr>
      <vt:lpstr>customers</vt:lpstr>
      <vt:lpstr>stores</vt:lpstr>
      <vt:lpstr>All columns &amp; ERD</vt:lpstr>
      <vt:lpstr>All Combined Data</vt:lpstr>
      <vt:lpstr>All Pivot Table</vt:lpstr>
      <vt:lpstr>Dashboard</vt:lpstr>
      <vt:lpstr>Final Data</vt:lpstr>
      <vt:lpstr>Null and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Mishra</dc:creator>
  <cp:lastModifiedBy>Ankit Mishra</cp:lastModifiedBy>
  <dcterms:created xsi:type="dcterms:W3CDTF">2025-07-31T12:58:51Z</dcterms:created>
  <dcterms:modified xsi:type="dcterms:W3CDTF">2025-08-28T08:51:16Z</dcterms:modified>
</cp:coreProperties>
</file>