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2.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3.xml" ContentType="application/vnd.openxmlformats-officedocument.spreadsheetml.comments+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4.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omments5.xml" ContentType="application/vnd.openxmlformats-officedocument.spreadsheetml.comments+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omments6.xml" ContentType="application/vnd.openxmlformats-officedocument.spreadsheetml.comments+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comments7.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comments8.xml" ContentType="application/vnd.openxmlformats-officedocument.spreadsheetml.comments+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comments9.xml" ContentType="application/vnd.openxmlformats-officedocument.spreadsheetml.comments+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comments10.xml" ContentType="application/vnd.openxmlformats-officedocument.spreadsheetml.comments+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comments11.xml" ContentType="application/vnd.openxmlformats-officedocument.spreadsheetml.comments+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comments12.xml" ContentType="application/vnd.openxmlformats-officedocument.spreadsheetml.comments+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comments13.xml" ContentType="application/vnd.openxmlformats-officedocument.spreadsheetml.comments+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comments14.xml" ContentType="application/vnd.openxmlformats-officedocument.spreadsheetml.comments+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comments15.xml" ContentType="application/vnd.openxmlformats-officedocument.spreadsheetml.comments+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comments16.xml" ContentType="application/vnd.openxmlformats-officedocument.spreadsheetml.comments+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comments17.xml" ContentType="application/vnd.openxmlformats-officedocument.spreadsheetml.comments+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comments18.xml" ContentType="application/vnd.openxmlformats-officedocument.spreadsheetml.comments+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comments19.xml" ContentType="application/vnd.openxmlformats-officedocument.spreadsheetml.comments+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comments20.xml" ContentType="application/vnd.openxmlformats-officedocument.spreadsheetml.comments+xml"/>
  <Override PartName="/xl/tables/table182.xml" ContentType="application/vnd.openxmlformats-officedocument.spreadsheetml.table+xml"/>
  <Override PartName="/xl/comments21.xml" ContentType="application/vnd.openxmlformats-officedocument.spreadsheetml.comments+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66925"/>
  <mc:AlternateContent xmlns:mc="http://schemas.openxmlformats.org/markup-compatibility/2006">
    <mc:Choice Requires="x15">
      <x15ac:absPath xmlns:x15ac="http://schemas.microsoft.com/office/spreadsheetml/2010/11/ac" url="D:\Malaysia Insurance Project\New 28 June\"/>
    </mc:Choice>
  </mc:AlternateContent>
  <xr:revisionPtr revIDLastSave="0" documentId="13_ncr:1_{AE5B6CB7-5EDF-4C08-9058-2E576215106C}" xr6:coauthVersionLast="34" xr6:coauthVersionMax="34" xr10:uidLastSave="{00000000-0000-0000-0000-000000000000}"/>
  <bookViews>
    <workbookView xWindow="0" yWindow="0" windowWidth="24000" windowHeight="8925" tabRatio="447" firstSheet="14" activeTab="17" xr2:uid="{BE41847A-224A-45E6-85E3-B92E3DCDEECA}"/>
  </bookViews>
  <sheets>
    <sheet name="IL_DD" sheetId="26" r:id="rId1"/>
    <sheet name="IL_EBank" sheetId="18" r:id="rId2"/>
    <sheet name="IL_CC" sheetId="1" r:id="rId3"/>
    <sheet name="IL_Biro" sheetId="10" r:id="rId4"/>
    <sheet name="BSN_DD" sheetId="33" r:id="rId5"/>
    <sheet name="BIMB_DD" sheetId="32" r:id="rId6"/>
    <sheet name="PBB_DD" sheetId="31" r:id="rId7"/>
    <sheet name="RHB_DD" sheetId="30" r:id="rId8"/>
    <sheet name="SCB_DD" sheetId="29" r:id="rId9"/>
    <sheet name="CIMB_DD" sheetId="28" r:id="rId10"/>
    <sheet name="MBB_DD" sheetId="27" r:id="rId11"/>
    <sheet name="BIMB_EBank" sheetId="24" r:id="rId12"/>
    <sheet name="Rakyat_EBank" sheetId="23" r:id="rId13"/>
    <sheet name="Affin_EBank" sheetId="22" r:id="rId14"/>
    <sheet name="BSN_EBank" sheetId="21" r:id="rId15"/>
    <sheet name="CIMB_EBank" sheetId="20" r:id="rId16"/>
    <sheet name="MBB_EBank" sheetId="19" r:id="rId17"/>
    <sheet name="MBB_CC" sheetId="2" r:id="rId18"/>
    <sheet name="CIMB_CC" sheetId="3" r:id="rId19"/>
    <sheet name="SCB_CC" sheetId="8" r:id="rId20"/>
    <sheet name="Biro_DD" sheetId="9" r:id="rId21"/>
    <sheet name="RoutingRule" sheetId="5" r:id="rId22"/>
    <sheet name="CCTestResult" sheetId="4" r:id="rId23"/>
    <sheet name="EBankTestResult" sheetId="25" r:id="rId24"/>
    <sheet name="DDTestResult" sheetId="34" r:id="rId2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2" l="1"/>
  <c r="D48" i="3" l="1"/>
  <c r="G34" i="3"/>
  <c r="D34" i="2"/>
  <c r="D47" i="2" l="1"/>
  <c r="F14" i="26"/>
  <c r="C14" i="1"/>
  <c r="C19" i="10" l="1"/>
  <c r="G34" i="2" l="1"/>
  <c r="B48" i="3" l="1"/>
  <c r="B47" i="2"/>
  <c r="C38" i="8"/>
  <c r="B38" i="3"/>
  <c r="B38" i="2"/>
  <c r="E14" i="1"/>
  <c r="C38" i="33" l="1"/>
  <c r="C34" i="33"/>
  <c r="G42" i="33"/>
  <c r="H14" i="1"/>
  <c r="D14" i="1"/>
  <c r="B14" i="1"/>
  <c r="K14" i="26"/>
  <c r="J14" i="26"/>
  <c r="I14" i="26"/>
  <c r="G14" i="26"/>
  <c r="E14" i="26"/>
  <c r="D14" i="26"/>
  <c r="C14" i="26"/>
  <c r="B14" i="18"/>
  <c r="B25" i="26"/>
  <c r="B14" i="10"/>
  <c r="B25" i="1"/>
  <c r="B48" i="32" l="1"/>
  <c r="D48" i="33"/>
  <c r="B48" i="33"/>
  <c r="B47" i="27"/>
  <c r="D47" i="27"/>
  <c r="I34" i="27"/>
  <c r="C47" i="27"/>
  <c r="C48" i="8" l="1"/>
  <c r="F38" i="8"/>
  <c r="C48" i="3"/>
  <c r="C47" i="2" l="1"/>
  <c r="H4" i="26" l="1"/>
  <c r="B43" i="8" l="1"/>
  <c r="D35" i="22" l="1"/>
  <c r="D35" i="19"/>
  <c r="E34" i="19"/>
  <c r="F14" i="19"/>
  <c r="D34" i="19"/>
  <c r="D48" i="30"/>
  <c r="H43" i="30"/>
  <c r="L34" i="30"/>
  <c r="C48" i="30"/>
  <c r="D48" i="31"/>
  <c r="D43" i="31"/>
  <c r="F34" i="31"/>
  <c r="D43" i="33"/>
  <c r="I34" i="33"/>
  <c r="E43" i="28"/>
  <c r="H34" i="27" l="1"/>
  <c r="G34" i="27"/>
  <c r="D43" i="27" s="1"/>
  <c r="D48" i="28"/>
  <c r="I34" i="28"/>
  <c r="H34" i="28"/>
  <c r="J34" i="28" s="1"/>
  <c r="D48" i="29"/>
  <c r="E42" i="29"/>
  <c r="D42" i="29"/>
  <c r="K34" i="29"/>
  <c r="J34" i="29"/>
  <c r="K34" i="30"/>
  <c r="J34" i="30"/>
  <c r="F42" i="31"/>
  <c r="E42" i="31"/>
  <c r="G34" i="31"/>
  <c r="D48" i="32"/>
  <c r="F34" i="32"/>
  <c r="G34" i="32"/>
  <c r="C43" i="27" l="1"/>
  <c r="B43" i="27"/>
  <c r="C43" i="28"/>
  <c r="B43" i="28"/>
  <c r="B43" i="29"/>
  <c r="C43" i="29"/>
  <c r="B43" i="30"/>
  <c r="C43" i="30"/>
  <c r="C43" i="31"/>
  <c r="B43" i="31"/>
  <c r="C43" i="32"/>
  <c r="B43" i="32"/>
  <c r="C43" i="8"/>
  <c r="C43" i="3"/>
  <c r="F43" i="33"/>
  <c r="B43" i="33"/>
  <c r="D48" i="8" l="1"/>
  <c r="B48" i="8"/>
  <c r="H42" i="33"/>
  <c r="I42" i="33"/>
  <c r="I42" i="30"/>
  <c r="J42" i="30"/>
  <c r="F42" i="27"/>
  <c r="E42" i="27"/>
  <c r="G42" i="28"/>
  <c r="F42" i="28"/>
  <c r="E42" i="32"/>
  <c r="F42" i="32"/>
  <c r="D5" i="34" l="1"/>
  <c r="I5" i="34"/>
  <c r="B21" i="33"/>
  <c r="C21" i="33"/>
  <c r="D21" i="33"/>
  <c r="E21" i="33"/>
  <c r="B25" i="33"/>
  <c r="C25" i="33"/>
  <c r="D25" i="33"/>
  <c r="E25" i="33"/>
  <c r="F25" i="33"/>
  <c r="B29" i="33"/>
  <c r="C29" i="33"/>
  <c r="D29" i="33"/>
  <c r="E29" i="33"/>
  <c r="F29" i="33"/>
  <c r="G29" i="33"/>
  <c r="H29" i="33"/>
  <c r="I29" i="33"/>
  <c r="C48" i="33"/>
  <c r="B21" i="32"/>
  <c r="C21" i="32"/>
  <c r="D21" i="32"/>
  <c r="E21" i="32"/>
  <c r="B25" i="32"/>
  <c r="C25" i="32"/>
  <c r="D25" i="32"/>
  <c r="E25" i="32"/>
  <c r="B29" i="32"/>
  <c r="C29" i="32"/>
  <c r="D29" i="32"/>
  <c r="E29" i="32"/>
  <c r="F29" i="32"/>
  <c r="G29" i="32"/>
  <c r="H29" i="32"/>
  <c r="I29" i="32"/>
  <c r="C48" i="32"/>
  <c r="B21" i="31"/>
  <c r="C21" i="31"/>
  <c r="D21" i="31"/>
  <c r="E21" i="31"/>
  <c r="B25" i="31"/>
  <c r="C25" i="31"/>
  <c r="D25" i="31"/>
  <c r="E25" i="31"/>
  <c r="F25" i="31"/>
  <c r="G25" i="31"/>
  <c r="B29" i="31"/>
  <c r="C29" i="31"/>
  <c r="D29" i="31"/>
  <c r="E29" i="31"/>
  <c r="F29" i="31"/>
  <c r="G29" i="31"/>
  <c r="H29" i="31"/>
  <c r="I29" i="31"/>
  <c r="D34" i="31"/>
  <c r="C48" i="31" s="1"/>
  <c r="B48" i="31"/>
  <c r="B21" i="30"/>
  <c r="C21" i="30"/>
  <c r="D21" i="30"/>
  <c r="E21" i="30"/>
  <c r="F21" i="30"/>
  <c r="G21" i="30"/>
  <c r="B25" i="30"/>
  <c r="C25" i="30"/>
  <c r="D25" i="30"/>
  <c r="E25" i="30"/>
  <c r="F25" i="30"/>
  <c r="G25" i="30"/>
  <c r="H25" i="30"/>
  <c r="B29" i="30"/>
  <c r="C29" i="30"/>
  <c r="D29" i="30"/>
  <c r="E29" i="30"/>
  <c r="F29" i="30"/>
  <c r="G29" i="30"/>
  <c r="H29" i="30"/>
  <c r="I29" i="30"/>
  <c r="B48" i="30"/>
  <c r="B21" i="29"/>
  <c r="C21" i="29"/>
  <c r="D21" i="29"/>
  <c r="E21" i="29"/>
  <c r="F21" i="29"/>
  <c r="G21" i="29"/>
  <c r="H21" i="29"/>
  <c r="I21" i="29"/>
  <c r="J21" i="29"/>
  <c r="K21" i="29"/>
  <c r="L21" i="29"/>
  <c r="B25" i="29"/>
  <c r="C25" i="29"/>
  <c r="B29" i="29"/>
  <c r="B48" i="29"/>
  <c r="C48" i="29"/>
  <c r="B21" i="28"/>
  <c r="C21" i="28"/>
  <c r="D21" i="28"/>
  <c r="E21" i="28"/>
  <c r="F21" i="28"/>
  <c r="G21" i="28"/>
  <c r="H21" i="28"/>
  <c r="I21" i="28"/>
  <c r="B25" i="28"/>
  <c r="C25" i="28"/>
  <c r="D25" i="28"/>
  <c r="E25" i="28"/>
  <c r="F25" i="28"/>
  <c r="B29" i="28"/>
  <c r="C29" i="28"/>
  <c r="D29" i="28"/>
  <c r="E29" i="28"/>
  <c r="F29" i="28"/>
  <c r="G29" i="28"/>
  <c r="H29" i="28"/>
  <c r="I29" i="28"/>
  <c r="B48" i="28"/>
  <c r="C48" i="28"/>
  <c r="B21" i="27"/>
  <c r="C21" i="27"/>
  <c r="D21" i="27"/>
  <c r="E21" i="27"/>
  <c r="F21" i="27"/>
  <c r="G21" i="27"/>
  <c r="B25" i="27"/>
  <c r="C25" i="27"/>
  <c r="D25" i="27"/>
  <c r="B29" i="27"/>
  <c r="C29" i="27"/>
  <c r="D29" i="27"/>
  <c r="G4" i="26"/>
  <c r="B14" i="26"/>
  <c r="B20" i="26" s="1"/>
  <c r="H14" i="26"/>
  <c r="C20" i="26"/>
  <c r="E10" i="34" l="1"/>
  <c r="E5" i="34"/>
  <c r="D20" i="26"/>
  <c r="E20" i="26"/>
  <c r="F20" i="26"/>
  <c r="G20" i="26"/>
  <c r="J5" i="34" s="1"/>
  <c r="I20" i="26"/>
  <c r="J20" i="26" s="1"/>
  <c r="K20" i="26"/>
  <c r="B31" i="26"/>
  <c r="C31" i="26"/>
  <c r="K5" i="34" s="1"/>
  <c r="L5" i="34" l="1"/>
  <c r="D5" i="25"/>
  <c r="E5" i="25" s="1"/>
  <c r="I5" i="25"/>
  <c r="J5" i="25"/>
  <c r="L5" i="25" s="1"/>
  <c r="K5" i="25"/>
  <c r="E10" i="25"/>
  <c r="B14" i="24"/>
  <c r="C14" i="24"/>
  <c r="D14" i="24"/>
  <c r="E14" i="24"/>
  <c r="F14" i="24"/>
  <c r="G14" i="24"/>
  <c r="H14" i="24"/>
  <c r="I14" i="24"/>
  <c r="J14" i="24"/>
  <c r="B24" i="24"/>
  <c r="C24" i="24"/>
  <c r="D24" i="24"/>
  <c r="E24" i="24"/>
  <c r="B34" i="24"/>
  <c r="C34" i="24"/>
  <c r="B14" i="23"/>
  <c r="C14" i="23"/>
  <c r="D14" i="23"/>
  <c r="E14" i="23"/>
  <c r="F14" i="23"/>
  <c r="B24" i="23"/>
  <c r="B34" i="23"/>
  <c r="C34" i="23"/>
  <c r="D34" i="23"/>
  <c r="E34" i="23"/>
  <c r="B14" i="22"/>
  <c r="C14" i="22"/>
  <c r="D14" i="22"/>
  <c r="E14" i="22"/>
  <c r="F14" i="22"/>
  <c r="G14" i="22"/>
  <c r="H14" i="22"/>
  <c r="I14" i="22"/>
  <c r="B24" i="22"/>
  <c r="C24" i="22"/>
  <c r="D24" i="22"/>
  <c r="E24" i="22"/>
  <c r="F24" i="22"/>
  <c r="B34" i="22"/>
  <c r="C34" i="22"/>
  <c r="D34" i="22"/>
  <c r="E34" i="22"/>
  <c r="F34" i="22"/>
  <c r="G34" i="22"/>
  <c r="B14" i="21"/>
  <c r="C14" i="21"/>
  <c r="B24" i="21"/>
  <c r="B34" i="21"/>
  <c r="C34" i="21"/>
  <c r="D34" i="21"/>
  <c r="E34" i="21"/>
  <c r="F34" i="21"/>
  <c r="G34" i="21"/>
  <c r="H34" i="21"/>
  <c r="B14" i="20"/>
  <c r="C14" i="20"/>
  <c r="D14" i="20"/>
  <c r="B24" i="20"/>
  <c r="B34" i="20"/>
  <c r="C34" i="20"/>
  <c r="B14" i="19"/>
  <c r="C14" i="19"/>
  <c r="D14" i="19"/>
  <c r="E14" i="19"/>
  <c r="G14" i="19"/>
  <c r="H14" i="19"/>
  <c r="B24" i="19"/>
  <c r="C24" i="19"/>
  <c r="D24" i="19"/>
  <c r="E24" i="19"/>
  <c r="F24" i="19"/>
  <c r="B34" i="19"/>
  <c r="F34" i="19"/>
  <c r="C19" i="18"/>
  <c r="H4" i="1" l="1"/>
  <c r="B21" i="8" l="1"/>
  <c r="D14" i="9" l="1"/>
  <c r="F14" i="9"/>
  <c r="G14" i="9"/>
  <c r="B14" i="9"/>
  <c r="E14" i="9"/>
  <c r="C14" i="9"/>
  <c r="H14" i="9"/>
  <c r="G4" i="1" l="1"/>
  <c r="D5" i="4"/>
  <c r="B43" i="3"/>
  <c r="E34" i="3"/>
  <c r="D34" i="3"/>
  <c r="C29" i="3"/>
  <c r="B29" i="3"/>
  <c r="B25" i="3"/>
  <c r="E21" i="3"/>
  <c r="F21" i="3"/>
  <c r="D21" i="3"/>
  <c r="C21" i="3"/>
  <c r="B21" i="3"/>
  <c r="F21" i="8"/>
  <c r="E21" i="8"/>
  <c r="D21" i="8"/>
  <c r="C21" i="8"/>
  <c r="G20" i="1"/>
  <c r="C43" i="2"/>
  <c r="B43" i="2"/>
  <c r="C29" i="2"/>
  <c r="E34" i="2"/>
  <c r="B29" i="2"/>
  <c r="B25" i="2"/>
  <c r="C31" i="1"/>
  <c r="B31" i="1"/>
  <c r="F21" i="2"/>
  <c r="D21" i="2"/>
  <c r="C21" i="2"/>
  <c r="B21" i="2"/>
  <c r="C35" i="1" l="1"/>
  <c r="G14" i="1"/>
  <c r="H20" i="1"/>
  <c r="K5" i="4"/>
  <c r="I5" i="4"/>
  <c r="J5" i="4" l="1"/>
  <c r="L5" i="4" l="1"/>
  <c r="E10" i="4" l="1"/>
  <c r="E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B1CBA659-C232-4FE1-823E-269116200A73}">
      <text>
        <r>
          <rPr>
            <b/>
            <sz val="9"/>
            <color indexed="81"/>
            <rFont val="Tahoma"/>
            <family val="2"/>
          </rPr>
          <t>Sajal Gupta:</t>
        </r>
        <r>
          <rPr>
            <sz val="9"/>
            <color indexed="81"/>
            <rFont val="Tahoma"/>
            <family val="2"/>
          </rPr>
          <t xml:space="preserve">
Config Table to capture the name of the source, feed formats of the source systems. Name of the this table should be &lt;sheet_name&gt;_src_config for capturing source system configurations 
Refer to comments of the individual columns for details
Following tables are defined:-
Input tables (table name containing "_in") are used to process feed from source systems to banks (bank requests)
Output tables (table name containing "_out") are used to process feed from banks to source systems (bank responses) 
Names of the columns shouldnt be changed</t>
        </r>
      </text>
    </comment>
    <comment ref="C3" authorId="0" shapeId="0" xr:uid="{3D263E35-F77C-4DC4-BC66-EA14FE10E405}">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D3" authorId="0" shapeId="0" xr:uid="{590E36A6-8CC0-4D70-BEE4-728043D9D0C4}">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E3" authorId="0" shapeId="0" xr:uid="{E867885F-F15B-47A4-9E38-7D14300BD7DF}">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F3" authorId="0" shapeId="0" xr:uid="{78C56119-2473-4030-BB0B-BE0744CD95A3}">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G3" authorId="0" shapeId="0" xr:uid="{22414F6A-08BA-45E1-A63D-44D0F7F872F4}">
      <text>
        <r>
          <rPr>
            <b/>
            <sz val="9"/>
            <color indexed="81"/>
            <rFont val="Tahoma"/>
            <family val="2"/>
          </rPr>
          <t>Sajal Gupta:</t>
        </r>
        <r>
          <rPr>
            <sz val="9"/>
            <color indexed="81"/>
            <rFont val="Tahoma"/>
            <family val="2"/>
          </rPr>
          <t xml:space="preserve">
Boolean condition formula is used to validate the value present in the rows of the tables &lt;src_name&gt;_hdr_in, &lt;src_name&gt;_det_in, &lt;src_name&gt;_hdr_in_com, &lt;src_name&gt;_det_in_com 
Must return TRUE/FALSE
Empty cell defaults to TRUE</t>
        </r>
      </text>
    </comment>
    <comment ref="H3" authorId="0" shapeId="0" xr:uid="{1A3EC36E-C0FA-461A-A546-7AA0B34BBCAB}">
      <text>
        <r>
          <rPr>
            <b/>
            <sz val="9"/>
            <color indexed="81"/>
            <rFont val="Tahoma"/>
            <family val="2"/>
          </rPr>
          <t>Sajal Gupta:</t>
        </r>
        <r>
          <rPr>
            <sz val="9"/>
            <color indexed="81"/>
            <rFont val="Tahoma"/>
            <family val="2"/>
          </rPr>
          <t xml:space="preserve">
Rule to determine which bank to route the current feed row to, It can use the value of &lt;src&gt;_det_in_com, &lt;src&gt;_hdr_in_com
Must return names of banks sheets in the order of priority, if multiple banks are returned then the first enabled bank will be used
</t>
        </r>
      </text>
    </comment>
    <comment ref="I3" authorId="0" shapeId="0" xr:uid="{CE6F3821-5F7B-4812-AD9A-D7BD7CCC50FE}">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J3" authorId="0" shapeId="0" xr:uid="{DD47B3D7-88B6-4B98-8ABD-A1EC7AC39184}">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K3" authorId="0" shapeId="0" xr:uid="{3FE5C311-658B-4B44-8DFF-1BF2B0C508E0}">
      <text>
        <r>
          <rPr>
            <b/>
            <sz val="9"/>
            <color indexed="81"/>
            <rFont val="Tahoma"/>
            <family val="2"/>
          </rPr>
          <t>Sajal Gupta:</t>
        </r>
        <r>
          <rPr>
            <sz val="9"/>
            <color indexed="81"/>
            <rFont val="Tahoma"/>
            <family val="2"/>
          </rPr>
          <t xml:space="preserve">
Source value will be filled by system with bank code whose feed is currently getting processed
 This value can be used in the condtion formula and formula defined in </t>
        </r>
        <r>
          <rPr>
            <b/>
            <sz val="9"/>
            <color indexed="81"/>
            <rFont val="Tahoma"/>
            <family val="2"/>
          </rPr>
          <t>&lt;src&gt;_det_out_com, &lt;src&gt;_hdr_out_com,&lt;src&gt;_ftr_out_com</t>
        </r>
        <r>
          <rPr>
            <sz val="9"/>
            <color indexed="81"/>
            <rFont val="Tahoma"/>
            <family val="2"/>
          </rPr>
          <t xml:space="preserve">
</t>
        </r>
        <r>
          <rPr>
            <b/>
            <sz val="9"/>
            <color indexed="81"/>
            <rFont val="Tahoma"/>
            <family val="2"/>
          </rPr>
          <t>Should be populated only for testing the formulae</t>
        </r>
      </text>
    </comment>
    <comment ref="B7" authorId="0" shapeId="0" xr:uid="{14B7D4E9-415A-463A-AEF2-E23BA8EF56EF}">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&lt;src_name&gt;_det_in</t>
        </r>
        <r>
          <rPr>
            <sz val="9"/>
            <color indexed="81"/>
            <rFont val="Tahoma"/>
            <family val="2"/>
          </rPr>
          <t xml:space="preserve"> (where &lt;src_name&gt;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row
For FIXEDLENGTH feed format, define only one column to capture the entire row. Formula defined in the _com tables can be used to split the values of the rows based on the fixed length sizes</t>
        </r>
      </text>
    </comment>
    <comment ref="B12" authorId="0" shapeId="0" xr:uid="{25C63253-F1F5-4355-8251-86A340694A9D}">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 xml:space="preserve">&lt;src&gt;_det_in, &lt;src&gt;_hdr_in
</t>
        </r>
        <r>
          <rPr>
            <sz val="9"/>
            <color indexed="81"/>
            <rFont val="Tahoma"/>
            <family val="2"/>
          </rPr>
          <t>Any no of columns (with proper column names) can be defined need to compute formulae</t>
        </r>
        <r>
          <rPr>
            <b/>
            <sz val="9"/>
            <color indexed="81"/>
            <rFont val="Tahoma"/>
            <family val="2"/>
          </rPr>
          <t xml:space="preserve">
</t>
        </r>
        <r>
          <rPr>
            <sz val="9"/>
            <color indexed="81"/>
            <rFont val="Tahoma"/>
            <family val="2"/>
          </rPr>
          <t xml:space="preserve">Naming convention should be </t>
        </r>
        <r>
          <rPr>
            <b/>
            <sz val="9"/>
            <color indexed="81"/>
            <rFont val="Tahoma"/>
            <family val="2"/>
          </rPr>
          <t>&lt;src_name&gt;_det_in_com</t>
        </r>
        <r>
          <rPr>
            <sz val="9"/>
            <color indexed="81"/>
            <rFont val="Tahoma"/>
            <family val="2"/>
          </rPr>
          <t xml:space="preserve"> (where &lt;src_name&gt; is the value defined in the row 1 of column "Name" in the config table
</t>
        </r>
      </text>
    </comment>
    <comment ref="B18" authorId="0" shapeId="0" xr:uid="{038461E1-2F07-4AE7-9A69-7D58842F51A4}">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&lt;bank&gt;_hdr_in_com, &lt;bank&gt;_det_in_com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&lt;src_name&gt;_det_out_com</t>
        </r>
        <r>
          <rPr>
            <sz val="9"/>
            <color indexed="81"/>
            <rFont val="Tahoma"/>
            <family val="2"/>
          </rPr>
          <t xml:space="preserve"> (where &lt;src_name&gt; is the value defined in the row 1 of column "Name" in the config table</t>
        </r>
      </text>
    </comment>
    <comment ref="B23" authorId="0" shapeId="0" xr:uid="{62B2E82C-773A-40D7-BD5E-C9DB23C09EEE}">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This formula can used values from </t>
        </r>
        <r>
          <rPr>
            <b/>
            <sz val="9"/>
            <color indexed="81"/>
            <rFont val="Tahoma"/>
            <family val="2"/>
          </rPr>
          <t>&lt;bank&gt;_hdr_in_com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&lt;src_name&gt;_hdr_out_com</t>
        </r>
        <r>
          <rPr>
            <sz val="9"/>
            <color indexed="81"/>
            <rFont val="Tahoma"/>
            <family val="2"/>
          </rPr>
          <t xml:space="preserve"> (where &lt;src_name&gt; is the value defined in the row 1 of column "Name" in the config table</t>
        </r>
      </text>
    </comment>
    <comment ref="B24" authorId="0" shapeId="0" xr:uid="{39E7E2A4-6D53-4932-89DA-FA91FAC706A1}">
      <text>
        <r>
          <rPr>
            <b/>
            <sz val="9"/>
            <color indexed="81"/>
            <rFont val="Tahoma"/>
            <family val="2"/>
          </rPr>
          <t>Sajal Gupta:</t>
        </r>
        <r>
          <rPr>
            <sz val="9"/>
            <color indexed="81"/>
            <rFont val="Tahoma"/>
            <family val="2"/>
          </rPr>
          <t xml:space="preserve">
Define the formula to generate the name of file for output feed file, can use the currBatch and other header fields like date</t>
        </r>
      </text>
    </comment>
    <comment ref="C24" authorId="0" shapeId="0" xr:uid="{E68960B8-D24B-4B38-809C-3DAB8560E5F8}">
      <text>
        <r>
          <rPr>
            <b/>
            <sz val="9"/>
            <color indexed="81"/>
            <rFont val="Tahoma"/>
            <family val="2"/>
          </rPr>
          <t>Sajal Gupta:</t>
        </r>
        <r>
          <rPr>
            <sz val="9"/>
            <color indexed="81"/>
            <rFont val="Tahoma"/>
            <family val="2"/>
          </rPr>
          <t xml:space="preserve">
System populates the currBatch no based on the batchSize specified in the config table during output feed processing
This can be used in the formula to construct batch-wise file names</t>
        </r>
      </text>
    </comment>
    <comment ref="H24" authorId="0" shapeId="0" xr:uid="{EACB0683-96A1-43D9-9F42-7669DA1BB56B}">
      <text>
        <r>
          <rPr>
            <b/>
            <sz val="9"/>
            <color indexed="81"/>
            <rFont val="Tahoma"/>
            <family val="2"/>
          </rPr>
          <t>Sajal Gupta:</t>
        </r>
        <r>
          <rPr>
            <sz val="9"/>
            <color indexed="81"/>
            <rFont val="Tahoma"/>
            <family val="2"/>
          </rPr>
          <t xml:space="preserve">
Mapping table between IL reject to reject reason</t>
        </r>
      </text>
    </comment>
    <comment ref="K24" authorId="0" shapeId="0" xr:uid="{F5EB6972-E2CC-433B-BB35-7B12C19C6E51}">
      <text>
        <r>
          <rPr>
            <b/>
            <sz val="9"/>
            <color indexed="81"/>
            <rFont val="Tahoma"/>
            <family val="2"/>
          </rPr>
          <t>Sajal Gupta:</t>
        </r>
        <r>
          <rPr>
            <sz val="9"/>
            <color indexed="81"/>
            <rFont val="Tahoma"/>
            <family val="2"/>
          </rPr>
          <t xml:space="preserve">
Mapping table between Bank reject code to IL reject code, This table is used in the formula to do the translation of the bank to IL reject codes</t>
        </r>
      </text>
    </comment>
    <comment ref="B28" authorId="0" shapeId="0" xr:uid="{9261037C-1EA1-4CB7-8913-A1D6DEF4330C}">
      <text>
        <r>
          <rPr>
            <b/>
            <sz val="9"/>
            <color indexed="81"/>
            <rFont val="Tahoma"/>
            <family val="2"/>
          </rPr>
          <t>Sajal Gupta:</t>
        </r>
        <r>
          <rPr>
            <sz val="9"/>
            <color indexed="81"/>
            <rFont val="Tahoma"/>
            <family val="2"/>
          </rPr>
          <t xml:space="preserve">
Output table is used to capture the aggregate formula which is used to compute aggregates like sum,count. 
This formulae can use values from </t>
        </r>
        <r>
          <rPr>
            <b/>
            <sz val="9"/>
            <color indexed="81"/>
            <rFont val="Tahoma"/>
            <family val="2"/>
          </rPr>
          <t>&lt;src&gt;_det_out_com, &lt;src&gt;_hdr_out_com</t>
        </r>
        <r>
          <rPr>
            <sz val="9"/>
            <color indexed="81"/>
            <rFont val="Tahoma"/>
            <family val="2"/>
          </rPr>
          <t xml:space="preserve"> tables. The aggregate formula should be defined in the second and should use the previous computed values from the first row of the table 
Any no of columns (with proper column names) can be defined need to compute formulae
Naming convention should be </t>
        </r>
        <r>
          <rPr>
            <b/>
            <sz val="9"/>
            <color indexed="81"/>
            <rFont val="Tahoma"/>
            <family val="2"/>
          </rPr>
          <t>&lt;src_name&gt;_ftr_out_com</t>
        </r>
        <r>
          <rPr>
            <sz val="9"/>
            <color indexed="81"/>
            <rFont val="Tahoma"/>
            <family val="2"/>
          </rPr>
          <t xml:space="preserve"> (where &lt;src_name&gt; is the value defined in the row 1 of column "Name" in the config table
</t>
        </r>
      </text>
    </comment>
    <comment ref="B33" authorId="0" shapeId="0" xr:uid="{A695876C-666E-4BCA-ADFD-8D7B9042CD6D}">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source system (responses from banks)
The formulae can use values from tables 
Header column: For generating header feed, the formula can use the value from Table </t>
        </r>
        <r>
          <rPr>
            <b/>
            <sz val="9"/>
            <color indexed="81"/>
            <rFont val="Tahoma"/>
            <family val="2"/>
          </rPr>
          <t>&lt;src&gt;_hdr_out_com</t>
        </r>
        <r>
          <rPr>
            <sz val="9"/>
            <color indexed="81"/>
            <rFont val="Tahoma"/>
            <family val="2"/>
          </rPr>
          <t xml:space="preserve">
Detail column: For generating detail feed, the formula can use the value from Table </t>
        </r>
        <r>
          <rPr>
            <b/>
            <sz val="9"/>
            <color indexed="81"/>
            <rFont val="Tahoma"/>
            <family val="2"/>
          </rPr>
          <t>&lt;src&gt;_hdr_out_com, &lt;src&gt;_det_out_com</t>
        </r>
        <r>
          <rPr>
            <sz val="9"/>
            <color indexed="81"/>
            <rFont val="Tahoma"/>
            <family val="2"/>
          </rPr>
          <t xml:space="preserve">
Footer column: For generating footer feed, the formula can use the aggregated values from Table </t>
        </r>
        <r>
          <rPr>
            <b/>
            <sz val="9"/>
            <color indexed="81"/>
            <rFont val="Tahoma"/>
            <family val="2"/>
          </rPr>
          <t>&lt;src&gt;_ftr_out_com</t>
        </r>
        <r>
          <rPr>
            <sz val="9"/>
            <color indexed="81"/>
            <rFont val="Tahoma"/>
            <family val="2"/>
          </rPr>
          <t xml:space="preserve"> (#Total) row
Table naming convention should be </t>
        </r>
        <r>
          <rPr>
            <b/>
            <sz val="9"/>
            <color indexed="81"/>
            <rFont val="Tahoma"/>
            <family val="2"/>
          </rPr>
          <t>&lt;src_name&gt;_out</t>
        </r>
        <r>
          <rPr>
            <sz val="9"/>
            <color indexed="81"/>
            <rFont val="Tahoma"/>
            <family val="2"/>
          </rPr>
          <t xml:space="preserve"> (where &lt;src_name&gt; is the value defined in the row 1 of column "Name" in the config table
Names of the columns shouldnt be changed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9B2C075B-A067-4EF2-89CC-98D9F1E3EF12}">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82CCB534-C72C-454B-885D-FE9D272D39E8}">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39D3BBAF-1BE1-4678-935F-54EE4F438940}">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2DC9C16B-F4B7-4D40-874A-AA08A5185840}">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F11D1B05-BEEA-44D9-AEED-04841B3B1641}">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878CCDF1-17E8-408E-AB39-0FAB6A1B54EE}">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A0CF420E-3929-4C89-B3EE-CBCDF1365F17}">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B67D8858-4249-4318-ADD8-7F55C118A454}">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EF7526A2-6704-48E2-AAA2-46F3314E6425}">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E35D9448-E282-4BB3-89CA-7915366BF96F}">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5EEA2753-F4BE-4ED6-9A9C-3D12F86BEEDB}">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0" authorId="0" shapeId="0" xr:uid="{E4668D62-E94E-4A3D-A1B8-8B08C7B6EDF4}">
      <text>
        <r>
          <rPr>
            <b/>
            <sz val="9"/>
            <color indexed="81"/>
            <rFont val="Tahoma"/>
            <family val="2"/>
          </rPr>
          <t>Sajal Gupta:</t>
        </r>
        <r>
          <rPr>
            <sz val="9"/>
            <color indexed="81"/>
            <rFont val="Tahoma"/>
            <family val="2"/>
          </rPr>
          <t xml:space="preserve">
Input Table to capture the feed header row input (if present). These values can be used as inputs in the _hdr_com (compute) formula tables to compute intermediated values.
Naming convention should be </t>
        </r>
        <r>
          <rPr>
            <b/>
            <sz val="9"/>
            <color indexed="81"/>
            <rFont val="Tahoma"/>
            <family val="2"/>
          </rPr>
          <t>&lt;bank_code&gt;_hdr_in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header feed row and used the formulae to compute the intermediate values which can be used to generate output feed
System will populate this table with header feed row and use the formulae to compute the final output feed
For CSV feed format, define as many columns as the no of entries present in the CSV header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4" authorId="0" shapeId="0" xr:uid="{865B7693-EC7B-4A88-A1FE-C819F5CA1282}">
      <text>
        <r>
          <rPr>
            <b/>
            <sz val="9"/>
            <color indexed="81"/>
            <rFont val="Tahoma"/>
            <family val="2"/>
          </rPr>
          <t>Sajal Gupta:</t>
        </r>
        <r>
          <rPr>
            <sz val="9"/>
            <color indexed="81"/>
            <rFont val="Tahoma"/>
            <family val="2"/>
          </rPr>
          <t xml:space="preserve">
Input Table to capture the feed footer row input (if present).
Naming convention should be </t>
        </r>
        <r>
          <rPr>
            <b/>
            <sz val="9"/>
            <color indexed="81"/>
            <rFont val="Tahoma"/>
            <family val="2"/>
          </rPr>
          <t>&lt;bank_code&gt;_ftr_in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footer feed row (if present) and used the formulae to compute the final output feed
For CSV feed format, define as many columns as the no of entries present in the CSV footer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9" authorId="0" shapeId="0" xr:uid="{52A1D5C5-D0D2-4459-8AB9-B3AEE76E003F}">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3" authorId="0" shapeId="0" xr:uid="{F19539B1-3C58-4EBC-9E3C-C3DCBD45323D}">
      <text>
        <r>
          <rPr>
            <b/>
            <sz val="9"/>
            <color indexed="81"/>
            <rFont val="Tahoma"/>
            <family val="2"/>
          </rPr>
          <t>Sajal Gupta:</t>
        </r>
        <r>
          <rPr>
            <sz val="9"/>
            <color indexed="81"/>
            <rFont val="Tahoma"/>
            <family val="2"/>
          </rPr>
          <t xml:space="preserve">
Input Table to define the formulae used to compute the values of the columns based on the header input row. The formulae can use the values present in tables </t>
        </r>
        <r>
          <rPr>
            <b/>
            <sz val="9"/>
            <color indexed="81"/>
            <rFont val="Tahoma"/>
            <family val="2"/>
          </rPr>
          <t>&lt;bank_code&gt;_hdr_in</t>
        </r>
        <r>
          <rPr>
            <sz val="9"/>
            <color indexed="81"/>
            <rFont val="Tahoma"/>
            <family val="2"/>
          </rPr>
          <t xml:space="preserve">
Naming convention should be </t>
        </r>
        <r>
          <rPr>
            <b/>
            <sz val="9"/>
            <color indexed="81"/>
            <rFont val="Tahoma"/>
            <family val="2"/>
          </rPr>
          <t>&lt;bank_code&gt;_hdr_in_com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47AA52A0-3700-487B-9B68-C4E1C37CC69B}">
      <text>
        <r>
          <rPr>
            <b/>
            <sz val="9"/>
            <color indexed="81"/>
            <rFont val="Tahoma"/>
            <family val="2"/>
          </rPr>
          <t>Sajal Gupta:</t>
        </r>
        <r>
          <rPr>
            <sz val="9"/>
            <color indexed="81"/>
            <rFont val="Tahoma"/>
            <family val="2"/>
          </rPr>
          <t xml:space="preserve">
Input Table to define the formulae used to compute the values of the columns based on the footer input row. The formulae can use the  values present in tables </t>
        </r>
        <r>
          <rPr>
            <b/>
            <sz val="9"/>
            <color indexed="81"/>
            <rFont val="Tahoma"/>
            <family val="2"/>
          </rPr>
          <t>&lt;bank&gt;_hdr_in, &lt;bank&gt;_ftr_in</t>
        </r>
        <r>
          <rPr>
            <sz val="9"/>
            <color indexed="81"/>
            <rFont val="Tahoma"/>
            <family val="2"/>
          </rPr>
          <t xml:space="preserve">
Naming convention should be &lt;bank_code&gt;_ftr_in_com (where &lt;bank_code&gt; is the value defined in the row 1 of column "Name" in the config table
Any no of columns (with proper column names) can be defined need to compute formulae</t>
        </r>
      </text>
    </comment>
    <comment ref="B32" authorId="0" shapeId="0" xr:uid="{BBA02EE8-2DF0-4A1A-800B-1591E62145A3}">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 xml:space="preserve">&lt;src&gt;_hdr_in_com, &lt;src&gt;_det_in_com </t>
        </r>
        <r>
          <rPr>
            <sz val="9"/>
            <color indexed="81"/>
            <rFont val="Tahoma"/>
            <family val="2"/>
          </rPr>
          <t xml:space="preserve">tables (source system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&lt;bank_code&gt;_det_out_com</t>
        </r>
        <r>
          <rPr>
            <sz val="9"/>
            <color indexed="81"/>
            <rFont val="Tahoma"/>
            <family val="2"/>
          </rPr>
          <t xml:space="preserve"> (where &lt;bank_code&gt; is the value defined in the row 1 of column "Name" in the config table</t>
        </r>
      </text>
    </comment>
    <comment ref="B36" authorId="0" shapeId="0" xr:uid="{7C9EDF2D-4700-40CB-ADD5-59B5A8A620E4}">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for bank. 
This formula can used values from </t>
        </r>
        <r>
          <rPr>
            <b/>
            <sz val="9"/>
            <color indexed="81"/>
            <rFont val="Tahoma"/>
            <family val="2"/>
          </rPr>
          <t>&lt;bank_code&gt;_hdr_in_com</t>
        </r>
        <r>
          <rPr>
            <sz val="9"/>
            <color indexed="81"/>
            <rFont val="Tahoma"/>
            <family val="2"/>
          </rPr>
          <t xml:space="preserve"> (bank input computed values) and value of the source column in the config table to determine the source system
Any no of columns (with proper column names) can be defined need to compute formulae
Naming convention should be </t>
        </r>
        <r>
          <rPr>
            <b/>
            <sz val="9"/>
            <color indexed="81"/>
            <rFont val="Tahoma"/>
            <family val="2"/>
          </rPr>
          <t>&lt;bank_code&gt;_hdr_out_com</t>
        </r>
        <r>
          <rPr>
            <sz val="9"/>
            <color indexed="81"/>
            <rFont val="Tahoma"/>
            <family val="2"/>
          </rPr>
          <t xml:space="preserve"> (where &lt;src_name&gt; is the value defined in the row 1 of column "Name" in the config table</t>
        </r>
      </text>
    </comment>
    <comment ref="C37" authorId="0" shapeId="0" xr:uid="{5C51826C-1044-4785-9572-0F9D9F25BC7D}">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 ref="B40" authorId="0" shapeId="0" xr:uid="{06BD45AC-0C76-4620-BF55-B62861AA6AED}">
      <text>
        <r>
          <rPr>
            <b/>
            <sz val="9"/>
            <color indexed="81"/>
            <rFont val="Tahoma"/>
            <family val="2"/>
          </rPr>
          <t>Sajal Gupta:</t>
        </r>
        <r>
          <rPr>
            <sz val="9"/>
            <color indexed="81"/>
            <rFont val="Tahoma"/>
            <family val="2"/>
          </rPr>
          <t xml:space="preserve">
Output table is used to capture the aggregate formula which is used to compute aggregates like sum,count for bank feeds
This formulae can use values from </t>
        </r>
        <r>
          <rPr>
            <b/>
            <sz val="9"/>
            <color indexed="81"/>
            <rFont val="Tahoma"/>
            <family val="2"/>
          </rPr>
          <t>&lt;bank&gt;_det_out_com</t>
        </r>
        <r>
          <rPr>
            <sz val="9"/>
            <color indexed="81"/>
            <rFont val="Tahoma"/>
            <family val="2"/>
          </rPr>
          <t xml:space="preserve">, </t>
        </r>
        <r>
          <rPr>
            <b/>
            <sz val="9"/>
            <color indexed="81"/>
            <rFont val="Tahoma"/>
            <family val="2"/>
          </rPr>
          <t>&lt;bank&gt;_hdr_out_com</t>
        </r>
        <r>
          <rPr>
            <sz val="9"/>
            <color indexed="81"/>
            <rFont val="Tahoma"/>
            <family val="2"/>
          </rPr>
          <t xml:space="preserve"> tables. 
The aggregate formula should be defined in the second and should use the previous computed values from the first row of the table 
Any no of columns (with proper column names) can be defined need to compute formulae
Table naming convention should be </t>
        </r>
        <r>
          <rPr>
            <b/>
            <sz val="9"/>
            <color indexed="81"/>
            <rFont val="Tahoma"/>
            <family val="2"/>
          </rPr>
          <t>&lt;bank_code&gt;_ftr_out_com</t>
        </r>
        <r>
          <rPr>
            <sz val="9"/>
            <color indexed="81"/>
            <rFont val="Tahoma"/>
            <family val="2"/>
          </rPr>
          <t xml:space="preserve"> (where &lt;bank_code&gt; is the value defined in the row 1 of column "Name" in the bank config table</t>
        </r>
      </text>
    </comment>
    <comment ref="B45" authorId="0" shapeId="0" xr:uid="{F10D239F-CE09-4791-8476-67DC8BCBB658}">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this bank (billing requests to banks)
The formulae can use values from tables 
Header column: For generating header feed, the formula can use the values from Table </t>
        </r>
        <r>
          <rPr>
            <b/>
            <sz val="9"/>
            <color indexed="81"/>
            <rFont val="Tahoma"/>
            <family val="2"/>
          </rPr>
          <t>&lt;bank&gt;_hdr_out_com</t>
        </r>
        <r>
          <rPr>
            <sz val="9"/>
            <color indexed="81"/>
            <rFont val="Tahoma"/>
            <family val="2"/>
          </rPr>
          <t xml:space="preserve">
Detail column: For generating detail feed, the formula can use the values from Table </t>
        </r>
        <r>
          <rPr>
            <b/>
            <sz val="9"/>
            <color indexed="81"/>
            <rFont val="Tahoma"/>
            <family val="2"/>
          </rPr>
          <t>&lt;bank&gt;_hdr_out_com, &lt;bank&gt;_det_out_com</t>
        </r>
        <r>
          <rPr>
            <sz val="9"/>
            <color indexed="81"/>
            <rFont val="Tahoma"/>
            <family val="2"/>
          </rPr>
          <t xml:space="preserve">
Footer column: For generating footer feed, the formula can use the aggregated values from Table </t>
        </r>
        <r>
          <rPr>
            <b/>
            <sz val="9"/>
            <color indexed="81"/>
            <rFont val="Tahoma"/>
            <family val="2"/>
          </rPr>
          <t>&lt;bank&gt;_ftr_out_com</t>
        </r>
        <r>
          <rPr>
            <sz val="9"/>
            <color indexed="81"/>
            <rFont val="Tahoma"/>
            <family val="2"/>
          </rPr>
          <t xml:space="preserve"> (#Total) row
Table naming convention should be </t>
        </r>
        <r>
          <rPr>
            <b/>
            <sz val="9"/>
            <color indexed="81"/>
            <rFont val="Tahoma"/>
            <family val="2"/>
          </rPr>
          <t>&lt;bank_code&gt;_out</t>
        </r>
        <r>
          <rPr>
            <sz val="9"/>
            <color indexed="81"/>
            <rFont val="Tahoma"/>
            <family val="2"/>
          </rPr>
          <t xml:space="preserve"> (where &lt;bank_code&gt; is the value defined in the row 1 of column "Name" in the bank config table
Name of the columns shouldnt be modified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738AA399-9B59-4A5C-8E77-3831911281DA}">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20B6264E-FCD8-4D6F-935E-C0158E72EBA7}">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EE108597-CB92-40B6-A017-FC925EAA1DE9}">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D2E341EE-4548-4DFA-8A4A-0F47AE24E167}">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47C41715-E824-40B5-A167-021365CB89D7}">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B5FC1467-0BCE-413F-BDFA-F467048D49B8}">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1993B20A-8BA8-4108-A129-1ED75865ABF4}">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2450AFBC-853B-48DA-BFBA-897E7CE7013B}">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36A5C605-0C22-404A-B37A-4D5B62BEDB16}">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8F6E6DE8-3778-43E7-A187-0F2D564246DA}">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B46C3AE4-5DF7-4973-8B13-6E7B7B3AB6A8}">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2" authorId="0" shapeId="0" xr:uid="{B810580F-8A95-4FE4-A776-93684BAA4767}">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17" authorId="0" shapeId="0" xr:uid="{64B516A2-9BC3-40BF-BC34-887CA3719EAE}">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2" authorId="0" shapeId="0" xr:uid="{E7CE8945-71D1-4BD5-807E-14B93E4CF757}">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73D5B7CC-D16F-4EB9-A360-B7C13ABCE689}">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32" authorId="0" shapeId="0" xr:uid="{1B362DAD-7EF7-455D-8125-9345B7D3416A}">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47CEB9BD-2D98-4610-B1F7-C32F92D5DD57}">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EFBFC1DA-35E4-49F7-BEE4-B323F37D8B5E}">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1AF2D0E5-1EB7-4F67-A671-4AF21888D534}">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7F4D8A93-220B-4BCF-9E35-6A0C98DC23B6}">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46083E21-1729-4BDF-A406-919166A0B27F}">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1E5C3C01-2B4C-4E4A-8FA6-1AAEA4BAFD9B}">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13A86C32-D483-4994-AFC5-4BD21205F991}">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19C53E0D-B8EB-43C3-B4E5-E9665F736705}">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39AE6949-6C2A-44E2-87FF-2ACFC64C1311}">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2A75D833-406E-4E01-AB55-8251473AF810}">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A424FB55-DD62-4231-996C-36FDD915A615}">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2" authorId="0" shapeId="0" xr:uid="{B0737C4D-86B7-4E06-B9EF-8A724FE5E30F}">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17" authorId="0" shapeId="0" xr:uid="{1D374287-9A56-47E2-BCF9-0617FC1DCE67}">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2" authorId="0" shapeId="0" xr:uid="{33B34CF2-CADF-42D9-A1CC-7C9B8CD35C17}">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7FAA4AA4-DDC9-42F2-AE04-F74CFBAF520B}">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32" authorId="0" shapeId="0" xr:uid="{000AD61E-4998-4C17-A3B1-F13ED0EBC232}">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BCC814E3-2C80-4261-91B1-BAEAB6C7E9CA}">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6AF51D0B-003D-400B-8CE7-C6720AD0805C}">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4FB39E34-F3CD-4D77-B8F9-C547EF345C90}">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17E85C01-6D83-4081-AC58-918D7C9BB505}">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80B59E7E-A924-4963-85F1-9EB6D19149CE}">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527EB608-D5F2-4DFD-815D-1D1FF569E7BA}">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D9D57591-23B5-4B43-BC10-04743EB4ECDF}">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5A997ABD-A7A7-466F-83F6-5B24CD797396}">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1A1AC106-A0E4-460F-9128-3112CFFA9616}">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F4E2F6F0-8EA4-4191-A67B-AB2BAE4809B2}">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0BCCE1A5-D855-494D-A212-66C241467284}">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2" authorId="0" shapeId="0" xr:uid="{08B5FA0C-2A9F-467D-976A-621702435E75}">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17" authorId="0" shapeId="0" xr:uid="{DF67E832-44F7-42E0-9F4A-C9488B84FB9C}">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2" authorId="0" shapeId="0" xr:uid="{BB707D3A-BBD6-42D5-ADC4-72FFCFBC3D7F}">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3EF4E7BA-B3B9-4591-A213-EFA87FA71CE9}">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32" authorId="0" shapeId="0" xr:uid="{00F7F707-0F7D-4DB3-9001-46F74F89B5C3}">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9486A99E-6488-4127-B255-DF6AFE1F8CA7}">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CBC8BA95-7854-406F-8EA4-DBB268AB7496}">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43F03BDF-87BF-404E-92AC-2C2E1F42D174}">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9B2D354C-0459-4FB0-A9A4-13575F7A77FF}">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FBD00D79-B3BD-4E22-820E-6B856CAE9021}">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8ECF7439-4979-46BE-86CF-74FB50FC638F}">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607DAE96-E9EB-4937-922A-483CF389B369}">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73E8ADBC-7A42-43BE-AB79-1C61B2259980}">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13986C73-677A-46B4-B679-20145BE3C592}">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36C31988-820B-45A0-AB9F-2CBB84B015DE}">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69412C77-080E-4486-ACBA-73C8B8061471}">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2" authorId="0" shapeId="0" xr:uid="{BEBEDA40-F7B9-47AD-A2DA-CFFC2159BED7}">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17" authorId="0" shapeId="0" xr:uid="{0A143DF2-B220-4B3D-865F-2F56DEE4CB15}">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2" authorId="0" shapeId="0" xr:uid="{B898F44A-F907-49B4-971B-24835D2C0BD2}">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E1076532-67D8-40BD-9621-61602C0E401E}">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32" authorId="0" shapeId="0" xr:uid="{9B473360-27D6-49CD-8C41-B09A5A78B0C6}">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B43C34FD-0035-4FDA-848F-986B8BE11946}">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FE765844-E823-4DBE-99A7-4D40AD2E5863}">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1107C483-21C9-46AC-A853-D7D99E56C7AE}">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A7177195-5648-4B59-B218-AF8597431B55}">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BBFB8F70-5FD9-4ED1-B86B-3BB5BA8D975D}">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EE1F9059-533C-40B9-89E8-8D2E0D6403F5}">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99615542-778F-43E5-82D9-B65015670C35}">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3BF687FA-C5C8-48EA-892C-AEB29341731E}">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A39B5B01-F533-44FB-9261-CD0530164637}">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4DDA22DA-DBF0-44FF-BEEC-3F24DA218667}">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32FA0D15-A266-408D-ABCD-60FFE610E50E}">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2" authorId="0" shapeId="0" xr:uid="{B3547B8F-1012-482E-8025-236937A7B411}">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17" authorId="0" shapeId="0" xr:uid="{992D1D69-3B5A-4103-A900-8C71E4D14938}">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2" authorId="0" shapeId="0" xr:uid="{95A44477-FDD0-44A7-9591-BCFE986B3673}">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CC1D6F84-5F04-4C91-B0F4-DAD11D195F0D}">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32" authorId="0" shapeId="0" xr:uid="{CEC9C8C0-6831-4CCC-82FC-43A2BAAF0F10}">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31437A34-0E10-4258-B52A-82B2CDDA7C12}">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5380A8A1-26F2-46E2-B2FA-1331FFDF3514}">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4B82C5B4-FF67-484C-A39D-6B594B12D011}">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F5C864FA-6DCB-484E-92FC-03D41D3EF649}">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3EDFA11F-873B-43FA-A53F-ACB18BDE00C5}">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402EA6A9-F45A-4B5F-978F-D87547893148}">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D0D00733-7F4E-4624-A835-4262E8AFA0C6}">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4C12D2E6-F746-4F1B-8577-65CCAE190348}">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56DB21F5-4D3C-4C65-881A-5F9EC6480C04}">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EAE0D7B2-73B7-4745-AC9C-4421BA685E2C}">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526E2D71-A17B-4C34-8B99-DB850354D24A}">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2" authorId="0" shapeId="0" xr:uid="{38373CAE-3437-4B86-A4D1-560C8D69B2F8}">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17" authorId="0" shapeId="0" xr:uid="{B6D2353C-F70F-4771-8C49-338C9499C2B8}">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2" authorId="0" shapeId="0" xr:uid="{6C9FB266-EF68-4A0F-8854-5332461D1736}">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CBFD14B0-1166-47D4-BB27-256E544E4593}">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32" authorId="0" shapeId="0" xr:uid="{AC25A601-F3FA-4695-8DCD-4354EEE75732}">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9B2C075B-A067-4EF2-89CC-98D9F1E3EF12}">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82CCB534-C72C-454B-885D-FE9D272D39E8}">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39D3BBAF-1BE1-4678-935F-54EE4F438940}">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2DC9C16B-F4B7-4D40-874A-AA08A5185840}">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F11D1B05-BEEA-44D9-AEED-04841B3B1641}">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878CCDF1-17E8-408E-AB39-0FAB6A1B54EE}">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A0CF420E-3929-4C89-B3EE-CBCDF1365F17}">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B67D8858-4249-4318-ADD8-7F55C118A454}">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EF7526A2-6704-48E2-AAA2-46F3314E6425}">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E35D9448-E282-4BB3-89CA-7915366BF96F}">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5EEA2753-F4BE-4ED6-9A9C-3D12F86BEEDB}">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0" authorId="0" shapeId="0" xr:uid="{E4668D62-E94E-4A3D-A1B8-8B08C7B6EDF4}">
      <text>
        <r>
          <rPr>
            <b/>
            <sz val="9"/>
            <color indexed="81"/>
            <rFont val="Tahoma"/>
            <family val="2"/>
          </rPr>
          <t>Sajal Gupta:</t>
        </r>
        <r>
          <rPr>
            <sz val="9"/>
            <color indexed="81"/>
            <rFont val="Tahoma"/>
            <family val="2"/>
          </rPr>
          <t xml:space="preserve">
Input Table to capture the feed header row input (if present). These values can be used as inputs in the _hdr_com (compute) formula tables to compute intermediated values.
Naming convention should be </t>
        </r>
        <r>
          <rPr>
            <b/>
            <sz val="9"/>
            <color indexed="81"/>
            <rFont val="Tahoma"/>
            <family val="2"/>
          </rPr>
          <t>&lt;bank_code&gt;_hdr_in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header feed row and used the formulae to compute the intermediate values which can be used to generate output feed
System will populate this table with header feed row and use the formulae to compute the final output feed
For CSV feed format, define as many columns as the no of entries present in the CSV header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4" authorId="0" shapeId="0" xr:uid="{865B7693-EC7B-4A88-A1FE-C819F5CA1282}">
      <text>
        <r>
          <rPr>
            <b/>
            <sz val="9"/>
            <color indexed="81"/>
            <rFont val="Tahoma"/>
            <family val="2"/>
          </rPr>
          <t>Sajal Gupta:</t>
        </r>
        <r>
          <rPr>
            <sz val="9"/>
            <color indexed="81"/>
            <rFont val="Tahoma"/>
            <family val="2"/>
          </rPr>
          <t xml:space="preserve">
Input Table to capture the feed footer row input (if present).
Naming convention should be </t>
        </r>
        <r>
          <rPr>
            <b/>
            <sz val="9"/>
            <color indexed="81"/>
            <rFont val="Tahoma"/>
            <family val="2"/>
          </rPr>
          <t>&lt;bank_code&gt;_ftr_in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footer feed row (if present) and used the formulae to compute the final output feed
For CSV feed format, define as many columns as the no of entries present in the CSV footer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9" authorId="0" shapeId="0" xr:uid="{52A1D5C5-D0D2-4459-8AB9-B3AEE76E003F}">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3" authorId="0" shapeId="0" xr:uid="{F19539B1-3C58-4EBC-9E3C-C3DCBD45323D}">
      <text>
        <r>
          <rPr>
            <b/>
            <sz val="9"/>
            <color indexed="81"/>
            <rFont val="Tahoma"/>
            <family val="2"/>
          </rPr>
          <t>Sajal Gupta:</t>
        </r>
        <r>
          <rPr>
            <sz val="9"/>
            <color indexed="81"/>
            <rFont val="Tahoma"/>
            <family val="2"/>
          </rPr>
          <t xml:space="preserve">
Input Table to define the formulae used to compute the values of the columns based on the header input row. The formulae can use the values present in tables </t>
        </r>
        <r>
          <rPr>
            <b/>
            <sz val="9"/>
            <color indexed="81"/>
            <rFont val="Tahoma"/>
            <family val="2"/>
          </rPr>
          <t>&lt;bank_code&gt;_hdr_in</t>
        </r>
        <r>
          <rPr>
            <sz val="9"/>
            <color indexed="81"/>
            <rFont val="Tahoma"/>
            <family val="2"/>
          </rPr>
          <t xml:space="preserve">
Naming convention should be </t>
        </r>
        <r>
          <rPr>
            <b/>
            <sz val="9"/>
            <color indexed="81"/>
            <rFont val="Tahoma"/>
            <family val="2"/>
          </rPr>
          <t>&lt;bank_code&gt;_hdr_in_com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 ref="B27" authorId="0" shapeId="0" xr:uid="{47AA52A0-3700-487B-9B68-C4E1C37CC69B}">
      <text>
        <r>
          <rPr>
            <b/>
            <sz val="9"/>
            <color indexed="81"/>
            <rFont val="Tahoma"/>
            <family val="2"/>
          </rPr>
          <t>Sajal Gupta:</t>
        </r>
        <r>
          <rPr>
            <sz val="9"/>
            <color indexed="81"/>
            <rFont val="Tahoma"/>
            <family val="2"/>
          </rPr>
          <t xml:space="preserve">
Input Table to define the formulae used to compute the values of the columns based on the footer input row. The formulae can use the  values present in tables </t>
        </r>
        <r>
          <rPr>
            <b/>
            <sz val="9"/>
            <color indexed="81"/>
            <rFont val="Tahoma"/>
            <family val="2"/>
          </rPr>
          <t>&lt;bank&gt;_hdr_in, &lt;bank&gt;_ftr_in</t>
        </r>
        <r>
          <rPr>
            <sz val="9"/>
            <color indexed="81"/>
            <rFont val="Tahoma"/>
            <family val="2"/>
          </rPr>
          <t xml:space="preserve">
Naming convention should be &lt;bank_code&gt;_ftr_in_com (where &lt;bank_code&gt; is the value defined in the row 1 of column "Name" in the config table
Any no of columns (with proper column names) can be defined need to compute formulae</t>
        </r>
      </text>
    </comment>
    <comment ref="B32" authorId="0" shapeId="0" xr:uid="{BBA02EE8-2DF0-4A1A-800B-1591E62145A3}">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 xml:space="preserve">&lt;src&gt;_hdr_in_com, &lt;src&gt;_det_in_com </t>
        </r>
        <r>
          <rPr>
            <sz val="9"/>
            <color indexed="81"/>
            <rFont val="Tahoma"/>
            <family val="2"/>
          </rPr>
          <t xml:space="preserve">tables (source system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&lt;bank_code&gt;_det_out_com</t>
        </r>
        <r>
          <rPr>
            <sz val="9"/>
            <color indexed="81"/>
            <rFont val="Tahoma"/>
            <family val="2"/>
          </rPr>
          <t xml:space="preserve"> (where &lt;bank_code&gt; is the value defined in the row 1 of column "Name" in the config table</t>
        </r>
      </text>
    </comment>
    <comment ref="B36" authorId="0" shapeId="0" xr:uid="{7C9EDF2D-4700-40CB-ADD5-59B5A8A620E4}">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for bank. 
This formula can used values from </t>
        </r>
        <r>
          <rPr>
            <b/>
            <sz val="9"/>
            <color indexed="81"/>
            <rFont val="Tahoma"/>
            <family val="2"/>
          </rPr>
          <t>&lt;bank_code&gt;_hdr_in_com</t>
        </r>
        <r>
          <rPr>
            <sz val="9"/>
            <color indexed="81"/>
            <rFont val="Tahoma"/>
            <family val="2"/>
          </rPr>
          <t xml:space="preserve"> (bank input computed values) and value of the source column in the config table to determine the source system
Any no of columns (with proper column names) can be defined need to compute formulae
Naming convention should be </t>
        </r>
        <r>
          <rPr>
            <b/>
            <sz val="9"/>
            <color indexed="81"/>
            <rFont val="Tahoma"/>
            <family val="2"/>
          </rPr>
          <t>&lt;bank_code&gt;_hdr_out_com</t>
        </r>
        <r>
          <rPr>
            <sz val="9"/>
            <color indexed="81"/>
            <rFont val="Tahoma"/>
            <family val="2"/>
          </rPr>
          <t xml:space="preserve"> (where &lt;src_name&gt; is the value defined in the row 1 of column "Name" in the config table</t>
        </r>
      </text>
    </comment>
    <comment ref="C37" authorId="0" shapeId="0" xr:uid="{5C51826C-1044-4785-9572-0F9D9F25BC7D}">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 ref="B40" authorId="0" shapeId="0" xr:uid="{06BD45AC-0C76-4620-BF55-B62861AA6AED}">
      <text>
        <r>
          <rPr>
            <b/>
            <sz val="9"/>
            <color indexed="81"/>
            <rFont val="Tahoma"/>
            <family val="2"/>
          </rPr>
          <t>Sajal Gupta:</t>
        </r>
        <r>
          <rPr>
            <sz val="9"/>
            <color indexed="81"/>
            <rFont val="Tahoma"/>
            <family val="2"/>
          </rPr>
          <t xml:space="preserve">
Output table is used to capture the aggregate formula which is used to compute aggregates like sum,count for bank feeds
This formulae can use values from </t>
        </r>
        <r>
          <rPr>
            <b/>
            <sz val="9"/>
            <color indexed="81"/>
            <rFont val="Tahoma"/>
            <family val="2"/>
          </rPr>
          <t>&lt;bank&gt;_det_out_com</t>
        </r>
        <r>
          <rPr>
            <sz val="9"/>
            <color indexed="81"/>
            <rFont val="Tahoma"/>
            <family val="2"/>
          </rPr>
          <t xml:space="preserve">, </t>
        </r>
        <r>
          <rPr>
            <b/>
            <sz val="9"/>
            <color indexed="81"/>
            <rFont val="Tahoma"/>
            <family val="2"/>
          </rPr>
          <t>&lt;bank&gt;_hdr_out_com</t>
        </r>
        <r>
          <rPr>
            <sz val="9"/>
            <color indexed="81"/>
            <rFont val="Tahoma"/>
            <family val="2"/>
          </rPr>
          <t xml:space="preserve"> tables. 
The aggregate formula should be defined in the second and should use the previous computed values from the first row of the table 
Any no of columns (with proper column names) can be defined need to compute formulae
Table naming convention should be </t>
        </r>
        <r>
          <rPr>
            <b/>
            <sz val="9"/>
            <color indexed="81"/>
            <rFont val="Tahoma"/>
            <family val="2"/>
          </rPr>
          <t>&lt;bank_code&gt;_ftr_out_com</t>
        </r>
        <r>
          <rPr>
            <sz val="9"/>
            <color indexed="81"/>
            <rFont val="Tahoma"/>
            <family val="2"/>
          </rPr>
          <t xml:space="preserve"> (where &lt;bank_code&gt; is the value defined in the row 1 of column "Name" in the bank config table</t>
        </r>
      </text>
    </comment>
    <comment ref="B45" authorId="0" shapeId="0" xr:uid="{F10D239F-CE09-4791-8476-67DC8BCBB658}">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this bank (billing requests to banks)
The formulae can use values from tables 
Header column: For generating header feed, the formula can use the values from Table </t>
        </r>
        <r>
          <rPr>
            <b/>
            <sz val="9"/>
            <color indexed="81"/>
            <rFont val="Tahoma"/>
            <family val="2"/>
          </rPr>
          <t>&lt;bank&gt;_hdr_out_com</t>
        </r>
        <r>
          <rPr>
            <sz val="9"/>
            <color indexed="81"/>
            <rFont val="Tahoma"/>
            <family val="2"/>
          </rPr>
          <t xml:space="preserve">
Detail column: For generating detail feed, the formula can use the values from Table </t>
        </r>
        <r>
          <rPr>
            <b/>
            <sz val="9"/>
            <color indexed="81"/>
            <rFont val="Tahoma"/>
            <family val="2"/>
          </rPr>
          <t>&lt;bank&gt;_hdr_out_com, &lt;bank&gt;_det_out_com</t>
        </r>
        <r>
          <rPr>
            <sz val="9"/>
            <color indexed="81"/>
            <rFont val="Tahoma"/>
            <family val="2"/>
          </rPr>
          <t xml:space="preserve">
Footer column: For generating footer feed, the formula can use the aggregated values from Table </t>
        </r>
        <r>
          <rPr>
            <b/>
            <sz val="9"/>
            <color indexed="81"/>
            <rFont val="Tahoma"/>
            <family val="2"/>
          </rPr>
          <t>&lt;bank&gt;_ftr_out_com</t>
        </r>
        <r>
          <rPr>
            <sz val="9"/>
            <color indexed="81"/>
            <rFont val="Tahoma"/>
            <family val="2"/>
          </rPr>
          <t xml:space="preserve"> (#Total) row
Table naming convention should be </t>
        </r>
        <r>
          <rPr>
            <b/>
            <sz val="9"/>
            <color indexed="81"/>
            <rFont val="Tahoma"/>
            <family val="2"/>
          </rPr>
          <t>&lt;bank_code&gt;_out</t>
        </r>
        <r>
          <rPr>
            <sz val="9"/>
            <color indexed="81"/>
            <rFont val="Tahoma"/>
            <family val="2"/>
          </rPr>
          <t xml:space="preserve"> (where &lt;bank_code&gt; is the value defined in the row 1 of column "Name" in the bank config table
Name of the columns shouldnt be modified</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C37" authorId="0" shapeId="0" xr:uid="{FB5D5338-87E4-40CA-A94D-B6BE05A26458}">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BFBBB3AC-0EB8-4E7E-BB01-DFE125FD4E13}">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4075E78D-58AA-4BBA-AF7D-106B000C40BF}">
      <text>
        <r>
          <rPr>
            <b/>
            <sz val="9"/>
            <color indexed="81"/>
            <rFont val="Tahoma"/>
            <family val="2"/>
          </rPr>
          <t>Sajal Gupta:</t>
        </r>
        <r>
          <rPr>
            <sz val="9"/>
            <color indexed="81"/>
            <rFont val="Tahoma"/>
            <family val="2"/>
          </rPr>
          <t xml:space="preserve">
Config Table to capture the name of the source, feed formats of the source systems. Name of the this table should be &lt;sheet_name&gt;_src_config for capturing source system configurations 
Refer to comments of the individual columns for details
Following tables are defined:-
Input tables (table name containing "_in") are used to process feed from source systems to banks (bank requests)
Output tables (table name containing "_out") are used to process feed from banks to source systems (bank responses) 
Names of the columns shouldnt be changed</t>
        </r>
      </text>
    </comment>
    <comment ref="C3" authorId="0" shapeId="0" xr:uid="{3D0C2091-74A1-4087-A8CC-CC0E32AB95F5}">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D3" authorId="0" shapeId="0" xr:uid="{40643DA3-955B-4899-B5F2-B3110E86CED4}">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E3" authorId="0" shapeId="0" xr:uid="{5946BD41-438D-48DE-BE6A-021BE6716C01}">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F3" authorId="0" shapeId="0" xr:uid="{E7B61855-A072-450C-843B-5256B84961F4}">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G3" authorId="0" shapeId="0" xr:uid="{B89FA9F1-96E0-4B8F-9295-25F1252EFA12}">
      <text>
        <r>
          <rPr>
            <b/>
            <sz val="9"/>
            <color indexed="81"/>
            <rFont val="Tahoma"/>
            <family val="2"/>
          </rPr>
          <t>Sajal Gupta:</t>
        </r>
        <r>
          <rPr>
            <sz val="9"/>
            <color indexed="81"/>
            <rFont val="Tahoma"/>
            <family val="2"/>
          </rPr>
          <t xml:space="preserve">
Boolean condition formula is used to validate the value present in the rows of the tables &lt;src_name&gt;_hdr_in, &lt;src_name&gt;_det_in, &lt;src_name&gt;_hdr_in_com, &lt;src_name&gt;_det_in_com 
Must return TRUE/FALSE
Empty cell defaults to TRUE</t>
        </r>
      </text>
    </comment>
    <comment ref="H3" authorId="0" shapeId="0" xr:uid="{4FF320B8-4B84-477F-AE87-B278A071FC93}">
      <text>
        <r>
          <rPr>
            <b/>
            <sz val="9"/>
            <color indexed="81"/>
            <rFont val="Tahoma"/>
            <family val="2"/>
          </rPr>
          <t>Sajal Gupta:</t>
        </r>
        <r>
          <rPr>
            <sz val="9"/>
            <color indexed="81"/>
            <rFont val="Tahoma"/>
            <family val="2"/>
          </rPr>
          <t xml:space="preserve">
Rule to determine which bank to route the current feed row to, It can use the value of &lt;src&gt;_det_in_com, &lt;src&gt;_hdr_in_com
Must return names of banks sheets in the order of priority, if multiple banks are returned then the first enabled bank will be used
</t>
        </r>
      </text>
    </comment>
    <comment ref="I3" authorId="0" shapeId="0" xr:uid="{40416E26-75EF-4413-BE38-FBF00D06280B}">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J3" authorId="0" shapeId="0" xr:uid="{B8D35980-687F-47CC-9EE5-568C180CA83C}">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K3" authorId="0" shapeId="0" xr:uid="{265B9923-1AE3-4763-AB74-3088B05DD4E0}">
      <text>
        <r>
          <rPr>
            <b/>
            <sz val="9"/>
            <color indexed="81"/>
            <rFont val="Tahoma"/>
            <family val="2"/>
          </rPr>
          <t>Sajal Gupta:</t>
        </r>
        <r>
          <rPr>
            <sz val="9"/>
            <color indexed="81"/>
            <rFont val="Tahoma"/>
            <family val="2"/>
          </rPr>
          <t xml:space="preserve">
Source value will be filled by system with bank code whose feed is currently getting processed
 This value can be used in the condtion formula and formula defined in </t>
        </r>
        <r>
          <rPr>
            <b/>
            <sz val="9"/>
            <color indexed="81"/>
            <rFont val="Tahoma"/>
            <family val="2"/>
          </rPr>
          <t>&lt;src&gt;_det_out_com, &lt;src&gt;_hdr_out_com,&lt;src&gt;_ftr_out_com</t>
        </r>
        <r>
          <rPr>
            <sz val="9"/>
            <color indexed="81"/>
            <rFont val="Tahoma"/>
            <family val="2"/>
          </rPr>
          <t xml:space="preserve">
</t>
        </r>
        <r>
          <rPr>
            <b/>
            <sz val="9"/>
            <color indexed="81"/>
            <rFont val="Tahoma"/>
            <family val="2"/>
          </rPr>
          <t>Should be populated only for testing the formulae</t>
        </r>
      </text>
    </comment>
    <comment ref="B7" authorId="0" shapeId="0" xr:uid="{F8D13D80-CD37-4388-9489-0AB2A85A0A78}">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&lt;bank&gt;_hdr_in_com, &lt;bank&gt;_det_in_com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&lt;src_name&gt;_det_out_com</t>
        </r>
        <r>
          <rPr>
            <sz val="9"/>
            <color indexed="81"/>
            <rFont val="Tahoma"/>
            <family val="2"/>
          </rPr>
          <t xml:space="preserve"> (where &lt;src_name&gt; is the value defined in the row 1 of column "Name" in the config table</t>
        </r>
      </text>
    </comment>
    <comment ref="B12" authorId="0" shapeId="0" xr:uid="{ED3AA795-6A9C-4463-8F82-251CC28BF0D6}">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This formula can used values from </t>
        </r>
        <r>
          <rPr>
            <b/>
            <sz val="9"/>
            <color indexed="81"/>
            <rFont val="Tahoma"/>
            <family val="2"/>
          </rPr>
          <t>&lt;bank&gt;_hdr_in_com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&lt;src_name&gt;_hdr_out_com</t>
        </r>
        <r>
          <rPr>
            <sz val="9"/>
            <color indexed="81"/>
            <rFont val="Tahoma"/>
            <family val="2"/>
          </rPr>
          <t xml:space="preserve"> (where &lt;src_name&gt; is the value defined in the row 1 of column "Name" in the config table</t>
        </r>
      </text>
    </comment>
    <comment ref="B13" authorId="0" shapeId="0" xr:uid="{E2A5690C-0581-4EA0-A677-841085B50E24}">
      <text>
        <r>
          <rPr>
            <b/>
            <sz val="9"/>
            <color indexed="81"/>
            <rFont val="Tahoma"/>
            <family val="2"/>
          </rPr>
          <t>Sajal Gupta:</t>
        </r>
        <r>
          <rPr>
            <sz val="9"/>
            <color indexed="81"/>
            <rFont val="Tahoma"/>
            <family val="2"/>
          </rPr>
          <t xml:space="preserve">
Define the formula to generate the name of file for output feed file, can use the currBatch and other header fields like date</t>
        </r>
      </text>
    </comment>
    <comment ref="C13" authorId="0" shapeId="0" xr:uid="{2D181C50-EE78-417C-B87B-86F911B6D2C3}">
      <text>
        <r>
          <rPr>
            <b/>
            <sz val="9"/>
            <color indexed="81"/>
            <rFont val="Tahoma"/>
            <family val="2"/>
          </rPr>
          <t>Sajal Gupta:</t>
        </r>
        <r>
          <rPr>
            <sz val="9"/>
            <color indexed="81"/>
            <rFont val="Tahoma"/>
            <family val="2"/>
          </rPr>
          <t xml:space="preserve">
System populates the currBatch no based on the batchSize specified in the config table during output feed processing
This can be used in the formula to construct batch-wise file names</t>
        </r>
      </text>
    </comment>
    <comment ref="B17" authorId="0" shapeId="0" xr:uid="{CDBEAF95-7621-4262-984D-40587CB0CFE4}">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source system (responses from banks)
The formulae can use values from tables 
Header column: For generating header feed, the formula can use the value from Table </t>
        </r>
        <r>
          <rPr>
            <b/>
            <sz val="9"/>
            <color indexed="81"/>
            <rFont val="Tahoma"/>
            <family val="2"/>
          </rPr>
          <t>&lt;src&gt;_hdr_out_com</t>
        </r>
        <r>
          <rPr>
            <sz val="9"/>
            <color indexed="81"/>
            <rFont val="Tahoma"/>
            <family val="2"/>
          </rPr>
          <t xml:space="preserve">
Detail column: For generating detail feed, the formula can use the value from Table </t>
        </r>
        <r>
          <rPr>
            <b/>
            <sz val="9"/>
            <color indexed="81"/>
            <rFont val="Tahoma"/>
            <family val="2"/>
          </rPr>
          <t>&lt;src&gt;_hdr_out_com, &lt;src&gt;_det_out_com</t>
        </r>
        <r>
          <rPr>
            <sz val="9"/>
            <color indexed="81"/>
            <rFont val="Tahoma"/>
            <family val="2"/>
          </rPr>
          <t xml:space="preserve">
Footer column: For generating footer feed, the formula can use the aggregated values from Table </t>
        </r>
        <r>
          <rPr>
            <b/>
            <sz val="9"/>
            <color indexed="81"/>
            <rFont val="Tahoma"/>
            <family val="2"/>
          </rPr>
          <t>&lt;src&gt;_ftr_out_com</t>
        </r>
        <r>
          <rPr>
            <sz val="9"/>
            <color indexed="81"/>
            <rFont val="Tahoma"/>
            <family val="2"/>
          </rPr>
          <t xml:space="preserve"> (#Total) row
Table naming convention should be </t>
        </r>
        <r>
          <rPr>
            <b/>
            <sz val="9"/>
            <color indexed="81"/>
            <rFont val="Tahoma"/>
            <family val="2"/>
          </rPr>
          <t>&lt;src_name&gt;_out</t>
        </r>
        <r>
          <rPr>
            <sz val="9"/>
            <color indexed="81"/>
            <rFont val="Tahoma"/>
            <family val="2"/>
          </rPr>
          <t xml:space="preserve"> (where &lt;src_name&gt; is the value defined in the row 1 of column "Name" in the config table
Names of the columns shouldnt be changed</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31437A34-0E10-4258-B52A-82B2CDDA7C12}">
      <text>
        <r>
          <rPr>
            <b/>
            <sz val="9"/>
            <color indexed="81"/>
            <rFont val="Tahoma"/>
            <family val="2"/>
          </rPr>
          <t>Sajal Gupta:</t>
        </r>
        <r>
          <rPr>
            <sz val="9"/>
            <color indexed="81"/>
            <rFont val="Tahoma"/>
            <family val="2"/>
          </rPr>
          <t xml:space="preserve">
Config Table to capture the bank code, feed formats of the bank. Name of the this table should be &lt;sheet_name&gt;_bank_config for capturing bank specific configurations 
</t>
        </r>
        <r>
          <rPr>
            <sz val="9"/>
            <color indexed="81"/>
            <rFont val="Tahoma"/>
            <family val="2"/>
          </rPr>
          <t xml:space="preserve">
Following tables are defined:-
Input tables (table name containing "_in") are used to process feed from banks to source system (bank responses)
Output tables (table name containing "_out") are used to process feed from source system to bank (source system requests)
Names of the columns shouldnt be changed</t>
        </r>
      </text>
    </comment>
    <comment ref="D3" authorId="0" shapeId="0" xr:uid="{5380A8A1-26F2-46E2-B2FA-1331FFDF3514}">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E3" authorId="0" shapeId="0" xr:uid="{4B82C5B4-FF67-484C-A39D-6B594B12D011}">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F3" authorId="0" shapeId="0" xr:uid="{F5C864FA-6DCB-484E-92FC-03D41D3EF649}">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G3" authorId="0" shapeId="0" xr:uid="{3EDFA11F-873B-43FA-A53F-ACB18BDE00C5}">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H3" authorId="0" shapeId="0" xr:uid="{402EA6A9-F45A-4B5F-978F-D87547893148}">
      <text>
        <r>
          <rPr>
            <b/>
            <sz val="9"/>
            <color indexed="81"/>
            <rFont val="Tahoma"/>
            <family val="2"/>
          </rPr>
          <t>Sajal Gupta:</t>
        </r>
        <r>
          <rPr>
            <sz val="9"/>
            <color indexed="81"/>
            <rFont val="Tahoma"/>
            <family val="2"/>
          </rPr>
          <t xml:space="preserve">
Boolean condition formula is used to validate the values present in the rows of the tables &lt;bank_name&gt;_hdr_in, &lt;bank_name&gt;_det_in, &lt;bank_name&gt;_hdr_in_com, &lt;bank_name&gt;_det_in_com 
Must return TRUE/FALSE
Empty cell defaults to TRUE</t>
        </r>
      </text>
    </comment>
    <comment ref="I3" authorId="0" shapeId="0" xr:uid="{D0D00733-7F4E-4624-A835-4262E8AFA0C6}">
      <text>
        <r>
          <rPr>
            <b/>
            <sz val="9"/>
            <color indexed="81"/>
            <rFont val="Tahoma"/>
            <family val="2"/>
          </rPr>
          <t>Sajal Gupta:</t>
        </r>
        <r>
          <rPr>
            <sz val="9"/>
            <color indexed="81"/>
            <rFont val="Tahoma"/>
            <family val="2"/>
          </rPr>
          <t xml:space="preserve">
Rule to determine which source system to route the current bank response feed row to, It can use the value of &lt;bank&gt;_det_in_com, &lt;bank&gt;_hdr_in_com and the config entries
Must return names of source sheets in the order of priority, if multiple sources are returned then the first enabled source will be used</t>
        </r>
      </text>
    </comment>
    <comment ref="J3" authorId="0" shapeId="0" xr:uid="{4C12D2E6-F746-4F1B-8577-65CCAE190348}">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K3" authorId="0" shapeId="0" xr:uid="{56DB21F5-4D3C-4C65-881A-5F9EC6480C04}">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L3" authorId="0" shapeId="0" xr:uid="{EAE0D7B2-73B7-4745-AC9C-4421BA685E2C}">
      <text>
        <r>
          <rPr>
            <b/>
            <sz val="9"/>
            <color indexed="81"/>
            <rFont val="Tahoma"/>
            <family val="2"/>
          </rPr>
          <t>Sajal Gupta:</t>
        </r>
        <r>
          <rPr>
            <sz val="9"/>
            <color indexed="81"/>
            <rFont val="Tahoma"/>
            <family val="2"/>
          </rPr>
          <t xml:space="preserve">
Source value will be filled by system with source system name whose feed is currently getting processed, This value can be used in the condition formula and formulae defined in </t>
        </r>
        <r>
          <rPr>
            <b/>
            <sz val="9"/>
            <color indexed="81"/>
            <rFont val="Tahoma"/>
            <family val="2"/>
          </rPr>
          <t>&lt;bank&gt;_det_out_com,&lt;bank&gt;_hdr_out_com,&lt;bank&gt;_ftr_out_com
Should be populated only for testing the formulae</t>
        </r>
      </text>
    </comment>
    <comment ref="B6" authorId="0" shapeId="0" xr:uid="{526E2D71-A17B-4C34-8B99-DB850354D24A}">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&lt;bank_code&gt;_det_in</t>
        </r>
        <r>
          <rPr>
            <sz val="9"/>
            <color indexed="81"/>
            <rFont val="Tahoma"/>
            <family val="2"/>
          </rPr>
          <t xml:space="preserve"> (where &lt;bank_code&gt;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detail row
For FIXEDLENGTH feed format, define only one column to capture the entire row. Formula defined in the _com tables can be used to split the values of the rows based on the fixed length sizes
</t>
        </r>
        <r>
          <rPr>
            <b/>
            <sz val="9"/>
            <color indexed="81"/>
            <rFont val="Tahoma"/>
            <family val="2"/>
          </rPr>
          <t>Should be populated only for testing the formulae</t>
        </r>
      </text>
    </comment>
    <comment ref="B12" authorId="0" shapeId="0" xr:uid="{38373CAE-3437-4B86-A4D1-560C8D69B2F8}">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&lt;bank_code&gt;_det_in, &lt;bank_code&gt;_hdr_in</t>
        </r>
        <r>
          <rPr>
            <sz val="9"/>
            <color indexed="81"/>
            <rFont val="Tahoma"/>
            <family val="2"/>
          </rPr>
          <t xml:space="preserve">
Naming convention should be </t>
        </r>
        <r>
          <rPr>
            <b/>
            <sz val="9"/>
            <color indexed="81"/>
            <rFont val="Tahoma"/>
            <family val="2"/>
          </rPr>
          <t>&lt;bank_code&gt;_det_in_com</t>
        </r>
        <r>
          <rPr>
            <sz val="9"/>
            <color indexed="81"/>
            <rFont val="Tahoma"/>
            <family val="2"/>
          </rPr>
          <t xml:space="preserve"> (where &lt;bank_code&gt; is the value defined in the row 1 of column "Name" in the config table
Any no of columns (with proper column names) can be defined need to compute formulae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2683CED9-DB88-4AE7-9503-E3B2A85E75AE}">
      <text>
        <r>
          <rPr>
            <b/>
            <sz val="9"/>
            <color indexed="81"/>
            <rFont val="Tahoma"/>
            <family val="2"/>
          </rPr>
          <t>Sajal Gupta:</t>
        </r>
        <r>
          <rPr>
            <sz val="9"/>
            <color indexed="81"/>
            <rFont val="Tahoma"/>
            <family val="2"/>
          </rPr>
          <t xml:space="preserve">
Mapping table to map BIN to bank where the billing request should be routed. This table is used in the formulae to find the target bank where the feed row should be routed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B1CBA659-C232-4FE1-823E-269116200A73}">
      <text>
        <r>
          <rPr>
            <b/>
            <sz val="9"/>
            <color indexed="81"/>
            <rFont val="Tahoma"/>
            <family val="2"/>
          </rPr>
          <t>Sajal Gupta:</t>
        </r>
        <r>
          <rPr>
            <sz val="9"/>
            <color indexed="81"/>
            <rFont val="Tahoma"/>
            <family val="2"/>
          </rPr>
          <t xml:space="preserve">
Config Table to capture the name of the source, feed formats of the source systems. Name of the this table should be &lt;sheet_name&gt;_src_config for capturing source system configurations 
Refer to comments of the individual columns for details
Following tables are defined:-
Input tables (table name containing "_in") are used to process feed from source systems to banks (bank requests)
Output tables (table name containing "_out") are used to process feed from banks to source systems (bank responses) 
Names of the columns shouldnt be changed</t>
        </r>
      </text>
    </comment>
    <comment ref="C3" authorId="0" shapeId="0" xr:uid="{3D263E35-F77C-4DC4-BC66-EA14FE10E405}">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D3" authorId="0" shapeId="0" xr:uid="{590E36A6-8CC0-4D70-BEE4-728043D9D0C4}">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E3" authorId="0" shapeId="0" xr:uid="{E867885F-F15B-47A4-9E38-7D14300BD7DF}">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F3" authorId="0" shapeId="0" xr:uid="{78C56119-2473-4030-BB0B-BE0744CD95A3}">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G3" authorId="0" shapeId="0" xr:uid="{22414F6A-08BA-45E1-A63D-44D0F7F872F4}">
      <text>
        <r>
          <rPr>
            <b/>
            <sz val="9"/>
            <color indexed="81"/>
            <rFont val="Tahoma"/>
            <family val="2"/>
          </rPr>
          <t>Sajal Gupta:</t>
        </r>
        <r>
          <rPr>
            <sz val="9"/>
            <color indexed="81"/>
            <rFont val="Tahoma"/>
            <family val="2"/>
          </rPr>
          <t xml:space="preserve">
Boolean condition formula is used to validate the value present in the rows of the tables &lt;src_name&gt;_hdr_in, &lt;src_name&gt;_det_in, &lt;src_name&gt;_hdr_in_com, &lt;src_name&gt;_det_in_com 
Must return TRUE/FALSE
Empty cell defaults to TRUE</t>
        </r>
      </text>
    </comment>
    <comment ref="H3" authorId="0" shapeId="0" xr:uid="{1A3EC36E-C0FA-461A-A546-7AA0B34BBCAB}">
      <text>
        <r>
          <rPr>
            <b/>
            <sz val="9"/>
            <color indexed="81"/>
            <rFont val="Tahoma"/>
            <family val="2"/>
          </rPr>
          <t>Sajal Gupta:</t>
        </r>
        <r>
          <rPr>
            <sz val="9"/>
            <color indexed="81"/>
            <rFont val="Tahoma"/>
            <family val="2"/>
          </rPr>
          <t xml:space="preserve">
Rule to determine which bank to route the current feed row to, It can use the value of &lt;src&gt;_det_in_com, &lt;src&gt;_hdr_in_com
Must return names of banks sheets in the order of priority, if multiple banks are returned then the first enabled bank will be used
</t>
        </r>
      </text>
    </comment>
    <comment ref="I3" authorId="0" shapeId="0" xr:uid="{CE6F3821-5F7B-4812-AD9A-D7BD7CCC50FE}">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J3" authorId="0" shapeId="0" xr:uid="{DD47B3D7-88B6-4B98-8ABD-A1EC7AC39184}">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K3" authorId="0" shapeId="0" xr:uid="{3FE5C311-658B-4B44-8DFF-1BF2B0C508E0}">
      <text>
        <r>
          <rPr>
            <b/>
            <sz val="9"/>
            <color indexed="81"/>
            <rFont val="Tahoma"/>
            <family val="2"/>
          </rPr>
          <t>Sajal Gupta:</t>
        </r>
        <r>
          <rPr>
            <sz val="9"/>
            <color indexed="81"/>
            <rFont val="Tahoma"/>
            <family val="2"/>
          </rPr>
          <t xml:space="preserve">
Source value will be filled by system with bank code whose feed is currently getting processed
 This value can be used in the condtion formula and formula defined in </t>
        </r>
        <r>
          <rPr>
            <b/>
            <sz val="9"/>
            <color indexed="81"/>
            <rFont val="Tahoma"/>
            <family val="2"/>
          </rPr>
          <t>&lt;src&gt;_det_out_com, &lt;src&gt;_hdr_out_com,&lt;src&gt;_ftr_out_com</t>
        </r>
        <r>
          <rPr>
            <sz val="9"/>
            <color indexed="81"/>
            <rFont val="Tahoma"/>
            <family val="2"/>
          </rPr>
          <t xml:space="preserve">
</t>
        </r>
        <r>
          <rPr>
            <b/>
            <sz val="9"/>
            <color indexed="81"/>
            <rFont val="Tahoma"/>
            <family val="2"/>
          </rPr>
          <t>Should be populated only for testing the formulae</t>
        </r>
      </text>
    </comment>
    <comment ref="B7" authorId="0" shapeId="0" xr:uid="{14B7D4E9-415A-463A-AEF2-E23BA8EF56EF}">
      <text>
        <r>
          <rPr>
            <b/>
            <sz val="9"/>
            <color indexed="81"/>
            <rFont val="Tahoma"/>
            <family val="2"/>
          </rPr>
          <t>Sajal Gupta:</t>
        </r>
        <r>
          <rPr>
            <sz val="9"/>
            <color indexed="81"/>
            <rFont val="Tahoma"/>
            <family val="2"/>
          </rPr>
          <t xml:space="preserve">
Input Table to capture the feed row input. These values can be used as inputs in the _com (compute) formula tables to compute intermediated values. 
Naming convention should be </t>
        </r>
        <r>
          <rPr>
            <b/>
            <sz val="9"/>
            <color indexed="81"/>
            <rFont val="Tahoma"/>
            <family val="2"/>
          </rPr>
          <t>&lt;src_name&gt;_det_in</t>
        </r>
        <r>
          <rPr>
            <sz val="9"/>
            <color indexed="81"/>
            <rFont val="Tahoma"/>
            <family val="2"/>
          </rPr>
          <t xml:space="preserve"> (where &lt;src_name&gt; is the value defined in the row 1 of column "Name" in the config table
This is input table which will only take values (as per feed input), No formula should be defined in this table.
Text values can be entered in the 1st row of this table to test out the formulae and verify the final output feed 
System will populate this table with detail feed row and used the formulae to compute the final output feed
For CSV feed format, define as many columns as the no of entries present in the CSV row
For FIXEDLENGTH feed format, define only one column to capture the entire row. Formula defined in the _com tables can be used to split the values of the rows based on the fixed length sizes</t>
        </r>
      </text>
    </comment>
    <comment ref="B12" authorId="0" shapeId="0" xr:uid="{25C63253-F1F5-4355-8251-86A340694A9D}">
      <text>
        <r>
          <rPr>
            <b/>
            <sz val="9"/>
            <color indexed="81"/>
            <rFont val="Tahoma"/>
            <family val="2"/>
          </rPr>
          <t>Sajal Gupta:</t>
        </r>
        <r>
          <rPr>
            <sz val="9"/>
            <color indexed="81"/>
            <rFont val="Tahoma"/>
            <family val="2"/>
          </rPr>
          <t xml:space="preserve">
Input Compute Table to define the formulae used to compute the intermediate values of the columns based on the detail input row. The formulae can use the  values present in tables </t>
        </r>
        <r>
          <rPr>
            <b/>
            <sz val="9"/>
            <color indexed="81"/>
            <rFont val="Tahoma"/>
            <family val="2"/>
          </rPr>
          <t xml:space="preserve">&lt;src&gt;_det_in, &lt;src&gt;_hdr_in
</t>
        </r>
        <r>
          <rPr>
            <sz val="9"/>
            <color indexed="81"/>
            <rFont val="Tahoma"/>
            <family val="2"/>
          </rPr>
          <t>Any no of columns (with proper column names) can be defined need to compute formulae</t>
        </r>
        <r>
          <rPr>
            <b/>
            <sz val="9"/>
            <color indexed="81"/>
            <rFont val="Tahoma"/>
            <family val="2"/>
          </rPr>
          <t xml:space="preserve">
</t>
        </r>
        <r>
          <rPr>
            <sz val="9"/>
            <color indexed="81"/>
            <rFont val="Tahoma"/>
            <family val="2"/>
          </rPr>
          <t xml:space="preserve">Naming convention should be </t>
        </r>
        <r>
          <rPr>
            <b/>
            <sz val="9"/>
            <color indexed="81"/>
            <rFont val="Tahoma"/>
            <family val="2"/>
          </rPr>
          <t>&lt;src_name&gt;_det_in_com</t>
        </r>
        <r>
          <rPr>
            <sz val="9"/>
            <color indexed="81"/>
            <rFont val="Tahoma"/>
            <family val="2"/>
          </rPr>
          <t xml:space="preserve"> (where &lt;src_name&gt; is the value defined in the row 1 of column "Name" in the config table
</t>
        </r>
      </text>
    </comment>
    <comment ref="B18" authorId="0" shapeId="0" xr:uid="{038461E1-2F07-4AE7-9A69-7D58842F51A4}">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&lt;bank&gt;_hdr_in_com, &lt;bank&gt;_det_in_com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&lt;src_name&gt;_det_out_com</t>
        </r>
        <r>
          <rPr>
            <sz val="9"/>
            <color indexed="81"/>
            <rFont val="Tahoma"/>
            <family val="2"/>
          </rPr>
          <t xml:space="preserve"> (where &lt;src_name&gt; is the value defined in the row 1 of column "Name" in the config table</t>
        </r>
      </text>
    </comment>
    <comment ref="B23" authorId="0" shapeId="0" xr:uid="{62B2E82C-773A-40D7-BD5E-C9DB23C09EEE}">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This formula can used values from </t>
        </r>
        <r>
          <rPr>
            <b/>
            <sz val="9"/>
            <color indexed="81"/>
            <rFont val="Tahoma"/>
            <family val="2"/>
          </rPr>
          <t>&lt;bank&gt;_hdr_in_com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&lt;src_name&gt;_hdr_out_com</t>
        </r>
        <r>
          <rPr>
            <sz val="9"/>
            <color indexed="81"/>
            <rFont val="Tahoma"/>
            <family val="2"/>
          </rPr>
          <t xml:space="preserve"> (where &lt;src_name&gt; is the value defined in the row 1 of column "Name" in the config table</t>
        </r>
      </text>
    </comment>
    <comment ref="B24" authorId="0" shapeId="0" xr:uid="{39E7E2A4-6D53-4932-89DA-FA91FAC706A1}">
      <text>
        <r>
          <rPr>
            <b/>
            <sz val="9"/>
            <color indexed="81"/>
            <rFont val="Tahoma"/>
            <family val="2"/>
          </rPr>
          <t>Sajal Gupta:</t>
        </r>
        <r>
          <rPr>
            <sz val="9"/>
            <color indexed="81"/>
            <rFont val="Tahoma"/>
            <family val="2"/>
          </rPr>
          <t xml:space="preserve">
Define the formula to generate the name of file for output feed file, can use the currBatch and other header fields like date</t>
        </r>
      </text>
    </comment>
    <comment ref="C24" authorId="0" shapeId="0" xr:uid="{E68960B8-D24B-4B38-809C-3DAB8560E5F8}">
      <text>
        <r>
          <rPr>
            <b/>
            <sz val="9"/>
            <color indexed="81"/>
            <rFont val="Tahoma"/>
            <family val="2"/>
          </rPr>
          <t>Sajal Gupta:</t>
        </r>
        <r>
          <rPr>
            <sz val="9"/>
            <color indexed="81"/>
            <rFont val="Tahoma"/>
            <family val="2"/>
          </rPr>
          <t xml:space="preserve">
System populates the currBatch no based on the batchSize specified in the config table during output feed processing
This can be used in the formula to construct batch-wise file names</t>
        </r>
      </text>
    </comment>
    <comment ref="H24" authorId="0" shapeId="0" xr:uid="{EACB0683-96A1-43D9-9F42-7669DA1BB56B}">
      <text>
        <r>
          <rPr>
            <b/>
            <sz val="9"/>
            <color indexed="81"/>
            <rFont val="Tahoma"/>
            <family val="2"/>
          </rPr>
          <t>Sajal Gupta:</t>
        </r>
        <r>
          <rPr>
            <sz val="9"/>
            <color indexed="81"/>
            <rFont val="Tahoma"/>
            <family val="2"/>
          </rPr>
          <t xml:space="preserve">
Mapping table between IL reject to reject reason</t>
        </r>
      </text>
    </comment>
    <comment ref="K24" authorId="0" shapeId="0" xr:uid="{F5EB6972-E2CC-433B-BB35-7B12C19C6E51}">
      <text>
        <r>
          <rPr>
            <b/>
            <sz val="9"/>
            <color indexed="81"/>
            <rFont val="Tahoma"/>
            <family val="2"/>
          </rPr>
          <t>Sajal Gupta:</t>
        </r>
        <r>
          <rPr>
            <sz val="9"/>
            <color indexed="81"/>
            <rFont val="Tahoma"/>
            <family val="2"/>
          </rPr>
          <t xml:space="preserve">
Mapping table between Bank reject code to IL reject code, This table is used in the formula to do the translation of the bank to IL reject codes</t>
        </r>
      </text>
    </comment>
    <comment ref="B28" authorId="0" shapeId="0" xr:uid="{9261037C-1EA1-4CB7-8913-A1D6DEF4330C}">
      <text>
        <r>
          <rPr>
            <b/>
            <sz val="9"/>
            <color indexed="81"/>
            <rFont val="Tahoma"/>
            <family val="2"/>
          </rPr>
          <t>Sajal Gupta:</t>
        </r>
        <r>
          <rPr>
            <sz val="9"/>
            <color indexed="81"/>
            <rFont val="Tahoma"/>
            <family val="2"/>
          </rPr>
          <t xml:space="preserve">
Output table is used to capture the aggregate formula which is used to compute aggregates like sum,count. 
This formulae can use values from </t>
        </r>
        <r>
          <rPr>
            <b/>
            <sz val="9"/>
            <color indexed="81"/>
            <rFont val="Tahoma"/>
            <family val="2"/>
          </rPr>
          <t>&lt;src&gt;_det_out_com, &lt;src&gt;_hdr_out_com</t>
        </r>
        <r>
          <rPr>
            <sz val="9"/>
            <color indexed="81"/>
            <rFont val="Tahoma"/>
            <family val="2"/>
          </rPr>
          <t xml:space="preserve"> tables. The aggregate formula should be defined in the second and should use the previous computed values from the first row of the table 
Any no of columns (with proper column names) can be defined need to compute formulae
Naming convention should be </t>
        </r>
        <r>
          <rPr>
            <b/>
            <sz val="9"/>
            <color indexed="81"/>
            <rFont val="Tahoma"/>
            <family val="2"/>
          </rPr>
          <t>&lt;src_name&gt;_ftr_out_com</t>
        </r>
        <r>
          <rPr>
            <sz val="9"/>
            <color indexed="81"/>
            <rFont val="Tahoma"/>
            <family val="2"/>
          </rPr>
          <t xml:space="preserve"> (where &lt;src_name&gt; is the value defined in the row 1 of column "Name" in the config table
</t>
        </r>
      </text>
    </comment>
    <comment ref="B33" authorId="0" shapeId="0" xr:uid="{A695876C-666E-4BCA-ADFD-8D7B9042CD6D}">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source system (responses from banks)
The formulae can use values from tables 
Header column: For generating header feed, the formula can use the value from Table </t>
        </r>
        <r>
          <rPr>
            <b/>
            <sz val="9"/>
            <color indexed="81"/>
            <rFont val="Tahoma"/>
            <family val="2"/>
          </rPr>
          <t>&lt;src&gt;_hdr_out_com</t>
        </r>
        <r>
          <rPr>
            <sz val="9"/>
            <color indexed="81"/>
            <rFont val="Tahoma"/>
            <family val="2"/>
          </rPr>
          <t xml:space="preserve">
Detail column: For generating detail feed, the formula can use the value from Table </t>
        </r>
        <r>
          <rPr>
            <b/>
            <sz val="9"/>
            <color indexed="81"/>
            <rFont val="Tahoma"/>
            <family val="2"/>
          </rPr>
          <t>&lt;src&gt;_hdr_out_com, &lt;src&gt;_det_out_com</t>
        </r>
        <r>
          <rPr>
            <sz val="9"/>
            <color indexed="81"/>
            <rFont val="Tahoma"/>
            <family val="2"/>
          </rPr>
          <t xml:space="preserve">
Footer column: For generating footer feed, the formula can use the aggregated values from Table </t>
        </r>
        <r>
          <rPr>
            <b/>
            <sz val="9"/>
            <color indexed="81"/>
            <rFont val="Tahoma"/>
            <family val="2"/>
          </rPr>
          <t>&lt;src&gt;_ftr_out_com</t>
        </r>
        <r>
          <rPr>
            <sz val="9"/>
            <color indexed="81"/>
            <rFont val="Tahoma"/>
            <family val="2"/>
          </rPr>
          <t xml:space="preserve"> (#Total) row
Table naming convention should be </t>
        </r>
        <r>
          <rPr>
            <b/>
            <sz val="9"/>
            <color indexed="81"/>
            <rFont val="Tahoma"/>
            <family val="2"/>
          </rPr>
          <t>&lt;src_name&gt;_out</t>
        </r>
        <r>
          <rPr>
            <sz val="9"/>
            <color indexed="81"/>
            <rFont val="Tahoma"/>
            <family val="2"/>
          </rPr>
          <t xml:space="preserve"> (where &lt;src_name&gt; is the value defined in the row 1 of column "Name" in the config table
Names of the columns shouldnt be changed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B2" authorId="0" shapeId="0" xr:uid="{4075E78D-58AA-4BBA-AF7D-106B000C40BF}">
      <text>
        <r>
          <rPr>
            <b/>
            <sz val="9"/>
            <color indexed="81"/>
            <rFont val="Tahoma"/>
            <family val="2"/>
          </rPr>
          <t>Sajal Gupta:</t>
        </r>
        <r>
          <rPr>
            <sz val="9"/>
            <color indexed="81"/>
            <rFont val="Tahoma"/>
            <family val="2"/>
          </rPr>
          <t xml:space="preserve">
Config Table to capture the name of the source, feed formats of the source systems. Name of the this table should be &lt;sheet_name&gt;_src_config for capturing source system configurations 
Refer to comments of the individual columns for details
Following tables are defined:-
Input tables (table name containing "_in") are used to process feed from source systems to banks (bank requests)
Output tables (table name containing "_out") are used to process feed from banks to source systems (bank responses) 
Names of the columns shouldnt be changed</t>
        </r>
      </text>
    </comment>
    <comment ref="C3" authorId="0" shapeId="0" xr:uid="{3D0C2091-74A1-4087-A8CC-CC0E32AB95F5}">
      <text>
        <r>
          <rPr>
            <b/>
            <sz val="9"/>
            <color indexed="81"/>
            <rFont val="Tahoma"/>
            <family val="2"/>
          </rPr>
          <t>Sajal Gupta:</t>
        </r>
        <r>
          <rPr>
            <sz val="9"/>
            <color indexed="81"/>
            <rFont val="Tahoma"/>
            <family val="2"/>
          </rPr>
          <t xml:space="preserve">
Provide the delimiter character of the feed file. For FIXEDLENGTH feed file the cell should be empty</t>
        </r>
      </text>
    </comment>
    <comment ref="D3" authorId="0" shapeId="0" xr:uid="{40643DA3-955B-4899-B5F2-B3110E86CED4}">
      <text>
        <r>
          <rPr>
            <b/>
            <sz val="9"/>
            <color indexed="81"/>
            <rFont val="Tahoma"/>
            <family val="2"/>
          </rPr>
          <t>Sajal Gupta:</t>
        </r>
        <r>
          <rPr>
            <sz val="9"/>
            <color indexed="81"/>
            <rFont val="Tahoma"/>
            <family val="2"/>
          </rPr>
          <t xml:space="preserve">
Specify string which is used to identify header record. Leave it empty if there are no header in the feed file</t>
        </r>
      </text>
    </comment>
    <comment ref="E3" authorId="0" shapeId="0" xr:uid="{5946BD41-438D-48DE-BE6A-021BE6716C01}">
      <text>
        <r>
          <rPr>
            <b/>
            <sz val="9"/>
            <color indexed="81"/>
            <rFont val="Tahoma"/>
            <family val="2"/>
          </rPr>
          <t>Sajal Gupta:</t>
        </r>
        <r>
          <rPr>
            <sz val="9"/>
            <color indexed="81"/>
            <rFont val="Tahoma"/>
            <family val="2"/>
          </rPr>
          <t xml:space="preserve">
Specify string which is used to identify detail record. Leave it empty if there are no header and footer in the feed file</t>
        </r>
      </text>
    </comment>
    <comment ref="F3" authorId="0" shapeId="0" xr:uid="{E7B61855-A072-450C-843B-5256B84961F4}">
      <text>
        <r>
          <rPr>
            <b/>
            <sz val="9"/>
            <color indexed="81"/>
            <rFont val="Tahoma"/>
            <family val="2"/>
          </rPr>
          <t>Sajal Gupta:</t>
        </r>
        <r>
          <rPr>
            <sz val="9"/>
            <color indexed="81"/>
            <rFont val="Tahoma"/>
            <family val="2"/>
          </rPr>
          <t xml:space="preserve">
Specify string which is used to identify footer record. Leave it empty if there are no footer in the feed file</t>
        </r>
      </text>
    </comment>
    <comment ref="G3" authorId="0" shapeId="0" xr:uid="{B89FA9F1-96E0-4B8F-9295-25F1252EFA12}">
      <text>
        <r>
          <rPr>
            <b/>
            <sz val="9"/>
            <color indexed="81"/>
            <rFont val="Tahoma"/>
            <family val="2"/>
          </rPr>
          <t>Sajal Gupta:</t>
        </r>
        <r>
          <rPr>
            <sz val="9"/>
            <color indexed="81"/>
            <rFont val="Tahoma"/>
            <family val="2"/>
          </rPr>
          <t xml:space="preserve">
Boolean condition formula is used to validate the value present in the rows of the tables &lt;src_name&gt;_hdr_in, &lt;src_name&gt;_det_in, &lt;src_name&gt;_hdr_in_com, &lt;src_name&gt;_det_in_com 
Must return TRUE/FALSE
Empty cell defaults to TRUE</t>
        </r>
      </text>
    </comment>
    <comment ref="H3" authorId="0" shapeId="0" xr:uid="{4FF320B8-4B84-477F-AE87-B278A071FC93}">
      <text>
        <r>
          <rPr>
            <b/>
            <sz val="9"/>
            <color indexed="81"/>
            <rFont val="Tahoma"/>
            <family val="2"/>
          </rPr>
          <t>Sajal Gupta:</t>
        </r>
        <r>
          <rPr>
            <sz val="9"/>
            <color indexed="81"/>
            <rFont val="Tahoma"/>
            <family val="2"/>
          </rPr>
          <t xml:space="preserve">
Rule to determine which bank to route the current feed row to, It can use the value of &lt;src&gt;_det_in_com, &lt;src&gt;_hdr_in_com
Must return names of banks sheets in the order of priority, if multiple banks are returned then the first enabled bank will be used
</t>
        </r>
      </text>
    </comment>
    <comment ref="I3" authorId="0" shapeId="0" xr:uid="{40416E26-75EF-4413-BE38-FBF00D06280B}">
      <text>
        <r>
          <rPr>
            <b/>
            <sz val="9"/>
            <color indexed="81"/>
            <rFont val="Tahoma"/>
            <family val="2"/>
          </rPr>
          <t>Sajal Gupta:</t>
        </r>
        <r>
          <rPr>
            <sz val="9"/>
            <color indexed="81"/>
            <rFont val="Tahoma"/>
            <family val="2"/>
          </rPr>
          <t xml:space="preserve">
batchSize value is used to define the batch size (max no of entries) of the output feed containing header and footer</t>
        </r>
      </text>
    </comment>
    <comment ref="J3" authorId="0" shapeId="0" xr:uid="{B8D35980-687F-47CC-9EE5-568C180CA83C}">
      <text>
        <r>
          <rPr>
            <b/>
            <sz val="9"/>
            <color indexed="81"/>
            <rFont val="Tahoma"/>
            <family val="2"/>
          </rPr>
          <t>Sajal Gupta:</t>
        </r>
        <r>
          <rPr>
            <sz val="9"/>
            <color indexed="81"/>
            <rFont val="Tahoma"/>
            <family val="2"/>
          </rPr>
          <t xml:space="preserve">
Set Y to enable to this sheet for input processing or output feed generation
Set N to disable this sheet</t>
        </r>
      </text>
    </comment>
    <comment ref="K3" authorId="0" shapeId="0" xr:uid="{265B9923-1AE3-4763-AB74-3088B05DD4E0}">
      <text>
        <r>
          <rPr>
            <b/>
            <sz val="9"/>
            <color indexed="81"/>
            <rFont val="Tahoma"/>
            <family val="2"/>
          </rPr>
          <t>Sajal Gupta:</t>
        </r>
        <r>
          <rPr>
            <sz val="9"/>
            <color indexed="81"/>
            <rFont val="Tahoma"/>
            <family val="2"/>
          </rPr>
          <t xml:space="preserve">
Source value will be filled by system with bank code whose feed is currently getting processed
 This value can be used in the condtion formula and formula defined in </t>
        </r>
        <r>
          <rPr>
            <b/>
            <sz val="9"/>
            <color indexed="81"/>
            <rFont val="Tahoma"/>
            <family val="2"/>
          </rPr>
          <t>&lt;src&gt;_det_out_com, &lt;src&gt;_hdr_out_com,&lt;src&gt;_ftr_out_com</t>
        </r>
        <r>
          <rPr>
            <sz val="9"/>
            <color indexed="81"/>
            <rFont val="Tahoma"/>
            <family val="2"/>
          </rPr>
          <t xml:space="preserve">
</t>
        </r>
        <r>
          <rPr>
            <b/>
            <sz val="9"/>
            <color indexed="81"/>
            <rFont val="Tahoma"/>
            <family val="2"/>
          </rPr>
          <t>Should be populated only for testing the formulae</t>
        </r>
      </text>
    </comment>
    <comment ref="B7" authorId="0" shapeId="0" xr:uid="{F8D13D80-CD37-4388-9489-0AB2A85A0A78}">
      <text>
        <r>
          <rPr>
            <b/>
            <sz val="9"/>
            <color indexed="81"/>
            <rFont val="Tahoma"/>
            <family val="2"/>
          </rPr>
          <t>Sajal Gupta:</t>
        </r>
        <r>
          <rPr>
            <sz val="9"/>
            <color indexed="81"/>
            <rFont val="Tahoma"/>
            <family val="2"/>
          </rPr>
          <t xml:space="preserve">
Output Compute Table to define formulae used to compute intermediate values, output of which can be used to by formulae defined in the detail column of _out table to generate the detail final feed. 
This formula can used values from </t>
        </r>
        <r>
          <rPr>
            <b/>
            <sz val="9"/>
            <color indexed="81"/>
            <rFont val="Tahoma"/>
            <family val="2"/>
          </rPr>
          <t>&lt;bank&gt;_hdr_in_com, &lt;bank&gt;_det_in_com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&lt;src_name&gt;_det_out_com</t>
        </r>
        <r>
          <rPr>
            <sz val="9"/>
            <color indexed="81"/>
            <rFont val="Tahoma"/>
            <family val="2"/>
          </rPr>
          <t xml:space="preserve"> (where &lt;src_name&gt; is the value defined in the row 1 of column "Name" in the config table</t>
        </r>
      </text>
    </comment>
    <comment ref="B12" authorId="0" shapeId="0" xr:uid="{ED3AA795-6A9C-4463-8F82-251CC28BF0D6}">
      <text>
        <r>
          <rPr>
            <b/>
            <sz val="9"/>
            <color indexed="81"/>
            <rFont val="Tahoma"/>
            <family val="2"/>
          </rPr>
          <t>Sajal Gupta:</t>
        </r>
        <r>
          <rPr>
            <sz val="9"/>
            <color indexed="81"/>
            <rFont val="Tahoma"/>
            <family val="2"/>
          </rPr>
          <t xml:space="preserve">
Output Table to define formulae used to compute intermediate values, output of which can be used to by formulae defined in the header column of _out table to generate the header final feed. 
This formula can used values from </t>
        </r>
        <r>
          <rPr>
            <b/>
            <sz val="9"/>
            <color indexed="81"/>
            <rFont val="Tahoma"/>
            <family val="2"/>
          </rPr>
          <t>&lt;bank&gt;_hdr_in_com</t>
        </r>
        <r>
          <rPr>
            <sz val="9"/>
            <color indexed="81"/>
            <rFont val="Tahoma"/>
            <family val="2"/>
          </rPr>
          <t xml:space="preserve"> (bank input computed values) and value of the source column in the config table to determine the bank code
Any no of columns (with proper column names) can be defined need to compute formulae
Naming convention should be </t>
        </r>
        <r>
          <rPr>
            <b/>
            <sz val="9"/>
            <color indexed="81"/>
            <rFont val="Tahoma"/>
            <family val="2"/>
          </rPr>
          <t>&lt;src_name&gt;_hdr_out_com</t>
        </r>
        <r>
          <rPr>
            <sz val="9"/>
            <color indexed="81"/>
            <rFont val="Tahoma"/>
            <family val="2"/>
          </rPr>
          <t xml:space="preserve"> (where &lt;src_name&gt; is the value defined in the row 1 of column "Name" in the config table</t>
        </r>
      </text>
    </comment>
    <comment ref="B13" authorId="0" shapeId="0" xr:uid="{E2A5690C-0581-4EA0-A677-841085B50E24}">
      <text>
        <r>
          <rPr>
            <b/>
            <sz val="9"/>
            <color indexed="81"/>
            <rFont val="Tahoma"/>
            <family val="2"/>
          </rPr>
          <t>Sajal Gupta:</t>
        </r>
        <r>
          <rPr>
            <sz val="9"/>
            <color indexed="81"/>
            <rFont val="Tahoma"/>
            <family val="2"/>
          </rPr>
          <t xml:space="preserve">
Define the formula to generate the name of file for output feed file, can use the currBatch and other header fields like date</t>
        </r>
      </text>
    </comment>
    <comment ref="C13" authorId="0" shapeId="0" xr:uid="{2D181C50-EE78-417C-B87B-86F911B6D2C3}">
      <text>
        <r>
          <rPr>
            <b/>
            <sz val="9"/>
            <color indexed="81"/>
            <rFont val="Tahoma"/>
            <family val="2"/>
          </rPr>
          <t>Sajal Gupta:</t>
        </r>
        <r>
          <rPr>
            <sz val="9"/>
            <color indexed="81"/>
            <rFont val="Tahoma"/>
            <family val="2"/>
          </rPr>
          <t xml:space="preserve">
System populates the currBatch no based on the batchSize specified in the config table during output feed processing
This can be used in the formula to construct batch-wise file names</t>
        </r>
      </text>
    </comment>
    <comment ref="B17" authorId="0" shapeId="0" xr:uid="{CDBEAF95-7621-4262-984D-40587CB0CFE4}">
      <text>
        <r>
          <rPr>
            <b/>
            <sz val="9"/>
            <color indexed="81"/>
            <rFont val="Tahoma"/>
            <family val="2"/>
          </rPr>
          <t>Sajal Gupta:</t>
        </r>
        <r>
          <rPr>
            <sz val="9"/>
            <color indexed="81"/>
            <rFont val="Tahoma"/>
            <family val="2"/>
          </rPr>
          <t xml:space="preserve">
Output table is used to capture the formulae that will be used to generate the final feed format for header, detail and footer for source system (responses from banks)
The formulae can use values from tables 
Header column: For generating header feed, the formula can use the value from Table </t>
        </r>
        <r>
          <rPr>
            <b/>
            <sz val="9"/>
            <color indexed="81"/>
            <rFont val="Tahoma"/>
            <family val="2"/>
          </rPr>
          <t>&lt;src&gt;_hdr_out_com</t>
        </r>
        <r>
          <rPr>
            <sz val="9"/>
            <color indexed="81"/>
            <rFont val="Tahoma"/>
            <family val="2"/>
          </rPr>
          <t xml:space="preserve">
Detail column: For generating detail feed, the formula can use the value from Table </t>
        </r>
        <r>
          <rPr>
            <b/>
            <sz val="9"/>
            <color indexed="81"/>
            <rFont val="Tahoma"/>
            <family val="2"/>
          </rPr>
          <t>&lt;src&gt;_hdr_out_com, &lt;src&gt;_det_out_com</t>
        </r>
        <r>
          <rPr>
            <sz val="9"/>
            <color indexed="81"/>
            <rFont val="Tahoma"/>
            <family val="2"/>
          </rPr>
          <t xml:space="preserve">
Footer column: For generating footer feed, the formula can use the aggregated values from Table </t>
        </r>
        <r>
          <rPr>
            <b/>
            <sz val="9"/>
            <color indexed="81"/>
            <rFont val="Tahoma"/>
            <family val="2"/>
          </rPr>
          <t>&lt;src&gt;_ftr_out_com</t>
        </r>
        <r>
          <rPr>
            <sz val="9"/>
            <color indexed="81"/>
            <rFont val="Tahoma"/>
            <family val="2"/>
          </rPr>
          <t xml:space="preserve"> (#Total) row
Table naming convention should be </t>
        </r>
        <r>
          <rPr>
            <b/>
            <sz val="9"/>
            <color indexed="81"/>
            <rFont val="Tahoma"/>
            <family val="2"/>
          </rPr>
          <t>&lt;src_name&gt;_out</t>
        </r>
        <r>
          <rPr>
            <sz val="9"/>
            <color indexed="81"/>
            <rFont val="Tahoma"/>
            <family val="2"/>
          </rPr>
          <t xml:space="preserve"> (where &lt;src_name&gt; is the value defined in the row 1 of column "Name" in the config table
Names of the columns shouldnt be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962811A5-9934-4F66-9FA6-324D38C0BB3C}">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9BAB3B65-B0E8-401D-9526-2E318BFE9F62}">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8341726B-AA2D-459A-AA22-8A0013640A7D}">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D37" authorId="0" shapeId="0" xr:uid="{A3CC7BE0-7670-4A03-A22D-165E0D3F7C05}">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Sajal Gupta</author>
  </authors>
  <commentList>
    <comment ref="C37" authorId="0" shapeId="0" xr:uid="{FB5D5338-87E4-40CA-A94D-B6BE05A26458}">
      <text>
        <r>
          <rPr>
            <b/>
            <sz val="9"/>
            <color indexed="81"/>
            <rFont val="Tahoma"/>
            <family val="2"/>
          </rPr>
          <t>Sajal Gupta:</t>
        </r>
        <r>
          <rPr>
            <sz val="9"/>
            <color indexed="81"/>
            <rFont val="Tahoma"/>
            <family val="2"/>
          </rPr>
          <t xml:space="preserve">
System populate the currBatch no based on the batchSize specified in the config table during output feed processing
This can be used in the formula to construct batch-wise file names</t>
        </r>
      </text>
    </comment>
  </commentList>
</comments>
</file>

<file path=xl/sharedStrings.xml><?xml version="1.0" encoding="utf-8"?>
<sst xmlns="http://schemas.openxmlformats.org/spreadsheetml/2006/main" count="1600" uniqueCount="689">
  <si>
    <t>Name</t>
  </si>
  <si>
    <t>Delimiter</t>
  </si>
  <si>
    <t>Col1</t>
  </si>
  <si>
    <t>MBB</t>
  </si>
  <si>
    <t>header</t>
  </si>
  <si>
    <t>detail</t>
  </si>
  <si>
    <t>footer</t>
  </si>
  <si>
    <t>CIMB</t>
  </si>
  <si>
    <t>CIMB_det_out_com</t>
  </si>
  <si>
    <t>CIMB_out</t>
  </si>
  <si>
    <t>CIMB_det_in_com</t>
  </si>
  <si>
    <t>CIMB_det_in</t>
  </si>
  <si>
    <t>CIMB_hdr_out_com</t>
  </si>
  <si>
    <t>CIMB_ftr_out_com</t>
  </si>
  <si>
    <t>CIMB_hdr_in_com</t>
  </si>
  <si>
    <t>CIMB_ftr_in_com</t>
  </si>
  <si>
    <t>CIMB_ftr_in</t>
  </si>
  <si>
    <t>CIMB_hdr_in</t>
  </si>
  <si>
    <t>IL_out_expected</t>
  </si>
  <si>
    <t>IsPass</t>
  </si>
  <si>
    <t>MBB_out_expected</t>
  </si>
  <si>
    <t>CIMB_out_expected</t>
  </si>
  <si>
    <t>PolicyNo</t>
  </si>
  <si>
    <t>CardNo</t>
  </si>
  <si>
    <t>Source</t>
  </si>
  <si>
    <t>Count</t>
  </si>
  <si>
    <t>currBatch</t>
  </si>
  <si>
    <t>fileName</t>
  </si>
  <si>
    <t>BankCode</t>
  </si>
  <si>
    <t>Enabled</t>
  </si>
  <si>
    <t>Y</t>
  </si>
  <si>
    <t>ValidationCondition</t>
  </si>
  <si>
    <t>HdrIdentifier</t>
  </si>
  <si>
    <t>DetIdentifier</t>
  </si>
  <si>
    <t>FtrIdentifier</t>
  </si>
  <si>
    <t>BatchSize</t>
  </si>
  <si>
    <t>Batchsize</t>
  </si>
  <si>
    <t>Expiry</t>
  </si>
  <si>
    <t>Date</t>
  </si>
  <si>
    <t>CardNumber</t>
  </si>
  <si>
    <t>ExpiryDate</t>
  </si>
  <si>
    <t>Amount</t>
  </si>
  <si>
    <t>PolicyNumber</t>
  </si>
  <si>
    <t>CustomerName</t>
  </si>
  <si>
    <t>|</t>
  </si>
  <si>
    <t>H</t>
  </si>
  <si>
    <t>D</t>
  </si>
  <si>
    <t>T</t>
  </si>
  <si>
    <t>0820</t>
  </si>
  <si>
    <t>HCRETAPSR01A00000000XX00147617500000000000000111</t>
  </si>
  <si>
    <t>CardLength</t>
  </si>
  <si>
    <t>UserAccount</t>
  </si>
  <si>
    <t>Sum</t>
  </si>
  <si>
    <t>AmtDec</t>
  </si>
  <si>
    <t>RejectCode</t>
  </si>
  <si>
    <t>RejectReason</t>
  </si>
  <si>
    <t>HCRETAPSR01A       1  00147617500000000000000111240401</t>
  </si>
  <si>
    <t>T00100000000681000000000000000000</t>
  </si>
  <si>
    <t>AmtInt</t>
  </si>
  <si>
    <t>RejectDesc</t>
  </si>
  <si>
    <t>Desc 1</t>
  </si>
  <si>
    <t>Desc2</t>
  </si>
  <si>
    <t>Desc 3</t>
  </si>
  <si>
    <t>Desc 4</t>
  </si>
  <si>
    <t>NA</t>
  </si>
  <si>
    <t>MBB_CC_A00</t>
  </si>
  <si>
    <t>MBB_CC</t>
  </si>
  <si>
    <t>IL_CC</t>
  </si>
  <si>
    <t>MBB_CC_bank_config</t>
  </si>
  <si>
    <t>MBB_CC_det_in</t>
  </si>
  <si>
    <t>MBB_CC_hdr_in</t>
  </si>
  <si>
    <t>MBB_CC_ftr_in</t>
  </si>
  <si>
    <t>MBB_CC_det_in_com</t>
  </si>
  <si>
    <t>MBB_CC_hdr_in_com</t>
  </si>
  <si>
    <t>MBB_CC_ftr_in_com</t>
  </si>
  <si>
    <t>MBB_CC_det_out_com</t>
  </si>
  <si>
    <t>MBB_CC_hdr_out_com</t>
  </si>
  <si>
    <t>MBB_CC_ftr_out_com</t>
  </si>
  <si>
    <t>MBB_CC_out</t>
  </si>
  <si>
    <t>CIMB_CC</t>
  </si>
  <si>
    <t>IL_CC_src_config</t>
  </si>
  <si>
    <t>CIMB_CC_bank_config</t>
  </si>
  <si>
    <t>BIN</t>
  </si>
  <si>
    <t>Bank</t>
  </si>
  <si>
    <t>BankRoutingRule</t>
  </si>
  <si>
    <t>SrcRoutingRule</t>
  </si>
  <si>
    <t>IL_CC_det_in_com</t>
  </si>
  <si>
    <t>IL_CC_det_in</t>
  </si>
  <si>
    <t>IL_CC_det_out_com</t>
  </si>
  <si>
    <t>IL_CC_hdr_out_com</t>
  </si>
  <si>
    <t>IL_CC_ftr_out_com</t>
  </si>
  <si>
    <t>IL_CC_out</t>
  </si>
  <si>
    <t>SCB_CC_bank_config</t>
  </si>
  <si>
    <t>SCB_CC_det_in</t>
  </si>
  <si>
    <t>SCB_CC_hdr_in</t>
  </si>
  <si>
    <t>SCB_CC_ftr_in</t>
  </si>
  <si>
    <t>SCB_CC_det_in_com</t>
  </si>
  <si>
    <t>SCB_CC_hdr_in_com</t>
  </si>
  <si>
    <t>SCB_CC_ftr_in_com</t>
  </si>
  <si>
    <t>SCB_CC_det_out_com</t>
  </si>
  <si>
    <t>SCB_CC_out</t>
  </si>
  <si>
    <t>SCB_CC_ftr_out_com</t>
  </si>
  <si>
    <t>SCB_CC_hdr_out_com</t>
  </si>
  <si>
    <t>SCB_CC</t>
  </si>
  <si>
    <t>SCB</t>
  </si>
  <si>
    <t>R</t>
  </si>
  <si>
    <t xml:space="preserve">T092875520408895889254   0127000000003580004  95889254                                              </t>
  </si>
  <si>
    <t xml:space="preserve">R001000010000000035800                                                                              </t>
  </si>
  <si>
    <t xml:space="preserve">H092870170845Prudential-Takaful                                                                     </t>
  </si>
  <si>
    <t>HCRETAPSR01A       1  00192010278700000000000111240101</t>
  </si>
  <si>
    <t>D1           9588925316444444444444444401270000091800                 958892530101035001R03</t>
  </si>
  <si>
    <t>T00200000000736000010000000091800</t>
  </si>
  <si>
    <t>HCRETAPSR01A00000000XX00000115011128400000000111</t>
  </si>
  <si>
    <t>0712</t>
  </si>
  <si>
    <t>0812</t>
  </si>
  <si>
    <t>T0000010000000001025</t>
  </si>
  <si>
    <t xml:space="preserve">D1             1234567161234567812345670071200000010251234567                  </t>
  </si>
  <si>
    <t>RejectCodeMap</t>
  </si>
  <si>
    <t>IL_BankRejectCodeMap</t>
  </si>
  <si>
    <t xml:space="preserve">D1             9999999161234567812345670081200000011389999999                  </t>
  </si>
  <si>
    <t>THIS SHEET IS USED FOR TESTING OUT THE OUTPUT HEADER, DETAIL, FOOTER VALUES BY COMPARING THE GENERATED VALUES AND THE EXPECTED VALUES</t>
  </si>
  <si>
    <t>DefaultResponse</t>
  </si>
  <si>
    <t>Biro_DD_bank_config</t>
  </si>
  <si>
    <t>BiroAngkasa</t>
  </si>
  <si>
    <t>0;1</t>
  </si>
  <si>
    <t>Col2</t>
  </si>
  <si>
    <t>Biro_DD_det_in</t>
  </si>
  <si>
    <t>Biro_DD</t>
  </si>
  <si>
    <t>Biro_DD_det_in_com</t>
  </si>
  <si>
    <t>EmpNo</t>
  </si>
  <si>
    <t>NewICNo</t>
  </si>
  <si>
    <t>OldICNo</t>
  </si>
  <si>
    <t>Deduperiod</t>
  </si>
  <si>
    <t>IL_Biro_src_config</t>
  </si>
  <si>
    <t>IL_Biro</t>
  </si>
  <si>
    <t>IL_Biro_out</t>
  </si>
  <si>
    <t>IL_Biro_hdr_out_com</t>
  </si>
  <si>
    <t>IL_Biro_det_out_com</t>
  </si>
  <si>
    <t>BankRespCode</t>
  </si>
  <si>
    <t>CardIssueBank</t>
  </si>
  <si>
    <t>CardFactoringHouse</t>
  </si>
  <si>
    <t>GenDate</t>
  </si>
  <si>
    <t>XXXXXXXXXXXXXXX</t>
  </si>
  <si>
    <t>trrnno</t>
  </si>
  <si>
    <t>TransNumber</t>
  </si>
  <si>
    <t>SeqNumber</t>
  </si>
  <si>
    <t>ExpenseDate</t>
  </si>
  <si>
    <t>0010</t>
  </si>
  <si>
    <t>23455</t>
  </si>
  <si>
    <t>2333222222222</t>
  </si>
  <si>
    <t>FactoringHouse</t>
  </si>
  <si>
    <t>1234567812345670</t>
  </si>
  <si>
    <t>RoutingRule</t>
  </si>
  <si>
    <t>MBB_DD_out</t>
  </si>
  <si>
    <t>HashTotal</t>
  </si>
  <si>
    <t>MBB_DD_ftr_out_com</t>
  </si>
  <si>
    <t>DDMMYY</t>
  </si>
  <si>
    <t>PRUDENT</t>
  </si>
  <si>
    <t>OriginatorId</t>
  </si>
  <si>
    <t>BillingDate</t>
  </si>
  <si>
    <t>MBB_DD_hdr_out_com</t>
  </si>
  <si>
    <t>CustomerId</t>
  </si>
  <si>
    <t>PayorName</t>
  </si>
  <si>
    <t>MBB_DD_det_out_com</t>
  </si>
  <si>
    <t>MBB_DD_ftr_in_com</t>
  </si>
  <si>
    <t>DebitingDate</t>
  </si>
  <si>
    <t>OriginatorName</t>
  </si>
  <si>
    <t>MBB_DD_hdr_in_com</t>
  </si>
  <si>
    <t>ID</t>
  </si>
  <si>
    <t>MBB_DD_det_in_com</t>
  </si>
  <si>
    <t>FF000000015050000244711764000073776268                                         3</t>
  </si>
  <si>
    <t>MBB_DD_ftr_in</t>
  </si>
  <si>
    <t>MBBREJPRUBSNTB     28021802167                                                 1</t>
  </si>
  <si>
    <t>MBB_DD_hdr_in</t>
  </si>
  <si>
    <t xml:space="preserve">000010841209490000000111000201260495827465      SITI KHADIJAH BINTI 40027      2                                                                                                                       </t>
  </si>
  <si>
    <t>MBB_DD_det_in</t>
  </si>
  <si>
    <t>IL_DD</t>
  </si>
  <si>
    <t>MBB_DD</t>
  </si>
  <si>
    <t>MBB_DD_bank_config</t>
  </si>
  <si>
    <t>10111801</t>
  </si>
  <si>
    <t>BatchNumber</t>
  </si>
  <si>
    <t>Predue</t>
  </si>
  <si>
    <t>SecurityCode</t>
  </si>
  <si>
    <t>OrgName</t>
  </si>
  <si>
    <t>OrgCode</t>
  </si>
  <si>
    <t>DDMMYYSS</t>
  </si>
  <si>
    <t>AccountNumber</t>
  </si>
  <si>
    <t>CustomerID</t>
  </si>
  <si>
    <t>TotRejAmt</t>
  </si>
  <si>
    <t>TotRejRec</t>
  </si>
  <si>
    <t>TotDedAmt</t>
  </si>
  <si>
    <t>TotDedRec</t>
  </si>
  <si>
    <t>BankReferenceCode</t>
  </si>
  <si>
    <t xml:space="preserve">0328011801004837000000076264474001539000000024323279003298000000051941195697255332941014                                                                                                                </t>
  </si>
  <si>
    <t xml:space="preserve">01280118012048PRUDENTIAL                              280120181930217211                                                                                                                                </t>
  </si>
  <si>
    <t xml:space="preserve">022801180195004363                      790416085263    SYED IBRAHIM BIN SYED YUSOF             1242006277252000000000032481473992204804                                                                </t>
  </si>
  <si>
    <t>CIMB_DD</t>
  </si>
  <si>
    <t>CIMB_DD_bank_config</t>
  </si>
  <si>
    <t>SCB_DD_out</t>
  </si>
  <si>
    <t>SCB_DD_ftr_out_com</t>
  </si>
  <si>
    <t>SCB_DD_hdr_out_com</t>
  </si>
  <si>
    <t>SCB_DD_det_out_com</t>
  </si>
  <si>
    <t>TotAmt</t>
  </si>
  <si>
    <t>SCB_DD_ftr_in_com</t>
  </si>
  <si>
    <t>SCB_DD_hdr_in_com</t>
  </si>
  <si>
    <t>SCB_DD_det_in_com</t>
  </si>
  <si>
    <t>SCB_DD_ftr_in</t>
  </si>
  <si>
    <t>SCB_DD_hdr_in</t>
  </si>
  <si>
    <t>SCB_DD_det_in</t>
  </si>
  <si>
    <t>SCB_DD</t>
  </si>
  <si>
    <t>SCB_DD_bank_config</t>
  </si>
  <si>
    <t>Out Detail to be done due to some of the fields are not available.</t>
  </si>
  <si>
    <t>RHB_DD_out</t>
  </si>
  <si>
    <t>DDMMYYYY</t>
  </si>
  <si>
    <t>Hashtotal</t>
  </si>
  <si>
    <t>CompanyAccount</t>
  </si>
  <si>
    <t>Branch</t>
  </si>
  <si>
    <t>BillingCode</t>
  </si>
  <si>
    <t>RHB_DD_ftr_out_com</t>
  </si>
  <si>
    <t>740651-H</t>
  </si>
  <si>
    <t>asdsdsd</t>
  </si>
  <si>
    <t>BusRegNum</t>
  </si>
  <si>
    <t>RHB_DD_hdr_out_com</t>
  </si>
  <si>
    <t>SystemDate</t>
  </si>
  <si>
    <t>AccountId</t>
  </si>
  <si>
    <t>RHB_DD_det_out_com</t>
  </si>
  <si>
    <t>RejAmt</t>
  </si>
  <si>
    <t>RejRec</t>
  </si>
  <si>
    <t>SucAmt</t>
  </si>
  <si>
    <t>SucRecords</t>
  </si>
  <si>
    <t>RHB_DD_ftr_in_com</t>
  </si>
  <si>
    <t>MedicalInd</t>
  </si>
  <si>
    <t>ComRegNum</t>
  </si>
  <si>
    <t>RHB_DD_hdr_in_com</t>
  </si>
  <si>
    <t>RHB_DD_det_in_com</t>
  </si>
  <si>
    <t xml:space="preserve">3110201700038061001926413300017675                0000000094413850000000006080041475900855936000000000000000000000000168000000002431561000000000440000000007009824000000000000000                                                                                                                                                                                                                               </t>
  </si>
  <si>
    <t>RHB_DD_ftr_in</t>
  </si>
  <si>
    <t xml:space="preserve">3110201700038061001026413300017675                Prudential BSN                     740651-H    D                                                                                                                                                                                                                                                                                                              </t>
  </si>
  <si>
    <t>RHB_DD_hdr_in</t>
  </si>
  <si>
    <t xml:space="preserve">3110201700038061001110801600529552                ADIBATUN NAILAH BINTI MOHAMAD SHITH65053108544000000000001200095534607            RJP15     000000000000000000000000000000       000000000000000                                                                                                                    000000000000000                    000000                                                 </t>
  </si>
  <si>
    <t>RHB_DD_det_in</t>
  </si>
  <si>
    <t>RHB</t>
  </si>
  <si>
    <t>RHB_DD</t>
  </si>
  <si>
    <t>RHB_DD_bank_config</t>
  </si>
  <si>
    <t>PBB_DD_out</t>
  </si>
  <si>
    <t>PBB_DD_ftr_out_com</t>
  </si>
  <si>
    <t>YYYYMMDD</t>
  </si>
  <si>
    <t>PRBDEBIT</t>
  </si>
  <si>
    <t>3991921710</t>
  </si>
  <si>
    <t>0001</t>
  </si>
  <si>
    <t>SystemDate2</t>
  </si>
  <si>
    <t>Type</t>
  </si>
  <si>
    <t>OriAccount</t>
  </si>
  <si>
    <t>SegmentNumber</t>
  </si>
  <si>
    <t>PBB_DD_hdr_out_com</t>
  </si>
  <si>
    <t>PBB_DD_det_out_com</t>
  </si>
  <si>
    <t>DedAmt</t>
  </si>
  <si>
    <t>DedRec</t>
  </si>
  <si>
    <t>PBB_DD_ftr_in_com</t>
  </si>
  <si>
    <t>FileDesc</t>
  </si>
  <si>
    <t>TransactionDate</t>
  </si>
  <si>
    <t>ReceiverId</t>
  </si>
  <si>
    <t>SenderId</t>
  </si>
  <si>
    <t>FileIndicator</t>
  </si>
  <si>
    <t>PBB_DD_hdr_in_com</t>
  </si>
  <si>
    <t>PBB_DD_det_in_com</t>
  </si>
  <si>
    <t xml:space="preserve">FT001250000235525900482000077472760060700010102535000000003018147                                   </t>
  </si>
  <si>
    <t>PBB_DD_ftr_in</t>
  </si>
  <si>
    <t xml:space="preserve">FH0001PBB       399192171020180228PRBDEBIT            20180228                                      </t>
  </si>
  <si>
    <t>PBB_DD_hdr_in</t>
  </si>
  <si>
    <t xml:space="preserve">DT4467717911          00000000000203942018022895001114            02000000000028305                 </t>
  </si>
  <si>
    <t>PBB_DD_det_in</t>
  </si>
  <si>
    <t>PBB</t>
  </si>
  <si>
    <t>PBB_DD</t>
  </si>
  <si>
    <t>PBB_DD_bank_config</t>
  </si>
  <si>
    <t>IL_DD_out</t>
  </si>
  <si>
    <t>IL_DD_ftr_out_com</t>
  </si>
  <si>
    <t>MBB_DD_A01</t>
  </si>
  <si>
    <t>MBB_DD_A00</t>
  </si>
  <si>
    <t>IL_DD_hdr_out_com</t>
  </si>
  <si>
    <t>A01</t>
  </si>
  <si>
    <t>PayorBankCode</t>
  </si>
  <si>
    <t>IL_DD_det_out_com</t>
  </si>
  <si>
    <t>PayorNewICNum</t>
  </si>
  <si>
    <t>IL_DD_det_in_com</t>
  </si>
  <si>
    <t>123232132123</t>
  </si>
  <si>
    <t>14/10/2018</t>
  </si>
  <si>
    <t>PayorOldICNum</t>
  </si>
  <si>
    <t>IL_DD_det_in</t>
  </si>
  <si>
    <t>IL_DD_src_config</t>
  </si>
  <si>
    <t>IL_EBank_out</t>
  </si>
  <si>
    <t>IL_EBank_hdr_out_com</t>
  </si>
  <si>
    <t>IL_EBank_det_out_com</t>
  </si>
  <si>
    <t>EBank_DD</t>
  </si>
  <si>
    <t>IL_Ebank</t>
  </si>
  <si>
    <t>IL_EBank_src_config</t>
  </si>
  <si>
    <t>TotRec</t>
  </si>
  <si>
    <t>PayeeCode</t>
  </si>
  <si>
    <t>MBB_Ebank_ftr_in_com</t>
  </si>
  <si>
    <t>1IX0000896000001922455000209297                                                                                                                                                                        9</t>
  </si>
  <si>
    <t>MBB_Ebank_ftr_in</t>
  </si>
  <si>
    <t>PaymentDate</t>
  </si>
  <si>
    <t>Institution</t>
  </si>
  <si>
    <t>PayDate</t>
  </si>
  <si>
    <t>PayeeName</t>
  </si>
  <si>
    <t>MBB_Ebank_hdr_in_com</t>
  </si>
  <si>
    <t>1IXPRUDENTIAL BSN TAKAFUL BHD    20032018MAYBANK                                                                                                                                                       0</t>
  </si>
  <si>
    <t>MBB_Ebank_hdr_in</t>
  </si>
  <si>
    <t>ProcessDate</t>
  </si>
  <si>
    <t>OtherRefNum</t>
  </si>
  <si>
    <t>ICNumber</t>
  </si>
  <si>
    <t>Payeecode</t>
  </si>
  <si>
    <t>MBB_Ebank_det_in_com</t>
  </si>
  <si>
    <t>1IXBADRUL HISHAM MERICAN BIN7201110754310000001500010562790                                                                                                                                    210320181</t>
  </si>
  <si>
    <t>MBB_Ebank_det_in</t>
  </si>
  <si>
    <t>Ebank-MBB</t>
  </si>
  <si>
    <t>MBB_Ebank_bank_config</t>
  </si>
  <si>
    <t>CIMB_Ebank_ftr_in_com</t>
  </si>
  <si>
    <t xml:space="preserve">03500003460000066590.4001499386                                                                                                                                                                         </t>
  </si>
  <si>
    <t>CIMB_Ebank_ftr_in</t>
  </si>
  <si>
    <t>CIMB_Ebank_hdr_in_com</t>
  </si>
  <si>
    <t xml:space="preserve">035Prudential-BSN Takaful Berhad 20032018CIMB                                                                                                                                                           </t>
  </si>
  <si>
    <t>CIMB_Ebank_hdr_in</t>
  </si>
  <si>
    <t>CIMB_Ebank_det_in_com</t>
  </si>
  <si>
    <t xml:space="preserve">035azmi bin said            96165605000000000190.000197554050         03        00000000000000000000008020686400000000000000000000000000000000000000000000000000000000000000000000000000000000000000000 </t>
  </si>
  <si>
    <t>CIMB_Ebank_det_in</t>
  </si>
  <si>
    <t>Ebank_CIMB</t>
  </si>
  <si>
    <t>CIMB_Ebank_bank_config</t>
  </si>
  <si>
    <t>TotalRecs</t>
  </si>
  <si>
    <t>TotalUnsuccess</t>
  </si>
  <si>
    <t>TotalSucess</t>
  </si>
  <si>
    <t>SeqNo</t>
  </si>
  <si>
    <t>TxnCode</t>
  </si>
  <si>
    <t>TxnDate</t>
  </si>
  <si>
    <t>BSN_Ebank_ftr_in_com</t>
  </si>
  <si>
    <t xml:space="preserve">A420450020180320999999999999000000194000000003568641000000000000000                                                     </t>
  </si>
  <si>
    <t>BSN_Ebank_ftr_in</t>
  </si>
  <si>
    <t>BSN_Ebank_hdr_in_com</t>
  </si>
  <si>
    <t xml:space="preserve">A4204500201803200000000000001410041000068913                                                                            </t>
  </si>
  <si>
    <t>BSN_Ebank_hdr_in</t>
  </si>
  <si>
    <t>BSN_Ebank_det_in_com</t>
  </si>
  <si>
    <t xml:space="preserve">A4204500201803202160000000130135299567          640611085636000000000015000000000000000000   J247                       </t>
  </si>
  <si>
    <t>BSN_Ebank_det_in</t>
  </si>
  <si>
    <t>BSN</t>
  </si>
  <si>
    <t>Ebank_BSN</t>
  </si>
  <si>
    <t>BSN_Ebank_bank_config</t>
  </si>
  <si>
    <t>TrailerId</t>
  </si>
  <si>
    <t>AFFIN_Ebank_ftr_in_com</t>
  </si>
  <si>
    <t>0270000006000000015650000001714                                                                                                                                                                        9</t>
  </si>
  <si>
    <t>AFFIN_Ebank_ftr_in</t>
  </si>
  <si>
    <t>AFFIN_Ebank_hdr_in_com</t>
  </si>
  <si>
    <t>027PRUDENTIAL BSN TAKAFUL BHD    21032018AFFINBA                                                                                                                                                       0</t>
  </si>
  <si>
    <t>AFFIN_Ebank_hdr_in</t>
  </si>
  <si>
    <t>DetailId</t>
  </si>
  <si>
    <t>AFFIN_Ebank_det_in_com</t>
  </si>
  <si>
    <t>027NORAINI BINTI ISMAIL     7007301057340000003200095338908       867281                                                                                                                       200320181</t>
  </si>
  <si>
    <t>AFFIN_Ebank_det_in</t>
  </si>
  <si>
    <t>AFFIN</t>
  </si>
  <si>
    <t>Ebank_Affin</t>
  </si>
  <si>
    <t>AFFIN_Ebank_bank_config</t>
  </si>
  <si>
    <t>3090000004000000010215900001096                                                                                                                                                                        9</t>
  </si>
  <si>
    <t>309PRUDENTIAL BSN TAKAFUL BHD    27022018BKRMB                                                                                                                                                         0</t>
  </si>
  <si>
    <t>309MOHD SA***ON BIN MAZLAN  130330100596**0000120000133572622                                                                                                                                  270220181</t>
  </si>
  <si>
    <t>Rakyat</t>
  </si>
  <si>
    <t>Ebank_Rakyat</t>
  </si>
  <si>
    <t>RAK_Ebank_ftr_in_com</t>
  </si>
  <si>
    <t>RAK_Ebank_ftr_in</t>
  </si>
  <si>
    <t>TotalRec</t>
  </si>
  <si>
    <t>RAK_Ebank_hdr_in_com</t>
  </si>
  <si>
    <t>8581503201800000000014   3201.00</t>
  </si>
  <si>
    <t>RAK_Ebank_hdr_in</t>
  </si>
  <si>
    <t>DocNo</t>
  </si>
  <si>
    <t>BillType</t>
  </si>
  <si>
    <t>ICNo</t>
  </si>
  <si>
    <t>BillRef3</t>
  </si>
  <si>
    <t>BillRef2</t>
  </si>
  <si>
    <t>BillRef1</t>
  </si>
  <si>
    <t>RAK_Ebank_det_in_com</t>
  </si>
  <si>
    <t>1503201896091***            MOHD FARID ABD HAMID0193678518          881227025177 ENCIK MOHD FARID BIN ABD HAMID              195.0001        EFO1005</t>
  </si>
  <si>
    <t>RAK_Ebank_det_in</t>
  </si>
  <si>
    <t>BIMB</t>
  </si>
  <si>
    <t>Ebank_BIMB</t>
  </si>
  <si>
    <t>RAK_Ebank_bank_config</t>
  </si>
  <si>
    <t>PayorBankAcctNo</t>
  </si>
  <si>
    <t>CompanyAcctNo</t>
  </si>
  <si>
    <t>123J933</t>
  </si>
  <si>
    <t>MBBj</t>
  </si>
  <si>
    <t>Jajsj3</t>
  </si>
  <si>
    <t>CWSBatch</t>
  </si>
  <si>
    <t>EBSWBatch</t>
  </si>
  <si>
    <t>Kalai</t>
  </si>
  <si>
    <t>Achcod</t>
  </si>
  <si>
    <t>ValueDate</t>
  </si>
  <si>
    <t>BranchCode</t>
  </si>
  <si>
    <t>EndDate</t>
  </si>
  <si>
    <t>StartDate</t>
  </si>
  <si>
    <t>RejectedReason</t>
  </si>
  <si>
    <t>ReturnDate</t>
  </si>
  <si>
    <t>CorporationId</t>
  </si>
  <si>
    <t xml:space="preserve">T002076                                                                                                                                                                                                                                                                                                                                                                               </t>
  </si>
  <si>
    <t xml:space="preserve">H1001201810012018                                                                                                                                                                                                                                                                                                                                                                     </t>
  </si>
  <si>
    <t xml:space="preserve">D        OIGMY20318A00275    000002BIMB  000  14171020002821                     LUQMAN BIN HAJI ABDU                                                                                00000000000000011259000095001195            10012018SCBLMYKXXXX312157158304                       000002                                            10012018Withdrawal Limit exceeded             </t>
  </si>
  <si>
    <t>1234567890123</t>
  </si>
  <si>
    <t>010</t>
  </si>
  <si>
    <t>afasdsad</t>
  </si>
  <si>
    <t>HHSSGGSGSg</t>
  </si>
  <si>
    <t>RecordType</t>
  </si>
  <si>
    <t>UsrAcc</t>
  </si>
  <si>
    <t>887 1203201800000013062223551124BILLING             BILL12032018053507            PAYMENT             PAY12032018142312</t>
  </si>
  <si>
    <t>12032018B100000887          95000914                                00002077904        00</t>
  </si>
  <si>
    <t>BSN_DD_out</t>
  </si>
  <si>
    <t>ABCDE</t>
  </si>
  <si>
    <t>TransCode</t>
  </si>
  <si>
    <t>OriCode</t>
  </si>
  <si>
    <t>BSN_DD_ftr_out_com</t>
  </si>
  <si>
    <t>142542626262</t>
  </si>
  <si>
    <t>12345678</t>
  </si>
  <si>
    <t>OriAcct</t>
  </si>
  <si>
    <t>BSN_DD_hdr_out_com</t>
  </si>
  <si>
    <t>OldCustId</t>
  </si>
  <si>
    <t>NewCustId</t>
  </si>
  <si>
    <t>BSN_DD_det_out_com</t>
  </si>
  <si>
    <t>BSN_DD_ftr_in_com</t>
  </si>
  <si>
    <t>BSN_DD_hdr_in_com</t>
  </si>
  <si>
    <t>PayorBankAcctId</t>
  </si>
  <si>
    <t>DeductionCode</t>
  </si>
  <si>
    <t>BSN_DD_det_in_com</t>
  </si>
  <si>
    <t xml:space="preserve">M601960020180316297559999999000004527000000007147923000000057161215                                                     </t>
  </si>
  <si>
    <t>BSN_DD_ftr_in</t>
  </si>
  <si>
    <t xml:space="preserve">M6019600201803162975500000001410041000068913                                                                            </t>
  </si>
  <si>
    <t>BSN_DD_hdr_in</t>
  </si>
  <si>
    <t xml:space="preserve">M60196002018031629755000000195043982                        000000000021585000000000000000   M1000310129862754793       </t>
  </si>
  <si>
    <t>BSN_DD_det_in</t>
  </si>
  <si>
    <t>BSN_DD</t>
  </si>
  <si>
    <t>BSN_DD_bank_config</t>
  </si>
  <si>
    <t>BIMB_DD_ftr_out_com</t>
  </si>
  <si>
    <t>BIMB_DD_out</t>
  </si>
  <si>
    <t>BIMB_DD_bank_config</t>
  </si>
  <si>
    <t>BIMB_DD</t>
  </si>
  <si>
    <t>BIMB_DD_det_in</t>
  </si>
  <si>
    <t>BIMB_DD_hdr_in</t>
  </si>
  <si>
    <t>BIMB_DD_ftr_in</t>
  </si>
  <si>
    <t>BIMB_DD_det_in_com</t>
  </si>
  <si>
    <t>BIMB_DD_hdr_in_com</t>
  </si>
  <si>
    <t>BIMB_DD_det_out_com</t>
  </si>
  <si>
    <t>BIMB_DD_ftr_in_com</t>
  </si>
  <si>
    <t>BIMB_Ebank_bank_config</t>
  </si>
  <si>
    <t>BIMB_Ebank_det_in</t>
  </si>
  <si>
    <t>BIMB_Ebank_det_in_com</t>
  </si>
  <si>
    <t>BIMB_Ebank_hdr_in</t>
  </si>
  <si>
    <t>BIMB_Ebank_hdr_in_com</t>
  </si>
  <si>
    <t>BIMB_Ebank_ftr_in</t>
  </si>
  <si>
    <t>BIMB_Ebank_ftr_in_com</t>
  </si>
  <si>
    <t xml:space="preserve">0C831111012332WL51020005463    201807000000343000034300JPM1110717011324454322AK486731C5221          </t>
  </si>
  <si>
    <t xml:space="preserve">1C831111012332WL51020005463    201807050100343000034300BNC SHOBA K                                  </t>
  </si>
  <si>
    <t>BIMB_DD_hdr_out_com</t>
  </si>
  <si>
    <t>AmountInt</t>
  </si>
  <si>
    <t>AmountDec</t>
  </si>
  <si>
    <t>AmountINt</t>
  </si>
  <si>
    <t>TapNumber</t>
  </si>
  <si>
    <t>0219</t>
  </si>
  <si>
    <t>M1</t>
  </si>
  <si>
    <t>MBB1</t>
  </si>
  <si>
    <t>RejectRecordCount</t>
  </si>
  <si>
    <t>M2</t>
  </si>
  <si>
    <t>M3</t>
  </si>
  <si>
    <t>MBB_CC_R01</t>
  </si>
  <si>
    <t>D1           1234568316123456781231007609200000400760       12345683          0401071219A00</t>
  </si>
  <si>
    <t>MBB_CC_R02</t>
  </si>
  <si>
    <t>MBB_CC_R03</t>
  </si>
  <si>
    <t>MBB_CC_R04</t>
  </si>
  <si>
    <t>MBB_CC_R05</t>
  </si>
  <si>
    <t>MBB_CC_R06</t>
  </si>
  <si>
    <t>MBB_CC_R07</t>
  </si>
  <si>
    <t>MBB_CC_R08</t>
  </si>
  <si>
    <t>MBB_CC_R09</t>
  </si>
  <si>
    <t>MBB_CC_R10</t>
  </si>
  <si>
    <t>MBB_CC_R11</t>
  </si>
  <si>
    <t>MBB_CC_R12</t>
  </si>
  <si>
    <t>MBB_CC_R13</t>
  </si>
  <si>
    <t>MBB_CC_R14</t>
  </si>
  <si>
    <t>MBB_CC_R15</t>
  </si>
  <si>
    <t>MBB_CC_R16</t>
  </si>
  <si>
    <t>MBB_CC_R17</t>
  </si>
  <si>
    <t>MBB_CC_R18</t>
  </si>
  <si>
    <t>MBB_CC_R19</t>
  </si>
  <si>
    <t>MBB_CC_R20</t>
  </si>
  <si>
    <t>MBB_CC_R21</t>
  </si>
  <si>
    <t>MBB_CC_R22</t>
  </si>
  <si>
    <t>MBB_CC_R23</t>
  </si>
  <si>
    <t>MBB_CC_R24</t>
  </si>
  <si>
    <t>MBB_CC_R25</t>
  </si>
  <si>
    <t>MBB_CC_R26</t>
  </si>
  <si>
    <t>MBB_CC_R27</t>
  </si>
  <si>
    <t>MBB_CC_R28</t>
  </si>
  <si>
    <t>MBB_CC_R29</t>
  </si>
  <si>
    <t>MBB_CC_R30</t>
  </si>
  <si>
    <t>MBB_CC_R31</t>
  </si>
  <si>
    <t>MBB_CC_R32</t>
  </si>
  <si>
    <t>MBB_CC_R33</t>
  </si>
  <si>
    <t>MBB_CC_R34</t>
  </si>
  <si>
    <t>MBB_CC_R35</t>
  </si>
  <si>
    <t>MBB_CC_R36</t>
  </si>
  <si>
    <t>MBB_CC_R37</t>
  </si>
  <si>
    <t>MBB_CC_R39</t>
  </si>
  <si>
    <t>MBB_CC_R40</t>
  </si>
  <si>
    <t>MBB_CC_R41</t>
  </si>
  <si>
    <t>MBB_CC_R42</t>
  </si>
  <si>
    <t>MBB_CC_R43</t>
  </si>
  <si>
    <t>MBB_CC_R44</t>
  </si>
  <si>
    <t>MBB_CC_R51</t>
  </si>
  <si>
    <t>MBB_CC_R52</t>
  </si>
  <si>
    <t>MBB_CC_R54</t>
  </si>
  <si>
    <t>MBB_CC_R56</t>
  </si>
  <si>
    <t>MBB_CC_R57</t>
  </si>
  <si>
    <t>MBB_CC_R58</t>
  </si>
  <si>
    <t>MBB_CC_R59</t>
  </si>
  <si>
    <t>MBB_CC_R60</t>
  </si>
  <si>
    <t>MBB_CC_R61</t>
  </si>
  <si>
    <t>MBB_CC_R62</t>
  </si>
  <si>
    <t>MBB_CC_R63</t>
  </si>
  <si>
    <t>MBB_CC_R64</t>
  </si>
  <si>
    <t>MBB_CC_R65</t>
  </si>
  <si>
    <t>MBB_CC_R66</t>
  </si>
  <si>
    <t>MBB_CC_R68</t>
  </si>
  <si>
    <t>MBB_CC_R76</t>
  </si>
  <si>
    <t>MBB_CC_R77</t>
  </si>
  <si>
    <t>MBB_CC_R80</t>
  </si>
  <si>
    <t>MBB_CC_R84</t>
  </si>
  <si>
    <t>MBB_CC_R85</t>
  </si>
  <si>
    <t>MBB_CC_R88</t>
  </si>
  <si>
    <t>MBB_CC_R89</t>
  </si>
  <si>
    <t>MBB_CC_R90</t>
  </si>
  <si>
    <t>MBB_CC_R91</t>
  </si>
  <si>
    <t>MBB_CC_R92</t>
  </si>
  <si>
    <t>MBB_CC_R93</t>
  </si>
  <si>
    <t>MBB_CC_R94</t>
  </si>
  <si>
    <t>MBB_CC_R95</t>
  </si>
  <si>
    <t>MBB_CC_R96</t>
  </si>
  <si>
    <t>MBB_CC_RXA</t>
  </si>
  <si>
    <t>MBB_CC_RXD</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</si>
  <si>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</si>
  <si>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</si>
  <si>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</si>
  <si>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</si>
  <si>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</si>
  <si>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</si>
  <si>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</si>
  <si>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</si>
  <si>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</si>
  <si>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</si>
  <si>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</si>
  <si>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</si>
  <si>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</si>
  <si>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</si>
  <si>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</si>
  <si>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</si>
  <si>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</si>
  <si>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</si>
  <si>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</si>
  <si>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</si>
  <si>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</si>
  <si>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</si>
  <si>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</si>
  <si>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</si>
  <si>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</si>
  <si>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</si>
  <si>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</si>
  <si>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</si>
  <si>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</si>
  <si>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</si>
  <si>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</si>
  <si>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</si>
  <si>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</si>
  <si>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</si>
  <si>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</si>
  <si>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</si>
  <si>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</si>
  <si>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</si>
  <si>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39</t>
  </si>
  <si>
    <t>40</t>
  </si>
  <si>
    <t>41</t>
  </si>
  <si>
    <t>42</t>
  </si>
  <si>
    <t>43</t>
  </si>
  <si>
    <t>44</t>
  </si>
  <si>
    <t>51</t>
  </si>
  <si>
    <t>52</t>
  </si>
  <si>
    <t>54</t>
  </si>
  <si>
    <t>56</t>
  </si>
  <si>
    <t>57</t>
  </si>
  <si>
    <t>58</t>
  </si>
  <si>
    <t>59</t>
  </si>
  <si>
    <t>60</t>
  </si>
  <si>
    <t>61</t>
  </si>
  <si>
    <t>62</t>
  </si>
  <si>
    <t>63</t>
  </si>
  <si>
    <t>64</t>
  </si>
  <si>
    <t>65</t>
  </si>
  <si>
    <t>66</t>
  </si>
  <si>
    <t>68</t>
  </si>
  <si>
    <t>76</t>
  </si>
  <si>
    <t>77</t>
  </si>
  <si>
    <t>80</t>
  </si>
  <si>
    <t>84</t>
  </si>
  <si>
    <t>85</t>
  </si>
  <si>
    <t>88</t>
  </si>
  <si>
    <t>89</t>
  </si>
  <si>
    <t>90</t>
  </si>
  <si>
    <t>91</t>
  </si>
  <si>
    <t>92</t>
  </si>
  <si>
    <t>93</t>
  </si>
  <si>
    <t>94</t>
  </si>
  <si>
    <t>95</t>
  </si>
  <si>
    <t>96</t>
  </si>
  <si>
    <t>A</t>
  </si>
  <si>
    <t>XA</t>
  </si>
  <si>
    <t>XD</t>
  </si>
  <si>
    <t>Approved</t>
  </si>
  <si>
    <t>Refer to issuer</t>
  </si>
  <si>
    <t>Refer to issuer (special)</t>
  </si>
  <si>
    <t>Invalid merchant</t>
  </si>
  <si>
    <t>Pick-up card</t>
  </si>
  <si>
    <t>Do not honor</t>
  </si>
  <si>
    <t>Error</t>
  </si>
  <si>
    <t>Pick-up card (special)</t>
  </si>
  <si>
    <t>Honor with identification</t>
  </si>
  <si>
    <t>Request in progress</t>
  </si>
  <si>
    <t>Approved for partial amount</t>
  </si>
  <si>
    <t>VIP approval</t>
  </si>
  <si>
    <t>Invalid transaction</t>
  </si>
  <si>
    <t>Invalid amount</t>
  </si>
  <si>
    <t>Card number does not exist</t>
  </si>
  <si>
    <t>No such issuer</t>
  </si>
  <si>
    <t>Approved, update track 3</t>
  </si>
  <si>
    <t>Customer cancellation</t>
  </si>
  <si>
    <t>Customer dispute</t>
  </si>
  <si>
    <t>Re-enter transaction</t>
  </si>
  <si>
    <t>Invalid response</t>
  </si>
  <si>
    <t>Mo action taken (no match)</t>
  </si>
  <si>
    <t>Suspected malfunction</t>
  </si>
  <si>
    <t>Unacceptable transaction fee</t>
  </si>
  <si>
    <t>File update not supported by receive</t>
  </si>
  <si>
    <t>Unable to locate record</t>
  </si>
  <si>
    <t>Duplicate file update record</t>
  </si>
  <si>
    <t>File update field edit error</t>
  </si>
  <si>
    <t>File temporarily unavailable</t>
  </si>
  <si>
    <t>File update not successful</t>
  </si>
  <si>
    <t>Format error</t>
  </si>
  <si>
    <t>Issuer sign-off</t>
  </si>
  <si>
    <t>Completed partially</t>
  </si>
  <si>
    <t>Expired card</t>
  </si>
  <si>
    <t>Suspected fraud</t>
  </si>
  <si>
    <t>Card acceptor contact acquirer</t>
  </si>
  <si>
    <t>Restricted card</t>
  </si>
  <si>
    <t>Card acceptor call acquirer</t>
  </si>
  <si>
    <t>No credit account</t>
  </si>
  <si>
    <t>Function not supported</t>
  </si>
  <si>
    <t>Pick-up card (lost card)</t>
  </si>
  <si>
    <t>No universal account</t>
  </si>
  <si>
    <t>Pick-up card (stolen card)</t>
  </si>
  <si>
    <t>No investment account</t>
  </si>
  <si>
    <t>Not sufficient funds</t>
  </si>
  <si>
    <t>No checking account</t>
  </si>
  <si>
    <t>No card record</t>
  </si>
  <si>
    <t>Transaction nor permitted to card</t>
  </si>
  <si>
    <t>Transaction not permitted to card</t>
  </si>
  <si>
    <t>Exceeds withdrawal limit</t>
  </si>
  <si>
    <t>Security violation</t>
  </si>
  <si>
    <t>Original amount incorrect</t>
  </si>
  <si>
    <t>Activity count exceeded</t>
  </si>
  <si>
    <t>Response received too late</t>
  </si>
  <si>
    <t>Previous message not found</t>
  </si>
  <si>
    <t>Data does not match original message</t>
  </si>
  <si>
    <t>Invalid date</t>
  </si>
  <si>
    <t>Invalid authorization life cycle</t>
  </si>
  <si>
    <t>No reason to decline</t>
  </si>
  <si>
    <t>Cryptographic failure</t>
  </si>
  <si>
    <t>Authentication failure</t>
  </si>
  <si>
    <t>Cutoff is in process</t>
  </si>
  <si>
    <t>Issuer or switch inoperative</t>
  </si>
  <si>
    <t>No routing path</t>
  </si>
  <si>
    <t>Violation of law</t>
  </si>
  <si>
    <t>Duplicate transmission</t>
  </si>
  <si>
    <t>Reconcile error</t>
  </si>
  <si>
    <t>System malfunction</t>
  </si>
  <si>
    <t>XA Forward to issuer</t>
  </si>
  <si>
    <t>XD Forward to issuer</t>
  </si>
  <si>
    <t>MBB_CC_AAA</t>
  </si>
  <si>
    <t>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</si>
</sst>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theme="1"/>
      <name val="Calibri"/>
      <family val="2"/>
      <scheme val="minor"/>
    </font>
    <font>
      <b/>
      <sz val="9"/>
      <name val="Calibri"/>
      <family val="2"/>
      <scheme val="minor"/>
    </font>
    <font>
      <b/>
      <sz val="9"/>
      <color theme="1"/>
      <name val="Calibri"/>
      <family val="2"/>
      <scheme val="minor"/>
    </font>
    <font>
      <sz val="9"/>
      <color indexed="81"/>
      <name val="Tahoma"/>
      <family val="2"/>
    </font>
    <font>
      <b/>
      <sz val="9"/>
      <color indexed="81"/>
      <name val="Tahoma"/>
      <family val="2"/>
    </font>
    <font>
      <sz val="9"/>
      <color theme="1"/>
      <name val="Calibri"/>
      <family val="2"/>
    </font>
    <font>
      <sz val="11"/>
      <name val="Calibri"/>
      <family val="2"/>
      <scheme val="minor"/>
    </font>
    <font>
      <b/>
      <sz val="12"/>
      <color rgb="FFFF0000"/>
      <name val="Calibri"/>
      <family val="2"/>
      <scheme val="minor"/>
    </font>
    <font>
      <sz val="9"/>
      <color rgb="FF000000"/>
      <name val="Calibri"/>
      <family val="2"/>
    </font>
    <font>
      <b/>
      <sz val="11"/>
      <color theme="1"/>
      <name val="Calibri"/>
      <family val="2"/>
      <scheme val="minor"/>
    </font>
    <font>
      <sz val="10"/>
      <color theme="1"/>
      <name val="Arial"/>
      <family val="2"/>
    </font>
    <font>
      <sz val="12"/>
      <color rgb="FF0A0101"/>
      <name val="Arial"/>
      <family val="2"/>
    </font>
    <font>
      <b/>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4"/>
        <bgColor indexed="64"/>
      </patternFill>
    </fill>
    <fill>
      <patternFill patternType="solid">
        <fgColor theme="5" tint="-0.249977111117893"/>
        <bgColor indexed="64"/>
      </patternFill>
    </fill>
    <fill>
      <patternFill patternType="solid">
        <fgColor theme="0" tint="-0.14999847407452621"/>
        <bgColor theme="0" tint="-0.14999847407452621"/>
      </patternFill>
    </fill>
  </fills>
  <borders count="8">
    <border>
      <left/>
      <right/>
      <top/>
      <bottom/>
      <diagonal/>
    </border>
    <border>
      <left/>
      <right/>
      <top/>
      <bottom style="thin">
        <color theme="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6">
    <xf numFmtId="0" fontId="0" fillId="0" borderId="0" xfId="0"/>
    <xf numFmtId="0" fontId="1" fillId="0" borderId="0" xfId="0" applyFont="1"/>
    <xf numFmtId="0" fontId="2" fillId="4" borderId="0" xfId="0" applyFont="1" applyFill="1"/>
    <xf numFmtId="0" fontId="3" fillId="3" borderId="0" xfId="0" applyFont="1" applyFill="1"/>
    <xf numFmtId="0" fontId="3" fillId="2" borderId="0" xfId="0" applyFont="1" applyFill="1"/>
    <xf numFmtId="0" fontId="3" fillId="4" borderId="0" xfId="0" applyFont="1" applyFill="1"/>
    <xf numFmtId="49" fontId="1" fillId="0" borderId="0" xfId="0" applyNumberFormat="1" applyFont="1"/>
    <xf numFmtId="0" fontId="3" fillId="5" borderId="0" xfId="0" applyFont="1" applyFill="1"/>
    <xf numFmtId="0" fontId="1" fillId="0" borderId="0" xfId="0" applyNumberFormat="1" applyFont="1"/>
    <xf numFmtId="0" fontId="2" fillId="2" borderId="0" xfId="0" applyFont="1" applyFill="1"/>
    <xf numFmtId="0" fontId="1" fillId="6" borderId="0" xfId="0" applyFont="1" applyFill="1"/>
    <xf numFmtId="0" fontId="3" fillId="0" borderId="0" xfId="0" applyFont="1"/>
    <xf numFmtId="2" fontId="1" fillId="0" borderId="0" xfId="0" applyNumberFormat="1" applyFont="1"/>
    <xf numFmtId="1" fontId="1" fillId="0" borderId="0" xfId="0" applyNumberFormat="1" applyFont="1"/>
    <xf numFmtId="14" fontId="1" fillId="0" borderId="0" xfId="0" applyNumberFormat="1" applyFont="1"/>
    <xf numFmtId="0" fontId="1" fillId="7" borderId="0" xfId="0" applyFont="1" applyFill="1"/>
    <xf numFmtId="0" fontId="1" fillId="0" borderId="0" xfId="0" applyFont="1" applyAlignment="1">
      <alignment wrapText="1"/>
    </xf>
    <xf numFmtId="0" fontId="6" fillId="0" borderId="0" xfId="0" applyFont="1"/>
    <xf numFmtId="0" fontId="1" fillId="0" borderId="0" xfId="0" applyNumberFormat="1" applyFont="1" applyAlignment="1">
      <alignment wrapText="1"/>
    </xf>
    <xf numFmtId="49" fontId="1" fillId="0" borderId="0" xfId="0" applyNumberFormat="1" applyFont="1" applyAlignment="1">
      <alignment wrapText="1"/>
    </xf>
    <xf numFmtId="0" fontId="3" fillId="8" borderId="0" xfId="0" applyFont="1" applyFill="1"/>
    <xf numFmtId="0" fontId="1" fillId="8" borderId="0" xfId="0" applyFont="1" applyFill="1"/>
    <xf numFmtId="0" fontId="7" fillId="8" borderId="0" xfId="0" applyFont="1" applyFill="1"/>
    <xf numFmtId="0" fontId="9" fillId="0" borderId="0" xfId="0" applyFont="1"/>
    <xf numFmtId="0" fontId="6" fillId="0" borderId="0" xfId="0" applyNumberFormat="1" applyFont="1"/>
    <xf numFmtId="0" fontId="1" fillId="0" borderId="0" xfId="0" quotePrefix="1" applyFont="1"/>
    <xf numFmtId="0" fontId="1" fillId="0" borderId="0" xfId="0" quotePrefix="1" applyNumberFormat="1" applyFont="1"/>
    <xf numFmtId="0" fontId="11" fillId="0" borderId="0" xfId="0" quotePrefix="1" applyFont="1"/>
    <xf numFmtId="14" fontId="6" fillId="0" borderId="0" xfId="0" quotePrefix="1" applyNumberFormat="1" applyFont="1"/>
    <xf numFmtId="0" fontId="1" fillId="0" borderId="0" xfId="0" quotePrefix="1" applyFont="1" applyAlignment="1"/>
    <xf numFmtId="0" fontId="11" fillId="0" borderId="0" xfId="0" applyFont="1"/>
    <xf numFmtId="14" fontId="6" fillId="0" borderId="0" xfId="0" applyNumberFormat="1" applyFont="1"/>
    <xf numFmtId="0" fontId="1" fillId="0" borderId="0" xfId="0" applyFont="1" applyAlignment="1"/>
    <xf numFmtId="0" fontId="12" fillId="0" borderId="0" xfId="0" applyFont="1"/>
    <xf numFmtId="0" fontId="10" fillId="2" borderId="0" xfId="0" applyFont="1" applyFill="1"/>
    <xf numFmtId="0" fontId="6" fillId="0" borderId="0" xfId="0" quotePrefix="1" applyNumberFormat="1" applyFont="1"/>
    <xf numFmtId="0" fontId="6" fillId="0" borderId="0" xfId="0" quotePrefix="1" applyFont="1"/>
    <xf numFmtId="1" fontId="6" fillId="0" borderId="0" xfId="0" applyNumberFormat="1" applyFont="1"/>
    <xf numFmtId="0" fontId="13" fillId="2" borderId="0" xfId="0" applyFont="1" applyFill="1"/>
    <xf numFmtId="0" fontId="1" fillId="0" borderId="0" xfId="0" applyFont="1"/>
    <xf numFmtId="0" fontId="9" fillId="0" borderId="0" xfId="0" applyFont="1"/>
    <xf numFmtId="0" fontId="1" fillId="9" borderId="1" xfId="0" applyFont="1" applyFill="1" applyBorder="1"/>
    <xf numFmtId="14" fontId="0" fillId="0" borderId="0" xfId="0" applyNumberFormat="1"/>
    <xf numFmtId="22" fontId="0" fillId="0" borderId="0" xfId="0" applyNumberFormat="1"/>
    <xf numFmtId="0" fontId="1" fillId="0" borderId="2" xfId="0" applyFont="1" applyBorder="1"/>
    <xf numFmtId="0" fontId="1" fillId="0" borderId="3" xfId="0" applyFont="1" applyBorder="1"/>
    <xf numFmtId="0" fontId="1" fillId="0" borderId="4" xfId="0" quotePrefix="1" applyFont="1" applyBorder="1"/>
    <xf numFmtId="0" fontId="1" fillId="0" borderId="4" xfId="0" applyFont="1" applyBorder="1"/>
    <xf numFmtId="0" fontId="1" fillId="0" borderId="6" xfId="0" applyFont="1" applyBorder="1"/>
    <xf numFmtId="0" fontId="1" fillId="0" borderId="5" xfId="0" quotePrefix="1" applyFont="1" applyBorder="1"/>
    <xf numFmtId="0" fontId="1" fillId="0" borderId="5" xfId="0" applyFont="1" applyBorder="1"/>
    <xf numFmtId="0" fontId="1" fillId="0" borderId="7" xfId="0" applyFont="1" applyBorder="1"/>
    <xf numFmtId="0" fontId="1" fillId="0" borderId="5" xfId="0" applyFont="1" applyBorder="1" applyAlignment="1">
      <alignment vertical="center" wrapText="1"/>
    </xf>
    <xf numFmtId="0" fontId="1" fillId="0" borderId="7" xfId="0" applyFont="1" applyBorder="1" applyAlignment="1">
      <alignment vertical="center" wrapText="1"/>
    </xf>
    <xf numFmtId="0" fontId="8" fillId="0" borderId="0" xfId="0" applyFont="1" applyAlignment="1">
      <alignment wrapText="1"/>
    </xf>
    <xf numFmtId="0" fontId="0" fillId="0" borderId="0" xfId="0" applyAlignment="1">
      <alignment wrapText="1"/>
    </xf>
  </cellXfs>
  <cellStyles count="1">
    <cellStyle name="Normal" xfId="0" builtinId="0"/>
  </cellStyles>
  <dxfs count="1307">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numFmt numFmtId="0" formatCode="General"/>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numFmt numFmtId="30" formatCode="@"/>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2" formatCode="0.00"/>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 formatCode="0"/>
    </dxf>
    <dxf>
      <font>
        <strike val="0"/>
        <outline val="0"/>
        <shadow val="0"/>
        <u val="none"/>
        <vertAlign val="baseline"/>
        <sz val="9"/>
        <color theme="1"/>
        <name val="Calibri"/>
        <family val="2"/>
        <scheme val="minor"/>
      </font>
      <numFmt numFmtId="1" formatCode="0"/>
    </dxf>
    <dxf>
      <font>
        <b val="0"/>
        <i val="0"/>
        <strike val="0"/>
        <condense val="0"/>
        <extend val="0"/>
        <outline val="0"/>
        <shadow val="0"/>
        <u val="none"/>
        <vertAlign val="baseline"/>
        <sz val="9"/>
        <color theme="1"/>
        <name val="Calibri"/>
        <family val="2"/>
        <scheme val="minor"/>
      </font>
      <numFmt numFmtId="1" formatCode="0"/>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numFmt numFmtId="0" formatCode="General"/>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none"/>
      </font>
      <numFmt numFmtId="1" formatCode="0"/>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none"/>
      </font>
    </dxf>
    <dxf>
      <font>
        <strike val="0"/>
        <outline val="0"/>
        <shadow val="0"/>
        <u val="none"/>
        <vertAlign val="baseline"/>
        <sz val="9"/>
        <name val="Calibri"/>
        <family val="2"/>
        <scheme val="none"/>
      </font>
      <numFmt numFmtId="2" formatCode="0.00"/>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minor"/>
      </font>
      <numFmt numFmtId="2" formatCode="0.00"/>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numFmt numFmtId="2" formatCode="0.0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minor"/>
      </font>
      <numFmt numFmtId="2" formatCode="0.00"/>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alignment horizontal="general" vertical="bottom" textRotation="0" wrapText="0" indent="0" justifyLastLine="0" shrinkToFit="0" readingOrder="0"/>
    </dxf>
    <dxf>
      <font>
        <strike val="0"/>
        <outline val="0"/>
        <shadow val="0"/>
        <u val="none"/>
        <vertAlign val="baseline"/>
        <sz val="9"/>
        <name val="Calibri"/>
        <family val="2"/>
        <scheme val="none"/>
      </font>
      <alignment horizontal="general"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dxf>
    <dxf>
      <font>
        <strike val="0"/>
        <outline val="0"/>
        <shadow val="0"/>
        <u val="none"/>
        <vertAlign val="baseline"/>
        <sz val="9"/>
        <name val="Calibri"/>
        <family val="2"/>
        <scheme val="none"/>
      </font>
      <numFmt numFmtId="1" formatCode="0"/>
    </dxf>
    <dxf>
      <font>
        <strike val="0"/>
        <outline val="0"/>
        <shadow val="0"/>
        <u val="none"/>
        <vertAlign val="baseline"/>
        <sz val="9"/>
        <name val="Calibri"/>
        <family val="2"/>
        <scheme val="minor"/>
      </font>
      <numFmt numFmtId="1" formatCode="0"/>
    </dxf>
    <dxf>
      <font>
        <strike val="0"/>
        <outline val="0"/>
        <shadow val="0"/>
        <u val="none"/>
        <vertAlign val="baseline"/>
        <sz val="9"/>
        <name val="Calibri"/>
        <family val="2"/>
        <scheme val="none"/>
      </font>
      <numFmt numFmtId="2" formatCode="0.00"/>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name val="Calibri"/>
        <family val="2"/>
        <scheme val="minor"/>
      </font>
    </dxf>
    <dxf>
      <font>
        <strike val="0"/>
        <outline val="0"/>
        <shadow val="0"/>
        <u val="none"/>
        <vertAlign val="baseline"/>
        <sz val="9"/>
        <name val="Calibri"/>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dxf>
    <dxf>
      <border>
        <bottom style="thin">
          <color indexed="64"/>
        </bottom>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dxf>
    <dxf>
      <border>
        <bottom style="thin">
          <color indexed="64"/>
        </bottom>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 formatCode="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30" formatCode="@"/>
    </dxf>
    <dxf>
      <font>
        <b val="0"/>
        <i val="0"/>
        <strike val="0"/>
        <condense val="0"/>
        <extend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64" formatCode="dd/mm/yyyy"/>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rgb="FF000000"/>
        <name val="Calibri"/>
        <family val="2"/>
        <scheme val="none"/>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 formatCode="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30" formatCode="@"/>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fill>
        <patternFill patternType="solid">
          <fgColor indexed="64"/>
          <bgColor theme="4" tint="0.39997558519241921"/>
        </patternFill>
      </fill>
    </dxf>
    <dxf>
      <font>
        <strike val="0"/>
        <outline val="0"/>
        <shadow val="0"/>
        <u val="none"/>
        <vertAlign val="baseline"/>
        <sz val="9"/>
        <color theme="1"/>
        <name val="Calibri"/>
        <family val="2"/>
        <scheme val="minor"/>
      </font>
    </dxf>
    <dxf>
      <font>
        <b/>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248FEEB4-8196-4405-9AE7-F1148AB7DE2A}" name="IL_DD_src_config" displayName="IL_DD_src_config" ref="B3:K4" totalsRowShown="0" headerRowDxfId="1306" dataDxfId="1305">
  <autoFilter ref="B3:K4" xr:uid="{D6EBBB54-63A8-44DF-A619-D21CDDA7A390}"/>
  <tableColumns count="10">
    <tableColumn id="1" xr3:uid="{38AFD836-DBFE-462D-821C-45B09F23C1B3}" name="Name" dataDxfId="1304"/>
    <tableColumn id="2" xr3:uid="{AB19C65C-8B14-46CB-8B26-0C09C1426061}" name="Delimiter" dataDxfId="1303"/>
    <tableColumn id="3" xr3:uid="{A366E945-A26A-4109-8B13-24244CB4AC69}" name="HdrIdentifier" dataDxfId="1302"/>
    <tableColumn id="4" xr3:uid="{96036434-F2FE-4549-8A62-9BBAA06F5E6A}" name="DetIdentifier" dataDxfId="1301"/>
    <tableColumn id="5" xr3:uid="{B6E2520C-1975-4251-A739-7A1F64C290BB}" name="FtrIdentifier" dataDxfId="1300"/>
    <tableColumn id="10" xr3:uid="{51693D6A-EA6B-49AF-9D3B-44909412F7AA}" name="ValidationCondition" dataDxfId="1299">
      <calculatedColumnFormula>IF(IL_DD_det_in[BillingDate] &lt;&gt; "", TRUE, FALSE)</calculatedColumnFormula>
    </tableColumn>
    <tableColumn id="13" xr3:uid="{F7E2A920-FBF1-46B5-9E56-7E958468480B}" name="BankRoutingRule" dataDxfId="1298">
      <calculatedColumnFormula>VLOOKUP(IL_DD_det_in_com[FactoringHouse],RoutingRule[[FactoringHouse]:[Bank]],2,FALSE)</calculatedColumnFormula>
    </tableColumn>
    <tableColumn id="7" xr3:uid="{943ADAAF-D8F8-40AD-BD33-918B42DDC442}" name="BatchSize" dataDxfId="1297"/>
    <tableColumn id="9" xr3:uid="{ADC28BA0-BFD2-453A-8547-B3658A37B075}" name="Enabled" dataDxfId="1296"/>
    <tableColumn id="8" xr3:uid="{3638F1A0-228F-459A-8E75-A0972898DD70}" name="Source" dataDxfId="1295"/>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79077424-7124-4470-84C7-C4983699A96C}" name="IL_EBank_src_config" displayName="IL_EBank_src_config" ref="B3:K4" totalsRowShown="0" headerRowDxfId="1235" dataDxfId="1234">
  <autoFilter ref="B3:K4" xr:uid="{D6EBBB54-63A8-44DF-A619-D21CDDA7A390}"/>
  <tableColumns count="10">
    <tableColumn id="1" xr3:uid="{7397944E-4DF9-4B9F-86A1-8B9DC7B1AF47}" name="Name" dataDxfId="1233"/>
    <tableColumn id="2" xr3:uid="{E5006025-4DC5-46C7-9190-B27B1EED764C}" name="Delimiter" dataDxfId="1232"/>
    <tableColumn id="3" xr3:uid="{9C84693A-87E7-48F5-A82D-B1708B113A5A}" name="HdrIdentifier" dataDxfId="1231"/>
    <tableColumn id="4" xr3:uid="{1F2CC0C9-9FA3-4372-A594-876176DA0A15}" name="DetIdentifier" dataDxfId="1230"/>
    <tableColumn id="5" xr3:uid="{0278EC98-F06F-4149-A160-044A20ED9AAC}" name="FtrIdentifier" dataDxfId="1229"/>
    <tableColumn id="10" xr3:uid="{CDFD70FA-C741-4E7F-B41F-BEC2CF341102}" name="ValidationCondition" dataDxfId="1228"/>
    <tableColumn id="13" xr3:uid="{FBB9B272-056E-4F00-A745-4BFF71CE883B}" name="BankRoutingRule" dataDxfId="1227"/>
    <tableColumn id="7" xr3:uid="{E2EEBD8E-7693-47C6-B565-D9CFA6ADC670}" name="BatchSize" dataDxfId="1226"/>
    <tableColumn id="9" xr3:uid="{72FACAF1-1E64-42E2-AC18-3569438E27BE}" name="Enabled" dataDxfId="1225"/>
    <tableColumn id="8" xr3:uid="{67182238-0EAD-4FF0-A496-9CBE9B871CF9}" name="Source" dataDxfId="1224"/>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C43BD8D0-F5EF-4DED-8BB0-A366ECC75E52}" name="MBB_DD_ftr_in" displayName="MBB_DD_ftr_in" ref="B15:B16" totalsRowShown="0" headerRowDxfId="572" dataDxfId="571">
  <autoFilter ref="B15:B16" xr:uid="{013C33E3-9A1A-4CCB-BBAE-F02975B932E3}"/>
  <tableColumns count="1">
    <tableColumn id="1" xr3:uid="{A6874D07-EA01-4CC8-BE4F-F10DE61A6A36}" name="Col1" dataDxfId="57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4DD20630-E344-4C7A-B047-A60FDD4CA7F8}" name="MBB_DD_ftr_in_com" displayName="MBB_DD_ftr_in_com" ref="B28:D29" totalsRowShown="0" headerRowDxfId="569" dataDxfId="568">
  <autoFilter ref="B28:D29" xr:uid="{4794F75E-8843-46C8-9046-B971B260DA64}"/>
  <tableColumns count="3">
    <tableColumn id="1" xr3:uid="{A17813AD-9B49-438E-82B5-C0D82903AAEC}" name="Count" dataDxfId="567">
      <calculatedColumnFormula>INT((MID(MBB_DD_ftr_in[Col1],3,12)))</calculatedColumnFormula>
    </tableColumn>
    <tableColumn id="2" xr3:uid="{FD6806C9-110B-48A0-A7B0-28871F1A89DB}" name="Sum" dataDxfId="566">
      <calculatedColumnFormula>INT((MID(MBB_DD_ftr_in[Col1],15,12)))</calculatedColumnFormula>
    </tableColumn>
    <tableColumn id="3" xr3:uid="{81631542-E74D-4F0C-88A7-735EC210CDE7}" name="HashTotal" dataDxfId="565">
      <calculatedColumnFormula>INT((MID(MBB_DD_ftr_in[Col1],27,12)))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C624B24D-0854-474E-95D5-2C8BE8E8E390}" name="MBB_DD_hdr_out_com" displayName="MBB_DD_hdr_out_com" ref="B37:D38" totalsRowShown="0" headerRowDxfId="564" dataDxfId="563">
  <autoFilter ref="B37:D38" xr:uid="{461F2BA8-FDA7-482E-A943-13B49A7691FF}"/>
  <tableColumns count="3">
    <tableColumn id="1" xr3:uid="{493AEE61-BA98-485E-A6EC-5E6213A0642F}" name="OriginatorName" dataDxfId="562"/>
    <tableColumn id="2" xr3:uid="{66ACFDFC-A50A-4718-B18B-936737D36D0B}" name="BillingDate" dataDxfId="561"/>
    <tableColumn id="3" xr3:uid="{B004E8A4-360E-4E68-8DB7-C874624674E0}" name="OriginatorId" dataDxfId="56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3B274CAB-E5DC-4E86-A502-D6828DB2E3D8}" name="MBB_DD_ftr_out_com" displayName="MBB_DD_ftr_out_com" ref="B41:F43" totalsRowCount="1" headerRowDxfId="559" dataDxfId="558">
  <autoFilter ref="B41:F42" xr:uid="{FDD796F7-B60B-45BC-AECD-43A0DDBA3376}"/>
  <tableColumns count="5">
    <tableColumn id="1" xr3:uid="{52D7A0ED-849F-4A68-91B7-714A36EC34EB}" name="Count" totalsRowFunction="custom" dataDxfId="557" totalsRowDxfId="556">
      <totalsRowFormula>(MBB_DD_ftr_out_com[Count]+1)</totalsRowFormula>
    </tableColumn>
    <tableColumn id="2" xr3:uid="{3A33AA66-BAA1-4BE4-AA9E-D7D84A5FBCB8}" name="Sum" totalsRowFunction="custom" dataDxfId="555" totalsRowDxfId="554">
      <totalsRowFormula>(SUM(MBB_DD_ftr_out_com[Sum],MBB_DD_det_out_com[Amount]))</totalsRowFormula>
    </tableColumn>
    <tableColumn id="3" xr3:uid="{08BA1846-0CA9-4D2F-BFDF-5842FEA9AE1F}" name="HashTotal" totalsRowFunction="custom" dataDxfId="553" totalsRowDxfId="552">
      <totalsRowFormula>(SUM(MBB_DD_ftr_out_com[HashTotal],MBB_DD_det_out_com[HashTotal]))</totalsRowFormula>
    </tableColumn>
    <tableColumn id="4" xr3:uid="{5506CE04-4BD7-44F1-A007-9FD5F1AB6832}" name="AmountInt" dataDxfId="551" totalsRowDxfId="550">
      <calculatedColumnFormula>TEXT(INT((MBB_DD_ftr_out_com[[#Totals],[Sum]])),"000000000000")</calculatedColumnFormula>
    </tableColumn>
    <tableColumn id="5" xr3:uid="{7CF5D549-45A1-4649-8C2F-2523AD8D22F3}" name="AmountDec" dataDxfId="549" totalsRowDxfId="548">
      <calculatedColumnFormula>(RIGHT((TEXT(MBB_DD_ftr_out_com[[#Totals],[Sum]]-INT(MBB_DD_ftr_out_com[[#Totals],[Sum]]),"0.00")),2))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5A73CD9F-B220-4787-AFC6-3B6C6B5C7A70}" name="BIMB_EBank_bank_config" displayName="BIMB_EBank_bank_config" ref="B3:L4" totalsRowShown="0" headerRowDxfId="547" dataDxfId="546">
  <autoFilter ref="B3:L4" xr:uid="{F9200163-7803-49E4-917E-90541DCD405A}"/>
  <tableColumns count="11">
    <tableColumn id="1" xr3:uid="{696BA632-E369-48CB-B3B9-B9EF98C5438B}" name="Name" dataDxfId="545"/>
    <tableColumn id="11" xr3:uid="{9BC76189-7352-485C-AEFE-68E8F9C81702}" name="BankCode" dataDxfId="544"/>
    <tableColumn id="2" xr3:uid="{0B613D80-682A-4893-A59C-1E298E07C45B}" name="Delimiter" dataDxfId="543"/>
    <tableColumn id="3" xr3:uid="{11574BE1-16C8-4C89-B227-B41A839BD547}" name="HdrIdentifier" dataDxfId="542"/>
    <tableColumn id="4" xr3:uid="{3BF09B21-6888-4273-9BBB-1C1D14D022C0}" name="DetIdentifier" dataDxfId="541"/>
    <tableColumn id="5" xr3:uid="{ED46C0EC-4319-4933-A230-9FE13FEAE509}" name="FtrIdentifier" dataDxfId="540"/>
    <tableColumn id="13" xr3:uid="{10FEC3E6-088F-4CB2-B4A8-2EAFBD7E1887}" name="ValidationCondition" dataDxfId="539"/>
    <tableColumn id="14" xr3:uid="{98208716-420D-4CC1-9A23-619836D64651}" name="SrcRoutingRule" dataDxfId="538"/>
    <tableColumn id="7" xr3:uid="{454A1D5C-99E1-4396-8632-459C8C69D8F9}" name="Batchsize" dataDxfId="537"/>
    <tableColumn id="12" xr3:uid="{D44191C0-AD06-4835-9D09-3FE7C0907851}" name="Enabled" dataDxfId="536"/>
    <tableColumn id="8" xr3:uid="{AA3BA18D-0B61-4E4D-83E5-07D370EB80B7}" name="Source" dataDxfId="535"/>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DFF36E17-DEC7-4464-9F58-B98C1C441C40}" name="BIMB_EBank_det_in" displayName="BIMB_EBank_det_in" ref="B7:B8" totalsRowShown="0" headerRowDxfId="534" dataDxfId="533">
  <autoFilter ref="B7:B8" xr:uid="{0DC73E13-0C9C-4B34-AF1C-BAD5E681B450}"/>
  <tableColumns count="1">
    <tableColumn id="1" xr3:uid="{37374B2A-7336-41BA-86C7-894E11B5410A}" name="Col1" dataDxfId="532"/>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B4DEE51A-4214-470F-B6EA-2F10D5A31455}" name="BIMB_EBank_det_in_com" displayName="BIMB_EBank_det_in_com" ref="B13:J14" totalsRowShown="0" headerRowDxfId="531" dataDxfId="530">
  <autoFilter ref="B13:J14" xr:uid="{1B8EB900-F33C-41F5-B042-21715F7B2C88}"/>
  <tableColumns count="9">
    <tableColumn id="1" xr3:uid="{FD5F971F-52F6-4C31-874D-3C6CD7F10A2E}" name="Date" dataDxfId="529">
      <calculatedColumnFormula>MID(BIMB_EBank_det_in[Col1],1,8)</calculatedColumnFormula>
    </tableColumn>
    <tableColumn id="4" xr3:uid="{595432C4-F075-4279-8867-393090A01B32}" name="BillRef1" dataDxfId="528">
      <calculatedColumnFormula>MID(BIMB_EBank_det_in[Col1],9,20)</calculatedColumnFormula>
    </tableColumn>
    <tableColumn id="2" xr3:uid="{6747A151-2819-4C16-8B4A-462310979B77}" name="BillRef2" dataDxfId="527">
      <calculatedColumnFormula>MID(BIMB_EBank_det_in[Col1],29,20)</calculatedColumnFormula>
    </tableColumn>
    <tableColumn id="3" xr3:uid="{2588796D-EDEA-4E17-8FDD-66C3CAAA1FF0}" name="BillRef3" dataDxfId="526">
      <calculatedColumnFormula>MID(BIMB_EBank_det_in[Col1],49,20)</calculatedColumnFormula>
    </tableColumn>
    <tableColumn id="5" xr3:uid="{9C8B18DE-FAFA-461C-AE3B-68E4C9DA867B}" name="ICNo" dataDxfId="525">
      <calculatedColumnFormula>MID(BIMB_EBank_det_in[Col1],69,13)</calculatedColumnFormula>
    </tableColumn>
    <tableColumn id="6" xr3:uid="{E3F4489E-8C58-4346-AF96-D7CAA72056FE}" name="Name" dataDxfId="524">
      <calculatedColumnFormula>MID(BIMB_EBank_det_in[Col1],82,40)</calculatedColumnFormula>
    </tableColumn>
    <tableColumn id="7" xr3:uid="{6F945B58-DF66-4060-B60C-B8F178F82399}" name="Amount" dataDxfId="523">
      <calculatedColumnFormula>MID(BIMB_EBank_det_in[Col1],122,9)</calculatedColumnFormula>
    </tableColumn>
    <tableColumn id="8" xr3:uid="{17151FAB-6F52-44CB-8B28-8E98952A0946}" name="BillType" dataDxfId="522">
      <calculatedColumnFormula>MID(BIMB_EBank_det_in[Col1],131,10)</calculatedColumnFormula>
    </tableColumn>
    <tableColumn id="9" xr3:uid="{C48C81D6-A4A1-4E6B-8E5C-9CE2B94C67CB}" name="DocNo" dataDxfId="521">
      <calculatedColumnFormula>MID(BIMB_EBank_det_in[Col1],141,7)</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9FB384BC-E018-4198-83D8-B8522C7E762B}" name="BIMB_EBank_hdr_in" displayName="BIMB_EBank_hdr_in" ref="B18:B19" totalsRowShown="0" headerRowDxfId="520" dataDxfId="519">
  <autoFilter ref="B18:B19" xr:uid="{1A83566C-F9BC-4276-84F8-4252C23BC1D4}"/>
  <tableColumns count="1">
    <tableColumn id="1" xr3:uid="{07A51F2B-3774-44F0-A63F-1F08CB3E2369}" name="Col1" dataDxfId="518"/>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7DE70D20-981E-4E3B-8BE7-A24A2476B638}" name="BIMB_EBank_hdr_in_com" displayName="BIMB_EBank_hdr_in_com" ref="B23:E24" totalsRowShown="0" headerRowDxfId="517" dataDxfId="516">
  <autoFilter ref="B23:E24" xr:uid="{83426617-D56E-4547-BBF9-1C4015995152}"/>
  <tableColumns count="4">
    <tableColumn id="1" xr3:uid="{2C4DCBD5-2ECF-4186-8FA8-A32573463709}" name="PayDate" dataDxfId="515">
      <calculatedColumnFormula>MID(BIMB_EBank_hdr_in[Col1],4,8)</calculatedColumnFormula>
    </tableColumn>
    <tableColumn id="2" xr3:uid="{DB17F665-1D39-408E-9D36-05478E604B47}" name="PayeeCode" dataDxfId="514">
      <calculatedColumnFormula>MID(BIMB_EBank_hdr_in[Col1],1,3)</calculatedColumnFormula>
    </tableColumn>
    <tableColumn id="3" xr3:uid="{A77D8431-C603-4FFE-A0BD-C318E474ECB6}" name="TotalRec" dataDxfId="513">
      <calculatedColumnFormula>MID(BIMB_EBank_hdr_in[Col1],12,11)</calculatedColumnFormula>
    </tableColumn>
    <tableColumn id="4" xr3:uid="{FE8FFC03-1432-4FBF-982C-F28056C90EF2}" name="Sum" dataDxfId="512">
      <calculatedColumnFormula>MID(BIMB_EBank_hdr_in[Col1],23,10)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DE4000F8-71E8-4122-BCAB-E1347009F83E}" name="BIMB_EBank_ftr_in" displayName="BIMB_EBank_ftr_in" ref="B28:B29" totalsRowShown="0" headerRowDxfId="511" dataDxfId="510">
  <autoFilter ref="B28:B29" xr:uid="{0DE09051-DDB2-424C-B5BB-196A4B01BAA4}"/>
  <tableColumns count="1">
    <tableColumn id="1" xr3:uid="{496D1ECF-3282-4E36-A23E-7484736F021E}" name="Col1" dataDxfId="509"/>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DF030B0B-C8B3-40C4-BFA7-1700A81D568A}" name="IL_EBank_out" displayName="IL_EBank_out" ref="B18:D19" totalsRowShown="0" headerRowDxfId="1223" dataDxfId="1222">
  <autoFilter ref="B18:D19" xr:uid="{043A3E4A-F587-476C-BA50-4C13BF6C1994}"/>
  <tableColumns count="3">
    <tableColumn id="1" xr3:uid="{BD4CA90D-B68E-4F71-BA39-BD359D068C7C}" name="header" dataDxfId="1221"/>
    <tableColumn id="2" xr3:uid="{9D341F67-1418-421A-A746-72F593947CF6}" name="detail" dataDxfId="1220">
      <calculatedColumnFormula>(IL_EBank_det_out_com[Date] &amp; "|" &amp;IL_EBank_det_out_com[CustomerName]  &amp; "|" &amp; IL_EBank_det_out_com[Amount])</calculatedColumnFormula>
    </tableColumn>
    <tableColumn id="3" xr3:uid="{CC56FB01-2609-4CBB-8A50-C45339137975}" name="footer" dataDxfId="1219"/>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0ECC6E86-9963-4152-B2A3-AF86C66A95DD}" name="BIMB_EBank_ftr_in_com" displayName="BIMB_EBank_ftr_in_com" ref="B33:C34" totalsRowShown="0" headerRowDxfId="508" dataDxfId="507">
  <autoFilter ref="B33:C34" xr:uid="{859C2ADE-49EB-40E0-8EFF-5609B9FA8939}"/>
  <tableColumns count="2">
    <tableColumn id="4" xr3:uid="{DB81689D-567E-4C81-947D-52EBF1E5A74B}" name="TotAmt" dataDxfId="506">
      <calculatedColumnFormula>MID(BIMB_EBank_ftr_in[Col1],38,15)</calculatedColumnFormula>
    </tableColumn>
    <tableColumn id="5" xr3:uid="{7812C223-FA3C-45A5-8B65-1C2CF4B136B7}" name="TotRec" dataDxfId="505">
      <calculatedColumnFormula>MID(BIMB_EBank_ftr_in[Col1],29,9)</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8F8224D9-852C-4F64-BDA2-83CC73FBEBE8}" name="Rakyat_EBank_bank_config" displayName="Rakyat_EBank_bank_config" ref="B3:L4" totalsRowShown="0" headerRowDxfId="504" dataDxfId="503">
  <autoFilter ref="B3:L4" xr:uid="{7E099836-265E-4610-9871-DCD83BCE00B9}"/>
  <tableColumns count="11">
    <tableColumn id="1" xr3:uid="{F13706FD-55B5-4CFC-95C8-AADB19A9BA9B}" name="Name" dataDxfId="502"/>
    <tableColumn id="11" xr3:uid="{254AB78A-E373-4D34-8A39-F0E8401BBEB0}" name="BankCode" dataDxfId="501"/>
    <tableColumn id="2" xr3:uid="{0E1A9CCC-6D8C-4090-B59B-FF3897C0EC10}" name="Delimiter" dataDxfId="500"/>
    <tableColumn id="3" xr3:uid="{13FD71DE-3E32-4EDF-ACBA-4DF3AC0D5A38}" name="HdrIdentifier" dataDxfId="499"/>
    <tableColumn id="4" xr3:uid="{9E528AC1-6B50-4E01-8E8B-75104F8FB591}" name="DetIdentifier" dataDxfId="498"/>
    <tableColumn id="5" xr3:uid="{8153407C-0C4F-4DCF-85C7-0B0561D9114E}" name="FtrIdentifier" dataDxfId="497"/>
    <tableColumn id="13" xr3:uid="{7599F344-AA89-43D6-B0F6-B8E6E8D2A1BF}" name="ValidationCondition" dataDxfId="496"/>
    <tableColumn id="14" xr3:uid="{A7281C89-794D-49CD-8030-3E205D805BF0}" name="SrcRoutingRule" dataDxfId="495"/>
    <tableColumn id="7" xr3:uid="{5A724335-1937-4A2D-ABE8-66846560FD15}" name="Batchsize" dataDxfId="494"/>
    <tableColumn id="12" xr3:uid="{7FE68BCD-00FD-4D03-BCB5-C44D663DE001}" name="Enabled" dataDxfId="493"/>
    <tableColumn id="8" xr3:uid="{28163C01-1465-4158-B9FC-63B33E20D8C3}" name="Source" dataDxfId="492"/>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CE32B16C-4C21-416A-8402-E80C1F9AB55F}" name="Rakyat_EBank_det_in" displayName="Rakyat_EBank_det_in" ref="B7:B8" totalsRowShown="0" headerRowDxfId="491" dataDxfId="490">
  <autoFilter ref="B7:B8" xr:uid="{D8351843-300D-480B-BBDF-B0FD5150665D}"/>
  <tableColumns count="1">
    <tableColumn id="1" xr3:uid="{53894632-6984-404B-A207-C54EFAEF1EE8}" name="Col1" dataDxfId="48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1710AA9B-81D2-4B2E-9F23-599D13956048}" name="Rakyat_EBank_det_in_com" displayName="Rakyat_EBank_det_in_com" ref="B13:F14" totalsRowShown="0" headerRowDxfId="488" dataDxfId="487">
  <autoFilter ref="B13:F14" xr:uid="{CFE09C15-9EE8-42D6-9180-15D1700C205A}"/>
  <tableColumns count="5">
    <tableColumn id="1" xr3:uid="{1B354293-7C36-4FA3-8990-3FAD4B62DBF5}" name="PolicyNo" dataDxfId="486">
      <calculatedColumnFormula>MID(Rakyat_EBank_det_in[Col1],52,8)</calculatedColumnFormula>
    </tableColumn>
    <tableColumn id="4" xr3:uid="{9C1DC5AC-95EF-4572-A5BA-FE4A44153018}" name="CustomerName" dataDxfId="485">
      <calculatedColumnFormula>MID(Rakyat_EBank_det_in[Col1],4,25)</calculatedColumnFormula>
    </tableColumn>
    <tableColumn id="2" xr3:uid="{FD7C9210-6CED-4FB7-84FD-29ECDEE4C113}" name="ICNumber" dataDxfId="484">
      <calculatedColumnFormula>MID(Rakyat_EBank_det_in[Col1],29,12)</calculatedColumnFormula>
    </tableColumn>
    <tableColumn id="3" xr3:uid="{E8F777B5-8216-410A-851E-D1E2D3A78618}" name="Amount" dataDxfId="483">
      <calculatedColumnFormula>MID(Rakyat_EBank_det_in[Col1],41,11)</calculatedColumnFormula>
    </tableColumn>
    <tableColumn id="7" xr3:uid="{F18161B5-C225-4F59-A1E7-BBEE8B0F3C5D}" name="TxnDate" dataDxfId="482">
      <calculatedColumnFormula>MID(Rakyat_EBank_det_in[Col1],192,8)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EB4494A0-FCC9-428B-8354-75F59D9B4297}" name="Rakyat_EBank_hdr_in" displayName="Rakyat_EBank_hdr_in" ref="B18:B19" totalsRowShown="0" headerRowDxfId="481" dataDxfId="480">
  <autoFilter ref="B18:B19" xr:uid="{B82CC31D-05CC-41E3-B5D4-A550728C7523}"/>
  <tableColumns count="1">
    <tableColumn id="1" xr3:uid="{D17A41A9-9B09-4017-8428-48AA4BDEE4DA}" name="Col1" dataDxfId="479"/>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5E586EB-0C86-46F3-ABBF-1B2E545941ED}" name="Rakyat_EBank_hdr_in_com" displayName="Rakyat_EBank_hdr_in_com" ref="B23:B24" totalsRowShown="0" headerRowDxfId="478" dataDxfId="477">
  <autoFilter ref="B23:B24" xr:uid="{1B1A627B-21E6-4640-9C7A-5519AA6A86FC}"/>
  <tableColumns count="1">
    <tableColumn id="1" xr3:uid="{1B27581A-C1D0-41BF-B564-631C36C94A5A}" name="PayDate" dataDxfId="476">
      <calculatedColumnFormula>MID(Rakyat_EBank_hdr_in[Col1],34,8)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4E32A05B-0A8B-42A7-AC72-3B0A834300BC}" name="Rakyat_EBank_ftr_in" displayName="Rakyat_EBank_ftr_in" ref="B28:B29" totalsRowShown="0" headerRowDxfId="475" dataDxfId="474">
  <autoFilter ref="B28:B29" xr:uid="{7D2E192E-4659-47B7-9D57-F2C002480615}"/>
  <tableColumns count="1">
    <tableColumn id="1" xr3:uid="{8F3C0752-2201-47A7-A37A-B793D088CE0D}" name="Col1" dataDxfId="473"/>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4622A2A2-6AD6-4AC0-8ADE-ED958A0955AC}" name="Rakyat_EBank_ftr_in_com" displayName="Rakyat_EBank_ftr_in_com" ref="B33:E34" totalsRowShown="0" headerRowDxfId="472" dataDxfId="471">
  <autoFilter ref="B33:E34" xr:uid="{FEFA2A98-176E-44B5-AD01-E7D1D7B9E09D}"/>
  <tableColumns count="4">
    <tableColumn id="4" xr3:uid="{E02C8C18-25D6-4130-8B48-561767551E00}" name="TotAmt" dataDxfId="470">
      <calculatedColumnFormula>MID(Rakyat_EBank_ftr_in[Col1],11,13)</calculatedColumnFormula>
    </tableColumn>
    <tableColumn id="5" xr3:uid="{8507C92A-B5F7-4A76-B318-F03A5441F434}" name="TotRec" dataDxfId="469">
      <calculatedColumnFormula>MID(Rakyat_EBank_ftr_in[Col1],4,7)</calculatedColumnFormula>
    </tableColumn>
    <tableColumn id="1" xr3:uid="{6AE1621A-71B3-4DB7-8E78-4F56ECE906BF}" name="PayeeCode" dataDxfId="468">
      <calculatedColumnFormula>MID(Rakyat_EBank_ftr_in[Col1],1,3)</calculatedColumnFormula>
    </tableColumn>
    <tableColumn id="2" xr3:uid="{6131E482-AB85-487C-AC9F-5FF88C7585BF}" name="HashTotal" dataDxfId="467">
      <calculatedColumnFormula>MID(Rakyat_EBank_ftr_in[Col1],24,8)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2E38D687-AD5E-46AE-B315-51CE6AB5CBAE}" name="Affin_EBank_bank_config" displayName="Affin_EBank_bank_config" ref="B3:L4" totalsRowShown="0" headerRowDxfId="466" dataDxfId="465">
  <autoFilter ref="B3:L4" xr:uid="{197C1CAB-52D6-479A-9944-3E92D5F66AB1}"/>
  <tableColumns count="11">
    <tableColumn id="1" xr3:uid="{0F1C8E77-B9FE-4861-B968-B9F82E7AD934}" name="Name" dataDxfId="464"/>
    <tableColumn id="11" xr3:uid="{F7BFD438-93C0-4323-A736-E7A0B1CF68DB}" name="BankCode" dataDxfId="463"/>
    <tableColumn id="2" xr3:uid="{53D82747-F376-4CCC-ABB9-A23163605D50}" name="Delimiter" dataDxfId="462"/>
    <tableColumn id="3" xr3:uid="{08ACE50D-7D13-412C-BB27-EE942EE0569B}" name="HdrIdentifier" dataDxfId="461"/>
    <tableColumn id="4" xr3:uid="{9FF69FDC-2A88-4D2B-8729-EC1555A66429}" name="DetIdentifier" dataDxfId="460"/>
    <tableColumn id="5" xr3:uid="{9845BF2B-37FA-4D0D-8882-605934EC6578}" name="FtrIdentifier" dataDxfId="459"/>
    <tableColumn id="13" xr3:uid="{6822A502-D6B4-48C0-A558-67A082F5E60E}" name="ValidationCondition" dataDxfId="458"/>
    <tableColumn id="14" xr3:uid="{1725E2AE-0973-4993-9C10-B7BBC63FF7E7}" name="SrcRoutingRule" dataDxfId="457"/>
    <tableColumn id="7" xr3:uid="{43EB3DAD-9D82-484C-A969-EABFB0D6FCCB}" name="Batchsize" dataDxfId="456"/>
    <tableColumn id="12" xr3:uid="{C737A275-794B-44B5-A863-BEB315DB978D}" name="Enabled" dataDxfId="455"/>
    <tableColumn id="8" xr3:uid="{A489C733-24A9-458C-AA95-B45416958FAD}" name="Source" dataDxfId="454"/>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1F59387D-836D-48C8-BE55-FBC880A0E9B1}" name="Affin_EBank_det_in" displayName="Affin_EBank_det_in" ref="B7:B8" totalsRowShown="0" headerRowDxfId="453" dataDxfId="452">
  <autoFilter ref="B7:B8" xr:uid="{B3DC259A-82D5-4573-9462-790BBE2E3344}"/>
  <tableColumns count="1">
    <tableColumn id="1" xr3:uid="{C5E54CD6-42C3-43C2-80DB-A7ECC97D0234}" name="Col1" dataDxfId="451"/>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13ED08B7-8C1C-41B0-B03E-73DF9D6C450B}" name="IL_EBank_det_out_com" displayName="IL_EBank_det_out_com" ref="B8:F9" totalsRowShown="0" headerRowDxfId="1218" dataDxfId="1217">
  <autoFilter ref="B8:F9" xr:uid="{FCD234A2-9E44-463C-A4B5-F007B3158E22}"/>
  <tableColumns count="5">
    <tableColumn id="1" xr3:uid="{E175DBD7-F099-46E4-86C1-1860B401248D}" name="CustomerName" dataDxfId="1216"/>
    <tableColumn id="2" xr3:uid="{932C964B-551A-4A88-B458-853C7BB54F92}" name="Amount" dataDxfId="1215"/>
    <tableColumn id="3" xr3:uid="{0E4DB5F9-A5F4-42B0-8D3E-E3706A978E54}" name="Date" dataDxfId="1214"/>
    <tableColumn id="7" xr3:uid="{77F3549E-F6EE-4188-83B9-9C78B681F53B}" name="PolicyNo" dataDxfId="1213"/>
    <tableColumn id="4" xr3:uid="{7F5067F1-FD90-4E08-8A5B-3D8D4B3257BE}" name="PayorBankCode" dataDxfId="1212"/>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8B3222F2-0478-4F12-B009-4247C5D0B828}" name="Affin_EBank_det_in_com" displayName="Affin_EBank_det_in_com" ref="B13:I14" totalsRowShown="0" headerRowDxfId="450" dataDxfId="449">
  <autoFilter ref="B13:I14" xr:uid="{2FB039E3-A965-417B-BFFA-10334E99CB46}"/>
  <tableColumns count="8">
    <tableColumn id="1" xr3:uid="{1A335496-1238-4C79-8CDA-3A395470B42C}" name="Payeecode" dataDxfId="448">
      <calculatedColumnFormula>MID(Affin_EBank_det_in[Col1],1,3)</calculatedColumnFormula>
    </tableColumn>
    <tableColumn id="4" xr3:uid="{ABB90D70-AD48-4592-A9D7-0B4D7D62DB6C}" name="CustomerName" dataDxfId="447">
      <calculatedColumnFormula>MID(Affin_EBank_det_in[Col1],4,25)</calculatedColumnFormula>
    </tableColumn>
    <tableColumn id="5" xr3:uid="{8137B630-E901-48BD-87F9-96CB4B64A22A}" name="ICNumber" dataDxfId="446">
      <calculatedColumnFormula>MID(Affin_EBank_det_in[Col1],29,12)</calculatedColumnFormula>
    </tableColumn>
    <tableColumn id="2" xr3:uid="{D08D9A82-8829-44D6-A006-C563F85898A5}" name="Amount" dataDxfId="445">
      <calculatedColumnFormula>MID(Affin_EBank_det_in[Col1],41,11)</calculatedColumnFormula>
    </tableColumn>
    <tableColumn id="3" xr3:uid="{2A213E32-9255-4F4B-99C8-99E198D57AE8}" name="PolicyNo" dataDxfId="444">
      <calculatedColumnFormula>MID(Affin_EBank_det_in[Col1],52,15)</calculatedColumnFormula>
    </tableColumn>
    <tableColumn id="6" xr3:uid="{CC638D45-A1BE-4C79-A02D-A47E12D03D11}" name="OtherRefNum" dataDxfId="443">
      <calculatedColumnFormula>MID(Affin_EBank_det_in[Col1],67,6)</calculatedColumnFormula>
    </tableColumn>
    <tableColumn id="7" xr3:uid="{6DF12393-FE83-4EA0-804B-8E75D5A6D6E9}" name="ProcessDate" dataDxfId="442">
      <calculatedColumnFormula>MID(Affin_EBank_det_in[Col1],192,8)</calculatedColumnFormula>
    </tableColumn>
    <tableColumn id="8" xr3:uid="{DD25785B-A27E-4690-BDE0-E3A29463E3D7}" name="DetailId" dataDxfId="441">
      <calculatedColumnFormula>MID(Affin_EBank_det_in[Col1],200,1)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D7E756AA-A72D-4DBB-B488-FB1955880D20}" name="Affin_EBank_hdr_in" displayName="Affin_EBank_hdr_in" ref="B18:B19" totalsRowShown="0" headerRowDxfId="440" dataDxfId="439">
  <autoFilter ref="B18:B19" xr:uid="{61E3C7B5-8D3D-49D9-81D7-B3A672CB9AF2}"/>
  <tableColumns count="1">
    <tableColumn id="1" xr3:uid="{1A98CDF2-F781-4D54-BE0F-D9CB1D61983F}" name="Col1" dataDxfId="438"/>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69DCC99B-28BD-4DA2-9646-9F66D161DCE5}" name="Affin_EBank_hdr_in_com" displayName="Affin_EBank_hdr_in_com" ref="B23:F24" totalsRowShown="0" headerRowDxfId="437" dataDxfId="436">
  <autoFilter ref="B23:F24" xr:uid="{8D723277-86D8-4C8D-BCB1-EAA8900A7182}"/>
  <tableColumns count="5">
    <tableColumn id="1" xr3:uid="{963B432C-E395-46A5-B0A1-56411EAFD911}" name="PayeeCode" dataDxfId="435">
      <calculatedColumnFormula>MID(Affin_EBank_hdr_in[Col1],1,3)</calculatedColumnFormula>
    </tableColumn>
    <tableColumn id="2" xr3:uid="{C01D7664-07FB-42D0-B91C-897268C44F2C}" name="PayeeName" dataDxfId="434">
      <calculatedColumnFormula>MID(Affin_EBank_hdr_in[Col1],4,30)</calculatedColumnFormula>
    </tableColumn>
    <tableColumn id="3" xr3:uid="{3D969461-95B4-44D6-90A0-2418751B054A}" name="PayDate" dataDxfId="433">
      <calculatedColumnFormula>MID(Affin_EBank_hdr_in[Col1],34,8)</calculatedColumnFormula>
    </tableColumn>
    <tableColumn id="4" xr3:uid="{592FD54C-CA25-4466-BA0A-C72F8C44139D}" name="Institution" dataDxfId="432">
      <calculatedColumnFormula>MID(Affin_EBank_hdr_in[Col1],42,7)</calculatedColumnFormula>
    </tableColumn>
    <tableColumn id="5" xr3:uid="{D9AFC545-E980-4CEF-B668-DF4EEE7D8675}" name="TxnDate" dataDxfId="431">
      <calculatedColumnFormula>MID(Affin_EBank_hdr_in[Col1],34,8)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EDD9B77A-5FB2-486C-AC91-D93E0D3D3518}" name="Affin_EBank_ftr_in" displayName="Affin_EBank_ftr_in" ref="B28:B29" totalsRowShown="0" headerRowDxfId="430" dataDxfId="429">
  <autoFilter ref="B28:B29" xr:uid="{1AF49788-8435-4421-AE35-0381E8C19845}"/>
  <tableColumns count="1">
    <tableColumn id="1" xr3:uid="{A45B2421-A8C0-43F3-8417-B2085B674E17}" name="Col1" dataDxfId="428"/>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28B8C400-91E8-45AE-BC1E-DB2B4F179C65}" name="Affin_EBank_ftr_in_com" displayName="Affin_EBank_ftr_in_com" ref="B33:G35" totalsRowCount="1" headerRowDxfId="427" dataDxfId="426">
  <autoFilter ref="B33:G34" xr:uid="{6164A60B-B18B-44D5-B413-547A6665C387}"/>
  <tableColumns count="6">
    <tableColumn id="1" xr3:uid="{94102CD2-FE1F-4FA8-B1F5-E7DB6F27C093}" name="PayeeCode" dataDxfId="425" totalsRowDxfId="424">
      <calculatedColumnFormula>MID(Affin_EBank_ftr_in[Col1],1,3)</calculatedColumnFormula>
    </tableColumn>
    <tableColumn id="2" xr3:uid="{AA5AAF6D-4EDE-46FB-A380-D5F89B02FC1F}" name="Sum" dataDxfId="423" totalsRowDxfId="422">
      <calculatedColumnFormula>MID(Affin_EBank_ftr_in[Col1],11,13)</calculatedColumnFormula>
    </tableColumn>
    <tableColumn id="3" xr3:uid="{504D9340-F513-4A95-8088-CFB84CF9673A}" name="HashTotal" totalsRowFunction="custom" dataDxfId="421" totalsRowDxfId="420">
      <calculatedColumnFormula>MID(Affin_EBank_ftr_in[Col1],24,8)</calculatedColumnFormula>
      <totalsRowFormula>SUM(TRIM(Affin_EBank_ftr_in_com[HashTotal]),(RIGHT(TRIM(MBB_EBank_det_in_com[PolicyNo]),4)),VALUE(Affin_EBank_ftr_in_com[TotAmt]),VALUE(Affin_EBank_ftr_in_com[TotRec]))</totalsRowFormula>
    </tableColumn>
    <tableColumn id="4" xr3:uid="{71E920DD-5732-462D-9E4C-E2AF7323810E}" name="TotAmt" dataDxfId="419" totalsRowDxfId="418">
      <calculatedColumnFormula>MID(Affin_EBank_ftr_in[Col1],11,13)</calculatedColumnFormula>
    </tableColumn>
    <tableColumn id="5" xr3:uid="{9A9143E4-B3E4-4745-843D-929EF7947D47}" name="TotRec" dataDxfId="417" totalsRowDxfId="416">
      <calculatedColumnFormula>MID(Affin_EBank_ftr_in[Col1],4,7)</calculatedColumnFormula>
    </tableColumn>
    <tableColumn id="6" xr3:uid="{E1FB744F-6B78-4471-BDF9-E7EAE46703AD}" name="TrailerId" dataDxfId="415" totalsRowDxfId="414">
      <calculatedColumnFormula>MID(Affin_EBank_ftr_in[Col1],200,1)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BA5A786-EB7F-4C70-8169-9D6635CD814F}" name="BSN_EBank_bank_config" displayName="BSN_EBank_bank_config" ref="B3:L4" totalsRowShown="0" headerRowDxfId="413" dataDxfId="412">
  <autoFilter ref="B3:L4" xr:uid="{1372A205-221A-494F-9470-C808006ECDD9}"/>
  <tableColumns count="11">
    <tableColumn id="1" xr3:uid="{1E9DDA95-5F95-4C05-862E-629790261E8E}" name="Name" dataDxfId="411"/>
    <tableColumn id="11" xr3:uid="{B9E3050B-35CA-4360-A2EB-2773C4D7DD17}" name="BankCode" dataDxfId="410"/>
    <tableColumn id="2" xr3:uid="{90AEAC04-BE1A-4D54-B472-6E42E4A2D2F0}" name="Delimiter" dataDxfId="409"/>
    <tableColumn id="3" xr3:uid="{A9CFF7F0-CACF-4DD8-B683-2B6F04E9E89B}" name="HdrIdentifier" dataDxfId="408"/>
    <tableColumn id="4" xr3:uid="{5F1900C0-2ACA-4C8B-81D6-18EE2E02E0C0}" name="DetIdentifier" dataDxfId="407"/>
    <tableColumn id="5" xr3:uid="{6FE4DA7A-469C-4049-BE89-D70BB813D0B3}" name="FtrIdentifier" dataDxfId="406"/>
    <tableColumn id="13" xr3:uid="{2F336FD8-65FC-43B9-88C8-CDD3C1909BF7}" name="ValidationCondition" dataDxfId="405"/>
    <tableColumn id="14" xr3:uid="{91D7ADB6-275F-4E01-A2EA-AACDFB271E3B}" name="SrcRoutingRule" dataDxfId="404"/>
    <tableColumn id="7" xr3:uid="{C6B1E2AE-AF2A-4284-968D-2A7B3A1C2808}" name="Batchsize" dataDxfId="403"/>
    <tableColumn id="12" xr3:uid="{57870B77-D359-48F5-A4E4-452AF21E3F8F}" name="Enabled" dataDxfId="402"/>
    <tableColumn id="8" xr3:uid="{ACDADA19-69CC-4F36-A1DC-95C50CFD0142}" name="Source" dataDxfId="401"/>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CDB1E57F-23C9-4060-B61A-154E42986CC4}" name="BSN_EBank_det_in" displayName="BSN_EBank_det_in" ref="B7:B8" totalsRowShown="0" headerRowDxfId="400" dataDxfId="399">
  <autoFilter ref="B7:B8" xr:uid="{D1F1CE63-05DE-420A-B074-5E1920EFC59C}"/>
  <tableColumns count="1">
    <tableColumn id="1" xr3:uid="{F3C25A0F-CD8A-42F9-B8C3-9B08D2DBEA4C}" name="Col1" dataDxfId="39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18BDFB25-1E7A-44B2-BC70-84EEA980F8C5}" name="BSN_EBank_det_in_com" displayName="BSN_EBank_det_in_com" ref="B13:C14" totalsRowShown="0" headerRowDxfId="397" dataDxfId="396">
  <autoFilter ref="B13:C14" xr:uid="{5AA702B9-2A84-42C4-8490-182ECEF99799}"/>
  <tableColumns count="2">
    <tableColumn id="1" xr3:uid="{71D946D6-3AF8-4CD1-A7D1-03460DFCEDC9}" name="PolicyNo" dataDxfId="395">
      <calculatedColumnFormula>MID(BSN_EBank_det_in[Col1],52,8)</calculatedColumnFormula>
    </tableColumn>
    <tableColumn id="4" xr3:uid="{9208CBB8-8C6F-4110-AB52-9A66D3FEAFBF}" name="Amount" dataDxfId="394">
      <calculatedColumnFormula>MID(BSN_EBank_det_in[Col1],41,11)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3CCC189E-715A-4B1B-B58B-FFA9682F8A8B}" name="BSN_EBank_hdr_in" displayName="BSN_EBank_hdr_in" ref="B18:B19" totalsRowShown="0" headerRowDxfId="393" dataDxfId="392">
  <autoFilter ref="B18:B19" xr:uid="{B25D8861-0895-4160-9628-67511C3A17D5}"/>
  <tableColumns count="1">
    <tableColumn id="1" xr3:uid="{4F55FA67-388E-4AAB-988C-A45859614220}" name="Col1" dataDxfId="391"/>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530021A2-66FE-4D19-9133-ED8823D70289}" name="BSN_EBank_hdr_in_com" displayName="BSN_EBank_hdr_in_com" ref="B23:B24" totalsRowShown="0" headerRowDxfId="390" dataDxfId="389">
  <autoFilter ref="B23:B24" xr:uid="{1A9DE7B6-9606-44EC-A025-B68DA3FDD10F}"/>
  <tableColumns count="1">
    <tableColumn id="1" xr3:uid="{C2DAB01B-47A5-4408-888F-C37C49504AD5}" name="TxnDate" dataDxfId="388">
      <calculatedColumnFormula>MID(BSN_EBank_hdr_in[Col1],9,8)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63BB9265-CA7A-47D1-8A0F-C8EDC35AD9F7}" name="IL_EBank_hdr_out_com" displayName="IL_EBank_hdr_out_com" ref="B13:C14" totalsRowShown="0" headerRowDxfId="1211" dataDxfId="1210">
  <autoFilter ref="B13:C14" xr:uid="{8D011FFA-A8DB-4A9C-AB03-4A8E6215A654}"/>
  <tableColumns count="2">
    <tableColumn id="1" xr3:uid="{5620F4F9-EDEE-4DE4-87C6-3899B5248524}" name="fileName" dataDxfId="1209">
      <calculatedColumnFormula>CONCATENATE("EBANKRECEIPT","_",TEXT(TODAY(),"YYYYMMDD"),".txt")</calculatedColumnFormula>
    </tableColumn>
    <tableColumn id="2" xr3:uid="{8EAC3378-7D33-49C8-B66B-8FD7367133D0}" name="currBatch" dataDxfId="120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FC625CB1-EF36-486B-AAB5-83CFAC71615A}" name="BSN_EBank_ftr_in" displayName="BSN_EBank_ftr_in" ref="B28:B29" totalsRowShown="0" headerRowDxfId="387" dataDxfId="386">
  <autoFilter ref="B28:B29" xr:uid="{B18E357B-B668-4910-946D-122832BF30A2}"/>
  <tableColumns count="1">
    <tableColumn id="1" xr3:uid="{EF3AC543-B4E1-4BE8-BCC0-56CC328E0B64}" name="Col1" dataDxfId="385"/>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99B2BDB6-9BBC-4B34-BDBA-45E255CA9413}" name="BSN_EBank_ftr_in_com" displayName="BSN_EBank_ftr_in_com" ref="B33:H34" totalsRowShown="0" headerRowDxfId="384" dataDxfId="383">
  <autoFilter ref="B33:H34" xr:uid="{EDBBA186-4265-4F6B-85FD-5794233D8F88}"/>
  <tableColumns count="7">
    <tableColumn id="4" xr3:uid="{D0E0013F-4A3A-4E80-8DB4-BAA41191285A}" name="OrgCode" dataDxfId="382">
      <calculatedColumnFormula>MID(BSN_EBank_ftr_in[Col1],1,8)</calculatedColumnFormula>
    </tableColumn>
    <tableColumn id="5" xr3:uid="{3F11D4B5-9A25-43AA-88FC-FDE670BD3D6D}" name="TxnDate" dataDxfId="381">
      <calculatedColumnFormula>MID(BSN_EBank_ftr_in[Col1],9,8)</calculatedColumnFormula>
    </tableColumn>
    <tableColumn id="1" xr3:uid="{8B364DCB-0DDE-4F0B-B051-D42672A8A1A7}" name="TxnCode" dataDxfId="380">
      <calculatedColumnFormula>MID(BSN_EBank_ftr_in[Col1],17,5)</calculatedColumnFormula>
    </tableColumn>
    <tableColumn id="2" xr3:uid="{349F2298-19F8-47D8-A172-E0FDDE15812B}" name="SeqNo" dataDxfId="379">
      <calculatedColumnFormula>MID(BSN_EBank_ftr_in[Col1],22,7)</calculatedColumnFormula>
    </tableColumn>
    <tableColumn id="3" xr3:uid="{E84C03E4-8EBE-4DEA-AA6F-C3174BD123B5}" name="TotalSucess" dataDxfId="378">
      <calculatedColumnFormula>MID(BSN_EBank_ftr_in[Col1],38,15)</calculatedColumnFormula>
    </tableColumn>
    <tableColumn id="6" xr3:uid="{91673E32-E3D4-4A11-B9A4-60BA38E6975D}" name="TotalUnsuccess" dataDxfId="377">
      <calculatedColumnFormula>MID(BSN_EBank_ftr_in[Col1],53,15)</calculatedColumnFormula>
    </tableColumn>
    <tableColumn id="7" xr3:uid="{59F30E96-263B-4249-A0DC-574605CC0D67}" name="TotalRecs" dataDxfId="376">
      <calculatedColumnFormula>MID(BSN_EBank_ftr_in[Col1],29,9)</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6A418211-2D4F-4F4E-9B37-1D73573728E5}" name="CIMB_EBank_bank_config" displayName="CIMB_EBank_bank_config" ref="B3:L4" totalsRowShown="0" headerRowDxfId="375" dataDxfId="374">
  <autoFilter ref="B3:L4" xr:uid="{AB38E692-6C2D-4C3D-BEF5-389689A776B1}"/>
  <tableColumns count="11">
    <tableColumn id="1" xr3:uid="{412870D8-8E73-41F7-8AD2-6A0E412319E0}" name="Name" dataDxfId="373"/>
    <tableColumn id="11" xr3:uid="{5E8A293B-7BCB-45B7-BE60-C2CE9441E835}" name="BankCode" dataDxfId="372"/>
    <tableColumn id="2" xr3:uid="{65B6C26A-C96D-4DBD-BB7C-3D37B8B9948E}" name="Delimiter" dataDxfId="371"/>
    <tableColumn id="3" xr3:uid="{3FFA61BB-608B-4EC7-9F8B-8ED4F368DEC6}" name="HdrIdentifier" dataDxfId="370"/>
    <tableColumn id="4" xr3:uid="{EE3691AE-585D-4061-A108-45386E42C784}" name="DetIdentifier" dataDxfId="369"/>
    <tableColumn id="5" xr3:uid="{6DD10885-51B5-4F1D-B0CD-C3A76BDB9F78}" name="FtrIdentifier" dataDxfId="368"/>
    <tableColumn id="13" xr3:uid="{762A4EAC-429B-45B3-A3AD-92D890C77065}" name="ValidationCondition" dataDxfId="367"/>
    <tableColumn id="14" xr3:uid="{E247699F-6069-4187-AD3D-2A3EC9F1475A}" name="SrcRoutingRule" dataDxfId="366"/>
    <tableColumn id="7" xr3:uid="{E1C4B636-D1F3-423D-8A68-DA7FB74CDDEB}" name="Batchsize" dataDxfId="365"/>
    <tableColumn id="12" xr3:uid="{12C5B9F0-1EF2-405B-ADE0-6E206C442A55}" name="Enabled" dataDxfId="364"/>
    <tableColumn id="8" xr3:uid="{C3A5E914-6551-41C4-B2DC-C39B78E8CFD4}" name="Source" dataDxfId="363"/>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38BE4225-748E-47B6-B389-76B7ECC7F4C5}" name="CIMB_EBank_det_in" displayName="CIMB_EBank_det_in" ref="B7:B8" totalsRowShown="0" headerRowDxfId="362" dataDxfId="361">
  <autoFilter ref="B7:B8" xr:uid="{235F24DA-CB2F-4CD6-BE2F-8EB4217434AF}"/>
  <tableColumns count="1">
    <tableColumn id="1" xr3:uid="{4BCC7A90-21AD-4F2C-8ED6-E641674BB396}" name="Col1" dataDxfId="36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F9B5A828-437A-465C-B090-DA2D6435A511}" name="CIMB_EBank_det_in_com" displayName="CIMB_EBank_det_in_com" ref="B13:D14" totalsRowShown="0" headerRowDxfId="359" dataDxfId="358">
  <autoFilter ref="B13:D14" xr:uid="{8AD992BE-F801-470D-B86C-B3AC050BCCDE}"/>
  <tableColumns count="3">
    <tableColumn id="1" xr3:uid="{298B36C1-28D2-46B3-B9E4-CC5244FD9DB5}" name="PolicyNo" dataDxfId="357">
      <calculatedColumnFormula>MID(CIMB_EBank_det_in[Col1],29,8)</calculatedColumnFormula>
    </tableColumn>
    <tableColumn id="4" xr3:uid="{3C15564A-3D9A-4875-8E73-2A7CE285B3B5}" name="Amount" dataDxfId="356">
      <calculatedColumnFormula>MID(CIMB_EBank_det_in[Col1],41,11)</calculatedColumnFormula>
    </tableColumn>
    <tableColumn id="5" xr3:uid="{A63E1EA0-FE13-4890-B346-F3B82F98074F}" name="CustomerName" dataDxfId="355">
      <calculatedColumnFormula>MID(CIMB_EBank_det_in[Col1],4,25)</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2C59213C-0A99-4997-B565-C6984CBC7006}" name="CIMB_EBank_hdr_in" displayName="CIMB_EBank_hdr_in" ref="B18:B19" totalsRowShown="0" headerRowDxfId="354" dataDxfId="353">
  <autoFilter ref="B18:B19" xr:uid="{E0CFFC4E-120C-4A96-A71A-B155E249D8F9}"/>
  <tableColumns count="1">
    <tableColumn id="1" xr3:uid="{EEC3B1FE-6DC2-4A80-AB3E-DC75FD170F5E}" name="Col1" dataDxfId="352"/>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2E3CE9BE-0BEE-4F7A-95B5-09EB3DC2F0B7}" name="CIMB_EBank_hdr_in_com" displayName="CIMB_EBank_hdr_in_com" ref="B23:B24" totalsRowShown="0" headerRowDxfId="351" dataDxfId="350">
  <autoFilter ref="B23:B24" xr:uid="{E88948F4-0E4B-41B3-B3E0-C1A9EF6B8A48}"/>
  <tableColumns count="1">
    <tableColumn id="1" xr3:uid="{7D9B670F-8A0A-4F98-8051-703889B85CC4}" name="PayDate" dataDxfId="349">
      <calculatedColumnFormula>MID(CIMB_EBank_hdr_in[Col1],34,8)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7E1FCA0-B168-4806-A9EB-D39908F7C236}" name="CIMB_EBank_ftr_in" displayName="CIMB_EBank_ftr_in" ref="B28:B29" totalsRowShown="0" headerRowDxfId="348" dataDxfId="347">
  <autoFilter ref="B28:B29" xr:uid="{58ADA5BB-C58A-4817-8101-9B329DAB5394}"/>
  <tableColumns count="1">
    <tableColumn id="1" xr3:uid="{079CC54F-2EF6-47F2-AE61-7B181C02C9A6}" name="Col1" dataDxfId="346"/>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F8FE2D08-0A5D-4C91-B69B-55ADB8793B66}" name="CIMB_EBank_ftr_in_com" displayName="CIMB_EBank_ftr_in_com" ref="B33:C34" totalsRowShown="0" headerRowDxfId="345" dataDxfId="344">
  <autoFilter ref="B33:C34" xr:uid="{97231A46-6FCA-49AB-8A73-9901987ADDB8}"/>
  <tableColumns count="2">
    <tableColumn id="4" xr3:uid="{E3474695-20FF-48C3-ADBA-1A69C997FFA2}" name="TotAmt" dataDxfId="343">
      <calculatedColumnFormula>MID(CIMB_EBank_ftr_in[Col1],11,13)</calculatedColumnFormula>
    </tableColumn>
    <tableColumn id="5" xr3:uid="{C6F5F2A3-7756-4B55-9C44-871345D73C13}" name="TotRec" dataDxfId="342">
      <calculatedColumnFormula>MID(CIMB_EBank_ftr_in[Col1],4,7)</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BCE61CBA-4C90-4113-8A72-DBDF320A488B}" name="MBB_EBank_bank_config" displayName="MBB_EBank_bank_config" ref="B3:L4" totalsRowShown="0" headerRowDxfId="341" dataDxfId="340">
  <autoFilter ref="B3:L4" xr:uid="{B7CD034E-6A1F-44F8-B168-94E858A13514}"/>
  <tableColumns count="11">
    <tableColumn id="1" xr3:uid="{7AB07387-E0CE-499E-A68C-20BAE32A74BE}" name="Name" dataDxfId="339"/>
    <tableColumn id="11" xr3:uid="{4ECF0D69-9C80-4DEA-9D13-E034F3FA38C6}" name="BankCode" dataDxfId="338"/>
    <tableColumn id="2" xr3:uid="{CEECDE85-D6C0-40B0-9336-29BD90290CB6}" name="Delimiter" dataDxfId="337"/>
    <tableColumn id="3" xr3:uid="{A6EB6EF1-8203-4BD2-8D82-0D0A2F4B9DA9}" name="HdrIdentifier" dataDxfId="336"/>
    <tableColumn id="4" xr3:uid="{540D4A94-9F4A-4CC4-AFB7-435AAA078F70}" name="DetIdentifier" dataDxfId="335"/>
    <tableColumn id="5" xr3:uid="{C0011C44-59C4-4557-AD2E-BBF731A9E797}" name="FtrIdentifier" dataDxfId="334"/>
    <tableColumn id="13" xr3:uid="{540DCC86-4E66-4DCA-9040-643CB4B8D6D2}" name="ValidationCondition" dataDxfId="333"/>
    <tableColumn id="14" xr3:uid="{DC299544-00B6-4028-A4B0-A0BDF30A0937}" name="SrcRoutingRule" dataDxfId="332"/>
    <tableColumn id="7" xr3:uid="{38A8F857-8D53-4BCB-BFF9-A2631FDC0F4D}" name="Batchsize" dataDxfId="331"/>
    <tableColumn id="12" xr3:uid="{0688C96E-F20F-4917-9B71-226BC0681CDC}" name="Enabled" dataDxfId="330"/>
    <tableColumn id="8" xr3:uid="{70C79A82-F121-420C-BA75-BC00522743C1}" name="Source" dataDxfId="329"/>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FD3D9A-EE4D-4A6A-8B26-E57E38390A15}" name="IL_CC_src_config" displayName="IL_CC_src_config" ref="B3:K4" totalsRowShown="0" headerRowDxfId="1207" dataDxfId="1206">
  <autoFilter ref="B3:K4" xr:uid="{D6EBBB54-63A8-44DF-A619-D21CDDA7A390}"/>
  <tableColumns count="10">
    <tableColumn id="1" xr3:uid="{38AFD836-DBFE-462D-821C-45B09F23C1B3}" name="Name" dataDxfId="1205"/>
    <tableColumn id="2" xr3:uid="{AB19C65C-8B14-46CB-8B26-0C09C1426061}" name="Delimiter" dataDxfId="1204"/>
    <tableColumn id="3" xr3:uid="{A366E945-A26A-4109-8B13-24244CB4AC69}" name="HdrIdentifier" dataDxfId="1203"/>
    <tableColumn id="4" xr3:uid="{96036434-F2FE-4549-8A62-9BBAA06F5E6A}" name="DetIdentifier" dataDxfId="1202"/>
    <tableColumn id="5" xr3:uid="{B6E2520C-1975-4251-A739-7A1F64C290BB}" name="FtrIdentifier" dataDxfId="1201"/>
    <tableColumn id="10" xr3:uid="{51693D6A-EA6B-49AF-9D3B-44909412F7AA}" name="ValidationCondition" dataDxfId="1200">
      <calculatedColumnFormula>IF(IL_CC_det_in[CardNumber] &lt;&gt; "", TRUE, FALSE)</calculatedColumnFormula>
    </tableColumn>
    <tableColumn id="13" xr3:uid="{F7E2A920-FBF1-46B5-9E56-7E958468480B}" name="BankRoutingRule" dataDxfId="1199">
      <calculatedColumnFormula>VLOOKUP(IL_CC_det_in_com[FactoringHouse],RoutingRule[[FactoringHouse]:[Bank]],2,FALSE)</calculatedColumnFormula>
    </tableColumn>
    <tableColumn id="7" xr3:uid="{943ADAAF-D8F8-40AD-BD33-918B42DDC442}" name="BatchSize" dataDxfId="1198"/>
    <tableColumn id="9" xr3:uid="{ADC28BA0-BFD2-453A-8547-B3658A37B075}" name="Enabled" dataDxfId="1197"/>
    <tableColumn id="8" xr3:uid="{3638F1A0-228F-459A-8E75-A0972898DD70}" name="Source" dataDxfId="1196"/>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A12B9D2D-10AC-4661-B392-68A6136B007D}" name="MBB_EBank_det_in" displayName="MBB_EBank_det_in" ref="B7:B8" totalsRowShown="0" headerRowDxfId="328" dataDxfId="327">
  <autoFilter ref="B7:B8" xr:uid="{81E87A3D-BC0B-431D-9952-9B861335F516}"/>
  <tableColumns count="1">
    <tableColumn id="1" xr3:uid="{B892022C-D405-4A48-A075-99F9CFAC5088}" name="Col1" dataDxfId="32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9B9051D-597C-451F-8098-ADE76EC35F85}" name="MBB_EBank_det_in_com" displayName="MBB_EBank_det_in_com" ref="B13:H14" totalsRowShown="0" headerRowDxfId="325" dataDxfId="324">
  <autoFilter ref="B13:H14" xr:uid="{CEC13A67-1769-4F61-8CEE-5AB73CE6B4F3}"/>
  <tableColumns count="7">
    <tableColumn id="1" xr3:uid="{27001DF1-3B28-45D3-BA39-F66020FE18B1}" name="Payeecode" dataDxfId="323">
      <calculatedColumnFormula>MID(MBB_EBank_det_in[Col1],1,3)</calculatedColumnFormula>
    </tableColumn>
    <tableColumn id="4" xr3:uid="{F440D488-BFE1-4F1E-8BB6-D06B9F9C45AD}" name="CustomerName" dataDxfId="322">
      <calculatedColumnFormula>MID(MBB_EBank_det_in[Col1],4,25)</calculatedColumnFormula>
    </tableColumn>
    <tableColumn id="5" xr3:uid="{70F4A636-ED91-4263-A8F6-9083D4FC3E3E}" name="ICNumber" dataDxfId="321">
      <calculatedColumnFormula>MID(MBB_EBank_det_in[Col1],29,12)</calculatedColumnFormula>
    </tableColumn>
    <tableColumn id="2" xr3:uid="{305DC0A5-C429-4F3F-972C-A18C2CDEC843}" name="Amount" dataDxfId="320">
      <calculatedColumnFormula>MID(MBB_EBank_det_in[Col1],41,11)</calculatedColumnFormula>
    </tableColumn>
    <tableColumn id="3" xr3:uid="{BC1A42B0-E93D-4F70-AD9A-E413E24A88C7}" name="PolicyNo" dataDxfId="319">
      <calculatedColumnFormula>MID(MBB_EBank_det_in[Col1],52,15)</calculatedColumnFormula>
    </tableColumn>
    <tableColumn id="6" xr3:uid="{B873D644-9263-463D-AD30-5AAB72620398}" name="OtherRefNum" dataDxfId="318">
      <calculatedColumnFormula>MID(MBB_EBank_det_in[Col1],67,6)</calculatedColumnFormula>
    </tableColumn>
    <tableColumn id="7" xr3:uid="{7A2EC671-7D20-453F-8A87-37FEB6033B9D}" name="ProcessDate" dataDxfId="317">
      <calculatedColumnFormula>MID(MBB_EBank_det_in[Col1],192,8)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E4EE9351-2329-4BD3-8753-F83780392CFB}" name="MBB_EBank_hdr_in" displayName="MBB_EBank_hdr_in" ref="B18:B19" totalsRowShown="0" headerRowDxfId="316" dataDxfId="315">
  <autoFilter ref="B18:B19" xr:uid="{84F4ADD4-D132-4D1D-B10F-81D5C05E4173}"/>
  <tableColumns count="1">
    <tableColumn id="1" xr3:uid="{CEA39DD8-F704-477E-8E2A-DBBC69437FB2}" name="Col1" dataDxfId="314"/>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BFEBC821-BC38-4D3F-AD4B-CBBA2612384B}" name="MBB_EBank_hdr_in_com" displayName="MBB_EBank_hdr_in_com" ref="B23:F24" totalsRowShown="0" headerRowDxfId="313" dataDxfId="312">
  <autoFilter ref="B23:F24" xr:uid="{34121336-B3E8-4781-9970-FD7960BA6199}"/>
  <tableColumns count="5">
    <tableColumn id="1" xr3:uid="{CD7058EB-104E-4A45-8E33-B87473F4D562}" name="PayeeCode" dataDxfId="311">
      <calculatedColumnFormula>MID(MBB_EBank_hdr_in[Col1],1,3)</calculatedColumnFormula>
    </tableColumn>
    <tableColumn id="2" xr3:uid="{39A0EF45-E7B5-4F71-8BA1-433634B26B9F}" name="PayeeName" dataDxfId="310">
      <calculatedColumnFormula>MID(MBB_EBank_hdr_in[Col1],4,30)</calculatedColumnFormula>
    </tableColumn>
    <tableColumn id="3" xr3:uid="{AC7663B3-5DB1-4DFE-91D6-B87BC2D07BE9}" name="PayDate" dataDxfId="309">
      <calculatedColumnFormula>MID(MBB_EBank_hdr_in[Col1],34,8)</calculatedColumnFormula>
    </tableColumn>
    <tableColumn id="4" xr3:uid="{54E1F4E5-82C9-4C03-B514-391A6D57EDF3}" name="Institution" dataDxfId="308">
      <calculatedColumnFormula>MID(MBB_EBank_hdr_in[Col1],42,7)</calculatedColumnFormula>
    </tableColumn>
    <tableColumn id="5" xr3:uid="{51309446-FB62-49E4-A33F-F3CC9B2B3599}" name="PaymentDate" dataDxfId="307">
      <calculatedColumnFormula>MID(MBB_EBank_hdr_in[Col1],34,8)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E898713-8506-4B4B-AC8B-719A9713C66B}" name="MBB_EBank_ftr_in" displayName="MBB_EBank_ftr_in" ref="B28:B29" totalsRowShown="0" headerRowDxfId="306" dataDxfId="305">
  <autoFilter ref="B28:B29" xr:uid="{FC01D325-BD68-40B5-BC6A-F6C9A94837D5}"/>
  <tableColumns count="1">
    <tableColumn id="1" xr3:uid="{35103605-B802-4078-8E2C-9EF59D66C8B2}" name="Col1" dataDxfId="304"/>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2A7F87ED-6664-4F69-B013-D707D9250A8A}" name="MBB_EBank_ftr_in_com" displayName="MBB_EBank_ftr_in_com" ref="B33:F35" totalsRowCount="1" headerRowDxfId="303" dataDxfId="302">
  <autoFilter ref="B33:F34" xr:uid="{3DB8EB1F-BF59-4F90-9327-9EBE7D8CA0D2}"/>
  <tableColumns count="5">
    <tableColumn id="1" xr3:uid="{63E2BA15-5D69-4326-9C91-5CBB75419859}" name="PayeeCode" dataDxfId="301" totalsRowDxfId="300">
      <calculatedColumnFormula>MID(MBB_EBank_ftr_in[Col1],1,3)</calculatedColumnFormula>
    </tableColumn>
    <tableColumn id="2" xr3:uid="{316EBEBD-9FCA-4A0D-B8F2-E690D3F25F4C}" name="Sum" dataDxfId="299" totalsRowDxfId="298"/>
    <tableColumn id="3" xr3:uid="{4740AAB2-330D-44A7-8282-2A1045800FFA}" name="HashTotal" totalsRowFunction="custom" dataDxfId="297" totalsRowDxfId="296">
      <calculatedColumnFormula>MID(MBB_EBank_ftr_in[Col1],24,8)</calculatedColumnFormula>
      <totalsRowFormula>SUM(TRIM(MBB_EBank_ftr_in_com[HashTotal]),(RIGHT(TRIM(MBB_EBank_det_in_com[PolicyNo]),4)),VALUE(MBB_EBank_ftr_in_com[TotAmt]),VALUE(MBB_EBank_ftr_in_com[TotRec]))</totalsRowFormula>
    </tableColumn>
    <tableColumn id="4" xr3:uid="{EC88A7D6-E778-40F3-866D-1AB237B6B81D}" name="TotAmt" dataDxfId="295" totalsRowDxfId="294">
      <calculatedColumnFormula>MID(MBB_EBank_ftr_in[Col1],11,13)</calculatedColumnFormula>
    </tableColumn>
    <tableColumn id="5" xr3:uid="{75C225F9-DE07-430A-A913-6E45C73D808E}" name="TotRec" dataDxfId="293" totalsRowDxfId="292">
      <calculatedColumnFormula>MID(MBB_EBank_ftr_in[Col1],4,7)</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80C350-7403-4534-BD99-F8C516D94F73}" name="MBB_CC_bank_config" displayName="MBB_CC_bank_config" ref="B3:L4" totalsRowShown="0" headerRowDxfId="291" dataDxfId="290">
  <autoFilter ref="B3:L4" xr:uid="{B7CD034E-6A1F-44F8-B168-94E858A13514}"/>
  <tableColumns count="11">
    <tableColumn id="1" xr3:uid="{42E6C17B-27C0-401F-BC6B-0403D899EAA5}" name="Name" dataDxfId="289"/>
    <tableColumn id="11" xr3:uid="{DE276C03-417C-4B4F-A1ED-07EF40028DEE}" name="BankCode" dataDxfId="288"/>
    <tableColumn id="2" xr3:uid="{83E7B0AC-D3FA-42E0-A33D-4B5BF28745B8}" name="Delimiter" dataDxfId="287"/>
    <tableColumn id="3" xr3:uid="{A41D84F6-7029-4EE7-AB06-8506979CEA89}" name="HdrIdentifier" dataDxfId="286"/>
    <tableColumn id="4" xr3:uid="{AA676575-62F9-4F75-82D0-53B90432EC6D}" name="DetIdentifier" dataDxfId="285"/>
    <tableColumn id="5" xr3:uid="{E27F4015-2678-4BEE-9452-35841E0868A9}" name="FtrIdentifier" dataDxfId="284"/>
    <tableColumn id="13" xr3:uid="{6778F69F-E000-4E54-A208-7C662C022FD7}" name="ValidationCondition" dataDxfId="283"/>
    <tableColumn id="14" xr3:uid="{1D3E3808-2B2F-4897-9F38-7AC92BF52913}" name="SrcRoutingRule" dataDxfId="282"/>
    <tableColumn id="7" xr3:uid="{3C88D369-03AD-4091-B243-A895E2E5B38C}" name="Batchsize" dataDxfId="281"/>
    <tableColumn id="12" xr3:uid="{C7EB7E33-20C9-43A9-AE4C-B3D7FFE303A5}" name="Enabled" dataDxfId="280"/>
    <tableColumn id="8" xr3:uid="{7E496840-67D3-4000-BF94-6D644DDD2B29}" name="Source" dataDxfId="279"/>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6FBBE0-1324-4BA0-B3C3-4A4649B9AB72}" name="MBB_CC_det_out_com" displayName="MBB_CC_det_out_com" ref="B33:I34" totalsRowShown="0" headerRowDxfId="278" dataDxfId="277">
  <autoFilter ref="B33:I34" xr:uid="{DE113670-84C7-49DF-9328-F0806D9BE87E}"/>
  <tableColumns count="8">
    <tableColumn id="8" xr3:uid="{E5E66171-C21B-4BCA-B7A7-DFD693FD7C61}" name="PolicyNo" dataDxfId="276"/>
    <tableColumn id="9" xr3:uid="{481B88AE-0641-43A2-B972-79B65FF59D94}" name="Amount" dataDxfId="275"/>
    <tableColumn id="2" xr3:uid="{F1363258-6456-479A-A272-F4EAFFAFAFE4}" name="AmtInt" dataDxfId="274">
      <calculatedColumnFormula>TEXT(INT((MBB_CC_det_out_com[Amount])),"00000000")</calculatedColumnFormula>
    </tableColumn>
    <tableColumn id="7" xr3:uid="{FD6365AB-15AA-49E0-9369-CBA5A39E8E21}" name="AmtDec" dataDxfId="273">
      <calculatedColumnFormula>(RIGHT((TEXT(MBB_CC_det_out_com[Amount]-INT(MBB_CC_det_out_com[Amount]),"0.00")),2))</calculatedColumnFormula>
    </tableColumn>
    <tableColumn id="3" xr3:uid="{C86BBA62-CFC4-407D-9D05-CABAE4DCBE54}" name="CardNo" dataDxfId="272"/>
    <tableColumn id="4" xr3:uid="{37B1BA34-20BE-4AB3-95EE-C6DF0B1BDEA2}" name="UserAccount" dataDxfId="271">
      <calculatedColumnFormula>("1" &amp; (RIGHT(REPT(" ",19) &amp; MBB_CC_det_out_com[PolicyNo],19)))</calculatedColumnFormula>
    </tableColumn>
    <tableColumn id="5" xr3:uid="{3BF59801-EBF4-47AB-B391-954C6953FFD4}" name="CardLength" dataDxfId="270"/>
    <tableColumn id="6" xr3:uid="{2D4C4A15-04EC-49DB-851E-A8669857ABCA}" name="Expiry" dataDxfId="26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EAFB8C-1B0E-4DEA-83AE-43EEF6F1E55F}" name="MBB_CC_out" displayName="MBB_CC_out" ref="B46:D47" totalsRowShown="0" headerRowDxfId="268" dataDxfId="267">
  <autoFilter ref="B46:D47" xr:uid="{BF6B9CA5-24CB-457C-96FA-2292A41BB4C8}"/>
  <tableColumns count="3">
    <tableColumn id="1" xr3:uid="{F0DDE9C1-BADD-438E-8C04-107A6C1609EA}" name="header" dataDxfId="266">
      <calculatedColumnFormula>CONCATENATE("HCRETAPSR01A       1  00147617500000000000000111",TEXT(TODAY(),"YYMMDD"))</calculatedColumnFormula>
    </tableColumn>
    <tableColumn id="2" xr3:uid="{9844944E-9E3E-400E-A09D-DDC691AA4894}" name="detail" dataDxfId="265">
      <calculatedColumnFormula>CONCATENATE("D",MBB_CC_det_out_com[UserAccount],MBB_CC_det_out_com[CardLength],MBB_CC_det_out_com[CardNo],MBB_CC_det_out_com[Expiry],REPT("0",10-LEN(MBB_CC_det_out_com[Amount])),MBB_CC_det_out_com[Amount],MBB_CC_det_out_com[PolicyNo],REPT(" ",25-LEN(MBB_CC_det_out_com[PolicyNo])))</calculatedColumnFormula>
    </tableColumn>
    <tableColumn id="3" xr3:uid="{4137389B-C806-48B4-8B75-C089DAC90CF4}" name="footer" dataDxfId="264">
      <calculatedColumnFormula>CONCATENATE("T",(TEXT(MBB_CC_ftr_out_com[[#Totals],[Count]],"000000")),TEXT(INT(MBB_CC_ftr_out_com[[#Totals],[Sum]]),"0000000000000"))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A793CAB-4FF1-46BD-A71F-10B6A3773DA1}" name="MBB_CC_det_in" displayName="MBB_CC_det_in" ref="B7:B8" totalsRowShown="0" headerRowDxfId="263" dataDxfId="262">
  <autoFilter ref="B7:B8" xr:uid="{81E87A3D-BC0B-431D-9952-9B861335F516}"/>
  <tableColumns count="1">
    <tableColumn id="1" xr3:uid="{3DDA76B1-838E-4ED3-8E85-D8BAA9D8AB31}" name="Col1" dataDxfId="261"/>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E3803A-CD5D-417C-8200-0427E6B55DCE}" name="IL_CC_det_in" displayName="IL_CC_det_in" ref="B8:H9" totalsRowShown="0" headerRowDxfId="1195" dataDxfId="1194">
  <autoFilter ref="B8:H9" xr:uid="{5BE3401B-1B19-4D35-BB5B-E21127BF6F74}"/>
  <tableColumns count="7">
    <tableColumn id="2" xr3:uid="{3F2E2351-1548-4CD6-8AF4-EFA2098F4034}" name="CardNumber" dataDxfId="1193"/>
    <tableColumn id="4" xr3:uid="{6D84D237-19B7-4D9E-BD0E-AF4BE9ECCCD7}" name="ExpiryDate" dataDxfId="1192"/>
    <tableColumn id="5" xr3:uid="{3D5A96B2-0B81-4FEE-9DB0-108862E0F691}" name="Amount" dataDxfId="1191"/>
    <tableColumn id="7" xr3:uid="{6751A725-AADA-4002-A2B2-7E624D7A99AB}" name="PolicyNumber" dataDxfId="1190"/>
    <tableColumn id="8" xr3:uid="{890D3FCD-5558-48E0-81BD-9FA691BA9F62}" name="CardIssueBank" dataDxfId="1189"/>
    <tableColumn id="9" xr3:uid="{24C773B7-017D-4BFE-92D2-088BDE7A36CD}" name="CardFactoringHouse" dataDxfId="1188"/>
    <tableColumn id="1" xr3:uid="{EA4831D2-7941-4A83-8D6C-97E5CDBE97AD}" name="GenDate" dataDxfId="118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FFE070-63E0-4672-8E6E-D9CA95AF7202}" name="MBB_CC_det_in_com" displayName="MBB_CC_det_in_com" ref="B20:F21" totalsRowShown="0" headerRowDxfId="260" dataDxfId="259">
  <autoFilter ref="B20:F21" xr:uid="{CEC13A67-1769-4F61-8CEE-5AB73CE6B4F3}"/>
  <tableColumns count="5">
    <tableColumn id="1" xr3:uid="{14C18000-DD61-44C7-9B0E-DE489288DB05}" name="PolicyNo" dataDxfId="258">
      <calculatedColumnFormula>(MID(MBB_CC_det_in[Col1],13,9))</calculatedColumnFormula>
    </tableColumn>
    <tableColumn id="2" xr3:uid="{D610E957-1B53-4E61-940C-094A14734A7A}" name="CardNo" dataDxfId="257">
      <calculatedColumnFormula>(MID(MBB_CC_det_in[Col1],24,16))</calculatedColumnFormula>
    </tableColumn>
    <tableColumn id="3" xr3:uid="{D7F8296D-2A79-491D-99CC-7AA3F9E3943E}" name="Expiry" dataDxfId="256">
      <calculatedColumnFormula>(MID(MBB_CC_det_in[Col1],40,4))</calculatedColumnFormula>
    </tableColumn>
    <tableColumn id="4" xr3:uid="{9B6F2FB9-E891-42D0-8575-6DBD98A5492A}" name="Amount" dataDxfId="255">
      <calculatedColumnFormula>VALUE(INT((MID(MBB_CC_det_in[Col1],44,10))))</calculatedColumnFormula>
    </tableColumn>
    <tableColumn id="5" xr3:uid="{6DEBCE10-431E-4417-A554-B24246A59A77}" name="BankRespCode" dataDxfId="254">
      <calculatedColumnFormula>(MID(MBB_CC_det_in[Col1],89,3))</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78465C9-8293-47F5-8BAA-20724235C551}" name="MBB_CC_hdr_in" displayName="MBB_CC_hdr_in" ref="B11:B12" totalsRowShown="0" headerRowDxfId="253" dataDxfId="252">
  <autoFilter ref="B11:B12" xr:uid="{332D963F-BAF0-4013-AC50-FD55E76F54C6}"/>
  <tableColumns count="1">
    <tableColumn id="1" xr3:uid="{4B8A79DE-FD4C-4EA1-97F9-244FD4791051}" name="Col1" dataDxfId="251"/>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293B8A8-C464-4994-9CEC-E602BBDABCD3}" name="MBB_CC_hdr_in_com" displayName="MBB_CC_hdr_in_com" ref="B24:B25" totalsRowShown="0" headerRowDxfId="250" dataDxfId="249">
  <autoFilter ref="B24:B25" xr:uid="{2E12F6D3-7725-42A2-AF71-BA20F544C21E}"/>
  <tableColumns count="1">
    <tableColumn id="1" xr3:uid="{B6B3E86D-F1FF-4C58-841D-9F9D4651949F}" name="Date" dataDxfId="248">
      <calculatedColumnFormula>(RIGHT(MBB_CC_hdr_in[Col1],6))</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110F1F4-63FF-467E-8653-D25C5AFFFE95}" name="MBB_CC_ftr_in" displayName="MBB_CC_ftr_in" ref="B15:B16" totalsRowShown="0" headerRowDxfId="247" dataDxfId="246">
  <autoFilter ref="B15:B16" xr:uid="{013C33E3-9A1A-4CCB-BBAE-F02975B932E3}"/>
  <tableColumns count="1">
    <tableColumn id="1" xr3:uid="{A6874D07-EA01-4CC8-BE4F-F10DE61A6A36}" name="Col1" dataDxfId="245"/>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72C039F-69AA-499B-8A84-78D213AF3328}" name="MBB_CC_ftr_in_com" displayName="MBB_CC_ftr_in_com" ref="B28:C29" totalsRowShown="0" headerRowDxfId="244" dataDxfId="243">
  <autoFilter ref="B28:C29" xr:uid="{4794F75E-8843-46C8-9046-B971B260DA64}"/>
  <tableColumns count="2">
    <tableColumn id="1" xr3:uid="{A17813AD-9B49-438E-82B5-C0D82903AAEC}" name="Count" dataDxfId="242">
      <calculatedColumnFormula>INT((MID(MBB_CC_ftr_in[Col1],2,3)))</calculatedColumnFormula>
    </tableColumn>
    <tableColumn id="2" xr3:uid="{FD6806C9-110B-48A0-A7B0-28871F1A89DB}" name="Sum" dataDxfId="241">
      <calculatedColumnFormula>VALUE(INT(MID(MBB_CC_ftr_in[Col1],5,11)) &amp;"." &amp; MID(MBB_CC_ftr_in[Col1],16,2))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80A7FA9-7082-4F84-80C2-0FCDAC2FA387}" name="MBB_CC_hdr_out_com" displayName="MBB_CC_hdr_out_com" ref="B37:C38" totalsRowShown="0" headerRowDxfId="240" dataDxfId="239">
  <autoFilter ref="B37:C38" xr:uid="{461F2BA8-FDA7-482E-A943-13B49A7691FF}"/>
  <tableColumns count="2">
    <tableColumn id="1" xr3:uid="{493AEE61-BA98-485E-A6EC-5E6213A0642F}" name="fileName" dataDxfId="238">
      <calculatedColumnFormula>(CONCATENATE("MBB",TEXT(SUM(MBB_CC_hdr_out_com[currBatch],1),"0000"),".CTD"))</calculatedColumnFormula>
    </tableColumn>
    <tableColumn id="2" xr3:uid="{66ACFDFC-A50A-4718-B18B-936737D36D0B}" name="currBatch" dataDxfId="23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AE2439B-D82B-4483-99A4-E1B67FD3110D}" name="MBB_CC_ftr_out_com" displayName="MBB_CC_ftr_out_com" ref="B41:C43" totalsRowCount="1" headerRowDxfId="236" dataDxfId="235">
  <autoFilter ref="B41:C42" xr:uid="{FDD796F7-B60B-45BC-AECD-43A0DDBA3376}"/>
  <tableColumns count="2">
    <tableColumn id="1" xr3:uid="{52D7A0ED-849F-4A68-91B7-714A36EC34EB}" name="Count" totalsRowFunction="custom" dataDxfId="234" totalsRowDxfId="233">
      <totalsRowFormula>(MBB_CC_ftr_out_com[Count]+1)</totalsRowFormula>
    </tableColumn>
    <tableColumn id="2" xr3:uid="{3A33AA66-BAA1-4BE4-AA9E-D7D84A5FBCB8}" name="Sum" totalsRowFunction="custom" dataDxfId="232" totalsRowDxfId="231">
      <totalsRowFormula>(SUM(MBB_CC_ftr_out_com[Sum],MBB_CC_det_out_com[Amount]))</totalsRow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0002D1-B3D7-4784-B23A-42030B485C2F}" name="CIMB_CC_bank_config" displayName="CIMB_CC_bank_config" ref="B3:L4" totalsRowShown="0" headerRowDxfId="230" dataDxfId="229">
  <autoFilter ref="B3:L4" xr:uid="{21314FE8-B851-4D30-84C6-7CC336BE5C9F}"/>
  <tableColumns count="11">
    <tableColumn id="1" xr3:uid="{4219CAFE-48D3-4F48-9F33-CEC9F5A5D465}" name="Name" dataDxfId="228"/>
    <tableColumn id="11" xr3:uid="{53A9DEA8-CF39-4F74-B2D3-687B8C47C1D0}" name="BankCode" dataDxfId="227"/>
    <tableColumn id="2" xr3:uid="{04C58CCC-81E7-4CEC-8FF8-37A59D36D05E}" name="Delimiter" dataDxfId="226"/>
    <tableColumn id="3" xr3:uid="{7251E425-FF26-4012-B7CF-E3645691E96A}" name="HdrIdentifier" dataDxfId="225"/>
    <tableColumn id="4" xr3:uid="{D4E086C2-16A3-4375-AF74-DCDF32A754E9}" name="DetIdentifier" dataDxfId="224"/>
    <tableColumn id="5" xr3:uid="{5910DBF0-B869-46C1-B4CB-811D323AA80E}" name="FtrIdentifier" dataDxfId="223"/>
    <tableColumn id="13" xr3:uid="{2D0797D4-DFEC-4321-926B-5A08E080CE89}" name="ValidationCondition" dataDxfId="222"/>
    <tableColumn id="6" xr3:uid="{2C31C08D-B013-46EC-B53A-59E0DE17B698}" name="SrcRoutingRule" dataDxfId="221"/>
    <tableColumn id="7" xr3:uid="{4C4F9E85-3948-4248-801A-807FDB39B750}" name="Batchsize" dataDxfId="220"/>
    <tableColumn id="12" xr3:uid="{72C18BE6-283A-44C2-A031-1E72E3C08785}" name="Enabled" dataDxfId="219"/>
    <tableColumn id="8" xr3:uid="{EA3CEDDE-EF7C-4A9D-9BC4-C6B41436769C}" name="Source" dataDxfId="218"/>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A54F67-61AD-4866-9A4B-4E8AE76FD664}" name="CIMB_CC_det_out_com" displayName="CIMB_CC_det_out_com" ref="B33:I34" totalsRowShown="0" headerRowDxfId="217" dataDxfId="216">
  <autoFilter ref="B33:I34" xr:uid="{E2DDF370-468E-47C0-B78A-569DE62E6F24}"/>
  <tableColumns count="8">
    <tableColumn id="1" xr3:uid="{5CB28415-49DB-49C0-92FF-E35263B6A8A7}" name="PolicyNo" dataDxfId="215"/>
    <tableColumn id="3" xr3:uid="{CDCAA9AC-07EB-4B4E-BAEF-013B58BEE589}" name="Amount" dataDxfId="214"/>
    <tableColumn id="4" xr3:uid="{C048B689-E676-4733-B102-205542CFDB7F}" name="AmtInt" dataDxfId="213">
      <calculatedColumnFormula>TEXT(INT((CIMB_CC_det_out_com[Amount])),"00000000")</calculatedColumnFormula>
    </tableColumn>
    <tableColumn id="5" xr3:uid="{7F717955-C94C-4284-B50C-D99CA2F3C238}" name="AmtDec" dataDxfId="212">
      <calculatedColumnFormula>(RIGHT((TEXT(CIMB_CC_det_out_com[Amount]-INT(CIMB_CC_det_out_com[Amount]),"0.00")),2))</calculatedColumnFormula>
    </tableColumn>
    <tableColumn id="6" xr3:uid="{075CDCCA-A499-4E1D-B24F-D49EE868E969}" name="CardNo" dataDxfId="211"/>
    <tableColumn id="7" xr3:uid="{0C75005B-8E17-4563-8E37-47B710309861}" name="UserAccount" dataDxfId="210">
      <calculatedColumnFormula>("1" &amp; (RIGHT(REPT(" ",19) &amp; CIMB_CC_det_out_com[PolicyNo],19)))</calculatedColumnFormula>
    </tableColumn>
    <tableColumn id="8" xr3:uid="{70277B01-0C5B-4A43-A510-815AD4328586}" name="CardLength" dataDxfId="209"/>
    <tableColumn id="9" xr3:uid="{9F1EA6B3-51B9-4638-A57B-A59024DA0CDA}" name="Expiry" dataDxfId="20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7CF328B-7A98-4842-AA80-BAE86F36DFD6}" name="CIMB_CC_out" displayName="CIMB_CC_out" ref="B47:D48" totalsRowShown="0" headerRowDxfId="207" dataDxfId="206">
  <autoFilter ref="B47:D48" xr:uid="{21D75037-913A-418F-BF12-D98D4806B0AE}"/>
  <tableColumns count="3">
    <tableColumn id="1" xr3:uid="{1DBA4F1E-6B22-4BEA-BF76-F176A8B9062B}" name="header" dataDxfId="205">
      <calculatedColumnFormula>CONCATENATE("HCRETAPSR01A       1  00000115011128400000000111",TEXT(TODAY(),"YYMMDD"))</calculatedColumnFormula>
    </tableColumn>
    <tableColumn id="2" xr3:uid="{83082EEA-4CF4-45D1-B566-B6869BEE6724}" name="detail" dataDxfId="204">
      <calculatedColumnFormula>CONCATENATE("D",CIMB_CC_det_out_com[UserAccount],CIMB_CC_det_out_com[CardLength],CIMB_CC_det_out_com[CardNo],CIMB_CC_det_out_com[Expiry],REPT("0",10-LEN(CIMB_CC_det_out_com[Amount])),CIMB_CC_det_out_com[Amount],CIMB_CC_det_out_com[PolicyNo],REPT(" ",25-LEN(CIMB_CC_det_out_com[PolicyNo])))</calculatedColumnFormula>
    </tableColumn>
    <tableColumn id="3" xr3:uid="{C298F79F-E0F6-4F24-B408-A771FF73B848}" name="footer" dataDxfId="203">
      <calculatedColumnFormula>CONCATENATE("T",(TEXT(CIMB_CC_ftr_out_com[[#Totals],[Count]],"000000")),TEXT(INT(CIMB_CC_ftr_out_com[[#Totals],[Sum]]),"0000000000000"))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CF605F-08EE-4878-8B9F-EB19781924B2}" name="IL_CC_out" displayName="IL_CC_out" ref="B34:D35" totalsRowShown="0" headerRowDxfId="1186" dataDxfId="1185">
  <autoFilter ref="B34:D35" xr:uid="{043A3E4A-F587-476C-BA50-4C13BF6C1994}"/>
  <tableColumns count="3">
    <tableColumn id="1" xr3:uid="{5952831F-724E-4F57-84C1-0742E0002DBE}" name="header" dataDxfId="1184"/>
    <tableColumn id="2" xr3:uid="{D53B1BBB-6CB9-41D5-A80A-21595CB8E865}" name="detail" dataDxfId="1183">
      <calculatedColumnFormula>(IL_CC_det_out_com[CardNo]&amp;"    "&amp;"|"&amp;IL_CC_det_out_com[Expiry]&amp;"    "&amp;"|"&amp;REPT("0",17-LEN(IL_CC_det_out_com[Amount]))&amp;IL_CC_det_out_com[Amount]&amp;"|"&amp;TRIM(IL_CC_det_out_com[PolicyNo])&amp;"|"&amp;IL_CC_det_out_com[RejectCode])</calculatedColumnFormula>
    </tableColumn>
    <tableColumn id="3" xr3:uid="{2EE6D829-01B0-4DA4-A1B5-35897173E697}" name="footer" dataDxfId="1182"/>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388D805-786B-4C93-90A5-B855B93B94CB}" name="CIMB_CC_det_in" displayName="CIMB_CC_det_in" ref="B8:B9" totalsRowShown="0" headerRowDxfId="202" dataDxfId="201">
  <autoFilter ref="B8:B9" xr:uid="{C57E57F8-91A8-44BA-A639-097790DAA768}"/>
  <tableColumns count="1">
    <tableColumn id="1" xr3:uid="{667839DF-D272-44A0-B68F-4BA10FE2E569}" name="Col1" dataDxfId="20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6B8F4F5-9765-4A62-AF18-49750CFEB640}" name="CIMB_CC_det_in_com" displayName="CIMB_CC_det_in_com" ref="B20:F21" totalsRowShown="0" headerRowDxfId="199" dataDxfId="198">
  <autoFilter ref="B20:F21" xr:uid="{8E487D51-685B-49C7-B7D6-69B12ECFD875}"/>
  <tableColumns count="5">
    <tableColumn id="1" xr3:uid="{0D9E259C-7024-43D5-8468-06B0C62618BF}" name="PolicyNo" dataDxfId="197">
      <calculatedColumnFormula>(MID(CIMB_CC_det_in[Col1],13,9))</calculatedColumnFormula>
    </tableColumn>
    <tableColumn id="2" xr3:uid="{949DCD66-8653-4639-875A-121715529F39}" name="CardNo" dataDxfId="196">
      <calculatedColumnFormula>(MID(CIMB_CC_det_in[Col1],24,16))</calculatedColumnFormula>
    </tableColumn>
    <tableColumn id="3" xr3:uid="{32EC121D-22CC-429D-99C8-D743B0002C67}" name="Expiry" dataDxfId="195">
      <calculatedColumnFormula>(MID(CIMB_CC_det_in[Col1],40,4))</calculatedColumnFormula>
    </tableColumn>
    <tableColumn id="4" xr3:uid="{F45A8D99-D20E-4208-832D-A9B0C8FC02ED}" name="Amount" dataDxfId="194">
      <calculatedColumnFormula>VALUE(INT((MID(CIMB_CC_det_in[Col1],44,8)))&amp;"."&amp;MID(CIMB_CC_det_in[Col1],52,2))</calculatedColumnFormula>
    </tableColumn>
    <tableColumn id="5" xr3:uid="{9A6D2134-CF26-4D70-AA4C-DCAA3489003C}" name="BankRespCode" dataDxfId="193">
      <calculatedColumnFormula>(MID(CIMB_CC_det_in[Col1],89,3))</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5961C48-A7D2-4678-9A9C-5F351BE894B0}" name="CIMB_CC_hdr_out_com" displayName="CIMB_CC_hdr_out_com" ref="B37:C38" totalsRowShown="0" headerRowDxfId="192" dataDxfId="191">
  <autoFilter ref="B37:C38" xr:uid="{07D1685E-0DD5-4922-803A-B991D667B32D}"/>
  <tableColumns count="2">
    <tableColumn id="1" xr3:uid="{831AF1B8-2F0D-4C14-AEAF-AA80616770DA}" name="fileName" dataDxfId="190">
      <calculatedColumnFormula>(CONCATENATE("CIM",TEXT(SUM(CIMB_CC_hdr_out_com[currBatch],1),"0000"),".CTD"))</calculatedColumnFormula>
    </tableColumn>
    <tableColumn id="2" xr3:uid="{EFC3A228-D646-404B-9C2A-CED4DEE118E5}" name="currBatch" dataDxfId="18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C910820-DC3F-41F8-9F1C-A134F9705B57}" name="CIMB_CC_ftr_out_com" displayName="CIMB_CC_ftr_out_com" ref="B41:C43" totalsRowCount="1" headerRowDxfId="188" dataDxfId="187">
  <autoFilter ref="B41:C42" xr:uid="{621C3DC9-E8C9-4629-955D-A89B7A4862FC}"/>
  <tableColumns count="2">
    <tableColumn id="1" xr3:uid="{35CA95DD-F156-4486-894D-EC7CE9859A74}" name="Count" totalsRowFunction="custom" dataDxfId="186" totalsRowDxfId="185">
      <totalsRowFormula>(CIMB_CC_ftr_out_com[Count]+1)</totalsRowFormula>
    </tableColumn>
    <tableColumn id="2" xr3:uid="{B2CDDF0C-C7AF-4AC4-893C-1AF0F1A38F7E}" name="Sum" totalsRowFunction="custom" dataDxfId="184" totalsRowDxfId="183">
      <totalsRowFormula>(SUM(CIMB_CC_ftr_out_com[Sum],CIMB_CC_det_out_com[Amount]))</totalsRow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43DF137-E4C1-4CFE-B394-0E65DC583E68}" name="CIMB_CC_hdr_in" displayName="CIMB_CC_hdr_in" ref="B12:B13" totalsRowShown="0" headerRowDxfId="182" dataDxfId="181">
  <autoFilter ref="B12:B13" xr:uid="{6FE19C55-4F9C-4A0A-B37C-3C5ECA71CD4B}"/>
  <tableColumns count="1">
    <tableColumn id="1" xr3:uid="{9539CE72-572F-4FB7-9FD5-8E35A5CCFDCF}" name="Col1" dataDxfId="18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4DD985C-2608-4E3A-A489-DCD51A89FB18}" name="CIMB_CC_ftr_in" displayName="CIMB_CC_ftr_in" ref="B16:B17" totalsRowShown="0" headerRowDxfId="179" dataDxfId="178">
  <autoFilter ref="B16:B17" xr:uid="{6CC3D1C3-A65A-4364-83AC-8A67D0253C05}"/>
  <tableColumns count="1">
    <tableColumn id="1" xr3:uid="{89E3BB7F-57BB-47F5-9AEB-28E9CEC44C77}" name="Col1" dataDxfId="17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141D61A-2D47-4076-AD8A-3A1A2AD11FEB}" name="CIMB_CC_hdr_in_com" displayName="CIMB_CC_hdr_in_com" ref="B24:B25" totalsRowShown="0" headerRowDxfId="176" dataDxfId="175">
  <autoFilter ref="B24:B25" xr:uid="{4D61C52C-0D3F-478F-9E97-90B6EAFA7DC3}"/>
  <tableColumns count="1">
    <tableColumn id="1" xr3:uid="{DBBF41BD-C931-49AB-989A-674E656ACA41}" name="Date" dataDxfId="174">
      <calculatedColumnFormula>(RIGHT(CIMB_CC_hdr_in[Col1],6))</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59AB6B6-D9A5-498D-A4CD-4F114E4B6657}" name="CIMB_CC_ftr_in_com" displayName="CIMB_CC_ftr_in_com" ref="B28:C29" totalsRowShown="0" headerRowDxfId="173" dataDxfId="172">
  <autoFilter ref="B28:C29" xr:uid="{6A1EB790-26B8-4B87-BFD4-26F9E0295163}"/>
  <tableColumns count="2">
    <tableColumn id="1" xr3:uid="{CC3A5355-3928-43A3-902F-CD6327BC1D51}" name="Count" dataDxfId="171">
      <calculatedColumnFormula>INT((MID(CIMB_CC_ftr_in[Col1],2,3)))</calculatedColumnFormula>
    </tableColumn>
    <tableColumn id="2" xr3:uid="{0F714209-D7F7-4CBE-BE57-B994C96FC3E2}" name="Sum" dataDxfId="170">
      <calculatedColumnFormula>VALUE(INT(MID(CIMB_CC_ftr_in[Col1],5,11)) &amp;"." &amp; MID(CIMB_CC_ftr_in[Col1],16,2))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DB416205-B977-486D-91D5-8B3FA236DBDE}" name="SCB_CC_bank_config" displayName="SCB_CC_bank_config" ref="B3:L4" totalsRowShown="0" headerRowDxfId="169" dataDxfId="168">
  <autoFilter ref="B3:L4" xr:uid="{21314FE8-B851-4D30-84C6-7CC336BE5C9F}"/>
  <tableColumns count="11">
    <tableColumn id="1" xr3:uid="{365A8E4B-415E-40A8-93B5-F1882BA17A3E}" name="Name" dataDxfId="167"/>
    <tableColumn id="11" xr3:uid="{58209120-247E-40BC-89C5-B6628CF96621}" name="BankCode" dataDxfId="166"/>
    <tableColumn id="2" xr3:uid="{21AF4C4E-6DA0-4EB1-AF27-FE5DA591E71C}" name="Delimiter" dataDxfId="165"/>
    <tableColumn id="3" xr3:uid="{641EB017-D787-43CC-B2A3-166725D21295}" name="HdrIdentifier" dataDxfId="164"/>
    <tableColumn id="4" xr3:uid="{B8BAD1F3-7364-4598-A8ED-2353911CAD4D}" name="DetIdentifier" dataDxfId="163"/>
    <tableColumn id="5" xr3:uid="{988B371E-57B4-4173-830E-76BFF15FCAAF}" name="FtrIdentifier" dataDxfId="162"/>
    <tableColumn id="13" xr3:uid="{BD7B837E-A463-4BB4-B1C6-736F7507EE0D}" name="ValidationCondition" dataDxfId="161"/>
    <tableColumn id="6" xr3:uid="{40FF28B4-02F5-4D4E-81B4-5175B7283F22}" name="SrcRoutingRule" dataDxfId="160"/>
    <tableColumn id="7" xr3:uid="{722C1BC2-8DAB-4ADB-B80B-6B9A1B9EB59D}" name="Batchsize" dataDxfId="159"/>
    <tableColumn id="12" xr3:uid="{410FE0BE-16F8-442E-8736-7C3E93B40329}" name="Enabled" dataDxfId="158"/>
    <tableColumn id="8" xr3:uid="{4666D9AA-76F4-417B-BA82-43AA43122E38}" name="Source" dataDxfId="157"/>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FAD2DB54-C7EB-4FB0-A2AC-03866B70C1D2}" name="SCB_CC_det_out_com" displayName="SCB_CC_det_out_com" ref="B33:H34" totalsRowShown="0" headerRowDxfId="156" dataDxfId="155">
  <autoFilter ref="B33:H34" xr:uid="{E2DDF370-468E-47C0-B78A-569DE62E6F24}"/>
  <tableColumns count="7">
    <tableColumn id="1" xr3:uid="{1C0FF42E-04D0-4906-B3C9-2321F4BDBBFE}" name="TransNumber" dataDxfId="154"/>
    <tableColumn id="3" xr3:uid="{7F05FBF1-D2A8-4EE9-8937-7C462D07DA30}" name="SeqNumber" dataDxfId="153"/>
    <tableColumn id="4" xr3:uid="{D041A32A-CC3C-4642-B0CD-0E10533CFF11}" name="CardNo" dataDxfId="152"/>
    <tableColumn id="5" xr3:uid="{4B443109-63EA-4885-B06F-98F5C10E163F}" name="Amount" dataDxfId="151"/>
    <tableColumn id="8" xr3:uid="{48E4A2C6-44A5-4DCD-883B-23B69C0DC4DF}" name="PolicyNo" dataDxfId="150"/>
    <tableColumn id="2" xr3:uid="{E0AF9F8A-4AE2-49C5-BEC2-D45AA4C27B2A}" name="ExpenseDate" dataDxfId="149"/>
    <tableColumn id="6" xr3:uid="{A5BDAE7F-9DCA-41D5-A929-69589D639AC1}" name="ExpiryDate" dataDxfId="14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63B470E-E7B8-4569-A248-CED2D2EFA23D}" name="IL_CC_det_out_com" displayName="IL_CC_det_out_com" ref="B19:H20" totalsRowShown="0" headerRowDxfId="1181" dataDxfId="1180">
  <autoFilter ref="B19:H20" xr:uid="{FCD234A2-9E44-463C-A4B5-F007B3158E22}"/>
  <tableColumns count="7">
    <tableColumn id="1" xr3:uid="{FE01827D-7357-4325-B9E6-15DFB87414FE}" name="PolicyNo" dataDxfId="1179"/>
    <tableColumn id="2" xr3:uid="{136A713F-8FB4-43D7-A719-F90FF86789A0}" name="Amount" dataDxfId="1178"/>
    <tableColumn id="3" xr3:uid="{667DBDC8-A923-47B8-9253-88CE800B3D88}" name="CardNo" dataDxfId="1177"/>
    <tableColumn id="8" xr3:uid="{FD1D7B75-2073-4EC0-BD89-BA31309DD3C6}" name="Expiry" dataDxfId="1176"/>
    <tableColumn id="6" xr3:uid="{DC92710D-0079-47FB-9D1B-4FCD50601029}" name="BankRespCode" dataDxfId="1175"/>
    <tableColumn id="4" xr3:uid="{BBA71894-46DE-43F6-BA5F-414F406D82AD}" name="RejectCode" dataDxfId="1174">
      <calculatedColumnFormula>VLOOKUP(IL_CC_src_config[Source]&amp;"_"&amp;IL_CC_det_out_com[BankRespCode], IL_BankRejectCodeMap[[BankCode]:[RejectCode]],2,FALSE)</calculatedColumnFormula>
    </tableColumn>
    <tableColumn id="5" xr3:uid="{4CE274FB-6318-4A4D-AC40-A8CE125AB346}" name="RejectReason" dataDxfId="1173">
      <calculatedColumnFormula>VLOOKUP(IL_CC_det_out_com[RejectCode],RejectCodeMap[[RejectCode]:[RejectDesc]],2,FALSE)</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0854F51-3B57-4533-872E-FDB6D06182CE}" name="SCB_CC_out" displayName="SCB_CC_out" ref="B47:D48" totalsRowShown="0" headerRowDxfId="147" dataDxfId="146">
  <autoFilter ref="B47:D48" xr:uid="{21D75037-913A-418F-BF12-D98D4806B0AE}"/>
  <tableColumns count="3">
    <tableColumn id="1" xr3:uid="{5B1CEA38-90A8-4C55-844A-78C6BD910DEE}" name="header" dataDxfId="145">
      <calculatedColumnFormula>CONCATENATE("H",SCB_CC_hdr_out_com[trrnno],"001","010170845","Prudential-Takaful","5960",REPT("0",4-LEN(SCB_CC_ftr_out_com[[#Totals],[Count]])),SCB_CC_ftr_out_com[[#Totals],[Count]],REPT("0",13-LEN(SCB_CC_ftr_out_com[[#Totals],[Sum]])),SCB_CC_ftr_out_com[[#Totals],[Sum]],"N",REPT(" ",20),"458","000000000000","          ")</calculatedColumnFormula>
    </tableColumn>
    <tableColumn id="2" xr3:uid="{BFC028FC-908E-472A-9EB0-84E1B18E273E}" name="detail" dataDxfId="144">
      <calculatedColumnFormula>CONCATENATE("T",SCB_CC_det_out_com[TransNumber],SCB_CC_det_out_com[SeqNumber],"40",SCB_CC_det_out_com[ExpiryDate],REPT("0",10-LEN(SCB_CC_det_out_com[Amount])),SCB_CC_det_out_com[Amount],SCB_CC_det_out_com[PolicyNo],REPT(" ",25-LEN(SCB_CC_det_out_com[PolicyNo])),"01","          ","000000000000","95701499")</calculatedColumnFormula>
    </tableColumn>
    <tableColumn id="3" xr3:uid="{465E8E01-204D-4041-A11E-039A1616658F}" name="footer" dataDxfId="143">
      <calculatedColumnFormula>CONCATENATE("R","001",REPT("0",5-LEN(SCB_CC_ftr_out_com[[#Totals],[Count]])),SCB_CC_ftr_out_com[[#Totals],[Count]],REPT("0",13-LEN(SCB_CC_ftr_out_com[[#Totals],[Sum]])),SCB_CC_ftr_out_com[[#Totals],[Sum]],REPT(" ",83))</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275F8435-D03F-45EC-9067-C952D79AE983}" name="SCB_CC_det_in" displayName="SCB_CC_det_in" ref="B8:B9" totalsRowShown="0" headerRowDxfId="142" dataDxfId="141">
  <autoFilter ref="B8:B9" xr:uid="{C57E57F8-91A8-44BA-A639-097790DAA768}"/>
  <tableColumns count="1">
    <tableColumn id="1" xr3:uid="{8FB0D5A8-1209-4D37-9DE2-DAABBB3B8373}" name="Col1" dataDxfId="14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D9909B39-F511-4269-A521-A4E6DDA753BD}" name="SCB_CC_det_in_com" displayName="SCB_CC_det_in_com" ref="B20:F21" totalsRowShown="0" headerRowDxfId="139" dataDxfId="138">
  <autoFilter ref="B20:F21" xr:uid="{8E487D51-685B-49C7-B7D6-69B12ECFD875}"/>
  <tableColumns count="5">
    <tableColumn id="1" xr3:uid="{BEEEE8B6-C3BB-45DF-963D-F3910833A015}" name="PolicyNo" dataDxfId="137">
      <calculatedColumnFormula>(MID(SCB_CC_det_in[Col1],45,15))</calculatedColumnFormula>
    </tableColumn>
    <tableColumn id="2" xr3:uid="{74B94133-C103-4ECC-96B3-B0013E715399}" name="CardNo" dataDxfId="136">
      <calculatedColumnFormula>(MID(SCB_CC_det_in[Col1],7,19))</calculatedColumnFormula>
    </tableColumn>
    <tableColumn id="3" xr3:uid="{8AC6BEC2-EECE-4DFD-A6C1-628FBD16ADAF}" name="Expiry" dataDxfId="135">
      <calculatedColumnFormula>(MID(SCB_CC_det_in[Col1],26,4))</calculatedColumnFormula>
    </tableColumn>
    <tableColumn id="4" xr3:uid="{8C594AF7-B6C1-4550-B55F-2E540DD4067C}" name="Amount" dataDxfId="134">
      <calculatedColumnFormula>(MID(SCB_CC_det_in[Col1],30,13))</calculatedColumnFormula>
    </tableColumn>
    <tableColumn id="5" xr3:uid="{F08C09B9-3991-4A76-95F9-32579D9071C6}" name="BankRespCode" dataDxfId="133">
      <calculatedColumnFormula>(MID(SCB_CC_det_in[Col1],43,2))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D3C15AA-5E85-4E57-9C3C-656456DC76C6}" name="SCB_CC_hdr_out_com" displayName="SCB_CC_hdr_out_com" ref="B37:F38" totalsRowShown="0" headerRowDxfId="132" dataDxfId="131">
  <autoFilter ref="B37:F38" xr:uid="{07D1685E-0DD5-4922-803A-B991D667B32D}"/>
  <tableColumns count="5">
    <tableColumn id="7" xr3:uid="{F3731171-9D63-4E14-B8B2-86409E952F20}" name="Amount" dataDxfId="130"/>
    <tableColumn id="1" xr3:uid="{A5ED5223-DE5B-4526-B6A7-02B820F4E5AB}" name="fileName" dataDxfId="129">
      <calculatedColumnFormula>("PT" &amp; TEXT(SCB_CC_hdr_out_com[Amount],"DDMMYY")&amp; TEXT(SUM(SCB_CC_hdr_out_com[currBatch],1),"00") &amp;".DAT")</calculatedColumnFormula>
    </tableColumn>
    <tableColumn id="2" xr3:uid="{FAA7D43E-B720-45EE-B988-979096F3E5EF}" name="currBatch" dataDxfId="128"/>
    <tableColumn id="5" xr3:uid="{926AA64F-501A-4ABD-AC36-874EFB684860}" name="Count" dataDxfId="127"/>
    <tableColumn id="3" xr3:uid="{41429B5F-F624-4AC6-87C8-590F1370DB73}" name="trrnno" dataDxfId="126">
      <calculatedColumnFormula>SCB_CC_det_out_com[TransNumber]</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7E020B84-4CEA-4D4A-9984-D2E3621276C2}" name="SCB_CC_ftr_out_com" displayName="SCB_CC_ftr_out_com" ref="B41:C43" totalsRowCount="1" headerRowDxfId="125" dataDxfId="124">
  <autoFilter ref="B41:C42" xr:uid="{621C3DC9-E8C9-4629-955D-A89B7A4862FC}"/>
  <tableColumns count="2">
    <tableColumn id="1" xr3:uid="{85B600B8-C27E-4849-91E8-D1973A36704C}" name="Count" totalsRowFunction="custom" dataDxfId="123" totalsRowDxfId="122">
      <totalsRowFormula>(SCB_CC_ftr_out_com[Count]+1)</totalsRowFormula>
    </tableColumn>
    <tableColumn id="2" xr3:uid="{B99D8631-97F5-4201-A942-7105E55B2DD1}" name="Sum" totalsRowFunction="custom" dataDxfId="121" totalsRowDxfId="120">
      <totalsRowFormula>(SUM(SCB_CC_ftr_out_com[Sum],SCB_CC_det_out_com[Amount]))</totalsRow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29EE6FE8-0C1B-47F2-9717-5E068C356F2E}" name="SCB_CC_hdr_in" displayName="SCB_CC_hdr_in" ref="B12:B13" totalsRowShown="0" headerRowDxfId="119" dataDxfId="118">
  <autoFilter ref="B12:B13" xr:uid="{6FE19C55-4F9C-4A0A-B37C-3C5ECA71CD4B}"/>
  <tableColumns count="1">
    <tableColumn id="1" xr3:uid="{95FE4B20-B4EC-43BD-B1B1-ABE572773A5B}" name="Col1" dataDxfId="11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8C22249-CE7A-4F77-9CC3-8C5437A56405}" name="SCB_CC_ftr_in" displayName="SCB_CC_ftr_in" ref="B16:B17" totalsRowShown="0" headerRowDxfId="116" dataDxfId="115">
  <autoFilter ref="B16:B17" xr:uid="{6CC3D1C3-A65A-4364-83AC-8A67D0253C05}"/>
  <tableColumns count="1">
    <tableColumn id="1" xr3:uid="{B51A8943-0CE2-4FC4-BE67-C78CD8593D3E}" name="Col1" dataDxfId="114"/>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5DF5450F-AA58-40A5-9676-EF5553578182}" name="SCB_CC_hdr_in_com" displayName="SCB_CC_hdr_in_com" ref="B24:B25" totalsRowShown="0" headerRowDxfId="113" dataDxfId="112">
  <autoFilter ref="B24:B25" xr:uid="{4D61C52C-0D3F-478F-9E97-90B6EAFA7DC3}"/>
  <tableColumns count="1">
    <tableColumn id="1" xr3:uid="{D9B72F39-DB9D-4D04-A860-78ADA98B8CA9}" name="Date" dataDxfId="111"/>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FF6659D-6DA8-4888-9EA7-72BD3B6D959F}" name="SCB_CC_ftr_in_com" displayName="SCB_CC_ftr_in_com" ref="B28:C29" totalsRowShown="0" headerRowDxfId="110" dataDxfId="109">
  <autoFilter ref="B28:C29" xr:uid="{6A1EB790-26B8-4B87-BFD4-26F9E0295163}"/>
  <tableColumns count="2">
    <tableColumn id="1" xr3:uid="{8461BE0A-F8C0-42A5-88AF-668822FFA275}" name="Count" dataDxfId="108"/>
    <tableColumn id="2" xr3:uid="{0FB4A4B2-02BD-4922-B5D5-8BA9543C4AEE}" name="Sum" dataDxfId="107"/>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E6EEB7-CBAC-40C5-A816-EDF80C30AB23}" name="Biro_DD_bank_config" displayName="Biro_DD_bank_config" ref="B3:L4" totalsRowShown="0" headerRowDxfId="106" dataDxfId="105">
  <autoFilter ref="B3:L4" xr:uid="{B7CD034E-6A1F-44F8-B168-94E858A13514}"/>
  <tableColumns count="11">
    <tableColumn id="1" xr3:uid="{7AB07387-E0CE-499E-A68C-20BAE32A74BE}" name="Name" dataDxfId="104"/>
    <tableColumn id="11" xr3:uid="{4ECF0D69-9C80-4DEA-9D13-E034F3FA38C6}" name="BankCode" dataDxfId="103"/>
    <tableColumn id="2" xr3:uid="{CEECDE85-D6C0-40B0-9336-29BD90290CB6}" name="Delimiter" dataDxfId="102"/>
    <tableColumn id="3" xr3:uid="{A6EB6EF1-8203-4BD2-8D82-0D0A2F4B9DA9}" name="HdrIdentifier" dataDxfId="101"/>
    <tableColumn id="4" xr3:uid="{540D4A94-9F4A-4CC4-AFB7-435AAA078F70}" name="DetIdentifier" dataDxfId="100"/>
    <tableColumn id="5" xr3:uid="{C0011C44-59C4-4557-AD2E-BBF731A9E797}" name="FtrIdentifier" dataDxfId="99"/>
    <tableColumn id="13" xr3:uid="{540DCC86-4E66-4DCA-9040-643CB4B8D6D2}" name="ValidationCondition" dataDxfId="98"/>
    <tableColumn id="14" xr3:uid="{DC299544-00B6-4028-A4B0-A0BDF30A0937}" name="SrcRoutingRule" dataDxfId="97"/>
    <tableColumn id="7" xr3:uid="{38A8F857-8D53-4BCB-BFF9-A2631FDC0F4D}" name="Batchsize" dataDxfId="96"/>
    <tableColumn id="12" xr3:uid="{0688C96E-F20F-4917-9B71-226BC0681CDC}" name="Enabled" dataDxfId="95"/>
    <tableColumn id="8" xr3:uid="{70C79A82-F121-420C-BA75-BC00522743C1}" name="Source" dataDxfId="94"/>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0F8B8C5-EE11-46D9-9F43-23D268AD97A9}" name="IL_CC_ftr_out_com" displayName="IL_CC_ftr_out_com" ref="B29:C31" insertRow="1" totalsRowCount="1" headerRowDxfId="1172" dataDxfId="1171">
  <autoFilter ref="B29:C30" xr:uid="{267FB33D-956D-4516-92CD-81F87A602CF7}"/>
  <tableColumns count="2">
    <tableColumn id="1" xr3:uid="{B7E043C0-343B-436D-B509-57B1A6F4B71A}" name="Count" totalsRowFunction="custom" dataDxfId="1170" totalsRowDxfId="1169">
      <totalsRowFormula>(IL_CC_ftr_out_com[Count]+1)</totalsRowFormula>
    </tableColumn>
    <tableColumn id="2" xr3:uid="{8854D47C-DC2B-4946-8E4E-636635FE8FB6}" name="Sum" totalsRowFunction="custom" dataDxfId="1168" totalsRowDxfId="1167">
      <totalsRowFormula>(SUM(IL_CC_det_out_com[Amount],IL_CC_ftr_out_com[Sum]))</totalsRow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F57875BD-F13C-4EB0-9BE3-1920F20D1B72}" name="Biro_DD_det_in" displayName="Biro_DD_det_in" ref="B7:C8" totalsRowShown="0" headerRowDxfId="93" dataDxfId="92">
  <autoFilter ref="B7:C8" xr:uid="{81E87A3D-BC0B-431D-9952-9B861335F516}"/>
  <tableColumns count="2">
    <tableColumn id="1" xr3:uid="{B892022C-D405-4A48-A075-99F9CFAC5088}" name="Col1" dataDxfId="91"/>
    <tableColumn id="2" xr3:uid="{1875DD66-50FD-437A-BBB2-6918BFD10993}" name="Col2" dataDxfId="9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7C16CC6B-B97A-45CA-8C66-3553B7981AD8}" name="Biro_DD_det_in_com" displayName="Biro_DD_det_in_com" ref="B13:H14" totalsRowShown="0" headerRowDxfId="89" dataDxfId="88">
  <autoFilter ref="B13:H14" xr:uid="{CEC13A67-1769-4F61-8CEE-5AB73CE6B4F3}"/>
  <tableColumns count="7">
    <tableColumn id="1" xr3:uid="{27001DF1-3B28-45D3-BA39-F66020FE18B1}" name="PolicyNo" dataDxfId="87">
      <calculatedColumnFormula>TRIM((MID(Biro_DD_det_in[Col1],20,10)))</calculatedColumnFormula>
    </tableColumn>
    <tableColumn id="4" xr3:uid="{F440D488-BFE1-4F1E-8BB6-D06B9F9C45AD}" name="Amount" dataDxfId="86">
      <calculatedColumnFormula>VALUE((MID(Biro_DD_det_in[Col1],49,7)))</calculatedColumnFormula>
    </tableColumn>
    <tableColumn id="5" xr3:uid="{70F4A636-ED91-4263-A8F6-9083D4FC3E3E}" name="EmpNo" dataDxfId="85">
      <calculatedColumnFormula>TRIM((MID(Biro_DD_det_in[Col1],68,10)))</calculatedColumnFormula>
    </tableColumn>
    <tableColumn id="2" xr3:uid="{305DC0A5-C429-4F3F-972C-A18C2CDEC843}" name="CustomerName" dataDxfId="84">
      <calculatedColumnFormula>TRIM((MID(Biro_DD_det_in[Col2],56,35)))</calculatedColumnFormula>
    </tableColumn>
    <tableColumn id="3" xr3:uid="{BC1A42B0-E93D-4F70-AD9A-E413E24A88C7}" name="NewICNo" dataDxfId="83">
      <calculatedColumnFormula>TRIM((MID(Biro_DD_det_in[Col1],3,12)))</calculatedColumnFormula>
    </tableColumn>
    <tableColumn id="6" xr3:uid="{B873D644-9263-463D-AD30-5AAB72620398}" name="OldICNo" dataDxfId="82">
      <calculatedColumnFormula>TRIM((MID(Biro_DD_det_in[Col1],91,10)))</calculatedColumnFormula>
    </tableColumn>
    <tableColumn id="7" xr3:uid="{7A2EC671-7D20-453F-8A87-37FEB6033B9D}" name="Deduperiod" dataDxfId="81">
      <calculatedColumnFormula>(MID(Biro_DD_det_in[Col1],32,6))</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46C308B-D77C-408F-994F-949857F8368E}" name="RoutingRule" displayName="RoutingRule" ref="B3:C50" totalsRowShown="0">
  <autoFilter ref="B3:C50" xr:uid="{ECA5FCF0-84AF-43E7-B195-AAD1ADA9AC67}"/>
  <tableColumns count="2">
    <tableColumn id="1" xr3:uid="{30211CBE-76BF-4BF8-8AAC-82E413A29CF0}" name="FactoringHouse"/>
    <tableColumn id="2" xr3:uid="{2EEFA04C-1CFB-4E15-819D-D9395FE1A955}" name="Bank"/>
  </tableColumns>
  <tableStyleInfo name="TableStyleLight1"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3952E8D-13DE-4D15-AF35-0AC5E6C38FE6}" name="CIMB_out_expected" displayName="CIMB_out_expected" ref="B4:E5" totalsRowShown="0" headerRowDxfId="71" dataDxfId="70">
  <autoFilter ref="B4:E5" xr:uid="{57A08381-8B31-4868-888A-BBA194902A9C}"/>
  <tableColumns count="4">
    <tableColumn id="1" xr3:uid="{6CC21237-F50F-4127-9F4D-0F16B76D6AB6}" name="header" dataDxfId="69"/>
    <tableColumn id="2" xr3:uid="{F27D9F2B-7C9B-4EFC-BC1B-364782A1577E}" name="detail" dataDxfId="68"/>
    <tableColumn id="3" xr3:uid="{90AC0BFD-B46E-4600-8571-11092DBADA6C}" name="footer" dataDxfId="67">
      <calculatedColumnFormula>CONCATENATE("T",(TEXT(CIMB_CC_ftr_out_com[[#Totals],[Count]],"000000")),TEXT(INT(CIMB_CC_ftr_out_com[[#Totals],[Sum]]),"00000000000"),RIGHT((TEXT(MOD(MBB_CC_ftr_out_com[[#Totals],[Sum]],1),"0.00")),2))</calculatedColumnFormula>
    </tableColumn>
    <tableColumn id="4" xr3:uid="{07CD807B-44CD-4A63-A438-99470785DA43}" name="IsPass" dataDxfId="66">
      <calculatedColumnFormula>IF(AND(CIMB_CC_out[detail] = CIMB_out_expected[detail],CIMB_CC_out[header] = CIMB_out_expected[header],CIMB_CC_out[footer] = CIMB_out_expected[footer]),"PASS","FAIL")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A34813F-65F3-4596-810D-0C7DFBB11A81}" name="MBB_out_expected" displayName="MBB_out_expected" ref="B9:E10" totalsRowShown="0" headerRowDxfId="65" dataDxfId="64">
  <autoFilter ref="B9:E10" xr:uid="{3BD72CBA-4C87-4C6C-8E84-CE0AE10672D4}"/>
  <tableColumns count="4">
    <tableColumn id="1" xr3:uid="{67219B1B-DC54-49BF-9622-259AA53F849E}" name="header" dataDxfId="63"/>
    <tableColumn id="2" xr3:uid="{3B5588CC-F2AA-44EA-B73E-B74DC35E41AD}" name="detail" dataDxfId="62"/>
    <tableColumn id="3" xr3:uid="{E20A7C8C-DE4C-43F5-985B-F8BC5DF7D2C4}" name="footer" dataDxfId="61"/>
    <tableColumn id="4" xr3:uid="{9DD71909-5986-4F5E-B20E-49E6FE9774BE}" name="IsPass" dataDxfId="60">
      <calculatedColumnFormula>IF(AND(MBB_CC_out[detail] = MBB_out_expected[detail],MBB_CC_out[header] = MBB_out_expected[header],MBB_CC_out[footer] = MBB_out_expected[footer]),"PASS","FAIL")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CD8A2D7-954B-4B90-B951-37D87F487360}" name="IL_out_expected" displayName="IL_out_expected" ref="I4:L5" totalsRowShown="0" headerRowDxfId="59" dataDxfId="58">
  <autoFilter ref="I4:L5" xr:uid="{F46BFBDB-D752-4BC6-992B-606F379E7A7B}"/>
  <tableColumns count="4">
    <tableColumn id="1" xr3:uid="{57DA1C25-707E-4C53-AFE6-BCF1BA0104FC}" name="header" dataDxfId="57">
      <calculatedColumnFormula>("H|" &amp; TEXT(#REF!,"YYYYMMDD"))</calculatedColumnFormula>
    </tableColumn>
    <tableColumn id="2" xr3:uid="{90FED356-3D78-4334-9EF5-3B28A6764414}" name="detail" dataDxfId="56">
      <calculatedColumnFormula>("D|" &amp; IL_CC_det_out_com[Amount] &amp; "|RM|" &amp; IL_CC_det_out_com[PolicyNo] &amp; "|" &amp;#REF! &amp; "|" &amp; IL_CC_det_out_com[RejectCode] &amp;"|"&amp;IL_CC_det_out_com[RejectReason])</calculatedColumnFormula>
    </tableColumn>
    <tableColumn id="3" xr3:uid="{9624D9A4-2593-4E4A-AB78-17E81FBD03AD}" name="footer" dataDxfId="55">
      <calculatedColumnFormula>("T|"&amp; IL_CC_ftr_out_com[[#Totals],[Count]]&amp;"|" &amp; IL_CC_ftr_out_com[[#Totals],[Sum]])</calculatedColumnFormula>
    </tableColumn>
    <tableColumn id="4" xr3:uid="{4135E8B0-12C5-4E06-A52B-20B26C2D6E63}" name="IsPass" dataDxfId="54">
      <calculatedColumnFormula>IF(AND(IL_CC_out[detail] = IL_out_expected[detail],IL_CC_out[header] = IL_out_expected[header],IL_CC_out[footer] = IL_out_expected[footer]),"PASS","FAIL")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E99B1822-8E6D-4CF4-820C-A410099EECDE}" name="CIMB_out_expected3738176" displayName="CIMB_out_expected3738176" ref="B4:E5" totalsRowShown="0" headerRowDxfId="44" dataDxfId="43">
  <autoFilter ref="B4:E5" xr:uid="{57A08381-8B31-4868-888A-BBA194902A9C}"/>
  <tableColumns count="4">
    <tableColumn id="1" xr3:uid="{6CC21237-F50F-4127-9F4D-0F16B76D6AB6}" name="header" dataDxfId="42"/>
    <tableColumn id="2" xr3:uid="{F27D9F2B-7C9B-4EFC-BC1B-364782A1577E}" name="detail" dataDxfId="41"/>
    <tableColumn id="3" xr3:uid="{90AC0BFD-B46E-4600-8571-11092DBADA6C}" name="footer" dataDxfId="40">
      <calculatedColumnFormula>CONCATENATE("T",(TEXT(#REF!,"000000")),TEXT(INT(#REF!),"00000000000"),RIGHT((TEXT(MOD(#REF!,1),"0.00")),2))</calculatedColumnFormula>
    </tableColumn>
    <tableColumn id="4" xr3:uid="{07CD807B-44CD-4A63-A438-99470785DA43}" name="IsPass" dataDxfId="39">
      <calculatedColumnFormula>IF(AND(#REF! = CIMB_out_expected3738176[detail],#REF! = CIMB_out_expected3738176[header],#REF! = CIMB_out_expected3738176[footer]),"PASS","FAIL")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C409068C-28CF-4F41-AAFC-F78333D26EB2}" name="MBB_out_expected37177" displayName="MBB_out_expected37177" ref="B9:E10" totalsRowShown="0" headerRowDxfId="38" dataDxfId="37">
  <autoFilter ref="B9:E10" xr:uid="{3BD72CBA-4C87-4C6C-8E84-CE0AE10672D4}"/>
  <tableColumns count="4">
    <tableColumn id="1" xr3:uid="{67219B1B-DC54-49BF-9622-259AA53F849E}" name="header" dataDxfId="36"/>
    <tableColumn id="2" xr3:uid="{3B5588CC-F2AA-44EA-B73E-B74DC35E41AD}" name="detail" dataDxfId="35"/>
    <tableColumn id="3" xr3:uid="{E20A7C8C-DE4C-43F5-985B-F8BC5DF7D2C4}" name="footer" dataDxfId="34"/>
    <tableColumn id="4" xr3:uid="{9DD71909-5986-4F5E-B20E-49E6FE9774BE}" name="IsPass" dataDxfId="33">
      <calculatedColumnFormula>IF(AND(#REF! = MBB_out_expected37177[detail],#REF! = MBB_out_expected37177[header],#REF! = MBB_out_expected37177[footer]),"PASS","FAIL")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7F8BD2B7-E520-4372-A846-AF57C595887A}" name="IL_out_expected178" displayName="IL_out_expected178" ref="I4:L5" totalsRowShown="0" headerRowDxfId="32" dataDxfId="31">
  <autoFilter ref="I4:L5" xr:uid="{F46BFBDB-D752-4BC6-992B-606F379E7A7B}"/>
  <tableColumns count="4">
    <tableColumn id="1" xr3:uid="{57DA1C25-707E-4C53-AFE6-BCF1BA0104FC}" name="header" dataDxfId="30">
      <calculatedColumnFormula>("H|" &amp; TEXT(#REF!,"YYYYMMDD"))</calculatedColumnFormula>
    </tableColumn>
    <tableColumn id="2" xr3:uid="{90FED356-3D78-4334-9EF5-3B28A6764414}" name="detail" dataDxfId="29">
      <calculatedColumnFormula>("D|" &amp;#REF! &amp; "|RM|" &amp;#REF! &amp; "|" &amp;#REF! &amp; "|" &amp;#REF! &amp;"|"&amp;#REF!)</calculatedColumnFormula>
    </tableColumn>
    <tableColumn id="3" xr3:uid="{9624D9A4-2593-4E4A-AB78-17E81FBD03AD}" name="footer" dataDxfId="28">
      <calculatedColumnFormula>("T|" &amp;#REF!&amp;"|" &amp;#REF!)</calculatedColumnFormula>
    </tableColumn>
    <tableColumn id="4" xr3:uid="{4135E8B0-12C5-4E06-A52B-20B26C2D6E63}" name="IsPass" dataDxfId="27">
      <calculatedColumnFormula>IF(AND(#REF! = IL_out_expected178[detail],#REF! = IL_out_expected178[header],#REF! = IL_out_expected178[footer]),"PASS","FAIL")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918C5A75-700A-419C-8F05-734CA29CBDA7}" name="CIMB_out_expected3738265" displayName="CIMB_out_expected3738265" ref="B4:E5" totalsRowShown="0" headerRowDxfId="17" dataDxfId="16">
  <autoFilter ref="B4:E5" xr:uid="{57A08381-8B31-4868-888A-BBA194902A9C}"/>
  <tableColumns count="4">
    <tableColumn id="1" xr3:uid="{6CC21237-F50F-4127-9F4D-0F16B76D6AB6}" name="header" dataDxfId="15"/>
    <tableColumn id="2" xr3:uid="{F27D9F2B-7C9B-4EFC-BC1B-364782A1577E}" name="detail" dataDxfId="14"/>
    <tableColumn id="3" xr3:uid="{90AC0BFD-B46E-4600-8571-11092DBADA6C}" name="footer" dataDxfId="13">
      <calculatedColumnFormula>CONCATENATE("T",(TEXT(CIMB_DD_ftr_out_com[[#Totals],[Count]],"000000")),TEXT(INT(CIMB_DD_ftr_out_com[[#Totals],[Sum]]),"00000000000"),RIGHT((TEXT(MOD(MBB_DD_ftr_out_com[[#Totals],[Sum]],1),"0.00")),2))</calculatedColumnFormula>
    </tableColumn>
    <tableColumn id="4" xr3:uid="{07CD807B-44CD-4A63-A438-99470785DA43}" name="IsPass" dataDxfId="12">
      <calculatedColumnFormula>IF(AND(CIMB_DD_out[detail] = CIMB_out_expected3738265[detail],CIMB_DD_out[header] = CIMB_out_expected3738265[header],CIMB_DD_out[footer] = CIMB_out_expected3738265[footer]),"PASS","FAIL")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24F9E04-7C09-4970-9A03-FC5A9053387A}" name="IL_CC_hdr_out_com" displayName="IL_CC_hdr_out_com" ref="B24:C25" totalsRowShown="0" headerRowDxfId="1166" dataDxfId="1165">
  <autoFilter ref="B24:C25" xr:uid="{8D011FFA-A8DB-4A9C-AB03-4A8E6215A654}"/>
  <tableColumns count="2">
    <tableColumn id="1" xr3:uid="{13EC8FE4-5767-4280-AD65-4AB9A07395DB}" name="fileName" dataDxfId="1164">
      <calculatedColumnFormula>CONCATENATE("CCRECEIPT","_",TEXT(TODAY(),"YYYYMMDD"),".txt")</calculatedColumnFormula>
    </tableColumn>
    <tableColumn id="2" xr3:uid="{D41FBCA7-50C4-4754-B649-F1A527DBC153}" name="currBatch" dataDxfId="116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B1DC71B2-9C36-4BE3-8C23-0817193CA4C3}" name="MBB_out_expected37266" displayName="MBB_out_expected37266" ref="B9:E10" totalsRowShown="0" headerRowDxfId="11" dataDxfId="10">
  <autoFilter ref="B9:E10" xr:uid="{3BD72CBA-4C87-4C6C-8E84-CE0AE10672D4}"/>
  <tableColumns count="4">
    <tableColumn id="1" xr3:uid="{67219B1B-DC54-49BF-9622-259AA53F849E}" name="header" dataDxfId="9"/>
    <tableColumn id="2" xr3:uid="{3B5588CC-F2AA-44EA-B73E-B74DC35E41AD}" name="detail" dataDxfId="8"/>
    <tableColumn id="3" xr3:uid="{E20A7C8C-DE4C-43F5-985B-F8BC5DF7D2C4}" name="footer" dataDxfId="7"/>
    <tableColumn id="4" xr3:uid="{9DD71909-5986-4F5E-B20E-49E6FE9774BE}" name="IsPass" dataDxfId="6">
      <calculatedColumnFormula>IF(AND(MBB_DD_out[detail] = MBB_out_expected37266[detail],MBB_DD_out[header] = MBB_out_expected37266[header],MBB_DD_out[footer] = MBB_out_expected37266[footer]),"PASS","FAIL")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3774FB10-63EA-48DF-A35F-BA686BAF3985}" name="IL_out_expected267" displayName="IL_out_expected267" ref="I4:L5" totalsRowShown="0" headerRowDxfId="5" dataDxfId="4">
  <autoFilter ref="I4:L5" xr:uid="{F46BFBDB-D752-4BC6-992B-606F379E7A7B}"/>
  <tableColumns count="4">
    <tableColumn id="1" xr3:uid="{57DA1C25-707E-4C53-AFE6-BCF1BA0104FC}" name="header" dataDxfId="3">
      <calculatedColumnFormula>("H|" &amp; TEXT(#REF!,"YYYYMMDD"))</calculatedColumnFormula>
    </tableColumn>
    <tableColumn id="2" xr3:uid="{90FED356-3D78-4334-9EF5-3B28A6764414}" name="detail" dataDxfId="2">
      <calculatedColumnFormula>("D|" &amp; IL_DD_det_out_com[CustomerName] &amp; "|RM|" &amp; IL_DD_det_out_com[BillingDate] &amp; "|" &amp;#REF! &amp; "|" &amp; IL_DD_det_out_com[FactoringHouse] &amp;"|"&amp;IL_DD_det_out_com[BankRespCode])</calculatedColumnFormula>
    </tableColumn>
    <tableColumn id="3" xr3:uid="{9624D9A4-2593-4E4A-AB78-17E81FBD03AD}" name="footer" dataDxfId="1">
      <calculatedColumnFormula>("T|"&amp; IL_DD_ftr_out_com[[#Totals],[Count]]&amp;"|" &amp; IL_DD_ftr_out_com[[#Totals],[Sum]])</calculatedColumnFormula>
    </tableColumn>
    <tableColumn id="4" xr3:uid="{4135E8B0-12C5-4E06-A52B-20B26C2D6E63}" name="IsPass" dataDxfId="0">
      <calculatedColumnFormula>IF(AND(IL_DD_out[detail] = IL_out_expected267[detail],IL_DD_out[header] = IL_out_expected267[header],IL_DD_out[footer] = IL_out_expected267[footer]),"PASS","FAIL")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1B5B9FE8-8E7D-4EE8-B633-6C7494D7CE07}" name="IL_DD_det_in" displayName="IL_DD_det_in" ref="B8:K9" totalsRowShown="0" headerRowDxfId="1294" dataDxfId="1293">
  <autoFilter ref="B8:K9" xr:uid="{5BE3401B-1B19-4D35-BB5B-E21127BF6F74}"/>
  <tableColumns count="10">
    <tableColumn id="2" xr3:uid="{3F2E2351-1548-4CD6-8AF4-EFA2098F4034}" name="BillingDate" dataDxfId="1292"/>
    <tableColumn id="4" xr3:uid="{6D84D237-19B7-4D9E-BD0E-AF4BE9ECCCD7}" name="CompanyAcctNo" dataDxfId="1291"/>
    <tableColumn id="5" xr3:uid="{3D5A96B2-0B81-4FEE-9DB0-108862E0F691}" name="PolicyNo" dataDxfId="1290"/>
    <tableColumn id="7" xr3:uid="{6751A725-AADA-4002-A2B2-7E624D7A99AB}" name="PayorOldICNum" dataDxfId="1289"/>
    <tableColumn id="8" xr3:uid="{890D3FCD-5558-48E0-81BD-9FA691BA9F62}" name="PayorNewICNum" dataDxfId="1288"/>
    <tableColumn id="9" xr3:uid="{24C773B7-017D-4BFE-92D2-088BDE7A36CD}" name="PayorName" dataDxfId="1287"/>
    <tableColumn id="1" xr3:uid="{EA4831D2-7941-4A83-8D6C-97E5CDBE97AD}" name="PayorBankAcctNo" dataDxfId="1286"/>
    <tableColumn id="3" xr3:uid="{0A140B43-AA09-4823-9304-15215E0A352A}" name="Amount" dataDxfId="1285"/>
    <tableColumn id="6" xr3:uid="{91DD2FF7-2D46-4112-B825-911C1D971D60}" name="PayorBankCode" dataDxfId="1284"/>
    <tableColumn id="10" xr3:uid="{C7A6DDBB-3317-4828-9273-CEF89E1267AE}" name="FactoringHouse" dataDxfId="128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E58D11-42C5-4CC8-8836-A6BD5A30C56F}" name="IL_CC_det_in_com" displayName="IL_CC_det_in_com" ref="B13:H14" totalsRowShown="0" headerRowDxfId="1162" dataDxfId="1161">
  <autoFilter ref="B13:H14" xr:uid="{5611BF3B-5BFD-4771-AAA0-F9C048011918}"/>
  <tableColumns count="7">
    <tableColumn id="1" xr3:uid="{DB51C745-5FB2-458B-BA36-28264BE1B522}" name="PolicyNo" dataDxfId="1160">
      <calculatedColumnFormula>TRIM(IL_CC_det_in[PolicyNumber])</calculatedColumnFormula>
    </tableColumn>
    <tableColumn id="2" xr3:uid="{798EA79B-B4D1-4897-A85E-8DF2FC77AAD1}" name="Amount" dataDxfId="1159">
      <calculatedColumnFormula>VALUE(TRIM((TRUNC(IL_CC_det_in[Amount],2))))</calculatedColumnFormula>
    </tableColumn>
    <tableColumn id="3" xr3:uid="{F93AC135-9436-4D7B-A623-FDDF4ACF7301}" name="CardNo" dataDxfId="1158">
      <calculatedColumnFormula>TRIM((IL_CC_det_in[CardNumber]))</calculatedColumnFormula>
    </tableColumn>
    <tableColumn id="6" xr3:uid="{156B2BFF-F7AB-48D1-BF02-C09003964E39}" name="Expiry" dataDxfId="1157">
      <calculatedColumnFormula>TRIM(IL_CC_det_in[ExpiryDate])</calculatedColumnFormula>
    </tableColumn>
    <tableColumn id="7" xr3:uid="{AE3FC08D-C625-4BC3-8F20-EFA0EB734A13}" name="BIN" dataDxfId="1156"/>
    <tableColumn id="8" xr3:uid="{5DACC5E9-0581-45F4-80F1-56CF3325C60D}" name="DefaultResponse" dataDxfId="1155">
      <calculatedColumnFormula>(IL_CC_det_in[CardNumber])&amp;"    "&amp;IL_CC_src_config[Delimiter]&amp;IL_CC_det_in[ExpiryDate]&amp;"    "&amp;IL_CC_src_config[Delimiter]&amp; REPT("0",17-LEN(IL_CC_det_in[Amount])) &amp; IL_CC_det_in[Amount] &amp; IL_CC_src_config[Delimiter]&amp; IL_CC_det_in[PolicyNumber]&amp; IL_CC_src_config[Delimiter]&amp; IL_CC_det_out_com[RejectCode]</calculatedColumnFormula>
    </tableColumn>
    <tableColumn id="4" xr3:uid="{88091E0C-CD4C-4E5D-B610-FA679A8B0337}" name="FactoringHouse" dataDxfId="1154">
      <calculatedColumnFormula>TRIM(IL_CC_det_in[CardFactoringHouse])</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38AB743-B228-4CFA-99CC-DB6D66D6DA69}" name="RejectCodeMap" displayName="RejectCodeMap" ref="H25:I101" totalsRowShown="0" headerRowDxfId="1153" dataDxfId="1151" headerRowBorderDxfId="1152" tableBorderDxfId="1150" totalsRowBorderDxfId="1149">
  <autoFilter ref="H25:I101" xr:uid="{989773ED-7305-4635-A04F-D31E5F23EDA4}"/>
  <tableColumns count="2">
    <tableColumn id="1" xr3:uid="{69B913D0-C019-4E6A-89BD-C82611B1AAA4}" name="RejectCode" dataDxfId="1148"/>
    <tableColumn id="2" xr3:uid="{3159C11D-2BC4-4EAE-B6D2-01C5398CEB84}" name="RejectDesc" dataDxfId="1147"/>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93722EC-0C27-48C7-898D-0E7970674659}" name="IL_BankRejectCodeMap" displayName="IL_BankRejectCodeMap" ref="K25:L101" totalsRowShown="0" headerRowDxfId="1146" dataDxfId="1144" headerRowBorderDxfId="1145" tableBorderDxfId="1143" totalsRowBorderDxfId="1142">
  <autoFilter ref="K25:L101" xr:uid="{85396F43-0E67-447C-94B6-B70CE52BD08F}"/>
  <tableColumns count="2">
    <tableColumn id="1" xr3:uid="{0909BF4E-D827-4D17-92BC-5EE748D33AC8}" name="BankCode" dataDxfId="1141"/>
    <tableColumn id="2" xr3:uid="{A8BC1FC5-3BD5-4EA8-B27E-8E41DA14D6C7}" name="RejectCode" dataDxfId="1140"/>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1FE1302F-A3EE-4BE6-8315-856134A75D37}" name="IL_Biro_src_config" displayName="IL_Biro_src_config" ref="B3:K4" totalsRowShown="0" headerRowDxfId="1139" dataDxfId="1138">
  <autoFilter ref="B3:K4" xr:uid="{D6EBBB54-63A8-44DF-A619-D21CDDA7A390}"/>
  <tableColumns count="10">
    <tableColumn id="1" xr3:uid="{7397944E-4DF9-4B9F-86A1-8B9DC7B1AF47}" name="Name" dataDxfId="1137"/>
    <tableColumn id="2" xr3:uid="{E5006025-4DC5-46C7-9190-B27B1EED764C}" name="Delimiter" dataDxfId="1136"/>
    <tableColumn id="3" xr3:uid="{9C84693A-87E7-48F5-A82D-B1708B113A5A}" name="HdrIdentifier" dataDxfId="1135"/>
    <tableColumn id="4" xr3:uid="{1F2CC0C9-9FA3-4372-A594-876176DA0A15}" name="DetIdentifier" dataDxfId="1134"/>
    <tableColumn id="5" xr3:uid="{0278EC98-F06F-4149-A160-044A20ED9AAC}" name="FtrIdentifier" dataDxfId="1133"/>
    <tableColumn id="10" xr3:uid="{CDFD70FA-C741-4E7F-B41F-BEC2CF341102}" name="ValidationCondition" dataDxfId="1132"/>
    <tableColumn id="13" xr3:uid="{FBB9B272-056E-4F00-A745-4BFF71CE883B}" name="BankRoutingRule" dataDxfId="1131"/>
    <tableColumn id="7" xr3:uid="{E2EEBD8E-7693-47C6-B565-D9CFA6ADC670}" name="BatchSize" dataDxfId="1130"/>
    <tableColumn id="9" xr3:uid="{72FACAF1-1E64-42E2-AC18-3569438E27BE}" name="Enabled" dataDxfId="1129"/>
    <tableColumn id="8" xr3:uid="{67182238-0EAD-4FF0-A496-9CBE9B871CF9}" name="Source" dataDxfId="1128"/>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F443D80D-73D8-4BF9-A8E8-30B52CB08E1B}" name="IL_Biro_out" displayName="IL_Biro_out" ref="B18:D19" totalsRowShown="0" headerRowDxfId="1127" dataDxfId="1126">
  <autoFilter ref="B18:D19" xr:uid="{043A3E4A-F587-476C-BA50-4C13BF6C1994}"/>
  <tableColumns count="3">
    <tableColumn id="1" xr3:uid="{BD4CA90D-B68E-4F71-BA39-BD359D068C7C}" name="header" dataDxfId="1125"/>
    <tableColumn id="2" xr3:uid="{9D341F67-1418-421A-A746-72F593947CF6}" name="detail" dataDxfId="1124">
      <calculatedColumnFormula>(IL_Biro_det_out_com[CustomerName] &amp; "|" &amp; TEXT(TODAY(),"yyyymmdd") &amp; "|" &amp;IL_Biro_det_out_com[PolicyNo]  &amp; "|BIROANGK|" &amp; REPT("0",15-LEN(IL_Biro_det_out_com[Amount])) &amp; IL_Biro_det_out_com[Amount])</calculatedColumnFormula>
    </tableColumn>
    <tableColumn id="3" xr3:uid="{CC56FB01-2609-4CBB-8A50-C45339137975}" name="footer" dataDxfId="1123"/>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B5EAEC8B-35CA-450A-AF6D-143684821E69}" name="IL_Biro_det_out_com" displayName="IL_Biro_det_out_com" ref="B8:I9" totalsRowShown="0" headerRowDxfId="1122" dataDxfId="1121">
  <autoFilter ref="B8:I9" xr:uid="{FCD234A2-9E44-463C-A4B5-F007B3158E22}"/>
  <tableColumns count="8">
    <tableColumn id="1" xr3:uid="{E175DBD7-F099-46E4-86C1-1860B401248D}" name="PolicyNo" dataDxfId="1120"/>
    <tableColumn id="2" xr3:uid="{932C964B-551A-4A88-B458-853C7BB54F92}" name="Amount" dataDxfId="1119"/>
    <tableColumn id="3" xr3:uid="{0E4DB5F9-A5F4-42B0-8D3E-E3706A978E54}" name="CustomerName" dataDxfId="1118"/>
    <tableColumn id="7" xr3:uid="{77F3549E-F6EE-4188-83B9-9C78B681F53B}" name="OldICNo" dataDxfId="1117"/>
    <tableColumn id="8" xr3:uid="{3B8D4790-83AB-4106-9240-A612487186C9}" name="NewICNo" dataDxfId="1116"/>
    <tableColumn id="6" xr3:uid="{D917AF75-7B63-4246-A8A9-491EC7FB3334}" name="BankRespCode" dataDxfId="1115"/>
    <tableColumn id="4" xr3:uid="{E74168C4-A929-4F4F-B3B8-28906DF510D1}" name="RejectCode" dataDxfId="1114"/>
    <tableColumn id="5" xr3:uid="{9C4C1568-C518-48D0-B298-6DF4CF87353D}" name="RejectReason" dataDxfId="111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79C18368-1809-45B7-BB91-A84F88E2BF5F}" name="IL_Biro_hdr_out_com" displayName="IL_Biro_hdr_out_com" ref="B13:C14" totalsRowShown="0" headerRowDxfId="1112" dataDxfId="1111">
  <autoFilter ref="B13:C14" xr:uid="{8D011FFA-A8DB-4A9C-AB03-4A8E6215A654}"/>
  <tableColumns count="2">
    <tableColumn id="1" xr3:uid="{5620F4F9-EDEE-4DE4-87C6-3899B5248524}" name="fileName" dataDxfId="1110">
      <calculatedColumnFormula>CONCATENATE("BIRORECEIPT","_",TEXT(TODAY(),"YYYYMMDD"),".txt")</calculatedColumnFormula>
    </tableColumn>
    <tableColumn id="2" xr3:uid="{8EAC3378-7D33-49C8-B66B-8FD7367133D0}" name="currBatch" dataDxfId="110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53F48412-DDD4-408B-845D-02155EE29FE2}" name="BSN_DD_bank_config" displayName="BSN_DD_bank_config" ref="B3:L4" totalsRowShown="0" headerRowDxfId="1108" dataDxfId="1107">
  <autoFilter ref="B3:L4" xr:uid="{250A279D-7D1E-4778-B072-B1615FCC1EE0}"/>
  <tableColumns count="11">
    <tableColumn id="1" xr3:uid="{5A650BB8-2E97-4478-9690-6FD6CA43F7AD}" name="Name" dataDxfId="1106"/>
    <tableColumn id="11" xr3:uid="{E1FFD93A-3241-43E1-89E7-AA77FACAABAB}" name="BankCode" dataDxfId="1105"/>
    <tableColumn id="2" xr3:uid="{5A0F5606-DEC4-4518-92EF-004B24197EEC}" name="Delimiter" dataDxfId="1104"/>
    <tableColumn id="3" xr3:uid="{31838545-C0D4-4ACE-BA11-CB5D86D53201}" name="HdrIdentifier" dataDxfId="1103"/>
    <tableColumn id="4" xr3:uid="{13453B49-7667-4522-AC97-1E805DDC53F4}" name="DetIdentifier" dataDxfId="1102"/>
    <tableColumn id="5" xr3:uid="{71F50FAD-B8BA-4A33-B547-367860A685E1}" name="FtrIdentifier" dataDxfId="1101"/>
    <tableColumn id="13" xr3:uid="{826ADFCD-CD51-4986-B703-05B7C9B4BECF}" name="ValidationCondition" dataDxfId="1100"/>
    <tableColumn id="6" xr3:uid="{C122F590-58DB-45A4-B3D1-D951C7D18FFC}" name="SrcRoutingRule" dataDxfId="1099"/>
    <tableColumn id="7" xr3:uid="{029B9F29-1EA7-407F-84E0-1FD77E1DAD05}" name="Batchsize" dataDxfId="1098"/>
    <tableColumn id="12" xr3:uid="{85F72803-3381-4005-8228-A2EBBBBA5D92}" name="Enabled" dataDxfId="1097"/>
    <tableColumn id="8" xr3:uid="{FFD76700-B397-410D-9762-A277ABEB3733}" name="Source" dataDxfId="1096"/>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BAA7B140-8FF4-43FD-9434-01E10A8CE2AF}" name="BSN_DD_det_out_com" displayName="BSN_DD_det_out_com" ref="B33:I34" totalsRowShown="0" headerRowDxfId="1095" dataDxfId="1094">
  <autoFilter ref="B33:I34" xr:uid="{756F0EFF-41EC-4C03-9687-1EC51C1D5877}"/>
  <tableColumns count="8">
    <tableColumn id="1" xr3:uid="{AE64E83D-8FC3-458E-8F3C-D86D05B9E840}" name="OriCode" dataDxfId="1093"/>
    <tableColumn id="4" xr3:uid="{1400D124-70FA-4D06-87AC-94905406EE9A}" name="Date" dataDxfId="1092">
      <calculatedColumnFormula>TEXT(TODAY(),"YYYYMMDD")</calculatedColumnFormula>
    </tableColumn>
    <tableColumn id="5" xr3:uid="{9AFDC95A-DEFE-42F7-B5AC-501B7AC80F36}" name="TransCode" dataDxfId="1091"/>
    <tableColumn id="2" xr3:uid="{972E0F58-05A6-4C13-AC44-E9AC0EA6143B}" name="PayorBankAcctNo" dataDxfId="1090"/>
    <tableColumn id="3" xr3:uid="{204D21E1-CB98-465E-8134-ACE218EF919A}" name="BranchCode" dataDxfId="1089"/>
    <tableColumn id="6" xr3:uid="{B879C615-E786-4480-93F2-3ED1B94D64B9}" name="NewCustId" dataDxfId="1088"/>
    <tableColumn id="7" xr3:uid="{652C45F9-17DE-4101-9D9A-64538395730A}" name="OldCustId" dataDxfId="1087"/>
    <tableColumn id="8" xr3:uid="{4A38F294-D0A7-4509-92A9-6E82300D31FA}" name="HashTotal" dataDxfId="1086">
      <calculatedColumnFormula>BSN_DD_det_out_com[PayorBankAcctNo]</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1488CECB-8F73-43E8-908F-5EDE230DF37D}" name="BSN_DD_out" displayName="BSN_DD_out" ref="B47:D48" totalsRowShown="0" headerRowDxfId="1085" dataDxfId="1084">
  <autoFilter ref="B47:D48" xr:uid="{0F23B615-68DE-4470-ACF0-4C6B9BF1E9FA}"/>
  <tableColumns count="3">
    <tableColumn id="1" xr3:uid="{4E6A1430-202F-40D9-9FE0-7D0C35E8A47B}" name="header" dataDxfId="1083">
      <calculatedColumnFormula>CONCATENATE(BSN_DD_hdr_out_com[OriCode],REPT(" ",8-LEN(BSN_DD_hdr_out_com[OriCode])),TEXT(TODAY(),"YYYYMMDD"),BSN_DD_hdr_out_com[TransCode],"0000000",BSN_DD_hdr_out_com[OriAcct],REPT(" ",20-LEN(BSN_DD_hdr_out_com[OriAcct])),REPT(" ",76))</calculatedColumnFormula>
    </tableColumn>
    <tableColumn id="2" xr3:uid="{846A63E0-40BE-4509-8A5C-FE35BA7640E5}" name="detail" dataDxfId="1082">
      <calculatedColumnFormula>CONCATENATE(BSN_DD_det_out_com[OriCode],REPT(" ",8-LEN(BSN_DD_det_out_com[OriCode])),BSN_DD_det_out_com[Date],BSN_DD_det_out_com[TransCode],REPT("&amp;",22),BSN_DD_det_out_com[PayorBankAcctNo],REPT(" ",16-LEN(BSN_DD_det_out_com[PayorBankAcctNo])),BSN_DD_det_out_com[BranchCode],"    ","&amp;&amp;&amp;&amp;&amp;&amp;&amp;&amp;",REPT(" ",24),BSN_DD_det_out_com[NewCustId],BSN_DD_det_out_com[OldCustId]," ")</calculatedColumnFormula>
    </tableColumn>
    <tableColumn id="3" xr3:uid="{6C665A5C-9EA9-44B4-B2AA-D1C907A26E93}" name="footer" dataDxfId="1081">
      <calculatedColumnFormula>CONCATENATE(BSN_DD_ftr_out_com[OriCode],REPT(" ",8-LEN(BSN_DD_ftr_out_com[OriCode])),TEXT(TODAY(),"YYYYMMDD"),BSN_DD_ftr_out_com[TransCode],"9999999",BSN_DD_ftr_out_com[[#Totals],[Sum]],REPT("0",9-LEN(BSN_DD_ftr_out_com[Count])),BSN_DD_ftr_out_com[[#Totals],[HashTotal]],REPT(" ",64))</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9E39FAE0-9A73-4F27-8550-FA91A6854391}" name="IL_DD_out" displayName="IL_DD_out" ref="B34:D35" totalsRowShown="0" headerRowDxfId="1282" dataDxfId="1281">
  <autoFilter ref="B34:D35" xr:uid="{043A3E4A-F587-476C-BA50-4C13BF6C1994}"/>
  <tableColumns count="3">
    <tableColumn id="1" xr3:uid="{5952831F-724E-4F57-84C1-0742E0002DBE}" name="header" dataDxfId="1280"/>
    <tableColumn id="2" xr3:uid="{D53B1BBB-6CB9-41D5-A80A-21595CB8E865}" name="detail" dataDxfId="1279"/>
    <tableColumn id="3" xr3:uid="{2EE6D829-01B0-4DA4-A1B5-35897173E697}" name="footer" dataDxfId="1278"/>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404D5132-9485-4C63-A292-929CB2B41C82}" name="BSN_DD_det_in" displayName="BSN_DD_det_in" ref="B8:B9" totalsRowShown="0" headerRowDxfId="1080" dataDxfId="1079">
  <autoFilter ref="B8:B9" xr:uid="{A7137B46-F87F-4E02-89FB-D4D7336118E4}"/>
  <tableColumns count="1">
    <tableColumn id="1" xr3:uid="{E09CD20A-D77E-41B0-BC05-D5CCB6C8FF6D}" name="Col1" dataDxfId="107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F3647429-2A32-4AB7-A7C3-33FF24F3BD2C}" name="BSN_DD_det_in_com" displayName="BSN_DD_det_in_com" ref="B20:E21" totalsRowShown="0" headerRowDxfId="1077" dataDxfId="1076">
  <autoFilter ref="B20:E21" xr:uid="{4AE3F1C4-1EFB-4A87-92F8-1F1E02915332}"/>
  <tableColumns count="4">
    <tableColumn id="1" xr3:uid="{6E9F85A7-3F27-43E4-A831-94E542F2AAF5}" name="DeductionCode" dataDxfId="1075">
      <calculatedColumnFormula>MID(BSN_DD_det_in[Col1],91,3)</calculatedColumnFormula>
    </tableColumn>
    <tableColumn id="2" xr3:uid="{9915A8A0-954E-4E09-A334-619A1532C8CB}" name="PolicyNo" dataDxfId="1074">
      <calculatedColumnFormula>MID(BSN_DD_det_in[Col1],29,20)</calculatedColumnFormula>
    </tableColumn>
    <tableColumn id="4" xr3:uid="{9C2669B4-3F1B-4E73-A7A6-B5EB6B26FBD0}" name="PayorBankAcctId" dataDxfId="1073">
      <calculatedColumnFormula>MID(BSN_DD_det_in[Col1],98,16)</calculatedColumnFormula>
    </tableColumn>
    <tableColumn id="5" xr3:uid="{7890C0CD-82E2-44BF-9070-1C2EABB373ED}" name="Amount" dataDxfId="1072">
      <calculatedColumnFormula>MID(BSN_DD_det_in[Col1],68,8)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C85B20C-CF59-4505-B867-1747977422A2}" name="BSN_DD_hdr_out_com" displayName="BSN_DD_hdr_out_com" ref="B37:E38" totalsRowShown="0" headerRowDxfId="1071" dataDxfId="1070">
  <autoFilter ref="B37:E38" xr:uid="{9275BCBF-2CA5-4B42-9FEA-4BE6B1971384}"/>
  <tableColumns count="4">
    <tableColumn id="7" xr3:uid="{ABE6B59A-B2E7-4DF5-80FA-857F29A70152}" name="OriCode" dataDxfId="1069"/>
    <tableColumn id="1" xr3:uid="{5F80CE64-2E39-4E67-87FB-F32009C99B24}" name="Date" dataDxfId="1068">
      <calculatedColumnFormula>TEXT(TODAY(),"YYYYMMDD")</calculatedColumnFormula>
    </tableColumn>
    <tableColumn id="2" xr3:uid="{245BAC91-55E5-4B27-B7A6-43A7FC04BF80}" name="TransCode" dataDxfId="1067"/>
    <tableColumn id="5" xr3:uid="{20332591-B801-42CF-86B5-9FCFEF1B5221}" name="OriAcct"/>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D2CCD3EA-8204-4040-94D4-DA5A5A4B528F}" name="BSN_DD_ftr_out_com" displayName="BSN_DD_ftr_out_com" ref="B41:I43" totalsRowCount="1" headerRowDxfId="1066" dataDxfId="1065">
  <autoFilter ref="B41:I42" xr:uid="{33836DB8-E019-4666-8ABB-3D4AF365A3C2}"/>
  <tableColumns count="8">
    <tableColumn id="1" xr3:uid="{C216D5A5-3BAD-4E9D-BF10-B611E3F41D4E}" name="Count" totalsRowFunction="custom" dataDxfId="1064" totalsRowDxfId="1063">
      <totalsRowFormula>(BSN_DD_ftr_out_com[Count]+1)</totalsRowFormula>
    </tableColumn>
    <tableColumn id="2" xr3:uid="{E783551B-589E-4E3D-8264-B05EC018C2D6}" name="OriCode" dataDxfId="1062" totalsRowDxfId="1061"/>
    <tableColumn id="3" xr3:uid="{1B66D213-5EF9-49E5-9ADD-212AEF8912F9}" name="HashTotal" totalsRowFunction="custom" dataDxfId="1060" totalsRowDxfId="1059">
      <totalsRowFormula>(SUM(BSN_DD_ftr_out_com[HashTotal],BSN_DD_det_out_com[HashTotal]))</totalsRowFormula>
    </tableColumn>
    <tableColumn id="4" xr3:uid="{FC909F1B-0A18-42FF-A47D-7B750ADBBBE3}" name="TransCode" dataDxfId="1058" totalsRowDxfId="1057"/>
    <tableColumn id="5" xr3:uid="{CD5225F4-5BEA-40B2-BAAB-17AFCA912C0C}" name="Sum" totalsRowFunction="custom" dataDxfId="1056" totalsRowDxfId="1055">
      <totalsRowFormula>(SUM(BSN_DD_ftr_out_com[Sum],MBB_CC_det_out_com[Amount]))</totalsRowFormula>
    </tableColumn>
    <tableColumn id="6" xr3:uid="{D8C3694E-F8CC-478D-AD1A-F18C80B0CE8A}" name="Date" dataDxfId="1054" totalsRowDxfId="1053">
      <calculatedColumnFormula>TEXT(TODAY(),"YYYYMMDD")</calculatedColumnFormula>
    </tableColumn>
    <tableColumn id="7" xr3:uid="{004685E3-BD79-4973-BC03-700497462E46}" name="AmountINt" dataDxfId="1052" totalsRowDxfId="1051">
      <calculatedColumnFormula>TEXT(INT((BSN_DD_ftr_out_com[[#Totals],[Sum]])),"0000000000000")</calculatedColumnFormula>
    </tableColumn>
    <tableColumn id="8" xr3:uid="{EE137A1C-A322-4D77-9344-0A0B4D975F62}" name="AmountDec" dataDxfId="1050" totalsRowDxfId="1049">
      <calculatedColumnFormula>(RIGHT((TEXT(BSN_DD_ftr_out_com[[#Totals],[Sum]]-INT(BSN_DD_ftr_out_com[[#Totals],[Sum]]),"0.00")),2))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4F58FCD2-348E-41FC-B461-575733E213CC}" name="BSN_DD_hdr_in" displayName="BSN_DD_hdr_in" ref="B12:B13" totalsRowShown="0" headerRowDxfId="1048" dataDxfId="1047">
  <autoFilter ref="B12:B13" xr:uid="{04D6C58A-9F0D-4E76-80DA-B98FD1C6F7AC}"/>
  <tableColumns count="1">
    <tableColumn id="1" xr3:uid="{6BB02860-B81D-455A-B22E-46F2305B66D2}" name="Col1" dataDxfId="104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B38DB7CF-7638-40FD-91E3-476AB9FD66F1}" name="BSN_DD_ftr_in" displayName="BSN_DD_ftr_in" ref="B16:B17" totalsRowShown="0" headerRowDxfId="1045" dataDxfId="1044">
  <autoFilter ref="B16:B17" xr:uid="{11F6D679-FACB-4F42-8D1F-7945856CA123}"/>
  <tableColumns count="1">
    <tableColumn id="1" xr3:uid="{83092339-E4FE-4EE9-8518-C94A50DF15F6}" name="Col1" dataDxfId="104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F9ABE623-2CDB-4A95-B2F1-AC70A8196B8E}" name="BSN_DD_hdr_in_com" displayName="BSN_DD_hdr_in_com" ref="B24:F25" totalsRowShown="0" headerRowDxfId="1042" dataDxfId="1041">
  <autoFilter ref="B24:F25" xr:uid="{D45429DF-0E51-472B-9747-4813CB601A1D}"/>
  <tableColumns count="5">
    <tableColumn id="1" xr3:uid="{90B5789F-F739-4E18-BA0F-211BFC0BC35C}" name="FileIndicator" dataDxfId="1040">
      <calculatedColumnFormula>MID(BSN_DD_hdr_in[Col1],3,4)</calculatedColumnFormula>
    </tableColumn>
    <tableColumn id="2" xr3:uid="{6506BD36-3D8A-4B47-B3B3-F7F4C54AFC0D}" name="SenderId" dataDxfId="1039">
      <calculatedColumnFormula>MID(BSN_DD_hdr_in[Col1],7,10)</calculatedColumnFormula>
    </tableColumn>
    <tableColumn id="3" xr3:uid="{D85B3B37-C394-4368-B294-6620D4C4DA78}" name="ReceiverId" dataDxfId="1038">
      <calculatedColumnFormula>MID(BSN_DD_hdr_in[Col1],17,10)</calculatedColumnFormula>
    </tableColumn>
    <tableColumn id="4" xr3:uid="{C5F9FC36-47E9-410A-B902-68DCE2F500E9}" name="TransactionDate" dataDxfId="1037">
      <calculatedColumnFormula>MID(BSN_DD_hdr_in[Col1],27,8)</calculatedColumnFormula>
    </tableColumn>
    <tableColumn id="5" xr3:uid="{E8AB5606-8630-489C-A146-238219091ECC}" name="FileDesc" dataDxfId="1036">
      <calculatedColumnFormula>MID(BSN_DD_hdr_in[Col1],35,20)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FED1A388-4186-40A0-9B9C-9684C6A915A5}" name="BSN_DD_ftr_in_com" displayName="BSN_DD_ftr_in_com" ref="B28:I29" totalsRowShown="0" headerRowDxfId="1035" dataDxfId="1034">
  <autoFilter ref="B28:I29" xr:uid="{52C1A705-5232-4FF4-BBFE-3801A905E954}"/>
  <tableColumns count="8">
    <tableColumn id="1" xr3:uid="{9D6F8211-0541-487F-8DB3-1168F46EABDC}" name="Count" dataDxfId="1033">
      <calculatedColumnFormula>MID(BSN_DD_ftr_in[Col1],35,5)</calculatedColumnFormula>
    </tableColumn>
    <tableColumn id="2" xr3:uid="{CF39F425-B878-4EDE-B8C2-B9C4144AF9A8}" name="Sum" dataDxfId="1032">
      <calculatedColumnFormula>MID(BSN_DD_ftr_in[Col1],40,11)</calculatedColumnFormula>
    </tableColumn>
    <tableColumn id="3" xr3:uid="{AEC3136F-5287-49B7-BE23-1FB448E30AD1}" name="RejRec" dataDxfId="1031">
      <calculatedColumnFormula>MID(BSN_DD_ftr_in[Col1],19,5)</calculatedColumnFormula>
    </tableColumn>
    <tableColumn id="4" xr3:uid="{78AFC991-3DF9-491E-8F3F-1146D676FCAF}" name="RejAmt" dataDxfId="1030">
      <calculatedColumnFormula>MID(BSN_DD_ftr_in[Col1],24,11)</calculatedColumnFormula>
    </tableColumn>
    <tableColumn id="5" xr3:uid="{DD183295-F2F6-443A-ADA5-724E3FE5FC7F}" name="DedRec" dataDxfId="1029">
      <calculatedColumnFormula>MID(BSN_DD_ftr_in[Col1],3,5)</calculatedColumnFormula>
    </tableColumn>
    <tableColumn id="6" xr3:uid="{89547ADA-84D8-426D-AB85-6325932AE107}" name="DedAmt" dataDxfId="1028">
      <calculatedColumnFormula>MID(BSN_DD_ftr_in[Col1],8,11)</calculatedColumnFormula>
    </tableColumn>
    <tableColumn id="7" xr3:uid="{E81D73D8-9AF1-410A-8594-E738A949304E}" name="HashTotal" dataDxfId="1027">
      <calculatedColumnFormula>MID(BSN_DD_ftr_in[Col1],51,15)</calculatedColumnFormula>
    </tableColumn>
    <tableColumn id="8" xr3:uid="{73427A18-99C0-4CD8-9C78-7DA9D0A83B45}" name="BatchNumber" dataDxfId="1026">
      <calculatedColumnFormula>MID(BSN_DD_ftr_in[Col1],70,8)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170A2BB0-40D9-4571-BF2A-943C0619EA95}" name="BIMB_DD_bank_config" displayName="BIMB_DD_bank_config" ref="B3:L4" totalsRowShown="0" headerRowDxfId="1025" dataDxfId="1024">
  <autoFilter ref="B3:L4" xr:uid="{AEC9ADD1-B7D4-4EE3-A95E-28357AB8E0A0}"/>
  <tableColumns count="11">
    <tableColumn id="1" xr3:uid="{15841E6A-CDF0-42E2-BD34-F5560DACA19C}" name="Name" dataDxfId="1023"/>
    <tableColumn id="11" xr3:uid="{E744EE3A-CDF9-4CC4-9A8C-47CA7E233D7F}" name="BankCode" dataDxfId="1022"/>
    <tableColumn id="2" xr3:uid="{A4AA9113-7F42-48E2-8426-5B3E5476D019}" name="Delimiter" dataDxfId="1021"/>
    <tableColumn id="3" xr3:uid="{EB71C688-8600-4DE6-9EB5-4C7EB4D41F53}" name="HdrIdentifier" dataDxfId="1020"/>
    <tableColumn id="4" xr3:uid="{A52BD7C1-F64B-491E-B867-671A32CBD829}" name="DetIdentifier" dataDxfId="1019"/>
    <tableColumn id="5" xr3:uid="{62D14B4A-D0A6-4E69-B240-75003D228C00}" name="FtrIdentifier" dataDxfId="1018"/>
    <tableColumn id="13" xr3:uid="{38EACCEC-2084-4AB1-8AF1-F4BE0B243B5F}" name="ValidationCondition" dataDxfId="1017"/>
    <tableColumn id="6" xr3:uid="{D178DDF3-3AE7-454F-B592-C62DD50672AA}" name="SrcRoutingRule" dataDxfId="1016"/>
    <tableColumn id="7" xr3:uid="{9AB794FB-7012-457C-8D64-917987C63196}" name="Batchsize" dataDxfId="1015"/>
    <tableColumn id="12" xr3:uid="{EB21D233-AFA9-4645-9281-22D07E59829E}" name="Enabled" dataDxfId="1014"/>
    <tableColumn id="8" xr3:uid="{A6EDF11F-341E-41A4-9518-B0979763038A}" name="Source" dataDxfId="1013"/>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1091D871-9C81-4661-9162-E4F3E93BD50A}" name="BIMB_DD_det_out_com" displayName="BIMB_DD_det_out_com" ref="B33:G34" totalsRowShown="0" headerRowDxfId="1012" dataDxfId="1011">
  <autoFilter ref="B33:G34" xr:uid="{0E897E4A-DBC9-430D-9F27-496271C1A296}"/>
  <tableColumns count="6">
    <tableColumn id="1" xr3:uid="{11E1088C-01BF-4158-8245-E78F72487029}" name="BillType" dataDxfId="1010"/>
    <tableColumn id="4" xr3:uid="{AB3939AA-76AA-4654-831F-A2B0E0946DDB}" name="Amount" dataDxfId="1009"/>
    <tableColumn id="5" xr3:uid="{8AB71818-5DFF-4B61-B288-521691654624}" name="PolicyNo" dataDxfId="1008"/>
    <tableColumn id="2" xr3:uid="{5CEF183B-82D0-410D-BCBE-A15F7365F116}" name="RejectRecordCount" dataDxfId="1007"/>
    <tableColumn id="3" xr3:uid="{5B04E089-48F4-4831-BB84-956388E81DE5}" name="AmountInt" dataDxfId="1006">
      <calculatedColumnFormula>TEXT(INT((BIMB_DD_det_out_com[Amount])),"0000000")</calculatedColumnFormula>
    </tableColumn>
    <tableColumn id="6" xr3:uid="{FE7403A9-805D-4F49-A38F-17B9FC00B118}" name="AmountDec" dataDxfId="1005">
      <calculatedColumnFormula>(RIGHT((TEXT(BIMB_DD_det_out_com[Amount]-INT(BIMB_DD_det_out_com[Amount]),"0.00")),2))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69A7B292-02A2-48F9-949F-39250A733B1D}" name="IL_DD_det_out_com" displayName="IL_DD_det_out_com" ref="B19:K20" totalsRowShown="0" headerRowDxfId="1277" dataDxfId="1276">
  <autoFilter ref="B19:K20" xr:uid="{FCD234A2-9E44-463C-A4B5-F007B3158E22}"/>
  <tableColumns count="10">
    <tableColumn id="1" xr3:uid="{FE01827D-7357-4325-B9E6-15DFB87414FE}" name="BillingDate" dataDxfId="1275">
      <calculatedColumnFormula>IL_DD_det_in_com[BillingDate]</calculatedColumnFormula>
    </tableColumn>
    <tableColumn id="2" xr3:uid="{136A713F-8FB4-43D7-A719-F90FF86789A0}" name="CustomerName" dataDxfId="1274">
      <calculatedColumnFormula>INDIRECT(IL_DD_src_config[Source]&amp;"!F21")</calculatedColumnFormula>
    </tableColumn>
    <tableColumn id="3" xr3:uid="{667DBDC8-A923-47B8-9253-88CE800B3D88}" name="PayorBankAcctNo" dataDxfId="1273">
      <calculatedColumnFormula>IL_DD_det_in_com[PayorBankAcctNo]</calculatedColumnFormula>
    </tableColumn>
    <tableColumn id="8" xr3:uid="{FD1D7B75-2073-4EC0-BD89-BA31309DD3C6}" name="PayorBankCode" dataDxfId="1272">
      <calculatedColumnFormula>IL_DD_det_in_com[PayorBankCode]</calculatedColumnFormula>
    </tableColumn>
    <tableColumn id="6" xr3:uid="{DC92710D-0079-47FB-9D1B-4FCD50601029}" name="Amount" dataDxfId="1271">
      <calculatedColumnFormula>IL_DD_det_in_com[Amount]</calculatedColumnFormula>
    </tableColumn>
    <tableColumn id="4" xr3:uid="{BBA71894-46DE-43F6-BA5F-414F406D82AD}" name="FactoringHouse" dataDxfId="1270">
      <calculatedColumnFormula>IL_DD_det_in_com[FactoringHouse]</calculatedColumnFormula>
    </tableColumn>
    <tableColumn id="5" xr3:uid="{4CE274FB-6318-4A4D-AC40-A8CE125AB346}" name="BankRespCode" dataDxfId="1269"/>
    <tableColumn id="7" xr3:uid="{9D6AA925-52F9-4A77-9D05-CABDDFD04998}" name="RejectCode" dataDxfId="1268">
      <calculatedColumnFormula>VLOOKUP(IL_DD_src_config[Source]&amp;"_"&amp;IL_DD_det_out_com[BankRespCode], IL_BankRejectCodeMap187[[BankCode]:[RejectCode]],2,FALSE)</calculatedColumnFormula>
    </tableColumn>
    <tableColumn id="9" xr3:uid="{85090C91-ADE8-4365-8008-818473766A90}" name="RejectReason" dataDxfId="1267">
      <calculatedColumnFormula>VLOOKUP(IL_DD_det_out_com[RejectCode],RejectCodeMap186[[RejectCode]:[RejectDesc]],2,FALSE)</calculatedColumnFormula>
    </tableColumn>
    <tableColumn id="10" xr3:uid="{FF23A9CB-F025-40E3-959C-D26450ADD6DE}" name="PolicyNo" dataDxfId="1266">
      <calculatedColumnFormula>IL_DD_det_in_com[PolicyNo]</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D312008D-0C7B-44DA-AFFA-88C81EEF7F98}" name="BIMB_DD_out" displayName="BIMB_DD_out" ref="B47:D48" totalsRowShown="0" headerRowDxfId="1004" dataDxfId="1003">
  <autoFilter ref="B47:D48" xr:uid="{9029F858-449F-40B2-A1AE-3760D0693941}"/>
  <tableColumns count="3">
    <tableColumn id="1" xr3:uid="{B482AFB5-A90F-4F1E-BE76-90793F96CB99}" name="header" dataDxfId="1002">
      <calculatedColumnFormula>CONCATENATE("887 ",TEXT(TODAY(),"DDMMYYYY"),REPT("0",11-LEN(BIMB_DD_hdr_out_com[CardNumber])),BIMB_DD_hdr_out_com[CardNumber],REPT("0",9-LEN(BIMB_DD_hdr_out_com[Amount])),BIMB_DD_hdr_out_com[Amount],BIMB_DD_hdr_out_com[Type],BIMB_DD_hdr_out_com[Name])</calculatedColumnFormula>
    </tableColumn>
    <tableColumn id="2" xr3:uid="{988B0492-EDCD-437D-BD40-885AE40B61CC}" name="detail" dataDxfId="1001">
      <calculatedColumnFormula>CONCATENATE("DT",BIMB_DD_det_out_com[BillType],REPT(" ",20-LEN(BIMB_DD_det_out_com[BillType])),REPT("0",16-LEN(BIMB_DD_det_out_com[Amount])),BIMB_DD_det_out_com[Amount],REPT(" ",40),BIMB_DD_det_out_com[PolicyNo], REPT("0",15-LEN(BIMB_DD_det_out_com[RejectRecordCount])),BIMB_DD_det_out_com[RejectRecordCount])</calculatedColumnFormula>
    </tableColumn>
    <tableColumn id="3" xr3:uid="{03D45D00-F0AF-4124-8BDE-A6175998058F}" name="footer" dataDxfId="1000">
      <calculatedColumnFormula>CONCATENATE("FT","0001","PBB","       ",REPT("0",10-LEN(BIMB_DD_ftr_out_com[Count])),BIMB_DD_ftr_out_com[Count],BIMB_DD_ftr_out_com[AmountInt],BIMB_DD_ftr_out_com[AmountDec],REPT("0",15-LEN(BIMB_DD_ftr_out_com[HashTotal])),BIMB_DD_ftr_out_com[HashTotal])</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93EFC98E-AE4F-4BB1-BB8D-7284D7864B77}" name="BIMB_DD_det_in" displayName="BIMB_DD_det_in" ref="B8:B9" totalsRowShown="0" headerRowDxfId="999" dataDxfId="998">
  <autoFilter ref="B8:B9" xr:uid="{F27A0330-5A5D-402A-A267-E6BAB01F0DF2}"/>
  <tableColumns count="1">
    <tableColumn id="1" xr3:uid="{F40CC48C-7CD8-436A-B459-586FACEDB508}" name="Col1" dataDxfId="99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1CE33A2D-5F5C-41C5-8F07-4FB4B4F35985}" name="BIMB_DD_det_in_com" displayName="BIMB_DD_det_in_com" ref="B20:E21" totalsRowShown="0" headerRowDxfId="996" dataDxfId="995">
  <autoFilter ref="B20:E21" xr:uid="{248F5A9D-9AEE-4258-A4A1-A3F2AD270AC6}"/>
  <tableColumns count="4">
    <tableColumn id="1" xr3:uid="{7C0F571A-78A2-4E7F-ADEA-3568056E49E7}" name="Date" dataDxfId="994">
      <calculatedColumnFormula>MID(BIMB_DD_det_in[Col1],1,8)</calculatedColumnFormula>
    </tableColumn>
    <tableColumn id="2" xr3:uid="{53C38373-11A0-43D0-8EE2-DF7080C922F3}" name="UsrAcc" dataDxfId="993">
      <calculatedColumnFormula>MID(BIMB_DD_det_in[Col1],9,10)</calculatedColumnFormula>
    </tableColumn>
    <tableColumn id="3" xr3:uid="{C919364D-1888-4407-884B-814C90288B2F}" name="PolicyNo" dataDxfId="992">
      <calculatedColumnFormula>MID(BIMB_DD_det_in[Col1],29,8)</calculatedColumnFormula>
    </tableColumn>
    <tableColumn id="4" xr3:uid="{F99B6B4C-BBB7-4938-AC4C-33D3357F1356}" name="Amount" dataDxfId="991">
      <calculatedColumnFormula>MID(BIMB_DD_det_in[Col1],69,11)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67FAB3F9-4796-4BF5-8F86-5CA3608753DC}" name="BIMB_DD_hdr_out_com" displayName="BIMB_DD_hdr_out_com" ref="B37:F38" totalsRowShown="0" headerRowDxfId="990" dataDxfId="989">
  <autoFilter ref="B37:F38" xr:uid="{07BB3DA0-6B79-40DD-9C4A-587D3513B662}"/>
  <tableColumns count="5">
    <tableColumn id="7" xr3:uid="{57B92508-FD66-4B5F-9FCD-B179E6D9E6B2}" name="Date" dataDxfId="988"/>
    <tableColumn id="1" xr3:uid="{B29CD1D6-1784-4E86-8AEB-6A0C385B85D3}" name="CardNumber" dataDxfId="987"/>
    <tableColumn id="2" xr3:uid="{3182F2B3-BAFA-4938-A5DE-168EF903C3E2}" name="Amount" dataDxfId="986"/>
    <tableColumn id="5" xr3:uid="{FC3B942D-2AAE-4144-9826-F62523BE0458}" name="Type"/>
    <tableColumn id="3" xr3:uid="{F92AADF3-1CE8-416B-804A-E8799D6808DD}" name="Name" dataDxfId="985"/>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536FEEAF-A4BB-4B7D-A693-8CC5E0913A21}" name="BIMB_DD_ftr_out_com" displayName="BIMB_DD_ftr_out_com" ref="B41:F43" totalsRowCount="1" headerRowDxfId="984" dataDxfId="983">
  <autoFilter ref="B41:F42" xr:uid="{9DBC8268-6BFC-4AFF-BEFC-18BA515FCAA0}"/>
  <tableColumns count="5">
    <tableColumn id="1" xr3:uid="{555C614A-B2D7-4D33-B150-BEF60603AEFE}" name="Count" totalsRowFunction="custom" dataDxfId="982" totalsRowDxfId="981">
      <totalsRowFormula>(BIMB_DD_ftr_out_com[Count]+1)</totalsRowFormula>
    </tableColumn>
    <tableColumn id="2" xr3:uid="{A9314940-AC9C-4E47-A6C6-6E62B8F1D13A}" name="Sum" totalsRowFunction="custom" dataDxfId="980" totalsRowDxfId="979">
      <totalsRowFormula>(SUM(BIMB_DD_ftr_out_com[Sum],BIMB_DD_det_out_com[Amount]))</totalsRowFormula>
    </tableColumn>
    <tableColumn id="3" xr3:uid="{2C39B0FF-73CD-4738-BCF9-956750F7CA58}" name="HashTotal" dataDxfId="978" totalsRowDxfId="977"/>
    <tableColumn id="4" xr3:uid="{052F770E-1B99-4D34-B203-2DA781BE7666}" name="AmountInt" dataDxfId="976">
      <calculatedColumnFormula>TEXT(INT((BIMB_DD_ftr_out_com[[#Totals],[Sum]])),"000000000000000000")</calculatedColumnFormula>
    </tableColumn>
    <tableColumn id="5" xr3:uid="{F5E86E55-8941-493E-B7D4-F6D48560F8D1}" name="AmountDec" dataDxfId="975">
      <calculatedColumnFormula>(RIGHT((TEXT(BIMB_DD_ftr_out_com[[#Totals],[Sum]]-INT(BIMB_DD_ftr_out_com[[#Totals],[Sum]]),"0.00")),2))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A12E159B-992E-4566-954C-6582032CA1E6}" name="BIMB_DD_hdr_in" displayName="BIMB_DD_hdr_in" ref="B12:B13" totalsRowShown="0" headerRowDxfId="974" dataDxfId="973">
  <autoFilter ref="B12:B13" xr:uid="{C740689D-E582-4B01-9067-C14A7623A1F6}"/>
  <tableColumns count="1">
    <tableColumn id="1" xr3:uid="{0E58BD2D-8E5E-4D41-A6A0-C351D6200391}" name="Col1" dataDxfId="972"/>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8179EB0D-01A5-4E48-B497-0B06D72230A8}" name="BIMB_DD_ftr_in" displayName="BIMB_DD_ftr_in" ref="B16:B17" totalsRowShown="0" headerRowDxfId="971" dataDxfId="970">
  <autoFilter ref="B16:B17" xr:uid="{66F52750-5E22-41CD-8962-0839A111BFE1}"/>
  <tableColumns count="1">
    <tableColumn id="1" xr3:uid="{986B6088-8027-48E0-9321-5F477095CEF0}" name="Col1" dataDxfId="96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34E829A2-0C86-4A2D-83D0-CF6F54B9F43E}" name="BIMB_DD_hdr_in_com" displayName="BIMB_DD_hdr_in_com" ref="B24:E25" totalsRowShown="0" headerRowDxfId="968" dataDxfId="967">
  <autoFilter ref="B24:E25" xr:uid="{A32BC949-C177-4555-909A-3A9A2A26E946}"/>
  <tableColumns count="4">
    <tableColumn id="1" xr3:uid="{B5770699-6B94-4B04-8FC2-49F0B68DA152}" name="RecordType" dataDxfId="966">
      <calculatedColumnFormula>MID(BIMB_DD_hdr_in[Col1],1,4)</calculatedColumnFormula>
    </tableColumn>
    <tableColumn id="2" xr3:uid="{F016A25C-877B-45E3-9742-9EBD4A770257}" name="Date" dataDxfId="965">
      <calculatedColumnFormula>MID(BIMB_DD_hdr_in[Col1],5,8)</calculatedColumnFormula>
    </tableColumn>
    <tableColumn id="3" xr3:uid="{FF919E29-A204-4DE1-863E-06B41004833A}" name="CardNumber" dataDxfId="964">
      <calculatedColumnFormula>MID(BIMB_DD_hdr_in[Col1],13,11)</calculatedColumnFormula>
    </tableColumn>
    <tableColumn id="4" xr3:uid="{DBF17F4E-7C50-42CD-AE1A-A800E85DC8D1}" name="Amount" dataDxfId="963">
      <calculatedColumnFormula>MID(BIMB_DD_hdr_in[Col1],24,9)</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B6D46F88-C757-43B7-9731-A9C6FB5345E3}" name="BIMB_DD_ftr_in_com" displayName="BIMB_DD_ftr_in_com" ref="B28:I29" totalsRowShown="0" headerRowDxfId="962" dataDxfId="961">
  <autoFilter ref="B28:I29" xr:uid="{CB976242-34DF-459B-AB9B-04B15337F74A}"/>
  <tableColumns count="8">
    <tableColumn id="1" xr3:uid="{0533786F-710A-433A-B4B3-1602B1E2354E}" name="Count" dataDxfId="960">
      <calculatedColumnFormula>MID(BIMB_DD_ftr_in[Col1],35,5)</calculatedColumnFormula>
    </tableColumn>
    <tableColumn id="2" xr3:uid="{8CFC8498-D64D-42D8-9E46-EE804C61D9E8}" name="Sum" dataDxfId="959">
      <calculatedColumnFormula>MID(BIMB_DD_ftr_in[Col1],40,11)</calculatedColumnFormula>
    </tableColumn>
    <tableColumn id="3" xr3:uid="{ADA6C13E-929B-4A2D-9C20-26FAD59ECC20}" name="RejRec" dataDxfId="958">
      <calculatedColumnFormula>MID(BIMB_DD_ftr_in[Col1],19,5)</calculatedColumnFormula>
    </tableColumn>
    <tableColumn id="4" xr3:uid="{7D6A1355-6C12-4B41-BFBD-F91A9CD16BFD}" name="RejAmt" dataDxfId="957">
      <calculatedColumnFormula>MID(BIMB_DD_ftr_in[Col1],24,11)</calculatedColumnFormula>
    </tableColumn>
    <tableColumn id="5" xr3:uid="{569781DD-6F6D-42F9-926E-C46C9388A0A9}" name="DedRec" dataDxfId="956">
      <calculatedColumnFormula>MID(BIMB_DD_ftr_in[Col1],3,5)</calculatedColumnFormula>
    </tableColumn>
    <tableColumn id="6" xr3:uid="{E1E00251-982C-4F6B-A830-321F536B3B1C}" name="DedAmt" dataDxfId="955">
      <calculatedColumnFormula>MID(BIMB_DD_ftr_in[Col1],8,11)</calculatedColumnFormula>
    </tableColumn>
    <tableColumn id="7" xr3:uid="{02CA93D8-1D40-445C-990B-A467AEDB1DA3}" name="HashTotal" dataDxfId="954">
      <calculatedColumnFormula>MID(BIMB_DD_ftr_in[Col1],51,15)</calculatedColumnFormula>
    </tableColumn>
    <tableColumn id="8" xr3:uid="{54BCF2B7-0D6A-43FF-AE5B-B8B88D44A7B9}" name="BatchNumber" dataDxfId="953">
      <calculatedColumnFormula>MID(BIMB_DD_ftr_in[Col1],70,8)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9ED4A7C1-88AE-4240-983B-1761A254527A}" name="PBB_DD_bank_config" displayName="PBB_DD_bank_config" ref="B3:L4" totalsRowShown="0" headerRowDxfId="952" dataDxfId="951">
  <autoFilter ref="B3:L4" xr:uid="{1BDB1C7D-B4D9-42D3-A997-B7F97353A277}"/>
  <tableColumns count="11">
    <tableColumn id="1" xr3:uid="{C3F5A798-44A8-4F82-82F7-734C8AFEEDFB}" name="Name" dataDxfId="950"/>
    <tableColumn id="11" xr3:uid="{D1C0D1B5-4891-4653-88ED-08E5503E0583}" name="BankCode" dataDxfId="949"/>
    <tableColumn id="2" xr3:uid="{829DD142-DA5E-4DC3-BB08-A5C0D7F452B3}" name="Delimiter" dataDxfId="948"/>
    <tableColumn id="3" xr3:uid="{A0EC6308-B1F8-4F55-A318-AC9C25716BFB}" name="HdrIdentifier" dataDxfId="947"/>
    <tableColumn id="4" xr3:uid="{90B78D80-D642-4C10-B0D0-C46E2D90E733}" name="DetIdentifier" dataDxfId="946"/>
    <tableColumn id="5" xr3:uid="{8A49155A-00F8-4335-8CE1-3A0293E16806}" name="FtrIdentifier" dataDxfId="945"/>
    <tableColumn id="13" xr3:uid="{B3DAE3EE-4506-4173-89B4-C129C281930B}" name="ValidationCondition" dataDxfId="944"/>
    <tableColumn id="6" xr3:uid="{1E905005-ACF4-4F8A-AB80-69DAA1A0F43E}" name="SrcRoutingRule" dataDxfId="943"/>
    <tableColumn id="7" xr3:uid="{E3CCC438-8EAB-4765-815B-FC4CD697114D}" name="Batchsize" dataDxfId="942"/>
    <tableColumn id="12" xr3:uid="{3045D430-E72D-48EC-BB89-7546BF837C2D}" name="Enabled" dataDxfId="941"/>
    <tableColumn id="8" xr3:uid="{7AF91F41-DF7A-4F20-B04C-20A68A86D4BD}" name="Source" dataDxfId="940"/>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42F8E139-1EB1-46B5-A92A-689FE3C1C77F}" name="IL_DD_ftr_out_com" displayName="IL_DD_ftr_out_com" ref="B29:C31" insertRow="1" totalsRowCount="1" headerRowDxfId="1265" dataDxfId="1264">
  <autoFilter ref="B29:C30" xr:uid="{267FB33D-956D-4516-92CD-81F87A602CF7}"/>
  <tableColumns count="2">
    <tableColumn id="1" xr3:uid="{B7E043C0-343B-436D-B509-57B1A6F4B71A}" name="Count" totalsRowFunction="custom" dataDxfId="1263" totalsRowDxfId="1262">
      <totalsRowFormula>(IL_DD_ftr_out_com[Count]+1)</totalsRowFormula>
    </tableColumn>
    <tableColumn id="2" xr3:uid="{8854D47C-DC2B-4946-8E4E-636635FE8FB6}" name="Sum" totalsRowFunction="custom" dataDxfId="1261" totalsRowDxfId="1260">
      <totalsRowFormula>(SUM(IL_DD_det_out_com[CustomerName],IL_DD_ftr_out_com[Sum]))</totalsRow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37B83736-AF86-475F-8BE2-107404A82E71}" name="PBB_DD_det_out_com" displayName="PBB_DD_det_out_com" ref="B33:G34" totalsRowShown="0" headerRowDxfId="939" dataDxfId="938">
  <autoFilter ref="B33:G34" xr:uid="{1A9B49A7-D6E2-42DD-9891-F17966552B78}"/>
  <tableColumns count="6">
    <tableColumn id="1" xr3:uid="{4172D64E-E60D-4E71-A469-450753EFD4A5}" name="PayorBankAcctNo" dataDxfId="937"/>
    <tableColumn id="4" xr3:uid="{A4B29887-EEDC-47DB-862E-CFB016987952}" name="Amount" dataDxfId="936"/>
    <tableColumn id="5" xr3:uid="{635E4B99-3037-4C74-BDE5-D12DF4CB2E0A}" name="PolicyNo" dataDxfId="935">
      <calculatedColumnFormula>IL_DD!J14</calculatedColumnFormula>
    </tableColumn>
    <tableColumn id="2" xr3:uid="{B3B1E5D0-2A96-436E-BAAA-28ED13A049AE}" name="HashTotal" dataDxfId="934"/>
    <tableColumn id="3" xr3:uid="{7B13239D-9B1B-4326-9CB2-E70313964297}" name="AmountInt" dataDxfId="933">
      <calculatedColumnFormula>TEXT(INT((PBB_DD_det_out_com[Amount])),"000000000000000000")</calculatedColumnFormula>
    </tableColumn>
    <tableColumn id="6" xr3:uid="{5CE7687A-190F-412B-A134-407E02481492}" name="AmountDec" dataDxfId="932">
      <calculatedColumnFormula>(RIGHT((TEXT(PBB_DD_det_out_com[Amount]-INT(PBB_DD_det_out_com[Amount]),"0.00")),2))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8108C791-5D8F-4A0B-883E-AA7AF5821E91}" name="PBB_DD_out" displayName="PBB_DD_out" ref="B47:D48" totalsRowShown="0" headerRowDxfId="931" dataDxfId="930">
  <autoFilter ref="B47:D48" xr:uid="{650C8C32-44B0-4EAE-B97F-34D8D44AD6B7}"/>
  <tableColumns count="3">
    <tableColumn id="1" xr3:uid="{182FBBA9-5822-4AA8-90ED-CEBE3C51C6C2}" name="header" dataDxfId="929">
      <calculatedColumnFormula>CONCATENATE("FH",PBB_DD_hdr_out_com[SegmentNumber],PBB_DD_hdr_out_com[OriAccount],REPT(" ",10-LEN(PBB_DD_hdr_out_com[OriAccount])),"PBB       ",PBB_DD_hdr_out_com[SystemDate],PBB_DD_hdr_out_com[Type],REPT(" ",20-LEN(PBB_DD_hdr_out_com[Type])),PBB_DD_hdr_out_com[SystemDate2],REPT(" ",138))</calculatedColumnFormula>
    </tableColumn>
    <tableColumn id="2" xr3:uid="{BC86C9B1-653A-46E1-AB66-B5092E7376FD}" name="detail" dataDxfId="928">
      <calculatedColumnFormula>CONCATENATE("DT",PBB_DD_det_out_com[PayorBankAcctNo],REPT(" ",20-LEN(PBB_DD_det_out_com[PayorBankAcctNo])),REPT("0",16-LEN(PBB_DD_det_out_com[Amount])),PBB_DD_det_out_com[Amount],REPT(" ",40),PBB_DD_det_out_com[PolicyNo], REPT(" ",20-LEN(PBB_DD_det_out_com[PolicyNo])),REPT("0",15-LEN(PBB_DD_det_out_com[HashTotal])),PBB_DD_det_out_com[HashTotal],REPT(" ",87))</calculatedColumnFormula>
    </tableColumn>
    <tableColumn id="3" xr3:uid="{3F164E70-6938-428E-8753-2577667CB75D}" name="footer" dataDxfId="927">
      <calculatedColumnFormula>CONCATENATE("FT","0001","PBB","       ",REPT("0",10-LEN(PBB_DD_ftr_out_com[Count])),PBB_DD_ftr_out_com[Count],PBB_DD_ftr_out_com[AmountInt],PBB_DD_ftr_out_com[AmountDec],REPT("0",15-LEN(PBB_DD_ftr_out_com[[#Totals],[HashTotal]])),PBB_DD_ftr_out_com[[#Totals],[HashTotal]],REPT(" ",139))</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D922BF96-BC82-4F2E-9264-548B77ADBC10}" name="PBB_DD_det_in" displayName="PBB_DD_det_in" ref="B8:B9" totalsRowShown="0" headerRowDxfId="926" dataDxfId="925">
  <autoFilter ref="B8:B9" xr:uid="{71AB29EE-796E-4467-BACA-1EB4BDA9EAB8}"/>
  <tableColumns count="1">
    <tableColumn id="1" xr3:uid="{1D523D49-C2C3-4FA2-B033-17E23B36B73A}" name="Col1" dataDxfId="924"/>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C6D0D48A-5500-4382-84B3-941338101CDE}" name="PBB_DD_det_in_com" displayName="PBB_DD_det_in_com" ref="B20:E21" totalsRowShown="0" headerRowDxfId="923" dataDxfId="922">
  <autoFilter ref="B20:E21" xr:uid="{53F52BB9-8DCE-44C6-8E89-0C54D4295A9D}"/>
  <tableColumns count="4">
    <tableColumn id="1" xr3:uid="{3BE862AD-5B25-465E-A00F-C2F7EEEDC23F}" name="PayorBankAcctNo" dataDxfId="921">
      <calculatedColumnFormula>MID(PBB_DD_det_in[Col1],3,20)</calculatedColumnFormula>
    </tableColumn>
    <tableColumn id="2" xr3:uid="{95D88179-0D82-4AFD-9DB2-C49FF2581531}" name="Amount" dataDxfId="920">
      <calculatedColumnFormula>MID(PBB_DD_det_in[Col1],23,16)</calculatedColumnFormula>
    </tableColumn>
    <tableColumn id="3" xr3:uid="{69B7C83E-9DFE-44D3-82D2-CBD1A69F7392}" name="PolicyNo" dataDxfId="919">
      <calculatedColumnFormula>MID(PBB_DD_det_in[Col1],47,20)</calculatedColumnFormula>
    </tableColumn>
    <tableColumn id="4" xr3:uid="{F93E964B-C9FD-4BF3-BEC9-80BB88D2815B}" name="RejectCode" dataDxfId="918">
      <calculatedColumnFormula>MID(PBB_DD_det_in[Col1],67,2)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29418055-9806-49B2-A2E5-DAEB35514DF2}" name="PBB_DD_hdr_out_com" displayName="PBB_DD_hdr_out_com" ref="B37:F38" totalsRowShown="0" headerRowDxfId="917" dataDxfId="916">
  <autoFilter ref="B37:F38" xr:uid="{FE29FFAD-9470-4B1A-B50C-DE121FEB76E4}"/>
  <tableColumns count="5">
    <tableColumn id="7" xr3:uid="{CE17AE5C-FC12-4CEC-A591-D0135066A6DD}" name="SegmentNumber" dataDxfId="915"/>
    <tableColumn id="1" xr3:uid="{E6DD28E2-32BC-492E-9668-7CB3F91605D5}" name="OriAccount" dataDxfId="914"/>
    <tableColumn id="2" xr3:uid="{603A0D58-ED86-4C5D-A2D3-D2C41C84219D}" name="SystemDate" dataDxfId="913"/>
    <tableColumn id="5" xr3:uid="{9E083D4E-D043-4BD8-BFBD-13C1E1471DF7}" name="Type"/>
    <tableColumn id="3" xr3:uid="{B0F92C20-0023-4B90-9075-ACABDB01A7FA}" name="SystemDate2" dataDxfId="912"/>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8E345811-BB59-478A-80DF-DBF9590B196B}" name="PBB_DD_ftr_out_com" displayName="PBB_DD_ftr_out_com" ref="B41:F43" totalsRowCount="1" headerRowDxfId="911" dataDxfId="910">
  <autoFilter ref="B41:F42" xr:uid="{CA0E9360-E8C6-4364-9C31-2413FF815555}"/>
  <tableColumns count="5">
    <tableColumn id="1" xr3:uid="{6BE26716-1863-4466-882C-379D9E71A575}" name="Count" totalsRowFunction="custom" dataDxfId="909" totalsRowDxfId="908">
      <totalsRowFormula>(PBB_DD_ftr_out_com[Count]+1)</totalsRowFormula>
    </tableColumn>
    <tableColumn id="2" xr3:uid="{AF589F81-E2DB-4385-ADC8-A206C6D11BA1}" name="Sum" totalsRowFunction="custom" dataDxfId="907" totalsRowDxfId="906">
      <totalsRowFormula>(SUM(PBB_DD_ftr_out_com[Sum],PBB_DD_det_out_com[Amount]))</totalsRowFormula>
    </tableColumn>
    <tableColumn id="3" xr3:uid="{A057D07A-C630-4678-883C-8D553A471FAA}" name="HashTotal" totalsRowFunction="custom" dataDxfId="905" totalsRowDxfId="904">
      <totalsRowFormula>(SUM(PBB_DD_ftr_out_com[HashTotal],BSN_DD_det_out_com[PayorBankAcctNo]))</totalsRowFormula>
    </tableColumn>
    <tableColumn id="4" xr3:uid="{AA4F685A-CEF2-4AFF-9F29-F7DD214A3F56}" name="AmountInt" dataDxfId="903" totalsRowDxfId="902">
      <calculatedColumnFormula>TEXT(INT((PBB_DD_ftr_out_com[[#Totals],[Sum]])),"000000000000000000")</calculatedColumnFormula>
    </tableColumn>
    <tableColumn id="5" xr3:uid="{8E91DF73-AB72-4F04-B6C6-97C73BBFF68E}" name="AmountDec" dataDxfId="901" totalsRowDxfId="900">
      <calculatedColumnFormula>(RIGHT((TEXT(PBB_DD_ftr_out_com[[#Totals],[Sum]]-INT(PBB_DD_ftr_out_com[[#Totals],[Sum]]),"0.00")),2))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DB5CD33C-AF5D-41FB-A78A-A55E18445F9F}" name="PBB_DD_hdr_in" displayName="PBB_DD_hdr_in" ref="B12:B13" totalsRowShown="0" headerRowDxfId="899" dataDxfId="898">
  <autoFilter ref="B12:B13" xr:uid="{597CA9AC-78B6-4FAB-AD58-3D4294146BA9}"/>
  <tableColumns count="1">
    <tableColumn id="1" xr3:uid="{66EA365F-ED26-4EB6-B2A7-437F5D240DE2}" name="Col1" dataDxfId="89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F4DA6468-05CE-486F-99E6-0407A06A8773}" name="PBB_DD_ftr_in" displayName="PBB_DD_ftr_in" ref="B16:B17" totalsRowShown="0" headerRowDxfId="896" dataDxfId="895">
  <autoFilter ref="B16:B17" xr:uid="{59805444-1D28-4F92-BC6B-AA37C7219498}"/>
  <tableColumns count="1">
    <tableColumn id="1" xr3:uid="{54A0F3DC-D26F-4E01-A1E7-5449137F6F8C}" name="Col1" dataDxfId="894"/>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DAB75E7D-03EE-408B-B8FE-33F78B94E785}" name="PBB_DD_hdr_in_com" displayName="PBB_DD_hdr_in_com" ref="B24:G25" totalsRowShown="0" headerRowDxfId="893" dataDxfId="892">
  <autoFilter ref="B24:G25" xr:uid="{F7CBCAC0-BB38-4AE0-9D94-784FEDB54EE0}"/>
  <tableColumns count="6">
    <tableColumn id="1" xr3:uid="{BF7B07D9-37C5-42B2-AFA7-84C1A229E86C}" name="FileIndicator" dataDxfId="891">
      <calculatedColumnFormula>MID(PBB_DD_hdr_in[Col1],3,4)</calculatedColumnFormula>
    </tableColumn>
    <tableColumn id="2" xr3:uid="{958CA31B-710C-4A4C-907B-11CFD5D61707}" name="SenderId" dataDxfId="890">
      <calculatedColumnFormula>MID(PBB_DD_hdr_in[Col1],7,10)</calculatedColumnFormula>
    </tableColumn>
    <tableColumn id="3" xr3:uid="{23F8B4F0-73AC-4B2F-8E36-FB9896AB16E9}" name="ReceiverId" dataDxfId="889">
      <calculatedColumnFormula>MID(PBB_DD_hdr_in[Col1],17,10)</calculatedColumnFormula>
    </tableColumn>
    <tableColumn id="4" xr3:uid="{F9139003-022A-49CB-9109-18A6E6FD858F}" name="TransactionDate" dataDxfId="888">
      <calculatedColumnFormula>MID(PBB_DD_hdr_in[Col1],27,8)</calculatedColumnFormula>
    </tableColumn>
    <tableColumn id="5" xr3:uid="{C3A6407F-6809-4388-BF62-683616A90205}" name="FileDesc" dataDxfId="887">
      <calculatedColumnFormula>MID(PBB_DD_hdr_in[Col1],35,20)</calculatedColumnFormula>
    </tableColumn>
    <tableColumn id="6" xr3:uid="{A2C33A98-4C13-49A0-9FD3-C0D4FBA2B1DF}" name="Date" dataDxfId="886">
      <calculatedColumnFormula>MID(PBB_DD_hdr_in[Col1],55,8)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E2327DFA-A0CE-4B2F-B958-6FCB60E89FFA}" name="PBB_DD_ftr_in_com" displayName="PBB_DD_ftr_in_com" ref="B28:I29" totalsRowShown="0" headerRowDxfId="885" dataDxfId="884">
  <autoFilter ref="B28:I29" xr:uid="{09AB97F9-9AD4-47DB-BD8A-C8EE89C7CE73}"/>
  <tableColumns count="8">
    <tableColumn id="1" xr3:uid="{5368225A-1144-4E17-9B3C-DF7125B91E36}" name="Count" dataDxfId="883">
      <calculatedColumnFormula>MID(PBB_DD_ftr_in[Col1],35,5)</calculatedColumnFormula>
    </tableColumn>
    <tableColumn id="2" xr3:uid="{C75AE1BB-16A7-4B86-BCE3-2FF8E36D0353}" name="Sum" dataDxfId="882">
      <calculatedColumnFormula>MID(PBB_DD_ftr_in[Col1],40,11)</calculatedColumnFormula>
    </tableColumn>
    <tableColumn id="3" xr3:uid="{C78158BD-512B-4CDB-9EB9-C7B9A3E21489}" name="RejRec" dataDxfId="881">
      <calculatedColumnFormula>MID(PBB_DD_ftr_in[Col1],19,5)</calculatedColumnFormula>
    </tableColumn>
    <tableColumn id="4" xr3:uid="{9D7D0376-B91B-4565-AE1F-3FFAC84CFE15}" name="RejAmt" dataDxfId="880">
      <calculatedColumnFormula>MID(PBB_DD_ftr_in[Col1],24,11)</calculatedColumnFormula>
    </tableColumn>
    <tableColumn id="5" xr3:uid="{C9C42B62-896C-445D-9A37-84B6CD042EC4}" name="DedRec" dataDxfId="879">
      <calculatedColumnFormula>MID(PBB_DD_ftr_in[Col1],3,5)</calculatedColumnFormula>
    </tableColumn>
    <tableColumn id="6" xr3:uid="{6C9FB0FB-B86D-4E80-B430-2B317ED26A98}" name="DedAmt" dataDxfId="878">
      <calculatedColumnFormula>MID(PBB_DD_ftr_in[Col1],8,11)</calculatedColumnFormula>
    </tableColumn>
    <tableColumn id="7" xr3:uid="{17729693-3C0B-4B91-8400-6A670E456404}" name="HashTotal" dataDxfId="877">
      <calculatedColumnFormula>MID(PBB_DD_ftr_in[Col1],51,15)</calculatedColumnFormula>
    </tableColumn>
    <tableColumn id="8" xr3:uid="{DC20EE36-E81F-48C8-B950-D9CFA18F5D9F}" name="BatchNumber" dataDxfId="876">
      <calculatedColumnFormula>MID(PBB_DD_ftr_in[Col1],70,8)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333EBCE5-DE7C-490F-B3D9-92A5374491E1}" name="IL_DD_hdr_out_com" displayName="IL_DD_hdr_out_com" ref="B24:C25" totalsRowShown="0" headerRowDxfId="1259" dataDxfId="1258">
  <autoFilter ref="B24:C25" xr:uid="{8D011FFA-A8DB-4A9C-AB03-4A8E6215A654}"/>
  <tableColumns count="2">
    <tableColumn id="1" xr3:uid="{13EC8FE4-5767-4280-AD65-4AB9A07395DB}" name="fileName" dataDxfId="1257">
      <calculatedColumnFormula>CONCATENATE("DDRECEIPT","_",TEXT(TODAY(),"YYYYMMDD"),".txt")</calculatedColumnFormula>
    </tableColumn>
    <tableColumn id="2" xr3:uid="{D41FBCA7-50C4-4754-B649-F1A527DBC153}" name="currBatch" dataDxfId="125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608B601E-ED35-4195-A9B8-C80A8BD11AFA}" name="RHB_DD_bank_config" displayName="RHB_DD_bank_config" ref="B3:L4" totalsRowShown="0" headerRowDxfId="875" dataDxfId="874">
  <autoFilter ref="B3:L4" xr:uid="{64B08973-D286-4A56-AF92-B3D72C23A86D}"/>
  <tableColumns count="11">
    <tableColumn id="1" xr3:uid="{083F3353-EC1E-4CC6-877D-F9D43B0DB12E}" name="Name" dataDxfId="873"/>
    <tableColumn id="11" xr3:uid="{EB222CB7-F886-417C-93A5-A38E9F27739F}" name="BankCode" dataDxfId="872"/>
    <tableColumn id="2" xr3:uid="{AC263DB4-3E74-4722-8B66-E0F36F2E8B03}" name="Delimiter" dataDxfId="871"/>
    <tableColumn id="3" xr3:uid="{0605377D-A62A-46B4-9E22-60D95A787D34}" name="HdrIdentifier" dataDxfId="870"/>
    <tableColumn id="4" xr3:uid="{BFCD07C6-C27E-4E72-B36F-D3C8F2FDB487}" name="DetIdentifier" dataDxfId="869"/>
    <tableColumn id="5" xr3:uid="{13E3DF42-23A8-46B6-B8DB-A79D187F6D03}" name="FtrIdentifier" dataDxfId="868"/>
    <tableColumn id="13" xr3:uid="{6DFEBE8A-3264-4497-9900-BA3F575B512A}" name="ValidationCondition" dataDxfId="867"/>
    <tableColumn id="6" xr3:uid="{86FC5AD6-B53B-4667-9196-029595C4D233}" name="SrcRoutingRule" dataDxfId="866"/>
    <tableColumn id="7" xr3:uid="{79875A0A-FB7B-464C-B97A-25ACC0454551}" name="Batchsize" dataDxfId="865"/>
    <tableColumn id="12" xr3:uid="{34064C8C-6E9A-4A88-9208-DB9208A3B1E7}" name="Enabled" dataDxfId="864"/>
    <tableColumn id="8" xr3:uid="{BAA9935B-32C4-414A-A775-9655E06101BA}" name="Source" dataDxfId="863"/>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A142FEC7-156D-4D17-8A8C-020329A13724}" name="RHB_DD_det_out_com" displayName="RHB_DD_det_out_com" ref="B33:L34" totalsRowShown="0" headerRowDxfId="862" dataDxfId="861">
  <autoFilter ref="B33:L34" xr:uid="{F9B5C42E-1E0E-4031-B235-C52DD0113021}"/>
  <tableColumns count="11">
    <tableColumn id="1" xr3:uid="{762D7374-FBAA-4124-8818-81B3DAA9863C}" name="BillingCode" dataDxfId="860"/>
    <tableColumn id="3" xr3:uid="{D4475B8B-6937-4F41-BA3E-85E2887E6C6F}" name="Branch" dataDxfId="859"/>
    <tableColumn id="4" xr3:uid="{744D109F-1172-448D-A19B-5174924A3C7D}" name="PayorBankAcctNo" dataDxfId="858"/>
    <tableColumn id="5" xr3:uid="{2CF22993-6934-46C0-AD2C-9F5FB101DBDA}" name="CustomerName" dataDxfId="857"/>
    <tableColumn id="2" xr3:uid="{1D4B28BF-85B9-4F2D-A126-877C09A36E77}" name="PolicyNo" dataDxfId="856"/>
    <tableColumn id="7" xr3:uid="{863CFE1A-F6C0-41F3-9835-323D0E4462E3}" name="Amount" dataDxfId="855"/>
    <tableColumn id="8" xr3:uid="{C2B4DB46-6112-4145-8432-157EF4F095E1}" name="SystemDate" dataDxfId="854"/>
    <tableColumn id="9" xr3:uid="{9CDBC91D-B399-4630-9061-66FDC4FAE815}" name="RejectReason" dataDxfId="853"/>
    <tableColumn id="6" xr3:uid="{3AF3A002-BD21-45D5-B0A7-AFA89C1AEC7B}" name="AmountInt" dataDxfId="852">
      <calculatedColumnFormula>TEXT(INT((RHB_DD_det_out_com[Amount])),"000000000000000")</calculatedColumnFormula>
    </tableColumn>
    <tableColumn id="10" xr3:uid="{C0EE5D34-8797-49E6-8B10-5C63EC3B5F1B}" name="AmountDec" dataDxfId="851">
      <calculatedColumnFormula>(RIGHT((TEXT(RHB_DD_det_out_com[Amount]-INT(RHB_DD_det_out_com[Amount]),"0.00")),2))</calculatedColumnFormula>
    </tableColumn>
    <tableColumn id="11" xr3:uid="{73530EA1-C4A3-43A7-8A85-98E1781DCFD5}" name="HashTotal" dataDxfId="850">
      <calculatedColumnFormula>RIGHT(RHB_DD_det_out_com[PayorBankAcctNo],8)*(RIGHT(CONCATENATE(RHB_DD_det_out_com[AmountInt],RHB_DD_det_out_com[AmountDec]),8))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1BDE697F-288E-47F9-8153-39B51CF0E8DD}" name="RHB_DD_out" displayName="RHB_DD_out" ref="B47:D48" totalsRowShown="0" headerRowDxfId="849" dataDxfId="848">
  <autoFilter ref="B47:D48" xr:uid="{EE0C6E00-2A57-44E9-992B-A845EF9D6FD2}"/>
  <tableColumns count="3">
    <tableColumn id="1" xr3:uid="{8BF528D4-053D-42F6-8EEE-91E8CFE24484}" name="header" dataDxfId="847">
      <calculatedColumnFormula>CONCATENATE(B38,C38,D38,"001","0",E38,REPT(" ",20-LEN(E38)),F38,REPT(" ",35-LEN(F38)),G38,REPT(" ",239))</calculatedColumnFormula>
    </tableColumn>
    <tableColumn id="2" xr3:uid="{15D04644-A750-4CAD-A7C6-39CACF57D27C}" name="detail" dataDxfId="846">
      <calculatedColumnFormula>CONCATENATE(RHB_DD_det_out_com[SystemDate],RHB_DD_det_out_com[BillingCode],RHB_DD_det_out_com[Branch],"002","1",RHB_DD_det_out_com[PayorBankAcctNo],REPT(" ",14-LEN(RHB_DD_det_out_com[PayorBankAcctNo])),"                ",RHB_DD_det_out_com[CustomerName],REPT(" ",35-LEN(RHB_DD_det_out_com[CustomerName])),RHB_DD_det_out_com[PayorBankAcctNo],REPT(" ",12-LEN(RHB_DD_det_out_com[PayorBankAcctNo])),REPT("0",15-LEN(RHB_DD_det_out_com[Amount])),RHB_DD_det_out_com[Amount],RHB_DD_det_out_com[PolicyNo],REPT(" ",268))</calculatedColumnFormula>
    </tableColumn>
    <tableColumn id="3" xr3:uid="{0E61AB5B-072A-4955-B18B-9AA0D86ECE56}" name="footer" dataDxfId="845">
      <calculatedColumnFormula>CONCATENATE(RHB_DD_ftr_out_com[Date],RHB_DD_ftr_out_com[BillingCode],REPT(" ",10-LEN(RHB_DD_ftr_out_com[BillingCode])),RHB_DD_ftr_out_com[Branch],REPT(" ",8-LEN(RHB_DD_ftr_out_com[Branch])), RHB_DD_ftr_out_com[TapNumber],"9",RHB_DD_ftr_out_com[CompanyAccount],REPT(" ",20-LEN(RHB_DD_ftr_out_com[CompanyAccount]))," ",RHB_DD_ftr_out_com[AmountInt],RHB_DD_ftr_out_com[AmountDec],REPT("0",12-LEN(RHB_DD_ftr_out_com[Count])),REPT("0",16-LEN(RHB_DD_ftr_out_com[Hashtotal])),RHB_DD_ftr_out_com[[#Totals],[Hashtotal]],REPT("0",15),REPT(" ",292))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D8F55B8D-FE79-4042-BAF4-10E522655EAB}" name="RHB_DD_det_in" displayName="RHB_DD_det_in" ref="B8:B9" totalsRowShown="0" headerRowDxfId="844" dataDxfId="843">
  <autoFilter ref="B8:B9" xr:uid="{01FD7A67-7BFB-4B9C-960C-944565070477}"/>
  <tableColumns count="1">
    <tableColumn id="1" xr3:uid="{E735ACF6-A3DD-40B0-AC0A-110E6FC842A6}" name="Col1" dataDxfId="842"/>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BAD2E7EC-3EFE-4CAD-BE2A-48DD230EB2FF}" name="RHB_DD_det_in_com" displayName="RHB_DD_det_in_com" ref="B20:G21" totalsRowShown="0" headerRowDxfId="841" dataDxfId="840">
  <autoFilter ref="B20:G21" xr:uid="{85E82E0D-2829-4F8B-9DD8-DD9720C4CD0A}"/>
  <tableColumns count="6">
    <tableColumn id="1" xr3:uid="{E0D852C1-7C48-48FF-A013-0FDC61A5B128}" name="PayorBankAcctNo" dataDxfId="839">
      <calculatedColumnFormula>MID(RHB_DD_det_in[Col1],21,14)</calculatedColumnFormula>
    </tableColumn>
    <tableColumn id="2" xr3:uid="{327B7494-0890-4DFB-8FE0-F3CAB07079B0}" name="CustomerName" dataDxfId="838">
      <calculatedColumnFormula>MID(RHB_DD_det_in[Col1],51,35)</calculatedColumnFormula>
    </tableColumn>
    <tableColumn id="3" xr3:uid="{2FD0EAD3-4809-400E-8079-5C7611C231F8}" name="CustomerId" dataDxfId="837">
      <calculatedColumnFormula>MID(RHB_DD_det_in[Col1],86,12)</calculatedColumnFormula>
    </tableColumn>
    <tableColumn id="4" xr3:uid="{3DF400B3-7579-4550-B513-90E86CB57C9F}" name="Amount" dataDxfId="836">
      <calculatedColumnFormula>MID(RHB_DD_det_in[Col1],98,15)</calculatedColumnFormula>
    </tableColumn>
    <tableColumn id="5" xr3:uid="{49FCE0FF-F250-42CF-B09D-0197409DBF38}" name="PolicyNo" dataDxfId="835">
      <calculatedColumnFormula>MID(RHB_DD_det_in[Col1],113,10)</calculatedColumnFormula>
    </tableColumn>
    <tableColumn id="6" xr3:uid="{E181E5C6-1A9B-4307-8997-5313D7279174}" name="RejectReason" dataDxfId="834">
      <calculatedColumnFormula>MID(RHB_DD_det_in[Col1],133,10)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5411E904-6477-45C6-BAC3-1E4649126CB6}" name="RHB_DD_hdr_out_com" displayName="RHB_DD_hdr_out_com" ref="B37:G39" totalsRowShown="0" headerRowDxfId="833" dataDxfId="832">
  <autoFilter ref="B37:G39" xr:uid="{0DF97110-06B9-4BDC-944B-8AF098FC0C78}"/>
  <tableColumns count="6">
    <tableColumn id="7" xr3:uid="{A093AF2C-8717-4CFF-953F-A5838C4FEB4E}" name="Date" dataDxfId="831"/>
    <tableColumn id="1" xr3:uid="{65C3E288-D684-4B5E-AC50-0303B51845B8}" name="BillingCode" dataDxfId="830"/>
    <tableColumn id="2" xr3:uid="{8B24359E-2B91-4EA0-BC62-5731640C2002}" name="Branch" dataDxfId="829"/>
    <tableColumn id="5" xr3:uid="{6D381891-DDEC-42C3-ABD4-FD92CD68D27F}" name="CompanyAccount" dataDxfId="828"/>
    <tableColumn id="3" xr3:uid="{DC3E108F-691F-49D6-B037-216F93AEDAA4}" name="Name" dataDxfId="827"/>
    <tableColumn id="4" xr3:uid="{08FB29BA-C4F3-4A4F-883F-C9A2A1484059}" name="BusRegNum" dataDxfId="82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3CE94B9-61FA-4523-9CDC-819F25B3216E}" name="RHB_DD_ftr_out_com" displayName="RHB_DD_ftr_out_com" ref="B41:K43" totalsRowCount="1" headerRowDxfId="825" dataDxfId="824">
  <autoFilter ref="B41:K42" xr:uid="{0C5A55D8-F90E-48C4-A865-8CA769910655}"/>
  <tableColumns count="10">
    <tableColumn id="1" xr3:uid="{6B908B7C-2CCD-450C-A147-ABAC6576F1E3}" name="Count" totalsRowFunction="custom" dataDxfId="823" totalsRowDxfId="822">
      <totalsRowFormula>(RHB_DD_ftr_out_com[Count]+1)</totalsRowFormula>
    </tableColumn>
    <tableColumn id="2" xr3:uid="{E629B909-AFB3-46BB-AEBD-FCB4B8216287}" name="Sum" totalsRowFunction="custom" dataDxfId="821" totalsRowDxfId="820">
      <totalsRowFormula>(SUM(RHB_DD_ftr_out_com[Sum],RHB_DD_det_out_com[Amount]))</totalsRowFormula>
    </tableColumn>
    <tableColumn id="3" xr3:uid="{5F5991A3-A522-4C97-93AF-BA1EC480B172}" name="Date" dataDxfId="819" totalsRowDxfId="818"/>
    <tableColumn id="4" xr3:uid="{3E705254-53EE-4654-BAAF-10762986C10F}" name="BillingCode" dataDxfId="817" totalsRowDxfId="816"/>
    <tableColumn id="5" xr3:uid="{A640B853-2478-48F4-8A06-29C50BA92D2F}" name="Branch" dataDxfId="815" totalsRowDxfId="814"/>
    <tableColumn id="6" xr3:uid="{DDF72F52-02ED-4624-90BB-E977AA4BB377}" name="CompanyAccount" dataDxfId="813" totalsRowDxfId="812"/>
    <tableColumn id="7" xr3:uid="{BFAD3B83-E4DB-4B7F-B277-5F1B424835FC}" name="Hashtotal" totalsRowFunction="custom" dataDxfId="811" totalsRowDxfId="810">
      <totalsRowFormula>(SUM(RHB_DD_ftr_out_com[Hashtotal],RHB_DD_det_out_com[HashTotal]))</totalsRowFormula>
    </tableColumn>
    <tableColumn id="8" xr3:uid="{F8352AA5-3FA3-4B52-B6CC-E0DF843439C1}" name="AmountInt" dataDxfId="809" totalsRowDxfId="808">
      <calculatedColumnFormula>TEXT(INT((RHB_DD_ftr_out_com[[#Totals],[Sum]])),"0000000000000")</calculatedColumnFormula>
    </tableColumn>
    <tableColumn id="9" xr3:uid="{9F6132C1-54B5-4CDA-988C-15F1014F6864}" name="AmountDec" dataDxfId="807" totalsRowDxfId="806">
      <calculatedColumnFormula>(RIGHT((TEXT(RHB_DD_ftr_out_com[[#Totals],[Sum]]-INT(RHB_DD_ftr_out_com[[#Totals],[Sum]]),"0.00")),2))</calculatedColumnFormula>
    </tableColumn>
    <tableColumn id="10" xr3:uid="{FA52BE26-C7F5-44EA-B195-32B29D71A825}" name="TapNumber" dataDxfId="805" totalsRowDxfId="804"/>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B0C958C8-BD23-4AAE-913C-03314B48244A}" name="RHB_DD_hdr_in" displayName="RHB_DD_hdr_in" ref="B12:B13" totalsRowShown="0" headerRowDxfId="803" dataDxfId="802">
  <autoFilter ref="B12:B13" xr:uid="{E01547CF-BC59-46B0-8DD8-A88218BFFACB}"/>
  <tableColumns count="1">
    <tableColumn id="1" xr3:uid="{150C1639-2F1D-47E6-8E79-72D96433F1CD}" name="Col1" dataDxfId="801"/>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1E43E1B4-FB33-4BD3-988B-A785F263E173}" name="RHB_DD_ftr_in" displayName="RHB_DD_ftr_in" ref="B16:B17" totalsRowShown="0" headerRowDxfId="800" dataDxfId="799">
  <autoFilter ref="B16:B17" xr:uid="{8DA0986B-F17F-4998-95DE-C26922F00874}"/>
  <tableColumns count="1">
    <tableColumn id="1" xr3:uid="{31B59104-74DB-4C4D-BED8-6F8662DD7AE3}" name="Col1" dataDxfId="79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F7F30BFF-2E33-4C0D-A913-9B4F00751AF6}" name="RHB_DD_hdr_in_com" displayName="RHB_DD_hdr_in_com" ref="B24:H25" totalsRowShown="0" headerRowDxfId="797" dataDxfId="796">
  <autoFilter ref="B24:H25" xr:uid="{0667ABE4-B05B-4BF9-BC40-365E66D96F50}"/>
  <tableColumns count="7">
    <tableColumn id="1" xr3:uid="{CC818206-F72C-4816-AFA2-37B791F4D48D}" name="Date" dataDxfId="795">
      <calculatedColumnFormula>MID(RHB_DD_hdr_in[Col1],1,8)</calculatedColumnFormula>
    </tableColumn>
    <tableColumn id="2" xr3:uid="{DD417D6A-F71B-4D88-9E63-C5243499293E}" name="BillingCode" dataDxfId="794">
      <calculatedColumnFormula>MID(RHB_DD_hdr_in[Col1],9,5)</calculatedColumnFormula>
    </tableColumn>
    <tableColumn id="3" xr3:uid="{1CB5CFBA-EFF8-4500-9E64-05432A5F13F5}" name="Branch" dataDxfId="793">
      <calculatedColumnFormula>MID(RHB_DD_hdr_in[Col1],14,3)</calculatedColumnFormula>
    </tableColumn>
    <tableColumn id="4" xr3:uid="{3A6D00E4-04BB-4A8D-B06B-B9CE9207C7E8}" name="CompanyAccount" dataDxfId="792">
      <calculatedColumnFormula>MID(RHB_DD_hdr_in[Col1],21,14)</calculatedColumnFormula>
    </tableColumn>
    <tableColumn id="5" xr3:uid="{E2DD6708-7E62-4081-8AD3-E89DB8930D3F}" name="ComRegNum" dataDxfId="791">
      <calculatedColumnFormula>MID(RHB_DD_hdr_in[Col1],86,12)</calculatedColumnFormula>
    </tableColumn>
    <tableColumn id="6" xr3:uid="{17B96BD2-7910-4794-BAA4-9FA374BF811D}" name="MedicalInd" dataDxfId="790">
      <calculatedColumnFormula>MID(RHB_DD_hdr_in[Col1],98,1)</calculatedColumnFormula>
    </tableColumn>
    <tableColumn id="7" xr3:uid="{6C528223-50D5-4FE8-BB9D-E6B50FED2B1A}" name="AccountId" dataDxfId="789">
      <calculatedColumnFormula>MID(RHB_DD_hdr_in[Col1],99,1)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BA15E952-4F20-4E0F-ABAD-B83E11AC11B7}" name="IL_DD_det_in_com" displayName="IL_DD_det_in_com" ref="B13:K14" totalsRowShown="0" headerRowDxfId="1255" dataDxfId="1254">
  <autoFilter ref="B13:K14" xr:uid="{5611BF3B-5BFD-4771-AAA0-F9C048011918}"/>
  <tableColumns count="10">
    <tableColumn id="1" xr3:uid="{DB51C745-5FB2-458B-BA36-28264BE1B522}" name="BillingDate" dataDxfId="1253">
      <calculatedColumnFormula>TEXT(IL_DD_det_in[BillingDate],"mm/dd/yyyy")</calculatedColumnFormula>
    </tableColumn>
    <tableColumn id="2" xr3:uid="{798EA79B-B4D1-4897-A85E-8DF2FC77AAD1}" name="CustomerName" dataDxfId="1252">
      <calculatedColumnFormula>TRIM(IL_DD_det_in[PayorName])</calculatedColumnFormula>
    </tableColumn>
    <tableColumn id="3" xr3:uid="{F93AC135-9436-4D7B-A623-FDDF4ACF7301}" name="PayorBankAcctNo" dataDxfId="1251">
      <calculatedColumnFormula>TRIM((IL_DD_det_in[PayorBankAcctNo]))</calculatedColumnFormula>
    </tableColumn>
    <tableColumn id="6" xr3:uid="{156B2BFF-F7AB-48D1-BF02-C09003964E39}" name="PayorBankCode" dataDxfId="1250">
      <calculatedColumnFormula>TRIM((IL_DD_det_in[PayorBankCode]))</calculatedColumnFormula>
    </tableColumn>
    <tableColumn id="7" xr3:uid="{AE3FC08D-C625-4BC3-8F20-EFA0EB734A13}" name="Amount" dataDxfId="1249">
      <calculatedColumnFormula>VALUE(TRIM(IL_DD_det_in[Amount]))</calculatedColumnFormula>
    </tableColumn>
    <tableColumn id="4" xr3:uid="{FD55BADC-67AD-4D76-857E-4F64641B5766}" name="FactoringHouse" dataDxfId="1248">
      <calculatedColumnFormula>TRIM(IL_DD_det_in[FactoringHouse])</calculatedColumnFormula>
    </tableColumn>
    <tableColumn id="5" xr3:uid="{5F77723D-7C3C-487D-8AB9-C2EB889A4E4C}" name="DefaultResponse" dataDxfId="1247">
      <calculatedColumnFormula>(IL_DD_det_in[BillingDate])&amp;IL_DD_src_config[Delimiter]&amp;IL_DD_det_in[PayorName]&amp;IL_DD_src_config[Delimiter]&amp;IL_DD_det_in[PayorBankAcctNo]&amp;IL_DD_src_config[Delimiter]&amp;IL_DD_det_in[PayorBankCode]&amp;IL_DD_src_config[Delimiter]&amp;"Approved"</calculatedColumnFormula>
    </tableColumn>
    <tableColumn id="9" xr3:uid="{3CDA861D-AD7B-4942-AC55-7368C2A1DA5D}" name="PayorNewICNum" dataDxfId="1246">
      <calculatedColumnFormula>TRIM(IL_DD_det_in[PayorNewICNum])</calculatedColumnFormula>
    </tableColumn>
    <tableColumn id="10" xr3:uid="{EA6562FD-3AD4-4D1B-A615-9461DA55B811}" name="PolicyNo" dataDxfId="1245">
      <calculatedColumnFormula>TRIM(IL_DD_det_in[PolicyNo])</calculatedColumnFormula>
    </tableColumn>
    <tableColumn id="8" xr3:uid="{6E5ADC5B-29A3-4A7E-B4F5-B13CAE1E7778}" name="PayorOldICNum" dataDxfId="1244">
      <calculatedColumnFormula>TRIM(IL_DD_det_in[PayorOldICNum])</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828F849C-A274-4E06-8E1E-6C4837757689}" name="RHB_DD_ftr_in_com" displayName="RHB_DD_ftr_in_com" ref="B28:I29" totalsRowShown="0" headerRowDxfId="788" dataDxfId="787">
  <autoFilter ref="B28:I29" xr:uid="{1A7CCEDF-534F-42C0-B9CA-716D58C24AEB}"/>
  <tableColumns count="8">
    <tableColumn id="1" xr3:uid="{CD65E626-4464-464B-853D-D0BCCE585411}" name="Count" dataDxfId="786">
      <calculatedColumnFormula>MID(RHB_DD_ftr_in[Col1],66,12)</calculatedColumnFormula>
    </tableColumn>
    <tableColumn id="2" xr3:uid="{9B21520B-48F3-45AA-A12D-687F54E810E6}" name="Sum" dataDxfId="785">
      <calculatedColumnFormula>MID(RHB_DD_ftr_in[Col1],51,15)</calculatedColumnFormula>
    </tableColumn>
    <tableColumn id="3" xr3:uid="{454B1581-7362-4ED5-9187-938609415048}" name="AccountNumber" dataDxfId="784">
      <calculatedColumnFormula>MID(RHB_DD_ftr_in[Col1],21,14)</calculatedColumnFormula>
    </tableColumn>
    <tableColumn id="4" xr3:uid="{C856D2F2-B7FC-4A47-A8F9-538C2D8482B7}" name="HashTotal" dataDxfId="783">
      <calculatedColumnFormula>MID(RHB_DD_ftr_in[Col1],78,16)</calculatedColumnFormula>
    </tableColumn>
    <tableColumn id="5" xr3:uid="{897BF968-314B-4155-A1BD-D05BAD6533DE}" name="SucRecords" dataDxfId="782">
      <calculatedColumnFormula>MID(RHB_DD_ftr_in[Col1],109,12)</calculatedColumnFormula>
    </tableColumn>
    <tableColumn id="6" xr3:uid="{9187BFD7-7103-474A-BCD2-4E8C313BC5B6}" name="SucAmt" dataDxfId="781">
      <calculatedColumnFormula>MID(RHB_DD_ftr_in[Col1],121,15)</calculatedColumnFormula>
    </tableColumn>
    <tableColumn id="7" xr3:uid="{A6BE2D66-4BD2-437F-9109-09FCEBC61291}" name="RejRec" dataDxfId="780">
      <calculatedColumnFormula>MID(RHB_DD_ftr_in[Col1],136,12)</calculatedColumnFormula>
    </tableColumn>
    <tableColumn id="8" xr3:uid="{685EBB33-8809-4B90-A4C0-4346914D473F}" name="RejAmt" dataDxfId="779">
      <calculatedColumnFormula>MID(RHB_DD_ftr_in[Col1],148,15)</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6DA70916-435C-48FC-8300-328AA813BFF2}" name="SCB_DD_bank_config" displayName="SCB_DD_bank_config" ref="B3:L4" totalsRowShown="0" headerRowDxfId="778" dataDxfId="777">
  <autoFilter ref="B3:L4" xr:uid="{21314FE8-B851-4D30-84C6-7CC336BE5C9F}"/>
  <tableColumns count="11">
    <tableColumn id="1" xr3:uid="{365A8E4B-415E-40A8-93B5-F1882BA17A3E}" name="Name" dataDxfId="776"/>
    <tableColumn id="11" xr3:uid="{58209120-247E-40BC-89C5-B6628CF96621}" name="BankCode" dataDxfId="775"/>
    <tableColumn id="2" xr3:uid="{21AF4C4E-6DA0-4EB1-AF27-FE5DA591E71C}" name="Delimiter" dataDxfId="774"/>
    <tableColumn id="3" xr3:uid="{641EB017-D787-43CC-B2A3-166725D21295}" name="HdrIdentifier" dataDxfId="773"/>
    <tableColumn id="4" xr3:uid="{B8BAD1F3-7364-4598-A8ED-2353911CAD4D}" name="DetIdentifier" dataDxfId="772"/>
    <tableColumn id="5" xr3:uid="{988B371E-57B4-4173-830E-76BFF15FCAAF}" name="FtrIdentifier" dataDxfId="771"/>
    <tableColumn id="13" xr3:uid="{BD7B837E-A463-4BB4-B1C6-736F7507EE0D}" name="ValidationCondition" dataDxfId="770"/>
    <tableColumn id="6" xr3:uid="{40FF28B4-02F5-4D4E-81B4-5175B7283F22}" name="SrcRoutingRule" dataDxfId="769"/>
    <tableColumn id="7" xr3:uid="{722C1BC2-8DAB-4ADB-B80B-6B9A1B9EB59D}" name="Batchsize" dataDxfId="768"/>
    <tableColumn id="12" xr3:uid="{410FE0BE-16F8-442E-8736-7C3E93B40329}" name="Enabled" dataDxfId="767"/>
    <tableColumn id="8" xr3:uid="{4666D9AA-76F4-417B-BA82-43AA43122E38}" name="Source" dataDxfId="766"/>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601037C9-83D2-4D44-AC10-3BEC2E687BCB}" name="SCB_DD_det_out_com" displayName="SCB_DD_det_out_com" ref="B33:K34" totalsRowShown="0" headerRowDxfId="765" dataDxfId="764">
  <autoFilter ref="B33:K34" xr:uid="{E2DDF370-468E-47C0-B78A-569DE62E6F24}"/>
  <tableColumns count="10">
    <tableColumn id="1" xr3:uid="{1C0FF42E-04D0-4906-B3C9-2321F4BDBBFE}" name="BranchCode" dataDxfId="763"/>
    <tableColumn id="3" xr3:uid="{7F05FBF1-D2A8-4EE9-8937-7C462D07DA30}" name="PayorBankAcctNo" dataDxfId="762"/>
    <tableColumn id="4" xr3:uid="{D041A32A-CC3C-4642-B0CD-0E10533CFF11}" name="CustomerName" dataDxfId="761"/>
    <tableColumn id="5" xr3:uid="{4B443109-63EA-4885-B06F-98F5C10E163F}" name="PolicyNo" dataDxfId="760"/>
    <tableColumn id="6" xr3:uid="{566D196D-D0D7-4D64-842C-288C8F3A1302}" name="Amount" dataDxfId="759"/>
    <tableColumn id="2" xr3:uid="{756F750F-E34F-47BA-AE7D-1564F0EB61A5}" name="ValueDate" dataDxfId="758"/>
    <tableColumn id="7" xr3:uid="{830F280E-FF9A-4DAF-B4AB-BFDC6C0A6E12}" name="SeqNumber" dataDxfId="757"/>
    <tableColumn id="8" xr3:uid="{816BD029-363E-4AD1-8739-E39A13492A9B}" name="Achcod" dataDxfId="756"/>
    <tableColumn id="9" xr3:uid="{98BBB2FA-A66E-4174-B9D8-4A96CB1BF27C}" name="AmountInt" dataDxfId="755">
      <calculatedColumnFormula>TEXT(INT((SCB_DD_det_out_com[Amount])),"000000000000")</calculatedColumnFormula>
    </tableColumn>
    <tableColumn id="10" xr3:uid="{9303A9FA-A9A5-4ECF-BAB5-5D26722B565B}" name="AmountDec" dataDxfId="754">
      <calculatedColumnFormula>(RIGHT((TEXT(SCB_DD_det_out_com[Amount]-INT(SCB_DD_det_out_com[Amount]),"0.00")),2))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E75CE6BB-6C00-471D-B7CA-352F1DAAE951}" name="SCB_DD_out" displayName="SCB_DD_out" ref="B47:D48" totalsRowShown="0" headerRowDxfId="753" dataDxfId="752">
  <autoFilter ref="B47:D48" xr:uid="{21D75037-913A-418F-BF12-D98D4806B0AE}"/>
  <tableColumns count="3">
    <tableColumn id="1" xr3:uid="{5B1CEA38-90A8-4C55-844A-78C6BD910DEE}" name="header" dataDxfId="751">
      <calculatedColumnFormula>CONCATENATE("H","312157158304                       ","37274   ","00000000",REPT("0",20-LEN(SCB_DD_hdr_out_com[EBSWBatch])),REPT("0",10-LEN(SCB_DD_hdr_out_com[CWSBatch])),SCB_DD_hdr_out_com[EBSWBatch],SCB_DD_hdr_out_com[CWSBatch],"000014")</calculatedColumnFormula>
    </tableColumn>
    <tableColumn id="2" xr3:uid="{BFC028FC-908E-472A-9EB0-84E1B18E273E}" name="detail" dataDxfId="750">
      <calculatedColumnFormula>CONCATENATE("D",SCB_DD_det_out_com[Achcod],SCB_DD_det_out_com[BranchCode],SCB_DD_det_out_com[PayorBankAcctNo],REPT(" ",35-LEN(SCB_DD_det_out_com[PayorBankAcctNo])),SCB_DD_det_out_com[CustomerName],REPT(" ",20-LEN(SCB_DD_det_out_com[CustomerName])),SCB_DD_det_out_com[PolicyNo],REPT(" ",20-LEN(SCB_DD_det_out_com[PolicyNo])),REPT("0",15-LEN(SCB_DD_det_out_com[Amount])),SCB_DD_det_out_com[Amount],SCB_DD_det_out_com[ValueDate],REPT(" ",20),SCB_DD_det_out_com[SeqNumber])</calculatedColumnFormula>
    </tableColumn>
    <tableColumn id="3" xr3:uid="{465E8E01-204D-4041-A11E-039A1616658F}" name="footer" dataDxfId="749">
      <calculatedColumnFormula>CONCATENATE("T",REPT("0",5-LEN(SCB_DD_ftr_out_com[Count])),SCB_DD_ftr_out_com[AmountInt],SCB_DD_ftr_out_com[AmountDec])</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5B7442C5-FD66-485A-8205-765497426C19}" name="SCB_DD_det_in" displayName="SCB_DD_det_in" ref="B8:B9" totalsRowShown="0" headerRowDxfId="748" dataDxfId="747">
  <autoFilter ref="B8:B9" xr:uid="{C57E57F8-91A8-44BA-A639-097790DAA768}"/>
  <tableColumns count="1">
    <tableColumn id="1" xr3:uid="{8FB0D5A8-1209-4D37-9DE2-DAABBB3B8373}" name="Col1" dataDxfId="74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9669FE02-1171-45D3-916B-A2DF4257746E}" name="SCB_DD_det_in_com" displayName="SCB_DD_det_in_com" ref="B20:L21" totalsRowShown="0" headerRowDxfId="745" dataDxfId="744">
  <autoFilter ref="B20:L21" xr:uid="{8E487D51-685B-49C7-B7D6-69B12ECFD875}"/>
  <tableColumns count="11">
    <tableColumn id="1" xr3:uid="{BEEEE8B6-C3BB-45DF-963D-F3910833A015}" name="CorporationId" dataDxfId="743">
      <calculatedColumnFormula>MID(SCB_DD_det_in[Col1],2,8)</calculatedColumnFormula>
    </tableColumn>
    <tableColumn id="2" xr3:uid="{74B94133-C103-4ECC-96B3-B0013E715399}" name="BatchNumber" dataDxfId="742">
      <calculatedColumnFormula>MID(SCB_DD_det_in[Col1],10,20)</calculatedColumnFormula>
    </tableColumn>
    <tableColumn id="3" xr3:uid="{8AC6BEC2-EECE-4DFD-A6C1-628FBD16ADAF}" name="SeqNumber" dataDxfId="741">
      <calculatedColumnFormula>MID(SCB_DD_det_in[Col1],30,6)</calculatedColumnFormula>
    </tableColumn>
    <tableColumn id="4" xr3:uid="{8C594AF7-B6C1-4550-B55F-2E540DD4067C}" name="BranchCode" dataDxfId="740">
      <calculatedColumnFormula>MID(SCB_DD_det_in[Col1],42,5)</calculatedColumnFormula>
    </tableColumn>
    <tableColumn id="5" xr3:uid="{F08C09B9-3991-4A76-95F9-32579D9071C6}" name="PayorBankAcctNo" dataDxfId="739">
      <calculatedColumnFormula>MID(SCB_DD_det_in[Col1],47,35)</calculatedColumnFormula>
    </tableColumn>
    <tableColumn id="6" xr3:uid="{F40AD0BB-7C31-4E03-878D-3240F45F4DF1}" name="CustomerName" dataDxfId="738">
      <calculatedColumnFormula>MID(SCB_DD_det_in[Col1],82,100)</calculatedColumnFormula>
    </tableColumn>
    <tableColumn id="7" xr3:uid="{740B96B9-FA43-4443-AEE2-9CAF729664E8}" name="Amount" dataDxfId="737">
      <calculatedColumnFormula>MID(SCB_DD_det_in[Col1],182,24)</calculatedColumnFormula>
    </tableColumn>
    <tableColumn id="8" xr3:uid="{F536417C-BC56-40AE-BC08-C8711DF8ABF4}" name="PolicyNo" dataDxfId="736">
      <calculatedColumnFormula>MID(SCB_DD_det_in[Col1],206,20)</calculatedColumnFormula>
    </tableColumn>
    <tableColumn id="9" xr3:uid="{91430687-57BB-4D39-BFAF-2CB5BC00988C}" name="ValueDate" dataDxfId="735">
      <calculatedColumnFormula>MID(SCB_DD_det_in[Col1],226,8)</calculatedColumnFormula>
    </tableColumn>
    <tableColumn id="10" xr3:uid="{6F7490CA-03F9-4804-8C08-D44F7BFDB162}" name="ReturnDate" dataDxfId="734">
      <calculatedColumnFormula>MID(SCB_DD_det_in[Col1],330,8)</calculatedColumnFormula>
    </tableColumn>
    <tableColumn id="11" xr3:uid="{635361E8-49F9-4976-9F43-03EF3CCAE088}" name="RejectedReason" dataDxfId="733">
      <calculatedColumnFormula>MID(SCB_DD_det_in[Col1],338,30)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B6C9F07C-FA92-497A-976C-89ED1247FB39}" name="SCB_DD_hdr_out_com" displayName="SCB_DD_hdr_out_com" ref="B37:C38" totalsRowShown="0" headerRowDxfId="732" dataDxfId="731">
  <autoFilter ref="B37:C38" xr:uid="{07D1685E-0DD5-4922-803A-B991D667B32D}"/>
  <tableColumns count="2">
    <tableColumn id="7" xr3:uid="{F3731171-9D63-4E14-B8B2-86409E952F20}" name="EBSWBatch" dataDxfId="730"/>
    <tableColumn id="1" xr3:uid="{A5ED5223-DE5B-4526-B6A7-02B820F4E5AB}" name="CWSBatch" dataDxfId="72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35C9A691-65DB-4B93-A8A8-857C4B42F4E0}" name="SCB_DD_ftr_out_com" displayName="SCB_DD_ftr_out_com" ref="B41:E43" totalsRowCount="1" headerRowDxfId="728" dataDxfId="727">
  <autoFilter ref="B41:E42" xr:uid="{621C3DC9-E8C9-4629-955D-A89B7A4862FC}"/>
  <tableColumns count="4">
    <tableColumn id="1" xr3:uid="{85B600B8-C27E-4849-91E8-D1973A36704C}" name="Count" totalsRowFunction="custom" dataDxfId="726" totalsRowDxfId="725">
      <totalsRowFormula>(SCB_DD_ftr_out_com[Count]+1)</totalsRowFormula>
    </tableColumn>
    <tableColumn id="2" xr3:uid="{B99D8631-97F5-4201-A942-7105E55B2DD1}" name="Sum" totalsRowFunction="custom" dataDxfId="724" totalsRowDxfId="723">
      <totalsRowFormula>(SUM(SCB_DD_ftr_out_com[Sum],SCB_DD_det_out_com[Amount]))</totalsRowFormula>
    </tableColumn>
    <tableColumn id="3" xr3:uid="{E8580602-182D-47DD-A093-D9DA4EEC1EF2}" name="AmountInt" dataDxfId="722" totalsRowDxfId="721">
      <calculatedColumnFormula>TEXT(INT((SCB_DD_ftr_out_com[[#Totals],[Sum]])),"000000000000")</calculatedColumnFormula>
    </tableColumn>
    <tableColumn id="4" xr3:uid="{A8F41EE2-6071-4A62-A32A-FAA92C1D31E2}" name="AmountDec" dataDxfId="720" totalsRowDxfId="719">
      <calculatedColumnFormula>(RIGHT((TEXT(SCB_DD_ftr_out_com[[#Totals],[Sum]]-INT(SCB_DD_ftr_out_com[[#Totals],[Sum]]),"0.00")),2))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832C7ACA-8643-4BD2-B945-D539B2B0DC4C}" name="SCB_DD_hdr_in" displayName="SCB_DD_hdr_in" ref="B12:B13" totalsRowShown="0" headerRowDxfId="718" dataDxfId="717">
  <autoFilter ref="B12:B13" xr:uid="{6FE19C55-4F9C-4A0A-B37C-3C5ECA71CD4B}"/>
  <tableColumns count="1">
    <tableColumn id="1" xr3:uid="{95FE4B20-B4EC-43BD-B1B1-ABE572773A5B}" name="Col1" dataDxfId="716"/>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9049E7EB-B23A-4693-99D9-963915459D01}" name="SCB_DD_ftr_in" displayName="SCB_DD_ftr_in" ref="B16:B17" totalsRowShown="0" headerRowDxfId="715" dataDxfId="714">
  <autoFilter ref="B16:B17" xr:uid="{6CC3D1C3-A65A-4364-83AC-8A67D0253C05}"/>
  <tableColumns count="1">
    <tableColumn id="1" xr3:uid="{B51A8943-0CE2-4FC4-BE67-C78CD8593D3E}" name="Col1" dataDxfId="713"/>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4290C2B1-E75C-4852-8F01-4C2FFD2A733C}" name="RejectCodeMap186" displayName="RejectCodeMap186" ref="H25:I31" totalsRowShown="0" headerRowDxfId="1243" dataDxfId="1242">
  <autoFilter ref="H25:I31" xr:uid="{989773ED-7305-4635-A04F-D31E5F23EDA4}"/>
  <tableColumns count="2">
    <tableColumn id="1" xr3:uid="{69B913D0-C019-4E6A-89BD-C82611B1AAA4}" name="RejectCode" dataDxfId="1241"/>
    <tableColumn id="2" xr3:uid="{3159C11D-2BC4-4EAE-B6D2-01C5398CEB84}" name="RejectDesc" dataDxfId="1240"/>
  </tableColumns>
  <tableStyleInfo name="TableStyleLight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3A651ED3-C6E3-43CF-ADF3-FFE6D06FE096}" name="SCB_DD_hdr_in_com" displayName="SCB_DD_hdr_in_com" ref="B24:C25" totalsRowShown="0" headerRowDxfId="712" dataDxfId="711">
  <autoFilter ref="B24:C25" xr:uid="{4D61C52C-0D3F-478F-9E97-90B6EAFA7DC3}"/>
  <tableColumns count="2">
    <tableColumn id="1" xr3:uid="{D9B72F39-DB9D-4D04-A860-78ADA98B8CA9}" name="StartDate" dataDxfId="710">
      <calculatedColumnFormula>MID(SCB_DD_hdr_in[Col1],2,8)</calculatedColumnFormula>
    </tableColumn>
    <tableColumn id="2" xr3:uid="{4E98B6FB-D30B-434D-8BFE-891828D7FD7E}" name="EndDate" dataDxfId="709">
      <calculatedColumnFormula>MID(SCB_DD_hdr_in[Col1],10,8)</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7966C89F-6CB1-49A5-9CCB-EC4C41D42AB7}" name="SCB_DD_ftr_in_com" displayName="SCB_DD_ftr_in_com" ref="B28:B29" totalsRowShown="0" headerRowDxfId="708" dataDxfId="707">
  <autoFilter ref="B28:B29" xr:uid="{6A1EB790-26B8-4B87-BFD4-26F9E0295163}"/>
  <tableColumns count="1">
    <tableColumn id="1" xr3:uid="{8461BE0A-F8C0-42A5-88AF-668822FFA275}" name="Count" dataDxfId="706">
      <calculatedColumnFormula>MID(SCB_DD_ftr_in[Col1],2,6)</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34CBCD17-8F82-4114-B137-B98CDBF48593}" name="CIMB_DD_bank_config" displayName="CIMB_DD_bank_config" ref="B3:L4" totalsRowShown="0" headerRowDxfId="705" dataDxfId="704">
  <autoFilter ref="B3:L4" xr:uid="{21314FE8-B851-4D30-84C6-7CC336BE5C9F}"/>
  <tableColumns count="11">
    <tableColumn id="1" xr3:uid="{4219CAFE-48D3-4F48-9F33-CEC9F5A5D465}" name="Name" dataDxfId="703"/>
    <tableColumn id="11" xr3:uid="{53A9DEA8-CF39-4F74-B2D3-687B8C47C1D0}" name="BankCode" dataDxfId="702"/>
    <tableColumn id="2" xr3:uid="{04C58CCC-81E7-4CEC-8FF8-37A59D36D05E}" name="Delimiter" dataDxfId="701"/>
    <tableColumn id="3" xr3:uid="{7251E425-FF26-4012-B7CF-E3645691E96A}" name="HdrIdentifier" dataDxfId="700"/>
    <tableColumn id="4" xr3:uid="{D4E086C2-16A3-4375-AF74-DCDF32A754E9}" name="DetIdentifier" dataDxfId="699"/>
    <tableColumn id="5" xr3:uid="{5910DBF0-B869-46C1-B4CB-811D323AA80E}" name="FtrIdentifier" dataDxfId="698"/>
    <tableColumn id="13" xr3:uid="{2D0797D4-DFEC-4321-926B-5A08E080CE89}" name="ValidationCondition" dataDxfId="697"/>
    <tableColumn id="6" xr3:uid="{2C31C08D-B013-46EC-B53A-59E0DE17B698}" name="SrcRoutingRule" dataDxfId="696"/>
    <tableColumn id="7" xr3:uid="{4C4F9E85-3948-4248-801A-807FDB39B750}" name="Batchsize" dataDxfId="695"/>
    <tableColumn id="12" xr3:uid="{72C18BE6-283A-44C2-A031-1E72E3C08785}" name="Enabled" dataDxfId="694"/>
    <tableColumn id="8" xr3:uid="{EA3CEDDE-EF7C-4A9D-9BC4-C6B41436769C}" name="Source" dataDxfId="693"/>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3E1099D2-0E14-445A-9418-F9F8F9BDC93A}" name="CIMB_DD_det_out_com" displayName="CIMB_DD_det_out_com" ref="B33:J34" totalsRowShown="0" headerRowDxfId="692" dataDxfId="691">
  <autoFilter ref="B33:J34" xr:uid="{E2DDF370-468E-47C0-B78A-569DE62E6F24}"/>
  <tableColumns count="9">
    <tableColumn id="1" xr3:uid="{5CB28415-49DB-49C0-92FF-E35263B6A8A7}" name="BatchNumber" dataDxfId="690"/>
    <tableColumn id="2" xr3:uid="{D9287F00-F5E7-46F8-B1FA-2A0001B06208}" name="PolicyNo" dataDxfId="689"/>
    <tableColumn id="3" xr3:uid="{CDCAA9AC-07EB-4B4E-BAEF-013B58BEE589}" name="CustomerID" dataDxfId="688"/>
    <tableColumn id="4" xr3:uid="{C048B689-E676-4733-B102-205542CFDB7F}" name="CustomerName" dataDxfId="687"/>
    <tableColumn id="5" xr3:uid="{7F717955-C94C-4284-B50C-D99CA2F3C238}" name="PayorBankAcctNo" dataDxfId="686"/>
    <tableColumn id="6" xr3:uid="{075CDCCA-A499-4E1D-B24F-D49EE868E969}" name="Amount" dataDxfId="685"/>
    <tableColumn id="7" xr3:uid="{8245375F-EE2A-4D39-932D-5757D2F2E7F7}" name="AmountInt" dataDxfId="684">
      <calculatedColumnFormula>TEXT(INT((CIMB_DD_det_out_com[Amount])),"0000000000000")</calculatedColumnFormula>
    </tableColumn>
    <tableColumn id="8" xr3:uid="{623FE3DF-8250-4D5A-B0EA-811A2DD8B11E}" name="AmountDec" dataDxfId="683">
      <calculatedColumnFormula>(RIGHT((TEXT(CIMB_DD_det_out_com[Amount]-INT(CIMB_DD_det_out_com[Amount]),"0.00")),2))</calculatedColumnFormula>
    </tableColumn>
    <tableColumn id="9" xr3:uid="{5E6083DF-0CBC-45F6-A097-4569290F5873}" name="HashTotal" dataDxfId="682">
      <calculatedColumnFormula>SUM(CIMB_DD_det_out_com[PayorBankAcctNo],CONCATENATE(CIMB_DD_det_out_com[AmountInt],CIMB_DD_det_out_com[AmountDec]))</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1E9D64DA-B1F2-42D3-B92E-8CCAEF9C770A}" name="CIMB_DD_out" displayName="CIMB_DD_out" ref="B47:D48" totalsRowShown="0" headerRowDxfId="681" dataDxfId="680">
  <autoFilter ref="B47:D48" xr:uid="{21D75037-913A-418F-BF12-D98D4806B0AE}"/>
  <tableColumns count="3">
    <tableColumn id="1" xr3:uid="{1DBA4F1E-6B22-4BEA-BF76-F176A8B9062B}" name="header" dataDxfId="679">
      <calculatedColumnFormula>CONCATENATE("01",CIMB_DD_hdr_out_com[BatchNumber],CIMB_DD_hdr_out_com[OrgCode],REPT(" ",4-LEN(CIMB_DD_hdr_out_com[OrgCode])),CIMB_DD_hdr_out_com[OrgName],REPT(" ",40-LEN(CIMB_DD_hdr_out_com[OrgName])),CIMB_DD_hdr_out_com[BillingDate],CIMB_DD_hdr_out_com[SecurityCode],REPT(" ", 128))</calculatedColumnFormula>
    </tableColumn>
    <tableColumn id="2" xr3:uid="{83082EEA-4CF4-45D1-B566-B6869BEE6724}" name="detail" dataDxfId="678">
      <calculatedColumnFormula>CONCATENATE("02",CIMB_DD_det_out_com[BatchNumber],CIMB_DD_det_out_com[PolicyNo],CIMB_DD_det_out_com[CustomerID],REPT(" ",12-LEN(CIMB_DD_det_out_com[CustomerID])),"    ",CIMB_DD_det_out_com[CustomerName],REPT(" ",35-LEN(CIMB_DD_det_out_com[CustomerName])),"     ",CIMB_DD_det_out_com[PayorBankAcctNo],REPT(" ",14-LEN(CIMB_DD_det_out_com[PayorBankAcctNo])),REPT("0",13-LEN(CIMB_DD_det_out_com[Amount])),CIMB_DD_det_out_com[Amount],REPT(" ",99))</calculatedColumnFormula>
    </tableColumn>
    <tableColumn id="3" xr3:uid="{C298F79F-E0F6-4F24-B408-A771FF73B848}" name="footer" dataDxfId="677">
      <calculatedColumnFormula>CONCATENATE("03",CIMB_DD_ftr_out_com[BatchNumber],REPT("0",6-LEN(CIMB_DD_ftr_out_com[Count])),CIMB_DD_ftr_out_com[Count],CIMB_DD_ftr_out_com[AmountInt],CIMB_DD_ftr_out_com[AmountDec],REPT(" ",42),REPT("0",15-LEN(CIMB_DD_ftr_out_com[[#Totals],[HashTotal]])),CIMB_DD_ftr_out_com[[#Totals],[HashTotal]],REPT(" ",112))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E188BFB4-DE4C-45B1-92E5-399CE1F0484B}" name="CIMB_DD_det_in" displayName="CIMB_DD_det_in" ref="B8:B9" totalsRowShown="0" headerRowDxfId="676" dataDxfId="675">
  <autoFilter ref="B8:B9" xr:uid="{C57E57F8-91A8-44BA-A639-097790DAA768}"/>
  <tableColumns count="1">
    <tableColumn id="1" xr3:uid="{667839DF-D272-44A0-B68F-4BA10FE2E569}" name="Col1" dataDxfId="674"/>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31C336F8-F837-4AEA-BBA9-F9F0EC57094E}" name="CIMB_DD_det_in_com" displayName="CIMB_DD_det_in_com" ref="B20:I21" totalsRowShown="0" headerRowDxfId="673" dataDxfId="672">
  <autoFilter ref="B20:I21" xr:uid="{8E487D51-685B-49C7-B7D6-69B12ECFD875}"/>
  <tableColumns count="8">
    <tableColumn id="1" xr3:uid="{0D9E259C-7024-43D5-8468-06B0C62618BF}" name="BatchNumber" dataDxfId="671">
      <calculatedColumnFormula>(MID(CIMB_DD_det_in[Col1],3,8))</calculatedColumnFormula>
    </tableColumn>
    <tableColumn id="2" xr3:uid="{949DCD66-8653-4639-875A-121715529F39}" name="PolicyNo" dataDxfId="670">
      <calculatedColumnFormula>(MID(CIMB_DD_det_in[Col1],11,16))</calculatedColumnFormula>
    </tableColumn>
    <tableColumn id="3" xr3:uid="{32EC121D-22CC-429D-99C8-D743B0002C67}" name="CustomerID" dataDxfId="669">
      <calculatedColumnFormula>(MID(CIMB_DD_det_in[Col1],41,16))</calculatedColumnFormula>
    </tableColumn>
    <tableColumn id="4" xr3:uid="{F45A8D99-D20E-4208-832D-A9B0C8FC02ED}" name="CustomerName" dataDxfId="668">
      <calculatedColumnFormula>(MID(CIMB_DD_det_in[Col1],57,40))</calculatedColumnFormula>
    </tableColumn>
    <tableColumn id="5" xr3:uid="{9A6D2134-CF26-4D70-AA4C-DCAA3489003C}" name="PayorBankAcctNo" dataDxfId="667">
      <calculatedColumnFormula>(MID(CIMB_DD_det_in[Col1],97,14))</calculatedColumnFormula>
    </tableColumn>
    <tableColumn id="6" xr3:uid="{55E136A1-8C59-49CE-924F-91740D59D6CB}" name="Amount" dataDxfId="666">
      <calculatedColumnFormula>(MID(CIMB_DD_det_in[Col1],111,11))</calculatedColumnFormula>
    </tableColumn>
    <tableColumn id="7" xr3:uid="{0B6907EF-59F9-44AE-BBE0-210311D16C0F}" name="BankReferenceCode" dataDxfId="665">
      <calculatedColumnFormula>(MID(CIMB_DD_det_in[Col1],124,11))</calculatedColumnFormula>
    </tableColumn>
    <tableColumn id="8" xr3:uid="{4E666E81-A858-42AD-B08B-DF8DE873D963}" name="RejectCode" dataDxfId="664">
      <calculatedColumnFormula>(MID(CIMB_DD_det_in[Col1],135,2))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268CEB2A-076D-4B5B-AE84-772E4957307B}" name="CIMB_DD_hdr_out_com" displayName="CIMB_DD_hdr_out_com" ref="B37:F38" totalsRowShown="0" headerRowDxfId="663" dataDxfId="662">
  <autoFilter ref="B37:F38" xr:uid="{07D1685E-0DD5-4922-803A-B991D667B32D}"/>
  <tableColumns count="5">
    <tableColumn id="1" xr3:uid="{831AF1B8-2F0D-4C14-AEAF-AA80616770DA}" name="BatchNumber" dataDxfId="661"/>
    <tableColumn id="2" xr3:uid="{EFC3A228-D646-404B-9C2A-CED4DEE118E5}" name="OrgCode" dataDxfId="660"/>
    <tableColumn id="3" xr3:uid="{B6328584-521D-4F3A-B119-4F8709F5C112}" name="OrgName" dataDxfId="659"/>
    <tableColumn id="4" xr3:uid="{A961BE97-72E0-42B0-B2E3-A7735287F41A}" name="BillingDate" dataDxfId="658"/>
    <tableColumn id="5" xr3:uid="{5E86E297-134C-4784-9806-A0228EBC5A12}" name="SecurityCode" dataDxfId="65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A30A4781-2FB0-4700-9728-9E994190D7CA}" name="CIMB_DD_ftr_out_com" displayName="CIMB_DD_ftr_out_com" ref="B41:G43" totalsRowCount="1" headerRowDxfId="656" dataDxfId="655">
  <autoFilter ref="B41:G42" xr:uid="{621C3DC9-E8C9-4629-955D-A89B7A4862FC}"/>
  <tableColumns count="6">
    <tableColumn id="1" xr3:uid="{35CA95DD-F156-4486-894D-EC7CE9859A74}" name="Count" totalsRowFunction="custom" dataDxfId="654" totalsRowDxfId="653">
      <totalsRowFormula>(CIMB_DD_ftr_out_com[Count]+1)</totalsRowFormula>
    </tableColumn>
    <tableColumn id="2" xr3:uid="{B2CDDF0C-C7AF-4AC4-893C-1AF0F1A38F7E}" name="Sum" totalsRowFunction="custom" dataDxfId="652" totalsRowDxfId="651">
      <totalsRowFormula>(SUM(CIMB_DD_ftr_out_com[Sum],CIMB_DD_det_out_com[Amount]))</totalsRowFormula>
    </tableColumn>
    <tableColumn id="3" xr3:uid="{58F13F9F-55A5-4814-9DA6-5080B3C4E745}" name="BatchNumber" dataDxfId="650" totalsRowDxfId="649"/>
    <tableColumn id="4" xr3:uid="{AE23EA8C-F788-44F0-9F3F-60A9CEAB4357}" name="HashTotal" totalsRowFunction="custom" dataDxfId="648" totalsRowDxfId="647">
      <totalsRowFormula>(SUM(CIMB_DD_ftr_out_com[HashTotal],CIMB_DD_det_out_com[HashTotal]))</totalsRowFormula>
    </tableColumn>
    <tableColumn id="5" xr3:uid="{2CD5BE93-A095-4175-8ADC-A00AAC7530DC}" name="AmountInt" dataDxfId="646" totalsRowDxfId="645">
      <calculatedColumnFormula>TEXT(INT((CIMB_DD_ftr_out_com[[#Totals],[Sum]])),"000000000000")</calculatedColumnFormula>
    </tableColumn>
    <tableColumn id="6" xr3:uid="{B5A5B5E7-6217-4236-A320-9B0A7DCDBBF6}" name="AmountDec" dataDxfId="644" totalsRowDxfId="643">
      <calculatedColumnFormula>(RIGHT((TEXT(CIMB_DD_ftr_out_com[[#Totals],[Sum]]-INT(CIMB_DD_ftr_out_com[[#Totals],[Sum]]),"0.00")),2))</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91720E3B-002B-48C4-991D-A4011B8B6E7B}" name="CIMB_DD_hdr_in" displayName="CIMB_DD_hdr_in" ref="B12:B13" totalsRowShown="0" headerRowDxfId="642" dataDxfId="641">
  <autoFilter ref="B12:B13" xr:uid="{6FE19C55-4F9C-4A0A-B37C-3C5ECA71CD4B}"/>
  <tableColumns count="1">
    <tableColumn id="1" xr3:uid="{9539CE72-572F-4FB7-9FD5-8E35A5CCFDCF}" name="Col1" dataDxfId="640"/>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9F8962DB-A360-4BE1-9AC5-2F548DA1229B}" name="IL_BankRejectCodeMap187" displayName="IL_BankRejectCodeMap187" ref="K25:L33" totalsRowShown="0" headerRowDxfId="1239" dataDxfId="1238">
  <autoFilter ref="K25:L33" xr:uid="{85396F43-0E67-447C-94B6-B70CE52BD08F}"/>
  <tableColumns count="2">
    <tableColumn id="1" xr3:uid="{0909BF4E-D827-4D17-92BC-5EE748D33AC8}" name="BankCode" dataDxfId="1237"/>
    <tableColumn id="2" xr3:uid="{A8BC1FC5-3BD5-4EA8-B27E-8E41DA14D6C7}" name="RejectCode" dataDxfId="1236"/>
  </tableColumns>
  <tableStyleInfo name="TableStyleLight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881CFF32-100F-40A5-A415-D92565892CF7}" name="CIMB_DD_ftr_in" displayName="CIMB_DD_ftr_in" ref="B16:B17" totalsRowShown="0" headerRowDxfId="639" dataDxfId="638">
  <autoFilter ref="B16:B17" xr:uid="{6CC3D1C3-A65A-4364-83AC-8A67D0253C05}"/>
  <tableColumns count="1">
    <tableColumn id="1" xr3:uid="{89E3BB7F-57BB-47F5-9AEB-28E9CEC44C77}" name="Col1" dataDxfId="637"/>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0A499D66-17AA-4720-B1AA-387B1E1FA895}" name="CIMB_DD_hdr_in_com" displayName="CIMB_DD_hdr_in_com" ref="B24:F25" totalsRowShown="0" headerRowDxfId="636" dataDxfId="635">
  <autoFilter ref="B24:F25" xr:uid="{4D61C52C-0D3F-478F-9E97-90B6EAFA7DC3}"/>
  <tableColumns count="5">
    <tableColumn id="1" xr3:uid="{DBBF41BD-C931-49AB-989A-674E656ACA41}" name="BatchNumber" dataDxfId="634">
      <calculatedColumnFormula>MID(CIMB_DD_hdr_in[Col1],3,8)</calculatedColumnFormula>
    </tableColumn>
    <tableColumn id="2" xr3:uid="{F4FD6FE7-3538-4517-98B1-42C9C5560EB3}" name="OrgCode" dataDxfId="633">
      <calculatedColumnFormula>MID(CIMB_DD_hdr_in[Col1],11,4)</calculatedColumnFormula>
    </tableColumn>
    <tableColumn id="3" xr3:uid="{ADA1495C-2536-41C2-97AF-6CF5F7C7C4EB}" name="OrgName" dataDxfId="632">
      <calculatedColumnFormula>MID(CIMB_DD_hdr_in[Col1],15,40)</calculatedColumnFormula>
    </tableColumn>
    <tableColumn id="4" xr3:uid="{CD93672B-B1B4-45BE-8101-3E28A7458173}" name="BillingDate" dataDxfId="631">
      <calculatedColumnFormula>MID(CIMB_DD_hdr_in[Col1],55,8)</calculatedColumnFormula>
    </tableColumn>
    <tableColumn id="5" xr3:uid="{876E4F4D-E679-4F9F-B16A-76F958F70253}" name="SecurityCode" dataDxfId="630">
      <calculatedColumnFormula>MID(CIMB_DD_hdr_in[Col1],63,10)</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FD17BD4B-BCEB-4174-8255-701043A8CEEB}" name="CIMB_DD_ftr_in_com" displayName="CIMB_DD_ftr_in_com" ref="B28:I29" totalsRowShown="0" headerRowDxfId="629" dataDxfId="628">
  <autoFilter ref="B28:I29" xr:uid="{6A1EB790-26B8-4B87-BFD4-26F9E0295163}"/>
  <tableColumns count="8">
    <tableColumn id="1" xr3:uid="{CC3A5355-3928-43A3-902F-CD6327BC1D51}" name="Count" dataDxfId="627">
      <calculatedColumnFormula>MID(CIMB_DD_ftr_in[Col1],11,6)</calculatedColumnFormula>
    </tableColumn>
    <tableColumn id="2" xr3:uid="{0F714209-D7F7-4CBE-BE57-B994C96FC3E2}" name="Sum" dataDxfId="626">
      <calculatedColumnFormula>MID(CIMB_DD_ftr_in[Col1],17,15)</calculatedColumnFormula>
    </tableColumn>
    <tableColumn id="3" xr3:uid="{582D48D1-489F-4608-B97E-7BF60774FED4}" name="BatchNumber" dataDxfId="625">
      <calculatedColumnFormula>MID(CIMB_DD_ftr_in[Col1],3,8)</calculatedColumnFormula>
    </tableColumn>
    <tableColumn id="4" xr3:uid="{CFD6F801-DB79-4227-AD80-4F5BBC8D8221}" name="TotDedRec" dataDxfId="624">
      <calculatedColumnFormula>MID(CIMB_DD_ftr_in[Col1],32,6)</calculatedColumnFormula>
    </tableColumn>
    <tableColumn id="5" xr3:uid="{E5590038-F88F-429D-AF68-98C4D76C029F}" name="TotDedAmt" dataDxfId="623">
      <calculatedColumnFormula>MID(CIMB_DD_ftr_in[Col1],38,15)</calculatedColumnFormula>
    </tableColumn>
    <tableColumn id="6" xr3:uid="{97A33671-DB66-4972-8527-F85A78A67A6A}" name="TotRejRec" dataDxfId="622">
      <calculatedColumnFormula>MID(CIMB_DD_ftr_in[Col1],53,6)</calculatedColumnFormula>
    </tableColumn>
    <tableColumn id="7" xr3:uid="{17036031-64B5-4DDF-8BEE-D9037C26E42B}" name="TotRejAmt" dataDxfId="621">
      <calculatedColumnFormula>MID(CIMB_DD_ftr_in[Col1],59,15)</calculatedColumnFormula>
    </tableColumn>
    <tableColumn id="8" xr3:uid="{61BEBDF3-36A7-4C36-8B22-3E7EBEF1BB7B}" name="HashTotal" dataDxfId="620">
      <calculatedColumnFormula>MID(CIMB_DD_ftr_in[Col1],74,15)</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F060ADD7-AE46-41B3-8717-67FB1AE346AF}" name="MBB_DD_bank_config" displayName="MBB_DD_bank_config" ref="B3:L4" totalsRowShown="0" headerRowDxfId="619" dataDxfId="618">
  <autoFilter ref="B3:L4" xr:uid="{B7CD034E-6A1F-44F8-B168-94E858A13514}"/>
  <tableColumns count="11">
    <tableColumn id="1" xr3:uid="{42E6C17B-27C0-401F-BC6B-0403D899EAA5}" name="Name" dataDxfId="617"/>
    <tableColumn id="11" xr3:uid="{DE276C03-417C-4B4F-A1ED-07EF40028DEE}" name="BankCode" dataDxfId="616"/>
    <tableColumn id="2" xr3:uid="{83E7B0AC-D3FA-42E0-A33D-4B5BF28745B8}" name="Delimiter" dataDxfId="615"/>
    <tableColumn id="3" xr3:uid="{A41D84F6-7029-4EE7-AB06-8506979CEA89}" name="HdrIdentifier" dataDxfId="614"/>
    <tableColumn id="4" xr3:uid="{AA676575-62F9-4F75-82D0-53B90432EC6D}" name="DetIdentifier" dataDxfId="613"/>
    <tableColumn id="5" xr3:uid="{E27F4015-2678-4BEE-9452-35841E0868A9}" name="FtrIdentifier" dataDxfId="612"/>
    <tableColumn id="13" xr3:uid="{6778F69F-E000-4E54-A208-7C662C022FD7}" name="ValidationCondition" dataDxfId="611"/>
    <tableColumn id="14" xr3:uid="{1D3E3808-2B2F-4897-9F38-7AC92BF52913}" name="SrcRoutingRule" dataDxfId="610"/>
    <tableColumn id="7" xr3:uid="{3C88D369-03AD-4091-B243-A895E2E5B38C}" name="Batchsize" dataDxfId="609"/>
    <tableColumn id="12" xr3:uid="{C7EB7E33-20C9-43A9-AE4C-B3D7FFE303A5}" name="Enabled" dataDxfId="608"/>
    <tableColumn id="8" xr3:uid="{7E496840-67D3-4000-BF94-6D644DDD2B29}" name="Source" dataDxfId="607"/>
  </tableColumns>
  <tableStyleInfo name="TableStyleLight1" showFirstColumn="0" showLastColumn="0" showRowStripes="1" showColumnStripes="0"/>
  <extLst>
    <ext xmlns:x14="http://schemas.microsoft.com/office/spreadsheetml/2009/9/main" uri="{504A1905-F514-4f6f-8877-14C23A59335A}">
      <x14:table altText="sourceconfig"/>
    </ext>
  </extLst>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111DEC1D-19FD-4A79-B861-62C64443A337}" name="MBB_DD_det_out_com" displayName="MBB_DD_det_out_com" ref="B33:I34" totalsRowShown="0" headerRowDxfId="606" dataDxfId="605">
  <autoFilter ref="B33:I34" xr:uid="{DE113670-84C7-49DF-9328-F0806D9BE87E}"/>
  <tableColumns count="8">
    <tableColumn id="8" xr3:uid="{E5E66171-C21B-4BCA-B7A7-DFD693FD7C61}" name="PayorBankAcctNo" dataDxfId="604"/>
    <tableColumn id="1" xr3:uid="{7779A2CD-00A0-4A64-9C4D-CB67C76EE8D6}" name="Amount" dataDxfId="603"/>
    <tableColumn id="9" xr3:uid="{481B88AE-0641-43A2-B972-79B65FF59D94}" name="CustomerName" dataDxfId="602"/>
    <tableColumn id="2" xr3:uid="{69B998FB-90AE-420F-95E2-A73990268BFA}" name="CustomerId" dataDxfId="601"/>
    <tableColumn id="3" xr3:uid="{F328D8AE-2B4A-4722-A796-EA506050F600}" name="PolicyNo" dataDxfId="600"/>
    <tableColumn id="4" xr3:uid="{59058FEE-D720-439D-9354-E5559C6CFDAE}" name="AmountInt" dataDxfId="599">
      <calculatedColumnFormula>TEXT(INT((MBB_DD_det_out_com[Amount])),"000000000000")</calculatedColumnFormula>
    </tableColumn>
    <tableColumn id="5" xr3:uid="{9B4CEB5B-16AB-485B-A728-1B2392556BAC}" name="AmountDec" dataDxfId="598">
      <calculatedColumnFormula>(RIGHT((TEXT(MBB_DD_det_out_com[Amount]-INT(MBB_DD_det_out_com[Amount]),"0.00")),2))</calculatedColumnFormula>
    </tableColumn>
    <tableColumn id="6" xr3:uid="{6486E831-AC42-4271-A2AB-EB4D89B0677F}" name="HashTotal" dataDxfId="597">
      <calculatedColumnFormula>SUM(MBB_DD_det_out_com[PayorBankAcctNo],MBB_DD_det_out_com[Amount])</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B29653E-8474-499A-AE42-89E17B810B5B}" name="MBB_DD_out" displayName="MBB_DD_out" ref="B46:D47" totalsRowShown="0" headerRowDxfId="596" dataDxfId="595">
  <autoFilter ref="B46:D47" xr:uid="{BF6B9CA5-24CB-457C-96FA-2292A41BB4C8}"/>
  <tableColumns count="3">
    <tableColumn id="1" xr3:uid="{F0DDE9C1-BADD-438E-8C04-107A6C1609EA}" name="header" dataDxfId="594">
      <calculatedColumnFormula>CONCATENATE("VOL1","NN",MBB_DD_hdr_out_com[OriginatorName],REPT(" ",40-LEN(MBB_DD_hdr_out_com[OriginatorName])),TEXT(TODAY(),"DDMMYY"),MBB_DD_hdr_out_com[OriginatorId],REPT(" ",10-LEN(MBB_DD_hdr_out_com[OriginatorId])),REPT(" ",50))</calculatedColumnFormula>
    </tableColumn>
    <tableColumn id="2" xr3:uid="{9844944E-9E3E-400E-A09D-DDC691AA4894}" name="detail" dataDxfId="593">
      <calculatedColumnFormula>CONCATENATE("00",MBB_DD_det_out_com[PayorBankAcctNo],REPT("0",12-LEN(MBB_DD_det_out_com[PayorBankAcctNo])),MBB_DD_det_out_com[Amount],MBB_DD_det_out_com[CustomerId],REPT(" ",8-LEN(MBB_DD_det_out_com[CustomerId]))," ",MBB_DD_det_out_com[PolicyNo],REPT(" ",14-LEN(MBB_DD_det_out_com[PolicyNo]))," ",MBB_DD_det_out_com[CustomerName],REPT(" ",20-LEN(MBB_DD_det_out_com[CustomerName])),"          ")</calculatedColumnFormula>
    </tableColumn>
    <tableColumn id="3" xr3:uid="{4137389B-C806-48B4-8B75-C089DAC90CF4}" name="footer" dataDxfId="592">
      <calculatedColumnFormula>CONCATENATE("FF",REPT("0",12-LEN(MBB_DD_ftr_out_com[[#Totals],[Count]])),MBB_DD_ftr_out_com[[#Totals],[Count]],MBB_DD_ftr_out_com[[#Totals],[Sum]],REPT("0",12-LEN(MBB_DD_ftr_out_com[[#Totals],[HashTotal]])),RIGHT(MBB_DD_ftr_out_com[[#Totals],[HashTotal]],12),"                                          ")</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9C9FA375-C8E8-4EAF-94B2-691A60128A66}" name="MBB_DD_det_in" displayName="MBB_DD_det_in" ref="B7:B8" totalsRowShown="0" headerRowDxfId="591" dataDxfId="590">
  <autoFilter ref="B7:B8" xr:uid="{81E87A3D-BC0B-431D-9952-9B861335F516}"/>
  <tableColumns count="1">
    <tableColumn id="1" xr3:uid="{3DDA76B1-838E-4ED3-8E85-D8BAA9D8AB31}" name="Col1" dataDxfId="589"/>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B042888B-8CD2-4887-BE0C-43AEA234F490}" name="MBB_DD_det_in_com" displayName="MBB_DD_det_in_com" ref="B20:G21" totalsRowShown="0" headerRowDxfId="588" dataDxfId="587">
  <autoFilter ref="B20:G21" xr:uid="{CEC13A67-1769-4F61-8CEE-5AB73CE6B4F3}"/>
  <tableColumns count="6">
    <tableColumn id="1" xr3:uid="{14C18000-DD61-44C7-9B0E-DE489288DB05}" name="PayorBankAcctNo" dataDxfId="586">
      <calculatedColumnFormula>(MID(MBB_DD_det_in[Col1],3,12))</calculatedColumnFormula>
    </tableColumn>
    <tableColumn id="2" xr3:uid="{D610E957-1B53-4E61-940C-094A14734A7A}" name="Amount" dataDxfId="585">
      <calculatedColumnFormula>(MID(MBB_DD_det_in[Col1],15,12))</calculatedColumnFormula>
    </tableColumn>
    <tableColumn id="3" xr3:uid="{D7F8296D-2A79-491D-99CC-7AA3F9E3943E}" name="ID" dataDxfId="584">
      <calculatedColumnFormula>(MID(MBB_DD_det_in[Col1],27,8))</calculatedColumnFormula>
    </tableColumn>
    <tableColumn id="4" xr3:uid="{9B6F2FB9-E891-42D0-8575-6DBD98A5492A}" name="PolicyNo" dataDxfId="583">
      <calculatedColumnFormula>(MID(MBB_DD_det_in[Col1],35,14))</calculatedColumnFormula>
    </tableColumn>
    <tableColumn id="5" xr3:uid="{6DEBCE10-431E-4417-A554-B24246A59A77}" name="CustomerName" dataDxfId="582">
      <calculatedColumnFormula>(MID(MBB_DD_det_in[Col1],49,20))</calculatedColumnFormula>
    </tableColumn>
    <tableColumn id="6" xr3:uid="{2EDF3373-1C7B-4082-A89D-419B63D3D71D}" name="RejectCode" dataDxfId="581">
      <calculatedColumnFormula>(MID(MBB_DD_det_in[Col1],69,1))</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8FD9F63D-B0D1-4253-A4D4-A6DF349B6CBF}" name="MBB_DD_hdr_in" displayName="MBB_DD_hdr_in" ref="B11:B12" totalsRowShown="0" headerRowDxfId="580" dataDxfId="579">
  <autoFilter ref="B11:B12" xr:uid="{332D963F-BAF0-4013-AC50-FD55E76F54C6}"/>
  <tableColumns count="1">
    <tableColumn id="1" xr3:uid="{4B8A79DE-FD4C-4EA1-97F9-244FD4791051}" name="Col1" dataDxfId="578"/>
  </tableColumns>
  <tableStyleInfo name="TableStyleLight1" showFirstColumn="0" showLastColumn="0" showRowStripes="1" showColumnStripes="0"/>
  <extLst>
    <ext xmlns:x14="http://schemas.microsoft.com/office/spreadsheetml/2009/9/main" uri="{504A1905-F514-4f6f-8877-14C23A59335A}">
      <x14:table altText="IL_det_in"/>
    </ext>
  </extLst>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905FA7E-0B4B-479C-BE12-26B7A2C55417}" name="MBB_DD_hdr_in_com" displayName="MBB_DD_hdr_in_com" ref="B24:D25" totalsRowShown="0" headerRowDxfId="577" dataDxfId="576">
  <autoFilter ref="B24:D25" xr:uid="{2E12F6D3-7725-42A2-AF71-BA20F544C21E}"/>
  <tableColumns count="3">
    <tableColumn id="1" xr3:uid="{B6B3E86D-F1FF-4C58-841D-9F9D4651949F}" name="OriginatorName" dataDxfId="575">
      <calculatedColumnFormula>(MID(MBB_DD_hdr_in[Col1],7,13))</calculatedColumnFormula>
    </tableColumn>
    <tableColumn id="2" xr3:uid="{3356AAA8-F875-4192-9018-3CAAFE87E17A}" name="DebitingDate" dataDxfId="574">
      <calculatedColumnFormula>(MID(MBB_DD_hdr_in[Col1],20,6))</calculatedColumnFormula>
    </tableColumn>
    <tableColumn id="3" xr3:uid="{AA5987C9-A271-45D2-8ADA-03F7223DEDD5}" name="OriginatorId" dataDxfId="573">
      <calculatedColumnFormula>(MID(MBB_DD_hdr_in[Col1],26,5))</calculatedColumnFormula>
    </tableColumn>
  </tableColumns>
  <tableStyleInfo name="TableStyleLight1" showFirstColumn="0" showLastColumn="0" showRowStripes="1" showColumnStripes="0"/>
  <extLst>
    <ext xmlns:x14="http://schemas.microsoft.com/office/spreadsheetml/2009/9/main" uri="{504A1905-F514-4f6f-8877-14C23A59335A}">
      <x14:table altText="IL_det_in_co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88.xml"/><Relationship Id="rId13" Type="http://schemas.openxmlformats.org/officeDocument/2006/relationships/comments" Target="../comments9.xml"/><Relationship Id="rId3" Type="http://schemas.openxmlformats.org/officeDocument/2006/relationships/table" Target="../tables/table83.xml"/><Relationship Id="rId7" Type="http://schemas.openxmlformats.org/officeDocument/2006/relationships/table" Target="../tables/table87.xml"/><Relationship Id="rId12" Type="http://schemas.openxmlformats.org/officeDocument/2006/relationships/table" Target="../tables/table92.xml"/><Relationship Id="rId2" Type="http://schemas.openxmlformats.org/officeDocument/2006/relationships/table" Target="../tables/table82.xml"/><Relationship Id="rId1" Type="http://schemas.openxmlformats.org/officeDocument/2006/relationships/vmlDrawing" Target="../drawings/vmlDrawing9.vml"/><Relationship Id="rId6" Type="http://schemas.openxmlformats.org/officeDocument/2006/relationships/table" Target="../tables/table86.xml"/><Relationship Id="rId11" Type="http://schemas.openxmlformats.org/officeDocument/2006/relationships/table" Target="../tables/table91.xml"/><Relationship Id="rId5" Type="http://schemas.openxmlformats.org/officeDocument/2006/relationships/table" Target="../tables/table85.xml"/><Relationship Id="rId10" Type="http://schemas.openxmlformats.org/officeDocument/2006/relationships/table" Target="../tables/table90.xml"/><Relationship Id="rId4" Type="http://schemas.openxmlformats.org/officeDocument/2006/relationships/table" Target="../tables/table84.xml"/><Relationship Id="rId9"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98.xml"/><Relationship Id="rId13" Type="http://schemas.openxmlformats.org/officeDocument/2006/relationships/table" Target="../tables/table103.xml"/><Relationship Id="rId3" Type="http://schemas.openxmlformats.org/officeDocument/2006/relationships/table" Target="../tables/table93.xml"/><Relationship Id="rId7" Type="http://schemas.openxmlformats.org/officeDocument/2006/relationships/table" Target="../tables/table97.xml"/><Relationship Id="rId12" Type="http://schemas.openxmlformats.org/officeDocument/2006/relationships/table" Target="../tables/table102.x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6" Type="http://schemas.openxmlformats.org/officeDocument/2006/relationships/table" Target="../tables/table96.xml"/><Relationship Id="rId11" Type="http://schemas.openxmlformats.org/officeDocument/2006/relationships/table" Target="../tables/table101.xml"/><Relationship Id="rId5" Type="http://schemas.openxmlformats.org/officeDocument/2006/relationships/table" Target="../tables/table95.xml"/><Relationship Id="rId10" Type="http://schemas.openxmlformats.org/officeDocument/2006/relationships/table" Target="../tables/table100.xml"/><Relationship Id="rId4" Type="http://schemas.openxmlformats.org/officeDocument/2006/relationships/table" Target="../tables/table94.xml"/><Relationship Id="rId9" Type="http://schemas.openxmlformats.org/officeDocument/2006/relationships/table" Target="../tables/table99.xml"/><Relationship Id="rId1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10.xml"/><Relationship Id="rId3" Type="http://schemas.openxmlformats.org/officeDocument/2006/relationships/table" Target="../tables/table105.xml"/><Relationship Id="rId7" Type="http://schemas.openxmlformats.org/officeDocument/2006/relationships/table" Target="../tables/table109.xml"/><Relationship Id="rId2" Type="http://schemas.openxmlformats.org/officeDocument/2006/relationships/table" Target="../tables/table104.xml"/><Relationship Id="rId1" Type="http://schemas.openxmlformats.org/officeDocument/2006/relationships/vmlDrawing" Target="../drawings/vmlDrawing11.vml"/><Relationship Id="rId6" Type="http://schemas.openxmlformats.org/officeDocument/2006/relationships/table" Target="../tables/table108.xml"/><Relationship Id="rId5" Type="http://schemas.openxmlformats.org/officeDocument/2006/relationships/table" Target="../tables/table107.xml"/><Relationship Id="rId4" Type="http://schemas.openxmlformats.org/officeDocument/2006/relationships/table" Target="../tables/table106.xml"/><Relationship Id="rId9"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116.xml"/><Relationship Id="rId3" Type="http://schemas.openxmlformats.org/officeDocument/2006/relationships/table" Target="../tables/table111.xml"/><Relationship Id="rId7" Type="http://schemas.openxmlformats.org/officeDocument/2006/relationships/table" Target="../tables/table115.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6" Type="http://schemas.openxmlformats.org/officeDocument/2006/relationships/table" Target="../tables/table114.xml"/><Relationship Id="rId5" Type="http://schemas.openxmlformats.org/officeDocument/2006/relationships/table" Target="../tables/table113.xml"/><Relationship Id="rId10" Type="http://schemas.openxmlformats.org/officeDocument/2006/relationships/comments" Target="../comments12.xml"/><Relationship Id="rId4" Type="http://schemas.openxmlformats.org/officeDocument/2006/relationships/table" Target="../tables/table112.xml"/><Relationship Id="rId9" Type="http://schemas.openxmlformats.org/officeDocument/2006/relationships/table" Target="../tables/table117.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124.xml"/><Relationship Id="rId3" Type="http://schemas.openxmlformats.org/officeDocument/2006/relationships/table" Target="../tables/table119.xml"/><Relationship Id="rId7" Type="http://schemas.openxmlformats.org/officeDocument/2006/relationships/table" Target="../tables/table123.xml"/><Relationship Id="rId2" Type="http://schemas.openxmlformats.org/officeDocument/2006/relationships/table" Target="../tables/table118.xml"/><Relationship Id="rId1" Type="http://schemas.openxmlformats.org/officeDocument/2006/relationships/vmlDrawing" Target="../drawings/vmlDrawing13.vml"/><Relationship Id="rId6" Type="http://schemas.openxmlformats.org/officeDocument/2006/relationships/table" Target="../tables/table122.xml"/><Relationship Id="rId5" Type="http://schemas.openxmlformats.org/officeDocument/2006/relationships/table" Target="../tables/table121.xml"/><Relationship Id="rId4" Type="http://schemas.openxmlformats.org/officeDocument/2006/relationships/table" Target="../tables/table120.xml"/><Relationship Id="rId9"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8" Type="http://schemas.openxmlformats.org/officeDocument/2006/relationships/table" Target="../tables/table131.xml"/><Relationship Id="rId3" Type="http://schemas.openxmlformats.org/officeDocument/2006/relationships/table" Target="../tables/table126.xml"/><Relationship Id="rId7" Type="http://schemas.openxmlformats.org/officeDocument/2006/relationships/table" Target="../tables/table130.xml"/><Relationship Id="rId2" Type="http://schemas.openxmlformats.org/officeDocument/2006/relationships/table" Target="../tables/table125.xml"/><Relationship Id="rId1" Type="http://schemas.openxmlformats.org/officeDocument/2006/relationships/vmlDrawing" Target="../drawings/vmlDrawing14.vml"/><Relationship Id="rId6" Type="http://schemas.openxmlformats.org/officeDocument/2006/relationships/table" Target="../tables/table129.xml"/><Relationship Id="rId5" Type="http://schemas.openxmlformats.org/officeDocument/2006/relationships/table" Target="../tables/table128.xml"/><Relationship Id="rId4" Type="http://schemas.openxmlformats.org/officeDocument/2006/relationships/table" Target="../tables/table127.xml"/><Relationship Id="rId9"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8" Type="http://schemas.openxmlformats.org/officeDocument/2006/relationships/table" Target="../tables/table138.xml"/><Relationship Id="rId3" Type="http://schemas.openxmlformats.org/officeDocument/2006/relationships/table" Target="../tables/table133.xml"/><Relationship Id="rId7" Type="http://schemas.openxmlformats.org/officeDocument/2006/relationships/table" Target="../tables/table137.xml"/><Relationship Id="rId2" Type="http://schemas.openxmlformats.org/officeDocument/2006/relationships/table" Target="../tables/table132.xml"/><Relationship Id="rId1" Type="http://schemas.openxmlformats.org/officeDocument/2006/relationships/vmlDrawing" Target="../drawings/vmlDrawing15.vml"/><Relationship Id="rId6" Type="http://schemas.openxmlformats.org/officeDocument/2006/relationships/table" Target="../tables/table136.xml"/><Relationship Id="rId5" Type="http://schemas.openxmlformats.org/officeDocument/2006/relationships/table" Target="../tables/table135.xml"/><Relationship Id="rId4" Type="http://schemas.openxmlformats.org/officeDocument/2006/relationships/table" Target="../tables/table134.xml"/><Relationship Id="rId9"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8" Type="http://schemas.openxmlformats.org/officeDocument/2006/relationships/table" Target="../tables/table144.xml"/><Relationship Id="rId3" Type="http://schemas.openxmlformats.org/officeDocument/2006/relationships/table" Target="../tables/table139.xml"/><Relationship Id="rId7" Type="http://schemas.openxmlformats.org/officeDocument/2006/relationships/table" Target="../tables/table143.xml"/><Relationship Id="rId2" Type="http://schemas.openxmlformats.org/officeDocument/2006/relationships/vmlDrawing" Target="../drawings/vmlDrawing16.vml"/><Relationship Id="rId1" Type="http://schemas.openxmlformats.org/officeDocument/2006/relationships/printerSettings" Target="../printerSettings/printerSettings10.bin"/><Relationship Id="rId6" Type="http://schemas.openxmlformats.org/officeDocument/2006/relationships/table" Target="../tables/table142.xml"/><Relationship Id="rId5" Type="http://schemas.openxmlformats.org/officeDocument/2006/relationships/table" Target="../tables/table141.xml"/><Relationship Id="rId10" Type="http://schemas.openxmlformats.org/officeDocument/2006/relationships/comments" Target="../comments16.xml"/><Relationship Id="rId4" Type="http://schemas.openxmlformats.org/officeDocument/2006/relationships/table" Target="../tables/table140.xml"/><Relationship Id="rId9" Type="http://schemas.openxmlformats.org/officeDocument/2006/relationships/table" Target="../tables/table145.xml"/></Relationships>
</file>

<file path=xl/worksheets/_rels/sheet18.xml.rels><?xml version="1.0" encoding="UTF-8" standalone="yes"?>
<Relationships xmlns="http://schemas.openxmlformats.org/package/2006/relationships"><Relationship Id="rId8" Type="http://schemas.openxmlformats.org/officeDocument/2006/relationships/table" Target="../tables/table151.xml"/><Relationship Id="rId13" Type="http://schemas.openxmlformats.org/officeDocument/2006/relationships/table" Target="../tables/table156.xml"/><Relationship Id="rId3" Type="http://schemas.openxmlformats.org/officeDocument/2006/relationships/table" Target="../tables/table146.xml"/><Relationship Id="rId7" Type="http://schemas.openxmlformats.org/officeDocument/2006/relationships/table" Target="../tables/table150.xml"/><Relationship Id="rId12" Type="http://schemas.openxmlformats.org/officeDocument/2006/relationships/table" Target="../tables/table155.xml"/><Relationship Id="rId2" Type="http://schemas.openxmlformats.org/officeDocument/2006/relationships/vmlDrawing" Target="../drawings/vmlDrawing17.vml"/><Relationship Id="rId1" Type="http://schemas.openxmlformats.org/officeDocument/2006/relationships/printerSettings" Target="../printerSettings/printerSettings11.bin"/><Relationship Id="rId6" Type="http://schemas.openxmlformats.org/officeDocument/2006/relationships/table" Target="../tables/table149.xml"/><Relationship Id="rId11" Type="http://schemas.openxmlformats.org/officeDocument/2006/relationships/table" Target="../tables/table154.xml"/><Relationship Id="rId5" Type="http://schemas.openxmlformats.org/officeDocument/2006/relationships/table" Target="../tables/table148.xml"/><Relationship Id="rId10" Type="http://schemas.openxmlformats.org/officeDocument/2006/relationships/table" Target="../tables/table153.xml"/><Relationship Id="rId4" Type="http://schemas.openxmlformats.org/officeDocument/2006/relationships/table" Target="../tables/table147.xml"/><Relationship Id="rId9" Type="http://schemas.openxmlformats.org/officeDocument/2006/relationships/table" Target="../tables/table152.xml"/><Relationship Id="rId1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163.xml"/><Relationship Id="rId13" Type="http://schemas.openxmlformats.org/officeDocument/2006/relationships/comments" Target="../comments18.xml"/><Relationship Id="rId3" Type="http://schemas.openxmlformats.org/officeDocument/2006/relationships/table" Target="../tables/table158.xml"/><Relationship Id="rId7" Type="http://schemas.openxmlformats.org/officeDocument/2006/relationships/table" Target="../tables/table162.xml"/><Relationship Id="rId12" Type="http://schemas.openxmlformats.org/officeDocument/2006/relationships/table" Target="../tables/table167.xml"/><Relationship Id="rId2" Type="http://schemas.openxmlformats.org/officeDocument/2006/relationships/table" Target="../tables/table157.xml"/><Relationship Id="rId1" Type="http://schemas.openxmlformats.org/officeDocument/2006/relationships/vmlDrawing" Target="../drawings/vmlDrawing18.vml"/><Relationship Id="rId6" Type="http://schemas.openxmlformats.org/officeDocument/2006/relationships/table" Target="../tables/table161.xml"/><Relationship Id="rId11" Type="http://schemas.openxmlformats.org/officeDocument/2006/relationships/table" Target="../tables/table166.xml"/><Relationship Id="rId5" Type="http://schemas.openxmlformats.org/officeDocument/2006/relationships/table" Target="../tables/table160.xml"/><Relationship Id="rId10" Type="http://schemas.openxmlformats.org/officeDocument/2006/relationships/table" Target="../tables/table165.xml"/><Relationship Id="rId4" Type="http://schemas.openxmlformats.org/officeDocument/2006/relationships/table" Target="../tables/table159.xml"/><Relationship Id="rId9" Type="http://schemas.openxmlformats.org/officeDocument/2006/relationships/table" Target="../tables/table16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0.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20.xml.rels><?xml version="1.0" encoding="UTF-8" standalone="yes"?>
<Relationships xmlns="http://schemas.openxmlformats.org/package/2006/relationships"><Relationship Id="rId8" Type="http://schemas.openxmlformats.org/officeDocument/2006/relationships/table" Target="../tables/table173.xml"/><Relationship Id="rId13" Type="http://schemas.openxmlformats.org/officeDocument/2006/relationships/table" Target="../tables/table178.xml"/><Relationship Id="rId3" Type="http://schemas.openxmlformats.org/officeDocument/2006/relationships/table" Target="../tables/table168.xml"/><Relationship Id="rId7" Type="http://schemas.openxmlformats.org/officeDocument/2006/relationships/table" Target="../tables/table172.xml"/><Relationship Id="rId12" Type="http://schemas.openxmlformats.org/officeDocument/2006/relationships/table" Target="../tables/table177.xml"/><Relationship Id="rId2" Type="http://schemas.openxmlformats.org/officeDocument/2006/relationships/vmlDrawing" Target="../drawings/vmlDrawing19.vml"/><Relationship Id="rId1" Type="http://schemas.openxmlformats.org/officeDocument/2006/relationships/printerSettings" Target="../printerSettings/printerSettings12.bin"/><Relationship Id="rId6" Type="http://schemas.openxmlformats.org/officeDocument/2006/relationships/table" Target="../tables/table171.xml"/><Relationship Id="rId11" Type="http://schemas.openxmlformats.org/officeDocument/2006/relationships/table" Target="../tables/table176.xml"/><Relationship Id="rId5" Type="http://schemas.openxmlformats.org/officeDocument/2006/relationships/table" Target="../tables/table170.xml"/><Relationship Id="rId10" Type="http://schemas.openxmlformats.org/officeDocument/2006/relationships/table" Target="../tables/table175.xml"/><Relationship Id="rId4" Type="http://schemas.openxmlformats.org/officeDocument/2006/relationships/table" Target="../tables/table169.xml"/><Relationship Id="rId9" Type="http://schemas.openxmlformats.org/officeDocument/2006/relationships/table" Target="../tables/table174.xml"/><Relationship Id="rId1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79.xml"/><Relationship Id="rId2" Type="http://schemas.openxmlformats.org/officeDocument/2006/relationships/vmlDrawing" Target="../drawings/vmlDrawing20.vml"/><Relationship Id="rId1" Type="http://schemas.openxmlformats.org/officeDocument/2006/relationships/printerSettings" Target="../printerSettings/printerSettings13.bin"/><Relationship Id="rId6" Type="http://schemas.openxmlformats.org/officeDocument/2006/relationships/comments" Target="../comments20.xml"/><Relationship Id="rId5" Type="http://schemas.openxmlformats.org/officeDocument/2006/relationships/table" Target="../tables/table181.xml"/><Relationship Id="rId4" Type="http://schemas.openxmlformats.org/officeDocument/2006/relationships/table" Target="../tables/table18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table" Target="../tables/table182.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85.xml"/><Relationship Id="rId2" Type="http://schemas.openxmlformats.org/officeDocument/2006/relationships/table" Target="../tables/table184.xml"/><Relationship Id="rId1" Type="http://schemas.openxmlformats.org/officeDocument/2006/relationships/table" Target="../tables/table183.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88.xml"/><Relationship Id="rId2" Type="http://schemas.openxmlformats.org/officeDocument/2006/relationships/table" Target="../tables/table187.xml"/><Relationship Id="rId1" Type="http://schemas.openxmlformats.org/officeDocument/2006/relationships/table" Target="../tables/table186.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191.xml"/><Relationship Id="rId2" Type="http://schemas.openxmlformats.org/officeDocument/2006/relationships/table" Target="../tables/table190.xml"/><Relationship Id="rId1" Type="http://schemas.openxmlformats.org/officeDocument/2006/relationships/table" Target="../tables/table189.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12"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3.xml"/><Relationship Id="rId7"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6" Type="http://schemas.openxmlformats.org/officeDocument/2006/relationships/table" Target="../tables/table26.xml"/><Relationship Id="rId5" Type="http://schemas.openxmlformats.org/officeDocument/2006/relationships/table" Target="../tables/table25.xml"/><Relationship Id="rId4"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3.xml"/><Relationship Id="rId13" Type="http://schemas.openxmlformats.org/officeDocument/2006/relationships/comments" Target="../comments5.xml"/><Relationship Id="rId3" Type="http://schemas.openxmlformats.org/officeDocument/2006/relationships/table" Target="../tables/table28.xml"/><Relationship Id="rId7" Type="http://schemas.openxmlformats.org/officeDocument/2006/relationships/table" Target="../tables/table32.xml"/><Relationship Id="rId12" Type="http://schemas.openxmlformats.org/officeDocument/2006/relationships/table" Target="../tables/table37.xml"/><Relationship Id="rId2" Type="http://schemas.openxmlformats.org/officeDocument/2006/relationships/table" Target="../tables/table27.xml"/><Relationship Id="rId1" Type="http://schemas.openxmlformats.org/officeDocument/2006/relationships/vmlDrawing" Target="../drawings/vmlDrawing5.vml"/><Relationship Id="rId6" Type="http://schemas.openxmlformats.org/officeDocument/2006/relationships/table" Target="../tables/table31.xml"/><Relationship Id="rId11" Type="http://schemas.openxmlformats.org/officeDocument/2006/relationships/table" Target="../tables/table36.xml"/><Relationship Id="rId5" Type="http://schemas.openxmlformats.org/officeDocument/2006/relationships/table" Target="../tables/table30.xml"/><Relationship Id="rId10" Type="http://schemas.openxmlformats.org/officeDocument/2006/relationships/table" Target="../tables/table35.xml"/><Relationship Id="rId4" Type="http://schemas.openxmlformats.org/officeDocument/2006/relationships/table" Target="../tables/table29.xml"/><Relationship Id="rId9" Type="http://schemas.openxmlformats.org/officeDocument/2006/relationships/table" Target="../tables/table3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43.xml"/><Relationship Id="rId13" Type="http://schemas.openxmlformats.org/officeDocument/2006/relationships/table" Target="../tables/table48.xml"/><Relationship Id="rId3" Type="http://schemas.openxmlformats.org/officeDocument/2006/relationships/table" Target="../tables/table38.xml"/><Relationship Id="rId7" Type="http://schemas.openxmlformats.org/officeDocument/2006/relationships/table" Target="../tables/table42.xml"/><Relationship Id="rId12" Type="http://schemas.openxmlformats.org/officeDocument/2006/relationships/table" Target="../tables/table47.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6" Type="http://schemas.openxmlformats.org/officeDocument/2006/relationships/table" Target="../tables/table41.xml"/><Relationship Id="rId11" Type="http://schemas.openxmlformats.org/officeDocument/2006/relationships/table" Target="../tables/table46.xml"/><Relationship Id="rId5" Type="http://schemas.openxmlformats.org/officeDocument/2006/relationships/table" Target="../tables/table40.xml"/><Relationship Id="rId10" Type="http://schemas.openxmlformats.org/officeDocument/2006/relationships/table" Target="../tables/table45.xml"/><Relationship Id="rId4" Type="http://schemas.openxmlformats.org/officeDocument/2006/relationships/table" Target="../tables/table39.xml"/><Relationship Id="rId9" Type="http://schemas.openxmlformats.org/officeDocument/2006/relationships/table" Target="../tables/table44.xml"/><Relationship Id="rId1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5.xml"/><Relationship Id="rId13" Type="http://schemas.openxmlformats.org/officeDocument/2006/relationships/comments" Target="../comments7.xml"/><Relationship Id="rId3" Type="http://schemas.openxmlformats.org/officeDocument/2006/relationships/table" Target="../tables/table50.xml"/><Relationship Id="rId7" Type="http://schemas.openxmlformats.org/officeDocument/2006/relationships/table" Target="../tables/table54.xml"/><Relationship Id="rId12" Type="http://schemas.openxmlformats.org/officeDocument/2006/relationships/table" Target="../tables/table59.xml"/><Relationship Id="rId2" Type="http://schemas.openxmlformats.org/officeDocument/2006/relationships/table" Target="../tables/table49.xml"/><Relationship Id="rId1" Type="http://schemas.openxmlformats.org/officeDocument/2006/relationships/vmlDrawing" Target="../drawings/vmlDrawing7.vml"/><Relationship Id="rId6" Type="http://schemas.openxmlformats.org/officeDocument/2006/relationships/table" Target="../tables/table53.xml"/><Relationship Id="rId11" Type="http://schemas.openxmlformats.org/officeDocument/2006/relationships/table" Target="../tables/table58.xml"/><Relationship Id="rId5" Type="http://schemas.openxmlformats.org/officeDocument/2006/relationships/table" Target="../tables/table52.xml"/><Relationship Id="rId10" Type="http://schemas.openxmlformats.org/officeDocument/2006/relationships/table" Target="../tables/table57.xml"/><Relationship Id="rId4" Type="http://schemas.openxmlformats.org/officeDocument/2006/relationships/table" Target="../tables/table51.xml"/><Relationship Id="rId9"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8" Type="http://schemas.openxmlformats.org/officeDocument/2006/relationships/table" Target="../tables/table65.xml"/><Relationship Id="rId13" Type="http://schemas.openxmlformats.org/officeDocument/2006/relationships/table" Target="../tables/table70.xml"/><Relationship Id="rId3" Type="http://schemas.openxmlformats.org/officeDocument/2006/relationships/table" Target="../tables/table60.xml"/><Relationship Id="rId7" Type="http://schemas.openxmlformats.org/officeDocument/2006/relationships/table" Target="../tables/table64.xml"/><Relationship Id="rId12" Type="http://schemas.openxmlformats.org/officeDocument/2006/relationships/table" Target="../tables/table69.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6" Type="http://schemas.openxmlformats.org/officeDocument/2006/relationships/table" Target="../tables/table63.xml"/><Relationship Id="rId11" Type="http://schemas.openxmlformats.org/officeDocument/2006/relationships/table" Target="../tables/table68.xml"/><Relationship Id="rId5" Type="http://schemas.openxmlformats.org/officeDocument/2006/relationships/table" Target="../tables/table62.xml"/><Relationship Id="rId10" Type="http://schemas.openxmlformats.org/officeDocument/2006/relationships/table" Target="../tables/table67.xml"/><Relationship Id="rId4" Type="http://schemas.openxmlformats.org/officeDocument/2006/relationships/table" Target="../tables/table61.xml"/><Relationship Id="rId9" Type="http://schemas.openxmlformats.org/officeDocument/2006/relationships/table" Target="../tables/table66.xml"/><Relationship Id="rId1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8" Type="http://schemas.openxmlformats.org/officeDocument/2006/relationships/table" Target="../tables/table77.xml"/><Relationship Id="rId3" Type="http://schemas.openxmlformats.org/officeDocument/2006/relationships/table" Target="../tables/table72.xml"/><Relationship Id="rId7" Type="http://schemas.openxmlformats.org/officeDocument/2006/relationships/table" Target="../tables/table76.xml"/><Relationship Id="rId12" Type="http://schemas.openxmlformats.org/officeDocument/2006/relationships/table" Target="../tables/table81.xml"/><Relationship Id="rId2" Type="http://schemas.openxmlformats.org/officeDocument/2006/relationships/table" Target="../tables/table71.xml"/><Relationship Id="rId1" Type="http://schemas.openxmlformats.org/officeDocument/2006/relationships/printerSettings" Target="../printerSettings/printerSettings7.bin"/><Relationship Id="rId6" Type="http://schemas.openxmlformats.org/officeDocument/2006/relationships/table" Target="../tables/table75.xml"/><Relationship Id="rId11" Type="http://schemas.openxmlformats.org/officeDocument/2006/relationships/table" Target="../tables/table80.xml"/><Relationship Id="rId5" Type="http://schemas.openxmlformats.org/officeDocument/2006/relationships/table" Target="../tables/table74.xml"/><Relationship Id="rId10" Type="http://schemas.openxmlformats.org/officeDocument/2006/relationships/table" Target="../tables/table79.xml"/><Relationship Id="rId4" Type="http://schemas.openxmlformats.org/officeDocument/2006/relationships/table" Target="../tables/table73.xml"/><Relationship Id="rId9" Type="http://schemas.openxmlformats.org/officeDocument/2006/relationships/table" Target="../tables/table7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76DE-38C8-47D1-A2E7-B35CC954AA80}">
  <dimension ref="B2:L46"/>
  <sheetViews>
    <sheetView topLeftCell="A4" zoomScale="90" zoomScaleNormal="90" workbookViewId="0">
      <selection activeCell="B14" sqref="B14"/>
    </sheetView>
  </sheetViews>
  <sheetFormatPr defaultColWidth="8.7109375" defaultRowHeight="12" x14ac:dyDescent="0.2"/>
  <cols>
    <col min="1" max="1" width="8.7109375" style="1"/>
    <col min="2" max="2" width="25.140625" style="1" customWidth="1"/>
    <col min="3" max="3" width="20.140625" style="1" customWidth="1"/>
    <col min="4" max="4" width="19.85546875" style="1" customWidth="1"/>
    <col min="5" max="5" width="12.85546875" style="1" bestFit="1" customWidth="1"/>
    <col min="6" max="6" width="13.42578125" style="1" customWidth="1"/>
    <col min="7" max="7" width="17" style="1" bestFit="1" customWidth="1"/>
    <col min="8" max="8" width="19" style="1" customWidth="1"/>
    <col min="9" max="9" width="17.42578125" style="1" customWidth="1"/>
    <col min="10" max="10" width="14.140625" style="1" customWidth="1"/>
    <col min="11" max="11" width="16.85546875" style="1" bestFit="1" customWidth="1"/>
    <col min="12" max="12" width="12.5703125" style="1" bestFit="1" customWidth="1"/>
    <col min="13" max="13" width="8.7109375" style="1"/>
    <col min="14" max="14" width="11.7109375" style="1" customWidth="1"/>
    <col min="15" max="16384" width="8.7109375" style="1"/>
  </cols>
  <sheetData>
    <row r="2" spans="2:11" x14ac:dyDescent="0.2">
      <c r="B2" s="5" t="s">
        <v>289</v>
      </c>
    </row>
    <row r="3" spans="2:11" ht="15" customHeight="1" x14ac:dyDescent="0.2">
      <c r="B3" s="1" t="s">
        <v>0</v>
      </c>
      <c r="C3" s="1" t="s">
        <v>1</v>
      </c>
      <c r="D3" s="1" t="s">
        <v>32</v>
      </c>
      <c r="E3" s="1" t="s">
        <v>33</v>
      </c>
      <c r="F3" s="1" t="s">
        <v>34</v>
      </c>
      <c r="G3" s="1" t="s">
        <v>31</v>
      </c>
      <c r="H3" s="1" t="s">
        <v>84</v>
      </c>
      <c r="I3" s="1" t="s">
        <v>35</v>
      </c>
      <c r="J3" s="1" t="s">
        <v>29</v>
      </c>
      <c r="K3" s="10" t="s">
        <v>24</v>
      </c>
    </row>
    <row r="4" spans="2:11" ht="15" customHeight="1" x14ac:dyDescent="0.2">
      <c r="B4" s="1" t="s">
        <v>176</v>
      </c>
      <c r="C4" s="1" t="s">
        <v>44</v>
      </c>
      <c r="G4" s="1" t="b">
        <f>IF(IL_DD_det_in[BillingDate] &lt;&gt; "", TRUE, FALSE)</f>
        <v>1</v>
      </c>
      <c r="H4" s="1" t="e">
        <f>VLOOKUP(IL_DD_det_in_com[FactoringHouse],RoutingRule[[FactoringHouse]:[Bank]],2,FALSE)</f>
        <v>#N/A</v>
      </c>
      <c r="I4" s="1">
        <v>999</v>
      </c>
      <c r="J4" s="11" t="s">
        <v>30</v>
      </c>
      <c r="K4" s="1" t="s">
        <v>177</v>
      </c>
    </row>
    <row r="5" spans="2:11" ht="14.1" customHeight="1" x14ac:dyDescent="0.2"/>
    <row r="7" spans="2:11" x14ac:dyDescent="0.2">
      <c r="B7" s="4" t="s">
        <v>288</v>
      </c>
    </row>
    <row r="8" spans="2:11" x14ac:dyDescent="0.2">
      <c r="B8" s="10" t="s">
        <v>159</v>
      </c>
      <c r="C8" s="10" t="s">
        <v>384</v>
      </c>
      <c r="D8" s="10" t="s">
        <v>22</v>
      </c>
      <c r="E8" s="10" t="s">
        <v>287</v>
      </c>
      <c r="F8" s="10" t="s">
        <v>283</v>
      </c>
      <c r="G8" s="10" t="s">
        <v>162</v>
      </c>
      <c r="H8" s="10" t="s">
        <v>383</v>
      </c>
      <c r="I8" s="10" t="s">
        <v>41</v>
      </c>
      <c r="J8" s="10" t="s">
        <v>281</v>
      </c>
      <c r="K8" s="10" t="s">
        <v>150</v>
      </c>
    </row>
    <row r="9" spans="2:11" x14ac:dyDescent="0.2">
      <c r="B9" s="14" t="s">
        <v>286</v>
      </c>
      <c r="C9" s="6" t="s">
        <v>48</v>
      </c>
      <c r="D9" s="8">
        <v>12233222</v>
      </c>
      <c r="E9" s="1">
        <v>9999999</v>
      </c>
      <c r="F9" s="1" t="s">
        <v>3</v>
      </c>
      <c r="G9" s="1" t="s">
        <v>3</v>
      </c>
      <c r="H9" s="26" t="s">
        <v>285</v>
      </c>
      <c r="I9" s="1">
        <v>12321</v>
      </c>
      <c r="J9" s="1">
        <v>123456</v>
      </c>
      <c r="K9" s="1">
        <v>13332</v>
      </c>
    </row>
    <row r="12" spans="2:11" x14ac:dyDescent="0.2">
      <c r="B12" s="4" t="s">
        <v>284</v>
      </c>
    </row>
    <row r="13" spans="2:11" x14ac:dyDescent="0.2">
      <c r="B13" s="1" t="s">
        <v>159</v>
      </c>
      <c r="C13" s="1" t="s">
        <v>43</v>
      </c>
      <c r="D13" s="10" t="s">
        <v>383</v>
      </c>
      <c r="E13" s="1" t="s">
        <v>281</v>
      </c>
      <c r="F13" s="1" t="s">
        <v>41</v>
      </c>
      <c r="G13" s="1" t="s">
        <v>150</v>
      </c>
      <c r="H13" s="1" t="s">
        <v>121</v>
      </c>
      <c r="I13" s="10" t="s">
        <v>283</v>
      </c>
      <c r="J13" s="1" t="s">
        <v>22</v>
      </c>
      <c r="K13" s="1" t="s">
        <v>287</v>
      </c>
    </row>
    <row r="14" spans="2:11" x14ac:dyDescent="0.2">
      <c r="B14" s="1" t="str">
        <f>TEXT(IL_DD_det_in[BillingDate],"mm/dd/yyyy")</f>
        <v>14/10/2018</v>
      </c>
      <c r="C14" s="1" t="str">
        <f>TRIM(IL_DD_det_in[PayorName])</f>
        <v>MBB</v>
      </c>
      <c r="D14" s="13" t="str">
        <f>TRIM((IL_DD_det_in[PayorBankAcctNo]))</f>
        <v>123232132123</v>
      </c>
      <c r="E14" s="1" t="str">
        <f>TRIM((IL_DD_det_in[PayorBankCode]))</f>
        <v>123456</v>
      </c>
      <c r="F14" s="1">
        <f>VALUE(TRIM(IL_DD_det_in[Amount]))</f>
        <v>12321</v>
      </c>
      <c r="G14" s="1" t="str">
        <f>TRIM(IL_DD_det_in[FactoringHouse])</f>
        <v>13332</v>
      </c>
      <c r="H14" s="1" t="str">
        <f>(IL_DD_det_in[BillingDate])&amp;IL_DD_src_config[Delimiter]&amp;IL_DD_det_in[PayorName]&amp;IL_DD_src_config[Delimiter]&amp;IL_DD_det_in[PayorBankAcctNo]&amp;IL_DD_src_config[Delimiter]&amp;IL_DD_det_in[PayorBankCode]&amp;IL_DD_src_config[Delimiter]&amp;"Approved"</f>
        <v>14/10/2018|MBB|123232132123|123456|Approved</v>
      </c>
      <c r="I14" s="1" t="str">
        <f>TRIM(IL_DD_det_in[PayorNewICNum])</f>
        <v>MBB</v>
      </c>
      <c r="J14" s="1" t="str">
        <f>TRIM(IL_DD_det_in[PolicyNo])</f>
        <v>12233222</v>
      </c>
      <c r="K14" s="1" t="str">
        <f>TRIM(IL_DD_det_in[PayorOldICNum])</f>
        <v>9999999</v>
      </c>
    </row>
    <row r="18" spans="2:12" x14ac:dyDescent="0.2">
      <c r="B18" s="3" t="s">
        <v>282</v>
      </c>
    </row>
    <row r="19" spans="2:12" x14ac:dyDescent="0.2">
      <c r="B19" s="1" t="s">
        <v>159</v>
      </c>
      <c r="C19" s="1" t="s">
        <v>43</v>
      </c>
      <c r="D19" s="1" t="s">
        <v>383</v>
      </c>
      <c r="E19" s="1" t="s">
        <v>281</v>
      </c>
      <c r="F19" s="1" t="s">
        <v>41</v>
      </c>
      <c r="G19" s="1" t="s">
        <v>150</v>
      </c>
      <c r="H19" s="1" t="s">
        <v>138</v>
      </c>
      <c r="I19" s="1" t="s">
        <v>54</v>
      </c>
      <c r="J19" s="1" t="s">
        <v>55</v>
      </c>
      <c r="K19" s="1" t="s">
        <v>22</v>
      </c>
    </row>
    <row r="20" spans="2:12" x14ac:dyDescent="0.2">
      <c r="B20" s="1" t="str">
        <f>IL_DD_det_in_com[BillingDate]</f>
        <v>14/10/2018</v>
      </c>
      <c r="C20" s="25" t="str">
        <f ca="1">INDIRECT(IL_DD_src_config[Source]&amp;"!F21")</f>
        <v xml:space="preserve">SITI KHADIJAH BINTI </v>
      </c>
      <c r="D20" s="8" t="str">
        <f>IL_DD_det_in_com[PayorBankAcctNo]</f>
        <v>123232132123</v>
      </c>
      <c r="E20" s="8" t="str">
        <f>IL_DD_det_in_com[PayorBankCode]</f>
        <v>123456</v>
      </c>
      <c r="F20" s="1">
        <f>IL_DD_det_in_com[Amount]</f>
        <v>12321</v>
      </c>
      <c r="G20" s="1" t="str">
        <f>IL_DD_det_in_com[FactoringHouse]</f>
        <v>13332</v>
      </c>
      <c r="H20" s="1" t="s">
        <v>280</v>
      </c>
      <c r="I20" s="1">
        <f>VLOOKUP(IL_DD_src_config[Source]&amp;"_"&amp;IL_DD_det_out_com[BankRespCode], IL_BankRejectCodeMap187[[BankCode]:[RejectCode]],2,FALSE)</f>
        <v>100</v>
      </c>
      <c r="J20" s="1" t="str">
        <f>VLOOKUP(IL_DD_det_out_com[RejectCode],RejectCodeMap186[[RejectCode]:[RejectDesc]],2,FALSE)</f>
        <v>Desc 1</v>
      </c>
      <c r="K20" s="1" t="str">
        <f>IL_DD_det_in_com[PolicyNo]</f>
        <v>12233222</v>
      </c>
    </row>
    <row r="23" spans="2:12" x14ac:dyDescent="0.2">
      <c r="B23" s="3" t="s">
        <v>279</v>
      </c>
    </row>
    <row r="24" spans="2:12" x14ac:dyDescent="0.2">
      <c r="B24" s="1" t="s">
        <v>27</v>
      </c>
      <c r="C24" s="10" t="s">
        <v>26</v>
      </c>
      <c r="H24" s="20" t="s">
        <v>117</v>
      </c>
      <c r="K24" s="21" t="s">
        <v>118</v>
      </c>
    </row>
    <row r="25" spans="2:12" x14ac:dyDescent="0.2">
      <c r="B25" s="1" t="str">
        <f ca="1">CONCATENATE("DDRECEIPT","_",TEXT(TODAY(),"YYYYMMDD"),".txt")</f>
        <v>DDRECEIPT_20180706.txt</v>
      </c>
      <c r="C25" s="1">
        <v>0</v>
      </c>
      <c r="D25" s="14"/>
      <c r="H25" s="1" t="s">
        <v>54</v>
      </c>
      <c r="I25" s="1" t="s">
        <v>59</v>
      </c>
      <c r="K25" s="1" t="s">
        <v>28</v>
      </c>
      <c r="L25" s="1" t="s">
        <v>54</v>
      </c>
    </row>
    <row r="26" spans="2:12" x14ac:dyDescent="0.2">
      <c r="H26" s="1">
        <v>0</v>
      </c>
      <c r="I26" s="6" t="s">
        <v>64</v>
      </c>
      <c r="K26" s="1" t="s">
        <v>278</v>
      </c>
      <c r="L26" s="1">
        <v>0</v>
      </c>
    </row>
    <row r="27" spans="2:12" x14ac:dyDescent="0.2">
      <c r="H27" s="1">
        <v>100</v>
      </c>
      <c r="I27" s="1" t="s">
        <v>60</v>
      </c>
      <c r="K27" s="1" t="s">
        <v>277</v>
      </c>
      <c r="L27" s="1">
        <v>100</v>
      </c>
    </row>
    <row r="28" spans="2:12" x14ac:dyDescent="0.2">
      <c r="B28" s="3" t="s">
        <v>276</v>
      </c>
      <c r="H28" s="1">
        <v>101</v>
      </c>
      <c r="I28" s="1" t="s">
        <v>61</v>
      </c>
    </row>
    <row r="29" spans="2:12" x14ac:dyDescent="0.2">
      <c r="B29" s="1" t="s">
        <v>25</v>
      </c>
      <c r="C29" s="1" t="s">
        <v>52</v>
      </c>
      <c r="H29" s="1">
        <v>200</v>
      </c>
      <c r="I29" s="1" t="s">
        <v>62</v>
      </c>
    </row>
    <row r="30" spans="2:12" x14ac:dyDescent="0.2">
      <c r="H30" s="1">
        <v>201</v>
      </c>
      <c r="I30" s="1" t="s">
        <v>63</v>
      </c>
    </row>
    <row r="31" spans="2:12" x14ac:dyDescent="0.2">
      <c r="B31" s="1">
        <f>(IL_DD_ftr_out_com[Count]+1)</f>
        <v>1</v>
      </c>
      <c r="C31" s="1">
        <f ca="1">(SUM(IL_DD_det_out_com[CustomerName],IL_DD_ftr_out_com[Sum]))</f>
        <v>0</v>
      </c>
    </row>
    <row r="33" spans="2:4" x14ac:dyDescent="0.2">
      <c r="B33" s="3" t="s">
        <v>275</v>
      </c>
    </row>
    <row r="34" spans="2:4" x14ac:dyDescent="0.2">
      <c r="B34" s="1" t="s">
        <v>4</v>
      </c>
      <c r="C34" s="1" t="s">
        <v>5</v>
      </c>
      <c r="D34" s="1" t="s">
        <v>6</v>
      </c>
    </row>
    <row r="43" spans="2:4" ht="15" x14ac:dyDescent="0.2">
      <c r="C43" s="33"/>
    </row>
    <row r="46" spans="2:4" ht="15" x14ac:dyDescent="0.2">
      <c r="C46" s="33"/>
    </row>
  </sheetData>
  <dataValidations disablePrompts="1" count="1">
    <dataValidation type="list" allowBlank="1" showInputMessage="1" showErrorMessage="1" sqref="J4" xr:uid="{E1E94D48-5DD0-48E6-87A5-68ED13C86418}">
      <formula1>"Y,N"</formula1>
    </dataValidation>
  </dataValidations>
  <pageMargins left="0.7" right="0.7" top="0.75" bottom="0.75" header="0.3" footer="0.3"/>
  <pageSetup orientation="portrait" r:id="rId1"/>
  <legacyDrawing r:id="rId2"/>
  <tableParts count="9">
    <tablePart r:id="rId3"/>
    <tablePart r:id="rId4"/>
    <tablePart r:id="rId5"/>
    <tablePart r:id="rId6"/>
    <tablePart r:id="rId7"/>
    <tablePart r:id="rId8"/>
    <tablePart r:id="rId9"/>
    <tablePart r:id="rId10"/>
    <tablePart r:id="rId1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739ED-CFE3-4D6A-8BB2-AE98C0DB79F4}">
  <dimension ref="A1:R51"/>
  <sheetViews>
    <sheetView workbookViewId="0">
      <selection activeCell="J34" sqref="J34"/>
    </sheetView>
  </sheetViews>
  <sheetFormatPr defaultRowHeight="15" x14ac:dyDescent="0.25"/>
  <cols>
    <col min="2" max="2" width="21.140625" customWidth="1"/>
    <col min="3" max="3" width="22" customWidth="1"/>
    <col min="4" max="4" width="17.42578125" bestFit="1" customWidth="1"/>
    <col min="5" max="5" width="16.5703125" customWidth="1"/>
    <col min="6" max="6" width="13.42578125" bestFit="1" customWidth="1"/>
    <col min="7" max="7" width="16.85546875" customWidth="1"/>
    <col min="8" max="8" width="16.85546875" bestFit="1" customWidth="1"/>
    <col min="9" max="9" width="11" bestFit="1" customWidth="1"/>
    <col min="10" max="10" width="12" customWidth="1"/>
    <col min="11" max="11" width="13.140625" bestFit="1" customWidth="1"/>
    <col min="12" max="12" width="8.5703125"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197</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196</v>
      </c>
      <c r="C4" s="1" t="s">
        <v>7</v>
      </c>
      <c r="D4" s="1"/>
      <c r="E4" s="1" t="s">
        <v>45</v>
      </c>
      <c r="F4" s="1" t="s">
        <v>46</v>
      </c>
      <c r="G4" s="1" t="s">
        <v>47</v>
      </c>
      <c r="H4" s="1" t="b">
        <v>1</v>
      </c>
      <c r="I4" s="1" t="s">
        <v>176</v>
      </c>
      <c r="J4" s="1">
        <v>999</v>
      </c>
      <c r="K4" s="11" t="s">
        <v>30</v>
      </c>
      <c r="L4" s="1" t="s">
        <v>176</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11</v>
      </c>
      <c r="C7" s="1"/>
      <c r="D7" s="1"/>
      <c r="E7" s="1"/>
      <c r="F7" s="1"/>
      <c r="G7" s="1"/>
    </row>
    <row r="8" spans="1:18" x14ac:dyDescent="0.25">
      <c r="A8" s="1"/>
      <c r="B8" s="1" t="s">
        <v>2</v>
      </c>
      <c r="C8" s="1"/>
    </row>
    <row r="9" spans="1:18" x14ac:dyDescent="0.25">
      <c r="A9" s="1"/>
      <c r="B9" s="1" t="s">
        <v>195</v>
      </c>
      <c r="C9" s="1"/>
    </row>
    <row r="10" spans="1:18" x14ac:dyDescent="0.25">
      <c r="A10" s="1"/>
      <c r="B10" s="1"/>
      <c r="C10" s="1"/>
      <c r="D10" s="1"/>
      <c r="E10" s="1"/>
      <c r="F10" s="1"/>
      <c r="G10" s="1"/>
      <c r="J10" s="1"/>
      <c r="K10" s="1"/>
    </row>
    <row r="11" spans="1:18" x14ac:dyDescent="0.25">
      <c r="A11" s="1"/>
      <c r="B11" s="4" t="s">
        <v>17</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194</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16</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5" t="s">
        <v>193</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10</v>
      </c>
      <c r="C19" s="1"/>
      <c r="D19" s="1"/>
      <c r="E19" s="1"/>
      <c r="F19" s="1"/>
      <c r="G19" s="1"/>
      <c r="J19" s="1"/>
      <c r="K19" s="1"/>
    </row>
    <row r="20" spans="1:18" x14ac:dyDescent="0.25">
      <c r="A20" s="1"/>
      <c r="B20" s="1" t="s">
        <v>180</v>
      </c>
      <c r="C20" s="1" t="s">
        <v>22</v>
      </c>
      <c r="D20" s="1" t="s">
        <v>187</v>
      </c>
      <c r="E20" s="1" t="s">
        <v>43</v>
      </c>
      <c r="F20" s="1" t="s">
        <v>383</v>
      </c>
      <c r="G20" s="1" t="s">
        <v>41</v>
      </c>
      <c r="H20" s="1" t="s">
        <v>192</v>
      </c>
      <c r="I20" s="1" t="s">
        <v>54</v>
      </c>
      <c r="J20" s="1"/>
      <c r="K20" s="1"/>
    </row>
    <row r="21" spans="1:18" x14ac:dyDescent="0.25">
      <c r="A21" s="1"/>
      <c r="B21" s="1" t="str">
        <f>(MID(CIMB_DD_det_in[Col1],3,8))</f>
        <v>28011801</v>
      </c>
      <c r="C21" s="1" t="str">
        <f>(MID(CIMB_DD_det_in[Col1],11,16))</f>
        <v xml:space="preserve">95004363        </v>
      </c>
      <c r="D21" s="1" t="str">
        <f>(MID(CIMB_DD_det_in[Col1],41,16))</f>
        <v xml:space="preserve">790416085263    </v>
      </c>
      <c r="E21" s="1" t="str">
        <f>(MID(CIMB_DD_det_in[Col1],57,40))</f>
        <v xml:space="preserve">SYED IBRAHIM BIN SYED YUSOF             </v>
      </c>
      <c r="F21" s="1" t="str">
        <f>(MID(CIMB_DD_det_in[Col1],97,14))</f>
        <v>12420062772520</v>
      </c>
      <c r="G21" s="1" t="str">
        <f>(MID(CIMB_DD_det_in[Col1],111,11))</f>
        <v>00000000032</v>
      </c>
      <c r="H21" s="1" t="str">
        <f>(MID(CIMB_DD_det_in[Col1],124,11))</f>
        <v>14739922048</v>
      </c>
      <c r="I21" s="1" t="str">
        <f>(MID(CIMB_DD_det_in[Col1],135,2))</f>
        <v>04</v>
      </c>
      <c r="J21" s="1"/>
      <c r="K21" s="1"/>
    </row>
    <row r="22" spans="1:18" x14ac:dyDescent="0.25">
      <c r="A22" s="1"/>
      <c r="B22" s="1"/>
      <c r="C22" s="1"/>
      <c r="D22" s="1"/>
      <c r="E22" s="1"/>
      <c r="F22" s="1"/>
      <c r="G22" s="1"/>
      <c r="J22" s="1"/>
      <c r="K22" s="1"/>
    </row>
    <row r="23" spans="1:18" x14ac:dyDescent="0.25">
      <c r="A23" s="1"/>
      <c r="B23" s="4" t="s">
        <v>14</v>
      </c>
      <c r="C23" s="1"/>
      <c r="D23" s="1"/>
      <c r="E23" s="1"/>
      <c r="F23" s="1"/>
      <c r="G23" s="1"/>
      <c r="H23" s="1"/>
      <c r="I23" s="1"/>
      <c r="J23" s="1"/>
      <c r="K23" s="1"/>
    </row>
    <row r="24" spans="1:18" x14ac:dyDescent="0.25">
      <c r="B24" s="1" t="s">
        <v>180</v>
      </c>
      <c r="C24" s="1" t="s">
        <v>184</v>
      </c>
      <c r="D24" s="1" t="s">
        <v>183</v>
      </c>
      <c r="E24" s="1" t="s">
        <v>159</v>
      </c>
      <c r="F24" s="1" t="s">
        <v>182</v>
      </c>
    </row>
    <row r="25" spans="1:18" x14ac:dyDescent="0.25">
      <c r="B25" s="1" t="str">
        <f>MID(CIMB_DD_hdr_in[Col1],3,8)</f>
        <v>28011801</v>
      </c>
      <c r="C25" s="1" t="str">
        <f>MID(CIMB_DD_hdr_in[Col1],11,4)</f>
        <v>2048</v>
      </c>
      <c r="D25" s="1" t="str">
        <f>MID(CIMB_DD_hdr_in[Col1],15,40)</f>
        <v xml:space="preserve">PRUDENTIAL                              </v>
      </c>
      <c r="E25" s="1" t="str">
        <f>MID(CIMB_DD_hdr_in[Col1],55,8)</f>
        <v>28012018</v>
      </c>
      <c r="F25" s="1" t="str">
        <f>MID(CIMB_DD_hdr_in[Col1],63,10)</f>
        <v>1930217211</v>
      </c>
    </row>
    <row r="27" spans="1:18" x14ac:dyDescent="0.25">
      <c r="B27" s="4" t="s">
        <v>15</v>
      </c>
      <c r="C27" s="1"/>
      <c r="D27" s="1"/>
      <c r="E27" s="1"/>
      <c r="F27" s="1"/>
      <c r="H27" s="1"/>
      <c r="I27" s="1"/>
      <c r="J27" s="1"/>
      <c r="K27" s="1"/>
      <c r="L27" s="1"/>
      <c r="N27" s="1"/>
      <c r="O27" s="1"/>
      <c r="P27" s="1"/>
      <c r="Q27" s="1"/>
      <c r="R27" s="1"/>
    </row>
    <row r="28" spans="1:18" x14ac:dyDescent="0.25">
      <c r="B28" s="1" t="s">
        <v>25</v>
      </c>
      <c r="C28" s="1" t="s">
        <v>52</v>
      </c>
      <c r="D28" s="1" t="s">
        <v>180</v>
      </c>
      <c r="E28" s="1" t="s">
        <v>191</v>
      </c>
      <c r="F28" s="1" t="s">
        <v>190</v>
      </c>
      <c r="G28" s="1" t="s">
        <v>189</v>
      </c>
      <c r="H28" s="1" t="s">
        <v>188</v>
      </c>
      <c r="I28" s="1" t="s">
        <v>154</v>
      </c>
      <c r="K28" s="1"/>
      <c r="L28" s="1"/>
      <c r="M28" s="1"/>
      <c r="N28" s="1"/>
      <c r="O28" s="1"/>
    </row>
    <row r="29" spans="1:18" x14ac:dyDescent="0.25">
      <c r="B29" s="1" t="str">
        <f>MID(CIMB_DD_ftr_in[Col1],11,6)</f>
        <v>004837</v>
      </c>
      <c r="C29" s="1" t="str">
        <f>MID(CIMB_DD_ftr_in[Col1],17,15)</f>
        <v>000000076264474</v>
      </c>
      <c r="D29" s="1" t="str">
        <f>MID(CIMB_DD_ftr_in[Col1],3,8)</f>
        <v>28011801</v>
      </c>
      <c r="E29" s="1" t="str">
        <f>MID(CIMB_DD_ftr_in[Col1],32,6)</f>
        <v>001539</v>
      </c>
      <c r="F29" s="1" t="str">
        <f>MID(CIMB_DD_ftr_in[Col1],38,15)</f>
        <v>000000024323279</v>
      </c>
      <c r="G29" s="1" t="str">
        <f>MID(CIMB_DD_ftr_in[Col1],53,6)</f>
        <v>003298</v>
      </c>
      <c r="H29" s="1" t="str">
        <f>MID(CIMB_DD_ftr_in[Col1],59,15)</f>
        <v>000000051941195</v>
      </c>
      <c r="I29" s="1" t="str">
        <f>MID(CIMB_DD_ftr_in[Col1],74,15)</f>
        <v>697255332941014</v>
      </c>
      <c r="K29" s="1"/>
      <c r="L29" s="1"/>
      <c r="M29" s="1"/>
      <c r="N29" s="1"/>
      <c r="O29" s="1"/>
    </row>
    <row r="30" spans="1:18" x14ac:dyDescent="0.25">
      <c r="H30" s="1"/>
      <c r="I30" s="1"/>
      <c r="J30" s="1"/>
      <c r="K30" s="1"/>
      <c r="L30" s="1"/>
      <c r="N30" s="1"/>
      <c r="O30" s="1"/>
      <c r="P30" s="1"/>
      <c r="Q30" s="1"/>
      <c r="R30" s="1"/>
    </row>
    <row r="32" spans="1:18" x14ac:dyDescent="0.25">
      <c r="A32" s="1"/>
      <c r="B32" s="3" t="s">
        <v>8</v>
      </c>
      <c r="C32" s="1"/>
      <c r="D32" s="1"/>
      <c r="E32" s="1"/>
      <c r="F32" s="1"/>
      <c r="G32" s="1"/>
    </row>
    <row r="33" spans="1:10" x14ac:dyDescent="0.25">
      <c r="A33" s="1"/>
      <c r="B33" s="1" t="s">
        <v>180</v>
      </c>
      <c r="C33" s="1" t="s">
        <v>22</v>
      </c>
      <c r="D33" s="1" t="s">
        <v>187</v>
      </c>
      <c r="E33" s="1" t="s">
        <v>43</v>
      </c>
      <c r="F33" s="1" t="s">
        <v>383</v>
      </c>
      <c r="G33" s="1" t="s">
        <v>41</v>
      </c>
      <c r="H33" s="39" t="s">
        <v>456</v>
      </c>
      <c r="I33" s="39" t="s">
        <v>457</v>
      </c>
      <c r="J33" s="39" t="s">
        <v>154</v>
      </c>
    </row>
    <row r="34" spans="1:10" x14ac:dyDescent="0.25">
      <c r="A34" s="1"/>
      <c r="B34" s="1" t="s">
        <v>185</v>
      </c>
      <c r="C34" s="1">
        <v>12345678</v>
      </c>
      <c r="D34" s="1" t="s">
        <v>387</v>
      </c>
      <c r="E34" s="1" t="s">
        <v>3</v>
      </c>
      <c r="F34" s="13">
        <v>2312323222</v>
      </c>
      <c r="G34" s="1">
        <v>1233.22</v>
      </c>
      <c r="H34" s="39" t="str">
        <f>TEXT(INT((CIMB_DD_det_out_com[Amount])),"0000000000000")</f>
        <v>0000000001233</v>
      </c>
      <c r="I34" s="39" t="str">
        <f>(RIGHT((TEXT(CIMB_DD_det_out_com[Amount]-INT(CIMB_DD_det_out_com[Amount]),"0.00")),2))</f>
        <v>22</v>
      </c>
      <c r="J34" s="39">
        <f>SUM(CIMB_DD_det_out_com[PayorBankAcctNo],CONCATENATE(CIMB_DD_det_out_com[AmountInt],CIMB_DD_det_out_com[AmountDec]))</f>
        <v>2312446544</v>
      </c>
    </row>
    <row r="35" spans="1:10" x14ac:dyDescent="0.25">
      <c r="A35" s="1"/>
      <c r="B35" s="1"/>
      <c r="C35" s="1"/>
      <c r="D35" s="1"/>
      <c r="E35" s="1"/>
      <c r="F35" s="1"/>
      <c r="G35" s="1"/>
      <c r="H35" s="1"/>
      <c r="I35" s="1"/>
    </row>
    <row r="36" spans="1:10" x14ac:dyDescent="0.25">
      <c r="A36" s="1"/>
      <c r="B36" s="3" t="s">
        <v>12</v>
      </c>
      <c r="C36" s="1"/>
      <c r="D36" s="1"/>
      <c r="E36" s="1"/>
      <c r="F36" s="1"/>
      <c r="G36" s="1"/>
      <c r="H36" s="1"/>
      <c r="I36" s="1"/>
    </row>
    <row r="37" spans="1:10" x14ac:dyDescent="0.25">
      <c r="A37" s="1"/>
      <c r="B37" s="1" t="s">
        <v>180</v>
      </c>
      <c r="C37" s="10" t="s">
        <v>184</v>
      </c>
      <c r="D37" s="1" t="s">
        <v>183</v>
      </c>
      <c r="E37" s="1" t="s">
        <v>159</v>
      </c>
      <c r="F37" s="1" t="s">
        <v>182</v>
      </c>
    </row>
    <row r="38" spans="1:10" x14ac:dyDescent="0.25">
      <c r="A38" s="1"/>
      <c r="B38" s="1">
        <v>28011801</v>
      </c>
      <c r="C38" s="1">
        <v>1234</v>
      </c>
      <c r="D38" s="1" t="s">
        <v>181</v>
      </c>
      <c r="E38" s="1">
        <v>20122018</v>
      </c>
      <c r="F38" s="1">
        <v>1930217211</v>
      </c>
    </row>
    <row r="39" spans="1:10" x14ac:dyDescent="0.25">
      <c r="A39" s="1"/>
      <c r="B39" s="1"/>
      <c r="C39" s="1"/>
      <c r="D39" s="1"/>
      <c r="E39" s="1"/>
      <c r="F39" s="1"/>
      <c r="G39" s="1"/>
      <c r="H39" s="1"/>
      <c r="I39" s="1"/>
    </row>
    <row r="40" spans="1:10" x14ac:dyDescent="0.25">
      <c r="A40" s="1"/>
      <c r="B40" s="3" t="s">
        <v>13</v>
      </c>
      <c r="C40" s="1"/>
      <c r="D40" s="1"/>
      <c r="E40" s="1"/>
      <c r="F40" s="1"/>
      <c r="G40" s="1"/>
      <c r="H40" s="1"/>
      <c r="I40" s="1"/>
    </row>
    <row r="41" spans="1:10" x14ac:dyDescent="0.25">
      <c r="A41" s="1"/>
      <c r="B41" s="1" t="s">
        <v>25</v>
      </c>
      <c r="C41" s="1" t="s">
        <v>52</v>
      </c>
      <c r="D41" s="1" t="s">
        <v>180</v>
      </c>
      <c r="E41" s="1" t="s">
        <v>154</v>
      </c>
      <c r="F41" s="39" t="s">
        <v>456</v>
      </c>
      <c r="G41" s="39" t="s">
        <v>457</v>
      </c>
    </row>
    <row r="42" spans="1:10" x14ac:dyDescent="0.25">
      <c r="A42" s="1"/>
      <c r="B42" s="1">
        <v>133</v>
      </c>
      <c r="C42" s="1">
        <v>1</v>
      </c>
      <c r="D42" s="1" t="s">
        <v>179</v>
      </c>
      <c r="E42" s="1">
        <v>0</v>
      </c>
      <c r="F42" s="39" t="str">
        <f>TEXT(INT((CIMB_DD_ftr_out_com[[#Totals],[Sum]])),"000000000000")</f>
        <v>000000001234</v>
      </c>
      <c r="G42" s="39" t="str">
        <f>(RIGHT((TEXT(CIMB_DD_ftr_out_com[[#Totals],[Sum]]-INT(CIMB_DD_ftr_out_com[[#Totals],[Sum]]),"0.00")),2))</f>
        <v>22</v>
      </c>
    </row>
    <row r="43" spans="1:10" x14ac:dyDescent="0.25">
      <c r="A43" s="1"/>
      <c r="B43" s="39">
        <f>(CIMB_DD_ftr_out_com[Count]+1)</f>
        <v>134</v>
      </c>
      <c r="C43" s="39">
        <f>(SUM(CIMB_DD_ftr_out_com[Sum],CIMB_DD_det_out_com[Amount]))</f>
        <v>1234.22</v>
      </c>
      <c r="D43" s="39"/>
      <c r="E43" s="39">
        <f>(SUM(CIMB_DD_ftr_out_com[HashTotal],CIMB_DD_det_out_com[HashTotal]))</f>
        <v>2312446544</v>
      </c>
      <c r="F43" s="39"/>
      <c r="G43" s="39"/>
    </row>
    <row r="44" spans="1:10" x14ac:dyDescent="0.25">
      <c r="A44" s="1"/>
      <c r="B44" s="1"/>
      <c r="C44" s="1"/>
      <c r="D44" s="1"/>
      <c r="E44" s="1"/>
      <c r="F44" s="1"/>
      <c r="G44" s="1"/>
      <c r="H44" s="1"/>
      <c r="I44" s="1"/>
    </row>
    <row r="45" spans="1:10" x14ac:dyDescent="0.25">
      <c r="A45" s="1"/>
      <c r="B45" s="1"/>
      <c r="C45" s="1"/>
      <c r="D45" s="1"/>
      <c r="E45" s="1"/>
      <c r="F45" s="1"/>
      <c r="G45" s="1"/>
      <c r="H45" s="1"/>
      <c r="I45" s="1"/>
    </row>
    <row r="46" spans="1:10" x14ac:dyDescent="0.25">
      <c r="A46" s="1"/>
      <c r="B46" s="3" t="s">
        <v>9</v>
      </c>
      <c r="C46" s="1"/>
      <c r="D46" s="1"/>
      <c r="E46" s="1"/>
    </row>
    <row r="47" spans="1:10" x14ac:dyDescent="0.25">
      <c r="A47" s="1"/>
      <c r="B47" s="1" t="s">
        <v>4</v>
      </c>
      <c r="C47" s="1" t="s">
        <v>5</v>
      </c>
      <c r="D47" s="1" t="s">
        <v>6</v>
      </c>
      <c r="E47" s="1"/>
    </row>
    <row r="48" spans="1:10" x14ac:dyDescent="0.25">
      <c r="A48" s="1"/>
      <c r="B48" s="1" t="str">
        <f>CONCATENATE("01",CIMB_DD_hdr_out_com[BatchNumber],CIMB_DD_hdr_out_com[OrgCode],REPT(" ",4-LEN(CIMB_DD_hdr_out_com[OrgCode])),CIMB_DD_hdr_out_com[OrgName],REPT(" ",40-LEN(CIMB_DD_hdr_out_com[OrgName])),CIMB_DD_hdr_out_com[BillingDate],CIMB_DD_hdr_out_com[SecurityCode],REPT(" ", 128))</f>
        <v xml:space="preserve">01280118011234Predue                                  201220181930217211                                                                                                                                </v>
      </c>
      <c r="C48" s="1" t="str">
        <f>CONCATENATE("02",CIMB_DD_det_out_com[BatchNumber],CIMB_DD_det_out_com[PolicyNo],CIMB_DD_det_out_com[CustomerID],REPT(" ",12-LEN(CIMB_DD_det_out_com[CustomerID])),"    ",CIMB_DD_det_out_com[CustomerName],REPT(" ",35-LEN(CIMB_DD_det_out_com[CustomerName])),"     ",CIMB_DD_det_out_com[PayorBankAcctNo],REPT(" ",14-LEN(CIMB_DD_det_out_com[PayorBankAcctNo])),REPT("0",13-LEN(CIMB_DD_det_out_com[Amount])),CIMB_DD_det_out_com[Amount],REPT(" ",99))</f>
        <v xml:space="preserve">02DDMMYYSS12345678Jajsj3          MBB                                     2312323222    0000001233.22                                                                                                   </v>
      </c>
      <c r="D48" s="1" t="str">
        <f>CONCATENATE("03",CIMB_DD_ftr_out_com[BatchNumber],REPT("0",6-LEN(CIMB_DD_ftr_out_com[Count])),CIMB_DD_ftr_out_com[Count],CIMB_DD_ftr_out_com[AmountInt],CIMB_DD_ftr_out_com[AmountDec],REPT(" ",42),REPT("0",15-LEN(CIMB_DD_ftr_out_com[[#Totals],[HashTotal]])),CIMB_DD_ftr_out_com[[#Totals],[HashTotal]],REPT(" ",112))</f>
        <v xml:space="preserve">031011180100013300000000123422                                          000002312446544                                                                                                                </v>
      </c>
      <c r="E48" s="1"/>
    </row>
    <row r="49" spans="1:9" x14ac:dyDescent="0.25">
      <c r="A49" s="1"/>
      <c r="B49" s="1"/>
      <c r="C49" s="1"/>
      <c r="D49" s="1"/>
      <c r="E49" s="1"/>
      <c r="F49" s="1"/>
      <c r="G49" s="1"/>
      <c r="H49" s="1"/>
      <c r="I49" s="1"/>
    </row>
    <row r="51" spans="1:9" x14ac:dyDescent="0.25">
      <c r="D51" s="41"/>
    </row>
  </sheetData>
  <dataValidations disablePrompts="1" count="1">
    <dataValidation type="list" allowBlank="1" showInputMessage="1" showErrorMessage="1" sqref="K4" xr:uid="{0B48B93D-AA9E-42D3-A59C-12DDCCC969B7}">
      <formula1>"Y,N"</formula1>
    </dataValidation>
  </dataValidations>
  <pageMargins left="0.7" right="0.7" top="0.75" bottom="0.75" header="0.3" footer="0.3"/>
  <legacyDrawing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2FE7-13E7-4168-A127-30DE66414695}">
  <dimension ref="A1:R49"/>
  <sheetViews>
    <sheetView topLeftCell="A28" workbookViewId="0">
      <selection activeCell="B47" sqref="B47"/>
    </sheetView>
  </sheetViews>
  <sheetFormatPr defaultRowHeight="15" x14ac:dyDescent="0.25"/>
  <cols>
    <col min="2" max="2" width="35.28515625" customWidth="1"/>
    <col min="3" max="3" width="17.42578125" customWidth="1"/>
    <col min="4" max="4" width="12.140625" customWidth="1"/>
    <col min="5" max="5" width="14.5703125" customWidth="1"/>
    <col min="6" max="6" width="13.42578125" bestFit="1" customWidth="1"/>
    <col min="7" max="7" width="18.85546875" customWidth="1"/>
    <col min="8" max="8" width="11.5703125" bestFit="1" customWidth="1"/>
    <col min="9" max="9" width="24.5703125" customWidth="1"/>
    <col min="10"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178</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177</v>
      </c>
      <c r="C4" s="1" t="s">
        <v>3</v>
      </c>
      <c r="D4" s="1"/>
      <c r="E4" s="1" t="s">
        <v>45</v>
      </c>
      <c r="F4" s="1" t="s">
        <v>46</v>
      </c>
      <c r="G4" s="1" t="s">
        <v>47</v>
      </c>
      <c r="H4" s="1" t="b">
        <v>1</v>
      </c>
      <c r="I4" s="1" t="s">
        <v>67</v>
      </c>
      <c r="J4" s="1">
        <v>999</v>
      </c>
      <c r="K4" s="11" t="s">
        <v>30</v>
      </c>
      <c r="L4" s="1" t="s">
        <v>176</v>
      </c>
      <c r="M4" s="1"/>
      <c r="N4" s="1"/>
      <c r="O4" s="1"/>
      <c r="P4" s="1"/>
    </row>
    <row r="5" spans="1:18" x14ac:dyDescent="0.25">
      <c r="A5" s="1"/>
      <c r="B5" s="1"/>
      <c r="C5" s="1"/>
      <c r="D5" s="1"/>
      <c r="E5" s="1"/>
      <c r="F5" s="1"/>
      <c r="G5" s="1"/>
      <c r="H5" s="1"/>
      <c r="I5" s="1"/>
      <c r="J5" s="1"/>
      <c r="K5" s="1"/>
      <c r="L5" s="1"/>
      <c r="M5" s="1"/>
    </row>
    <row r="6" spans="1:18" x14ac:dyDescent="0.25">
      <c r="A6" s="1"/>
      <c r="B6" s="9" t="s">
        <v>175</v>
      </c>
      <c r="C6" s="1"/>
      <c r="D6" s="1"/>
      <c r="E6" s="1"/>
      <c r="F6" s="1"/>
      <c r="G6" s="1"/>
      <c r="J6" s="1"/>
      <c r="K6" s="1"/>
      <c r="L6" s="1"/>
      <c r="M6" s="1"/>
    </row>
    <row r="7" spans="1:18" x14ac:dyDescent="0.25">
      <c r="A7" s="1"/>
      <c r="B7" s="10" t="s">
        <v>2</v>
      </c>
      <c r="C7" s="1"/>
      <c r="I7" s="1"/>
      <c r="M7" s="1"/>
    </row>
    <row r="8" spans="1:18" x14ac:dyDescent="0.25">
      <c r="A8" s="1"/>
      <c r="B8" s="1" t="s">
        <v>174</v>
      </c>
      <c r="C8" s="1"/>
      <c r="I8" s="1"/>
      <c r="N8" s="1"/>
    </row>
    <row r="9" spans="1:18" x14ac:dyDescent="0.25">
      <c r="A9" s="1"/>
      <c r="B9" s="1"/>
      <c r="C9" s="1"/>
      <c r="D9" s="1"/>
      <c r="E9" s="1"/>
      <c r="F9" s="1"/>
      <c r="G9" s="1"/>
      <c r="H9" s="1"/>
      <c r="I9" s="1"/>
      <c r="N9" s="1"/>
    </row>
    <row r="10" spans="1:18" x14ac:dyDescent="0.25">
      <c r="A10" s="1"/>
      <c r="B10" s="4" t="s">
        <v>173</v>
      </c>
      <c r="C10" s="1"/>
      <c r="D10" s="1"/>
      <c r="E10" s="1"/>
      <c r="F10" s="1"/>
      <c r="G10" s="1"/>
      <c r="H10" s="1"/>
      <c r="I10" s="1"/>
      <c r="J10" s="1"/>
      <c r="K10" s="1"/>
      <c r="L10" s="1"/>
      <c r="M10" s="1"/>
    </row>
    <row r="11" spans="1:18" x14ac:dyDescent="0.25">
      <c r="A11" s="1"/>
      <c r="B11" s="10" t="s">
        <v>2</v>
      </c>
      <c r="C11" s="1"/>
      <c r="D11" s="1"/>
      <c r="E11" s="1"/>
      <c r="F11" s="1"/>
      <c r="G11" s="1"/>
      <c r="H11" s="1"/>
      <c r="I11" s="1"/>
      <c r="J11" s="1"/>
      <c r="K11" s="1"/>
      <c r="L11" s="1"/>
      <c r="M11" s="1"/>
      <c r="N11" s="1"/>
      <c r="O11" s="1"/>
      <c r="P11" s="1"/>
      <c r="Q11" s="1"/>
      <c r="R11" s="1"/>
    </row>
    <row r="12" spans="1:18" x14ac:dyDescent="0.25">
      <c r="A12" s="1"/>
      <c r="B12" s="1" t="s">
        <v>172</v>
      </c>
      <c r="C12" s="1"/>
      <c r="D12" s="1"/>
      <c r="E12" s="1"/>
      <c r="F12" s="1"/>
      <c r="G12" s="1"/>
      <c r="H12" s="1"/>
      <c r="I12" s="1"/>
      <c r="J12" s="1"/>
      <c r="K12" s="1"/>
      <c r="L12" s="1"/>
      <c r="M12" s="1"/>
      <c r="N12" s="1"/>
      <c r="O12" s="1"/>
      <c r="P12" s="1"/>
    </row>
    <row r="13" spans="1:18" x14ac:dyDescent="0.25">
      <c r="A13" s="1"/>
      <c r="B13" s="1"/>
      <c r="C13" s="1"/>
      <c r="D13" s="1"/>
      <c r="E13" s="1"/>
      <c r="F13" s="1"/>
      <c r="G13" s="1"/>
      <c r="H13" s="1"/>
      <c r="I13" s="1"/>
      <c r="J13" s="1"/>
      <c r="K13" s="1"/>
      <c r="L13" s="1"/>
      <c r="M13" s="1"/>
      <c r="N13" s="1"/>
      <c r="O13" s="1"/>
      <c r="P13" s="1"/>
    </row>
    <row r="14" spans="1:18" x14ac:dyDescent="0.25">
      <c r="A14" s="1"/>
      <c r="B14" s="4" t="s">
        <v>171</v>
      </c>
      <c r="C14" s="1"/>
      <c r="D14" s="1"/>
      <c r="E14" s="1"/>
      <c r="F14" s="1"/>
      <c r="G14" s="1"/>
      <c r="H14" s="1"/>
      <c r="I14" s="1"/>
      <c r="J14" s="1"/>
      <c r="K14" s="1"/>
      <c r="L14" s="1"/>
      <c r="M14" s="1"/>
      <c r="N14" s="1"/>
      <c r="O14" s="1"/>
      <c r="P14" s="1"/>
      <c r="Q14" s="1"/>
      <c r="R14" s="1"/>
    </row>
    <row r="15" spans="1:18" x14ac:dyDescent="0.25">
      <c r="A15" s="1"/>
      <c r="B15" s="10" t="s">
        <v>2</v>
      </c>
      <c r="C15" s="1"/>
      <c r="D15" s="1"/>
      <c r="E15" s="1"/>
      <c r="F15" s="1"/>
      <c r="G15" s="1"/>
      <c r="H15" s="1"/>
      <c r="I15" s="1"/>
      <c r="J15" s="1"/>
      <c r="K15" s="1"/>
      <c r="L15" s="1"/>
      <c r="M15" s="1"/>
      <c r="N15" s="1"/>
      <c r="O15" s="1"/>
      <c r="P15" s="1"/>
      <c r="Q15" s="1"/>
      <c r="R15" s="1"/>
    </row>
    <row r="16" spans="1:18" x14ac:dyDescent="0.25">
      <c r="A16" s="1"/>
      <c r="B16" s="1" t="s">
        <v>170</v>
      </c>
      <c r="C16" s="1"/>
      <c r="D16" s="1"/>
      <c r="E16" s="1"/>
      <c r="F16" s="1"/>
      <c r="G16" s="1"/>
      <c r="H16" s="1"/>
      <c r="I16" s="1"/>
      <c r="J16" s="1"/>
      <c r="K16" s="1"/>
      <c r="L16" s="1"/>
      <c r="M16" s="1"/>
      <c r="N16" s="1"/>
      <c r="O16" s="1"/>
      <c r="P16" s="1"/>
      <c r="Q16" s="1"/>
      <c r="R16" s="1"/>
    </row>
    <row r="17" spans="1:18" x14ac:dyDescent="0.25">
      <c r="A17" s="1"/>
      <c r="B17" s="1"/>
      <c r="C17" s="1"/>
      <c r="D17" s="1"/>
      <c r="E17" s="1"/>
      <c r="F17" s="1"/>
      <c r="G17" s="1"/>
      <c r="H17" s="1"/>
      <c r="I17" s="1"/>
      <c r="J17" s="1"/>
      <c r="K17" s="1"/>
      <c r="L17" s="1"/>
      <c r="M17" s="1"/>
      <c r="N17" s="1"/>
      <c r="O17" s="1"/>
      <c r="P17" s="1"/>
      <c r="Q17" s="1"/>
      <c r="R17" s="1"/>
    </row>
    <row r="18" spans="1:18" x14ac:dyDescent="0.25">
      <c r="A18" s="1"/>
      <c r="B18" s="1"/>
      <c r="C18" s="1"/>
      <c r="D18" s="1"/>
      <c r="E18" s="1"/>
      <c r="F18" s="1"/>
      <c r="G18" s="1"/>
      <c r="H18" s="1"/>
      <c r="I18" s="1"/>
      <c r="J18" s="1"/>
      <c r="K18" s="1"/>
      <c r="L18" s="1"/>
      <c r="M18" s="1"/>
      <c r="N18" s="1"/>
      <c r="O18" s="1"/>
      <c r="P18" s="1"/>
      <c r="Q18" s="1"/>
      <c r="R18" s="1"/>
    </row>
    <row r="19" spans="1:18" x14ac:dyDescent="0.25">
      <c r="A19" s="1"/>
      <c r="B19" s="4" t="s">
        <v>169</v>
      </c>
      <c r="C19" s="1"/>
      <c r="D19" s="1"/>
      <c r="E19" s="1"/>
      <c r="F19" s="1"/>
      <c r="G19" s="1"/>
      <c r="J19" s="1"/>
      <c r="K19" s="1"/>
      <c r="L19" s="1"/>
      <c r="M19" s="1"/>
      <c r="N19" s="1"/>
      <c r="O19" s="1"/>
      <c r="P19" s="1"/>
      <c r="Q19" s="1"/>
      <c r="R19" s="1"/>
    </row>
    <row r="20" spans="1:18" x14ac:dyDescent="0.25">
      <c r="A20" s="1"/>
      <c r="B20" s="1" t="s">
        <v>383</v>
      </c>
      <c r="C20" s="1" t="s">
        <v>41</v>
      </c>
      <c r="D20" s="1" t="s">
        <v>168</v>
      </c>
      <c r="E20" s="1" t="s">
        <v>22</v>
      </c>
      <c r="F20" s="1" t="s">
        <v>43</v>
      </c>
      <c r="G20" s="1" t="s">
        <v>54</v>
      </c>
      <c r="I20" s="1"/>
      <c r="J20" s="1"/>
      <c r="K20" s="1"/>
      <c r="L20" s="1"/>
    </row>
    <row r="21" spans="1:18" x14ac:dyDescent="0.25">
      <c r="A21" s="1"/>
      <c r="B21" s="1" t="str">
        <f>(MID(MBB_DD_det_in[Col1],3,12))</f>
        <v>001084120949</v>
      </c>
      <c r="C21" s="1" t="str">
        <f>(MID(MBB_DD_det_in[Col1],15,12))</f>
        <v>000000011100</v>
      </c>
      <c r="D21" s="1" t="str">
        <f>(MID(MBB_DD_det_in[Col1],27,8))</f>
        <v>02012604</v>
      </c>
      <c r="E21" s="1" t="str">
        <f>(MID(MBB_DD_det_in[Col1],35,14))</f>
        <v xml:space="preserve">95827465      </v>
      </c>
      <c r="F21" s="1" t="str">
        <f>(MID(MBB_DD_det_in[Col1],49,20))</f>
        <v xml:space="preserve">SITI KHADIJAH BINTI </v>
      </c>
      <c r="G21" s="1" t="str">
        <f>(MID(MBB_DD_det_in[Col1],69,1))</f>
        <v>4</v>
      </c>
      <c r="I21" s="1"/>
      <c r="J21" s="1"/>
      <c r="K21" s="1"/>
      <c r="L21" s="1"/>
    </row>
    <row r="22" spans="1:18" x14ac:dyDescent="0.25">
      <c r="A22" s="1"/>
      <c r="B22" s="1"/>
      <c r="C22" s="1"/>
      <c r="D22" s="1"/>
      <c r="E22" s="1"/>
      <c r="F22" s="1"/>
      <c r="G22" s="1"/>
      <c r="H22" s="1"/>
      <c r="I22" s="1"/>
      <c r="J22" s="1"/>
      <c r="K22" s="1"/>
      <c r="L22" s="1"/>
      <c r="M22" s="1"/>
    </row>
    <row r="23" spans="1:18" x14ac:dyDescent="0.25">
      <c r="A23" s="1"/>
      <c r="B23" s="4" t="s">
        <v>167</v>
      </c>
      <c r="C23" s="1"/>
      <c r="D23" s="1"/>
      <c r="E23" s="1"/>
      <c r="F23" s="1"/>
      <c r="G23" s="1"/>
      <c r="H23" s="1"/>
      <c r="I23" s="1"/>
      <c r="J23" s="1"/>
      <c r="K23" s="1"/>
      <c r="L23" s="1"/>
      <c r="M23" s="1"/>
    </row>
    <row r="24" spans="1:18" x14ac:dyDescent="0.25">
      <c r="A24" s="1"/>
      <c r="B24" s="1" t="s">
        <v>166</v>
      </c>
      <c r="C24" s="1" t="s">
        <v>165</v>
      </c>
      <c r="D24" s="1" t="s">
        <v>158</v>
      </c>
      <c r="E24" s="1"/>
      <c r="F24" s="1"/>
      <c r="G24" s="1"/>
      <c r="H24" s="1"/>
      <c r="I24" s="1"/>
    </row>
    <row r="25" spans="1:18" x14ac:dyDescent="0.25">
      <c r="B25" s="1" t="str">
        <f>(MID(MBB_DD_hdr_in[Col1],7,13))</f>
        <v xml:space="preserve">PRUBSNTB     </v>
      </c>
      <c r="C25" s="1" t="str">
        <f>(MID(MBB_DD_hdr_in[Col1],20,6))</f>
        <v>280218</v>
      </c>
      <c r="D25" s="1" t="str">
        <f>(MID(MBB_DD_hdr_in[Col1],26,5))</f>
        <v>02167</v>
      </c>
      <c r="I25" s="1"/>
    </row>
    <row r="27" spans="1:18" x14ac:dyDescent="0.25">
      <c r="B27" s="4" t="s">
        <v>164</v>
      </c>
      <c r="C27" s="1"/>
      <c r="D27" s="1"/>
      <c r="E27" s="1"/>
      <c r="F27" s="1"/>
    </row>
    <row r="28" spans="1:18" x14ac:dyDescent="0.25">
      <c r="B28" s="1" t="s">
        <v>25</v>
      </c>
      <c r="C28" s="1" t="s">
        <v>52</v>
      </c>
      <c r="D28" s="1" t="s">
        <v>154</v>
      </c>
      <c r="G28" s="1"/>
      <c r="H28" s="1"/>
      <c r="I28" s="1"/>
      <c r="J28" s="1"/>
      <c r="K28" s="1"/>
      <c r="L28" s="1"/>
      <c r="M28" s="1"/>
      <c r="N28" s="1"/>
      <c r="O28" s="1"/>
    </row>
    <row r="29" spans="1:18" x14ac:dyDescent="0.25">
      <c r="B29" s="1">
        <f>INT((MID(MBB_DD_ftr_in[Col1],3,12)))</f>
        <v>15050</v>
      </c>
      <c r="C29" s="1">
        <f>INT((MID(MBB_DD_ftr_in[Col1],15,12)))</f>
        <v>244711764</v>
      </c>
      <c r="D29" s="1">
        <f>INT((MID(MBB_DD_ftr_in[Col1],27,12)))</f>
        <v>73776268</v>
      </c>
      <c r="G29" s="1"/>
      <c r="H29" s="1"/>
      <c r="I29" s="1"/>
      <c r="J29" s="1"/>
      <c r="K29" s="1"/>
      <c r="L29" s="1"/>
      <c r="M29" s="1"/>
      <c r="N29" s="1"/>
      <c r="O29" s="1"/>
    </row>
    <row r="30" spans="1:18" x14ac:dyDescent="0.25">
      <c r="J30" s="1"/>
      <c r="K30" s="1"/>
      <c r="L30" s="1"/>
      <c r="M30" s="1"/>
      <c r="N30" s="1"/>
    </row>
    <row r="31" spans="1:18" x14ac:dyDescent="0.25">
      <c r="B31" s="1"/>
      <c r="C31" s="1"/>
      <c r="D31" s="1"/>
      <c r="E31" s="1"/>
      <c r="F31" s="1"/>
      <c r="G31" s="1"/>
      <c r="H31" s="1"/>
      <c r="I31" s="1"/>
    </row>
    <row r="32" spans="1:18" x14ac:dyDescent="0.25">
      <c r="B32" s="3" t="s">
        <v>163</v>
      </c>
      <c r="C32" s="1"/>
      <c r="D32" s="1"/>
      <c r="E32" s="1"/>
      <c r="F32" s="1"/>
      <c r="G32" s="1"/>
    </row>
    <row r="33" spans="2:9" x14ac:dyDescent="0.25">
      <c r="B33" s="1" t="s">
        <v>383</v>
      </c>
      <c r="C33" s="1" t="s">
        <v>41</v>
      </c>
      <c r="D33" s="1" t="s">
        <v>43</v>
      </c>
      <c r="E33" s="1" t="s">
        <v>161</v>
      </c>
      <c r="F33" s="1" t="s">
        <v>22</v>
      </c>
      <c r="G33" s="39" t="s">
        <v>456</v>
      </c>
      <c r="H33" s="39" t="s">
        <v>457</v>
      </c>
      <c r="I33" s="39" t="s">
        <v>154</v>
      </c>
    </row>
    <row r="34" spans="2:9" x14ac:dyDescent="0.25">
      <c r="B34" s="13">
        <v>1234789012</v>
      </c>
      <c r="C34" s="8">
        <v>100</v>
      </c>
      <c r="D34" s="13" t="s">
        <v>386</v>
      </c>
      <c r="E34" s="13" t="s">
        <v>385</v>
      </c>
      <c r="F34" s="13">
        <v>22342343</v>
      </c>
      <c r="G34" s="39" t="str">
        <f>TEXT(INT((MBB_DD_det_out_com[Amount])),"000000000000")</f>
        <v>000000000100</v>
      </c>
      <c r="H34" s="39" t="str">
        <f>(RIGHT((TEXT(MBB_DD_det_out_com[Amount]-INT(MBB_DD_det_out_com[Amount]),"0.00")),2))</f>
        <v>00</v>
      </c>
      <c r="I34" s="39">
        <f>SUM(MBB_DD_det_out_com[PayorBankAcctNo],MBB_DD_det_out_com[Amount])</f>
        <v>1234789112</v>
      </c>
    </row>
    <row r="35" spans="2:9" x14ac:dyDescent="0.25">
      <c r="B35" s="1"/>
      <c r="C35" s="1"/>
      <c r="D35" s="1"/>
      <c r="E35" s="1"/>
      <c r="F35" s="1"/>
      <c r="G35" s="1"/>
      <c r="H35" s="1"/>
      <c r="I35" s="1"/>
    </row>
    <row r="36" spans="2:9" x14ac:dyDescent="0.25">
      <c r="B36" s="3" t="s">
        <v>160</v>
      </c>
      <c r="C36" s="1"/>
      <c r="D36" s="1"/>
      <c r="E36" s="1"/>
      <c r="F36" s="1"/>
      <c r="G36" s="1"/>
      <c r="H36" s="1"/>
      <c r="I36" s="1"/>
    </row>
    <row r="37" spans="2:9" x14ac:dyDescent="0.25">
      <c r="B37" s="1" t="s">
        <v>166</v>
      </c>
      <c r="C37" s="10" t="s">
        <v>159</v>
      </c>
      <c r="D37" s="1" t="s">
        <v>158</v>
      </c>
      <c r="E37" s="1"/>
      <c r="F37" s="1"/>
      <c r="G37" s="1"/>
      <c r="H37" s="1"/>
    </row>
    <row r="38" spans="2:9" x14ac:dyDescent="0.25">
      <c r="B38" s="1" t="s">
        <v>157</v>
      </c>
      <c r="C38" s="1" t="s">
        <v>156</v>
      </c>
      <c r="D38" s="1">
        <v>1235535555</v>
      </c>
      <c r="E38" s="1"/>
      <c r="F38" s="1"/>
      <c r="G38" s="1"/>
      <c r="H38" s="1"/>
    </row>
    <row r="39" spans="2:9" x14ac:dyDescent="0.25">
      <c r="B39" s="1"/>
      <c r="C39" s="1"/>
      <c r="D39" s="1"/>
      <c r="E39" s="1"/>
      <c r="F39" s="1"/>
      <c r="G39" s="1"/>
      <c r="H39" s="1"/>
      <c r="I39" s="1"/>
    </row>
    <row r="40" spans="2:9" x14ac:dyDescent="0.25">
      <c r="B40" s="3" t="s">
        <v>155</v>
      </c>
      <c r="C40" s="1"/>
      <c r="D40" s="1"/>
      <c r="E40" s="1"/>
      <c r="F40" s="1"/>
      <c r="G40" s="1"/>
      <c r="H40" s="1"/>
      <c r="I40" s="1"/>
    </row>
    <row r="41" spans="2:9" x14ac:dyDescent="0.25">
      <c r="B41" s="1" t="s">
        <v>25</v>
      </c>
      <c r="C41" s="1" t="s">
        <v>52</v>
      </c>
      <c r="D41" s="1" t="s">
        <v>154</v>
      </c>
      <c r="E41" s="39" t="s">
        <v>456</v>
      </c>
      <c r="F41" s="39" t="s">
        <v>457</v>
      </c>
      <c r="G41" s="1"/>
      <c r="H41" s="1"/>
      <c r="I41" s="1"/>
    </row>
    <row r="42" spans="2:9" x14ac:dyDescent="0.25">
      <c r="B42" s="1">
        <v>122</v>
      </c>
      <c r="C42" s="8">
        <v>1232</v>
      </c>
      <c r="D42" s="1">
        <v>0</v>
      </c>
      <c r="E42" s="39" t="str">
        <f>TEXT(INT((MBB_DD_ftr_out_com[[#Totals],[Sum]])),"000000000000")</f>
        <v>000000001332</v>
      </c>
      <c r="F42" s="39" t="str">
        <f>(RIGHT((TEXT(MBB_DD_ftr_out_com[[#Totals],[Sum]]-INT(MBB_DD_ftr_out_com[[#Totals],[Sum]]),"0.00")),2))</f>
        <v>00</v>
      </c>
      <c r="G42" s="1"/>
      <c r="H42" s="1"/>
      <c r="I42" s="1"/>
    </row>
    <row r="43" spans="2:9" x14ac:dyDescent="0.25">
      <c r="B43" s="1">
        <f>(MBB_DD_ftr_out_com[Count]+1)</f>
        <v>123</v>
      </c>
      <c r="C43" s="1">
        <f>(SUM(MBB_DD_ftr_out_com[Sum],MBB_DD_det_out_com[Amount]))</f>
        <v>1332</v>
      </c>
      <c r="D43" s="1">
        <f>(SUM(MBB_DD_ftr_out_com[HashTotal],MBB_DD_det_out_com[HashTotal]))</f>
        <v>1234789112</v>
      </c>
      <c r="E43" s="39"/>
      <c r="F43" s="39"/>
      <c r="G43" s="1"/>
      <c r="H43" s="1"/>
      <c r="I43" s="1"/>
    </row>
    <row r="44" spans="2:9" x14ac:dyDescent="0.25">
      <c r="B44" s="1"/>
      <c r="C44" s="1"/>
      <c r="D44" s="1"/>
      <c r="E44" s="1"/>
      <c r="F44" s="1"/>
      <c r="G44" s="1"/>
      <c r="H44" s="1"/>
      <c r="I44" s="1"/>
    </row>
    <row r="45" spans="2:9" x14ac:dyDescent="0.25">
      <c r="B45" s="3" t="s">
        <v>153</v>
      </c>
      <c r="C45" s="1"/>
      <c r="D45" s="1"/>
      <c r="E45" s="1"/>
      <c r="I45" s="42"/>
    </row>
    <row r="46" spans="2:9" x14ac:dyDescent="0.25">
      <c r="B46" s="1" t="s">
        <v>4</v>
      </c>
      <c r="C46" s="1" t="s">
        <v>5</v>
      </c>
      <c r="D46" s="1" t="s">
        <v>6</v>
      </c>
      <c r="E46" s="1"/>
      <c r="I46" s="43"/>
    </row>
    <row r="47" spans="2:9" x14ac:dyDescent="0.25">
      <c r="B47" s="1" t="str">
        <f ca="1">CONCATENATE("VOL1","NN",MBB_DD_hdr_out_com[OriginatorName],REPT(" ",40-LEN(MBB_DD_hdr_out_com[OriginatorName])),TEXT(TODAY(),"DDMMYY"),MBB_DD_hdr_out_com[OriginatorId],REPT(" ",10-LEN(MBB_DD_hdr_out_com[OriginatorId])),REPT(" ",50))</f>
        <v xml:space="preserve">VOL1NNPRUDENT                                 0607181235535555                                                  </v>
      </c>
      <c r="C47" s="1" t="str">
        <f>CONCATENATE("00",MBB_DD_det_out_com[PayorBankAcctNo],REPT("0",12-LEN(MBB_DD_det_out_com[PayorBankAcctNo])),MBB_DD_det_out_com[Amount],MBB_DD_det_out_com[CustomerId],REPT(" ",8-LEN(MBB_DD_det_out_com[CustomerId]))," ",MBB_DD_det_out_com[PolicyNo],REPT(" ",14-LEN(MBB_DD_det_out_com[PolicyNo]))," ",MBB_DD_det_out_com[CustomerName],REPT(" ",20-LEN(MBB_DD_det_out_com[CustomerName])),"          ")</f>
        <v xml:space="preserve">00123478901200100123J933  22342343       MBBj                          </v>
      </c>
      <c r="D47" s="8" t="str">
        <f>CONCATENATE("FF",REPT("0",12-LEN(MBB_DD_ftr_out_com[[#Totals],[Count]])),MBB_DD_ftr_out_com[[#Totals],[Count]],MBB_DD_ftr_out_com[[#Totals],[Sum]],REPT("0",12-LEN(MBB_DD_ftr_out_com[[#Totals],[HashTotal]])),RIGHT(MBB_DD_ftr_out_com[[#Totals],[HashTotal]],12),"                                          ")</f>
        <v xml:space="preserve">FF0000000001231332001234789112                                          </v>
      </c>
      <c r="E47" s="1"/>
    </row>
    <row r="48" spans="2:9" x14ac:dyDescent="0.25">
      <c r="B48" s="1"/>
      <c r="C48" s="1"/>
      <c r="D48" s="1"/>
      <c r="E48" s="1"/>
      <c r="F48" s="1"/>
      <c r="G48" s="1"/>
      <c r="H48" s="1"/>
      <c r="I48" s="1"/>
    </row>
    <row r="49" spans="9:9" x14ac:dyDescent="0.25">
      <c r="I49" s="42"/>
    </row>
  </sheetData>
  <dataValidations disablePrompts="1" count="1">
    <dataValidation type="list" allowBlank="1" showInputMessage="1" showErrorMessage="1" sqref="K3:K4" xr:uid="{C6BAD99C-EAEE-4DD0-A26C-63E4A69706AD}">
      <formula1>"Y,N"</formula1>
    </dataValidation>
  </dataValidations>
  <pageMargins left="0.7" right="0.7" top="0.75" bottom="0.75" header="0.3" footer="0.3"/>
  <pageSetup orientation="portrait"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22CB-CC13-41A5-A98A-1391359DF319}">
  <dimension ref="A1:R34"/>
  <sheetViews>
    <sheetView topLeftCell="B8" zoomScaleNormal="100" workbookViewId="0">
      <selection activeCell="E30" sqref="E30"/>
    </sheetView>
  </sheetViews>
  <sheetFormatPr defaultRowHeight="15" x14ac:dyDescent="0.25"/>
  <cols>
    <col min="2" max="2" width="22.42578125" customWidth="1"/>
    <col min="3" max="3" width="19.42578125" customWidth="1"/>
    <col min="4" max="4" width="12.140625" customWidth="1"/>
    <col min="5" max="5" width="14.5703125" customWidth="1"/>
    <col min="6" max="6" width="11.85546875" customWidth="1"/>
    <col min="7" max="7" width="15.7109375" customWidth="1"/>
    <col min="8" max="8" width="11.5703125" bestFit="1" customWidth="1"/>
    <col min="9"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446</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381</v>
      </c>
      <c r="C4" s="1" t="s">
        <v>380</v>
      </c>
      <c r="D4" s="1"/>
      <c r="E4" s="1"/>
      <c r="F4" s="1" t="s">
        <v>124</v>
      </c>
      <c r="G4" s="1"/>
      <c r="H4" s="1" t="b">
        <v>1</v>
      </c>
      <c r="I4" s="1" t="s">
        <v>294</v>
      </c>
      <c r="J4" s="1">
        <v>0</v>
      </c>
      <c r="K4" s="11" t="s">
        <v>30</v>
      </c>
      <c r="L4" s="1"/>
      <c r="M4" s="1"/>
      <c r="N4" s="1"/>
      <c r="O4" s="1"/>
      <c r="P4" s="1"/>
    </row>
    <row r="5" spans="1:18" x14ac:dyDescent="0.25">
      <c r="A5" s="1"/>
      <c r="B5" s="1"/>
      <c r="C5" s="1"/>
      <c r="D5" s="1"/>
      <c r="E5" s="1"/>
      <c r="F5" s="1"/>
      <c r="G5" s="1"/>
      <c r="H5" s="1"/>
      <c r="I5" s="1"/>
      <c r="J5" s="1"/>
      <c r="K5" s="1"/>
      <c r="L5" s="1"/>
      <c r="M5" s="1"/>
    </row>
    <row r="6" spans="1:18" x14ac:dyDescent="0.25">
      <c r="A6" s="1"/>
      <c r="B6" s="9" t="s">
        <v>447</v>
      </c>
      <c r="C6" s="1"/>
      <c r="D6" s="1"/>
      <c r="E6" s="1"/>
      <c r="F6" s="1"/>
      <c r="G6" s="1"/>
      <c r="J6" s="1"/>
      <c r="K6" s="1"/>
      <c r="L6" s="1"/>
      <c r="M6" s="1"/>
    </row>
    <row r="7" spans="1:18" x14ac:dyDescent="0.25">
      <c r="A7" s="1"/>
      <c r="B7" s="10" t="s">
        <v>2</v>
      </c>
      <c r="H7" s="1"/>
      <c r="L7" s="1"/>
    </row>
    <row r="8" spans="1:18" x14ac:dyDescent="0.25">
      <c r="A8" s="1"/>
      <c r="B8" s="25" t="s">
        <v>378</v>
      </c>
      <c r="H8" s="1"/>
      <c r="M8" s="1"/>
    </row>
    <row r="9" spans="1:18" x14ac:dyDescent="0.25">
      <c r="A9" s="1"/>
      <c r="B9" s="1"/>
      <c r="C9" s="1"/>
      <c r="D9" s="1"/>
      <c r="E9" s="1"/>
      <c r="F9" s="1"/>
      <c r="G9" s="1"/>
      <c r="H9" s="1"/>
      <c r="I9" s="1"/>
      <c r="N9" s="1"/>
    </row>
    <row r="10" spans="1:18" x14ac:dyDescent="0.25">
      <c r="A10" s="1"/>
      <c r="B10" s="1"/>
      <c r="C10" s="1"/>
      <c r="D10" s="1"/>
      <c r="E10" s="1"/>
      <c r="F10" s="1"/>
      <c r="G10" s="1"/>
      <c r="H10" s="1"/>
      <c r="I10" s="1"/>
      <c r="J10" s="1"/>
      <c r="K10" s="1"/>
      <c r="L10" s="1"/>
      <c r="M10" s="1"/>
      <c r="N10" s="1"/>
      <c r="O10" s="1"/>
      <c r="P10" s="1"/>
      <c r="Q10" s="1"/>
      <c r="R10" s="1"/>
    </row>
    <row r="11" spans="1:18" x14ac:dyDescent="0.25">
      <c r="A11" s="1"/>
      <c r="B11" s="1"/>
      <c r="C11" s="1"/>
      <c r="D11" s="1"/>
      <c r="E11" s="1"/>
      <c r="F11" s="1"/>
      <c r="G11" s="1"/>
      <c r="H11" s="1"/>
      <c r="I11" s="1"/>
      <c r="J11" s="1"/>
      <c r="K11" s="1"/>
      <c r="L11" s="1"/>
      <c r="M11" s="1"/>
      <c r="N11" s="1"/>
      <c r="O11" s="1"/>
      <c r="P11" s="1"/>
      <c r="Q11" s="1"/>
      <c r="R11" s="1"/>
    </row>
    <row r="12" spans="1:18" x14ac:dyDescent="0.25">
      <c r="A12" s="1"/>
      <c r="B12" s="4" t="s">
        <v>448</v>
      </c>
      <c r="C12" s="1"/>
      <c r="D12" s="1"/>
      <c r="E12" s="1"/>
      <c r="F12" s="1"/>
      <c r="G12" s="1"/>
      <c r="J12" s="1"/>
      <c r="K12" s="1"/>
      <c r="L12" s="1"/>
      <c r="M12" s="1"/>
      <c r="N12" s="1"/>
      <c r="O12" s="1"/>
      <c r="P12" s="1"/>
      <c r="Q12" s="1"/>
      <c r="R12" s="1"/>
    </row>
    <row r="13" spans="1:18" x14ac:dyDescent="0.25">
      <c r="A13" s="1"/>
      <c r="B13" s="1" t="s">
        <v>38</v>
      </c>
      <c r="C13" s="1" t="s">
        <v>376</v>
      </c>
      <c r="D13" s="1" t="s">
        <v>375</v>
      </c>
      <c r="E13" s="1" t="s">
        <v>374</v>
      </c>
      <c r="F13" s="1" t="s">
        <v>373</v>
      </c>
      <c r="G13" s="1" t="s">
        <v>0</v>
      </c>
      <c r="H13" s="4" t="s">
        <v>41</v>
      </c>
      <c r="I13" s="1" t="s">
        <v>372</v>
      </c>
      <c r="J13" s="1" t="s">
        <v>371</v>
      </c>
    </row>
    <row r="14" spans="1:18" x14ac:dyDescent="0.25">
      <c r="A14" s="1"/>
      <c r="B14" s="1" t="str">
        <f>MID(BIMB_EBank_det_in[Col1],1,8)</f>
        <v>15032018</v>
      </c>
      <c r="C14" s="1" t="str">
        <f>MID(BIMB_EBank_det_in[Col1],9,20)</f>
        <v xml:space="preserve">96091***            </v>
      </c>
      <c r="D14" s="1" t="str">
        <f>MID(BIMB_EBank_det_in[Col1],29,20)</f>
        <v>MOHD FARID ABD HAMID</v>
      </c>
      <c r="E14" s="1" t="str">
        <f>MID(BIMB_EBank_det_in[Col1],49,20)</f>
        <v xml:space="preserve">0193678518          </v>
      </c>
      <c r="F14" s="1" t="str">
        <f>MID(BIMB_EBank_det_in[Col1],69,13)</f>
        <v xml:space="preserve">881227025177 </v>
      </c>
      <c r="G14" s="1" t="str">
        <f>MID(BIMB_EBank_det_in[Col1],82,40)</f>
        <v xml:space="preserve">ENCIK MOHD FARID BIN ABD HAMID          </v>
      </c>
      <c r="H14" s="1" t="str">
        <f>MID(BIMB_EBank_det_in[Col1],122,9)</f>
        <v xml:space="preserve">    195.0</v>
      </c>
      <c r="I14" s="1" t="str">
        <f>MID(BIMB_EBank_det_in[Col1],131,10)</f>
        <v xml:space="preserve">001       </v>
      </c>
      <c r="J14" s="1" t="str">
        <f>MID(BIMB_EBank_det_in[Col1],141,7)</f>
        <v xml:space="preserve"> EFO100</v>
      </c>
    </row>
    <row r="15" spans="1:18" x14ac:dyDescent="0.25">
      <c r="A15" s="1"/>
      <c r="B15" s="1"/>
      <c r="C15" s="1"/>
      <c r="D15" s="1"/>
      <c r="E15" s="1"/>
      <c r="F15" s="1"/>
      <c r="G15" s="1"/>
      <c r="H15" s="1"/>
      <c r="I15" s="1"/>
      <c r="J15" s="1"/>
      <c r="K15" s="1"/>
      <c r="L15" s="1"/>
      <c r="M15" s="1"/>
    </row>
    <row r="17" spans="2:7" x14ac:dyDescent="0.25">
      <c r="B17" s="4" t="s">
        <v>449</v>
      </c>
      <c r="C17" s="1"/>
      <c r="D17" s="1"/>
      <c r="E17" s="1"/>
      <c r="F17" s="1"/>
      <c r="G17" s="1"/>
    </row>
    <row r="18" spans="2:7" x14ac:dyDescent="0.25">
      <c r="B18" s="1" t="s">
        <v>2</v>
      </c>
    </row>
    <row r="19" spans="2:7" x14ac:dyDescent="0.25">
      <c r="B19" s="25" t="s">
        <v>369</v>
      </c>
    </row>
    <row r="22" spans="2:7" x14ac:dyDescent="0.25">
      <c r="B22" s="4" t="s">
        <v>450</v>
      </c>
    </row>
    <row r="23" spans="2:7" x14ac:dyDescent="0.25">
      <c r="B23" s="1" t="s">
        <v>303</v>
      </c>
      <c r="C23" s="1" t="s">
        <v>297</v>
      </c>
      <c r="D23" s="1" t="s">
        <v>367</v>
      </c>
      <c r="E23" s="1" t="s">
        <v>52</v>
      </c>
      <c r="F23" s="34"/>
    </row>
    <row r="24" spans="2:7" x14ac:dyDescent="0.25">
      <c r="B24" s="1" t="str">
        <f>MID(BIMB_EBank_hdr_in[Col1],4,8)</f>
        <v>15032018</v>
      </c>
      <c r="C24" s="1" t="str">
        <f>MID(BIMB_EBank_hdr_in[Col1],1,3)</f>
        <v>858</v>
      </c>
      <c r="D24" s="1" t="str">
        <f>MID(BIMB_EBank_hdr_in[Col1],12,11)</f>
        <v>00000000014</v>
      </c>
      <c r="E24" s="1" t="str">
        <f>MID(BIMB_EBank_hdr_in[Col1],23,10)</f>
        <v xml:space="preserve">   3201.00</v>
      </c>
    </row>
    <row r="27" spans="2:7" x14ac:dyDescent="0.25">
      <c r="B27" s="4" t="s">
        <v>451</v>
      </c>
    </row>
    <row r="28" spans="2:7" x14ac:dyDescent="0.25">
      <c r="B28" s="1" t="s">
        <v>2</v>
      </c>
    </row>
    <row r="29" spans="2:7" x14ac:dyDescent="0.25">
      <c r="B29" s="25"/>
    </row>
    <row r="32" spans="2:7" x14ac:dyDescent="0.25">
      <c r="B32" s="4" t="s">
        <v>452</v>
      </c>
    </row>
    <row r="33" spans="2:3" x14ac:dyDescent="0.25">
      <c r="B33" s="1" t="s">
        <v>202</v>
      </c>
      <c r="C33" s="1" t="s">
        <v>296</v>
      </c>
    </row>
    <row r="34" spans="2:3" x14ac:dyDescent="0.25">
      <c r="B34" s="1" t="str">
        <f>MID(BIMB_EBank_ftr_in[Col1],38,15)</f>
        <v/>
      </c>
      <c r="C34" s="1" t="str">
        <f>MID(BIMB_EBank_ftr_in[Col1],29,9)</f>
        <v/>
      </c>
    </row>
  </sheetData>
  <dataValidations count="1">
    <dataValidation type="list" allowBlank="1" showInputMessage="1" showErrorMessage="1" sqref="K3:K4" xr:uid="{AB8122D0-0B14-4DD5-8DF1-0F2D8604DBA8}">
      <formula1>"Y,N"</formula1>
    </dataValidation>
  </dataValidations>
  <pageMargins left="0.7" right="0.7" top="0.75" bottom="0.75" header="0.3" footer="0.3"/>
  <legacyDrawing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7AADA-4A92-4804-B840-6CB5C297B3B3}">
  <dimension ref="A1:R34"/>
  <sheetViews>
    <sheetView zoomScale="80" zoomScaleNormal="80" workbookViewId="0"/>
  </sheetViews>
  <sheetFormatPr defaultRowHeight="15" x14ac:dyDescent="0.25"/>
  <cols>
    <col min="2" max="2" width="22.42578125" customWidth="1"/>
    <col min="3" max="3" width="19.42578125" customWidth="1"/>
    <col min="4" max="4" width="12.140625" customWidth="1"/>
    <col min="5" max="5" width="14.5703125" customWidth="1"/>
    <col min="6" max="6" width="11.85546875" customWidth="1"/>
    <col min="7" max="7" width="15.7109375" customWidth="1"/>
    <col min="8" max="8" width="11.5703125" bestFit="1" customWidth="1"/>
    <col min="9"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382</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364</v>
      </c>
      <c r="C4" s="1" t="s">
        <v>363</v>
      </c>
      <c r="D4" s="1"/>
      <c r="E4" s="1"/>
      <c r="F4" s="1" t="s">
        <v>124</v>
      </c>
      <c r="G4" s="1"/>
      <c r="H4" s="1" t="b">
        <v>1</v>
      </c>
      <c r="I4" s="1" t="s">
        <v>294</v>
      </c>
      <c r="J4" s="1">
        <v>0</v>
      </c>
      <c r="K4" s="11" t="s">
        <v>30</v>
      </c>
      <c r="L4" s="1"/>
      <c r="M4" s="1"/>
      <c r="N4" s="1"/>
      <c r="O4" s="1"/>
      <c r="P4" s="1"/>
    </row>
    <row r="5" spans="1:18" x14ac:dyDescent="0.25">
      <c r="A5" s="1"/>
      <c r="B5" s="1"/>
      <c r="C5" s="1"/>
      <c r="D5" s="1"/>
      <c r="E5" s="1"/>
      <c r="F5" s="1"/>
      <c r="G5" s="1"/>
      <c r="H5" s="1"/>
      <c r="I5" s="1"/>
      <c r="J5" s="1"/>
      <c r="K5" s="1"/>
      <c r="L5" s="1"/>
      <c r="M5" s="1"/>
    </row>
    <row r="6" spans="1:18" x14ac:dyDescent="0.25">
      <c r="A6" s="1"/>
      <c r="B6" s="9" t="s">
        <v>379</v>
      </c>
      <c r="C6" s="1"/>
      <c r="D6" s="1"/>
      <c r="E6" s="1"/>
      <c r="F6" s="1"/>
      <c r="G6" s="1"/>
      <c r="J6" s="1"/>
      <c r="K6" s="1"/>
      <c r="L6" s="1"/>
      <c r="M6" s="1"/>
    </row>
    <row r="7" spans="1:18" x14ac:dyDescent="0.25">
      <c r="A7" s="1"/>
      <c r="B7" s="10" t="s">
        <v>2</v>
      </c>
      <c r="H7" s="1"/>
      <c r="L7" s="1"/>
    </row>
    <row r="8" spans="1:18" x14ac:dyDescent="0.25">
      <c r="A8" s="1"/>
      <c r="B8" s="25" t="s">
        <v>362</v>
      </c>
      <c r="H8" s="1"/>
      <c r="M8" s="1"/>
    </row>
    <row r="9" spans="1:18" x14ac:dyDescent="0.25">
      <c r="A9" s="1"/>
      <c r="B9" s="1"/>
      <c r="C9" s="1"/>
      <c r="D9" s="1"/>
      <c r="E9" s="1"/>
      <c r="F9" s="1"/>
      <c r="G9" s="1"/>
      <c r="H9" s="1"/>
      <c r="I9" s="1"/>
      <c r="N9" s="1"/>
    </row>
    <row r="10" spans="1:18" x14ac:dyDescent="0.25">
      <c r="A10" s="1"/>
      <c r="B10" s="1"/>
      <c r="C10" s="1"/>
      <c r="D10" s="1"/>
      <c r="E10" s="1"/>
      <c r="F10" s="1"/>
      <c r="G10" s="1"/>
      <c r="H10" s="1"/>
      <c r="I10" s="1"/>
      <c r="J10" s="1"/>
      <c r="K10" s="1"/>
      <c r="L10" s="1"/>
      <c r="M10" s="1"/>
      <c r="N10" s="1"/>
      <c r="O10" s="1"/>
      <c r="P10" s="1"/>
      <c r="Q10" s="1"/>
      <c r="R10" s="1"/>
    </row>
    <row r="11" spans="1:18" x14ac:dyDescent="0.25">
      <c r="A11" s="1"/>
      <c r="B11" s="1"/>
      <c r="C11" s="1"/>
      <c r="D11" s="1"/>
      <c r="E11" s="1"/>
      <c r="F11" s="1"/>
      <c r="G11" s="1"/>
      <c r="H11" s="1"/>
      <c r="I11" s="1"/>
      <c r="J11" s="1"/>
      <c r="K11" s="1"/>
      <c r="L11" s="1"/>
      <c r="M11" s="1"/>
      <c r="N11" s="1"/>
      <c r="O11" s="1"/>
      <c r="P11" s="1"/>
      <c r="Q11" s="1"/>
      <c r="R11" s="1"/>
    </row>
    <row r="12" spans="1:18" x14ac:dyDescent="0.25">
      <c r="A12" s="1"/>
      <c r="B12" s="4" t="s">
        <v>377</v>
      </c>
      <c r="C12" s="1"/>
      <c r="D12" s="1"/>
      <c r="E12" s="1"/>
      <c r="F12" s="1"/>
      <c r="G12" s="1"/>
      <c r="J12" s="1"/>
      <c r="K12" s="1"/>
      <c r="L12" s="1"/>
      <c r="M12" s="1"/>
      <c r="N12" s="1"/>
      <c r="O12" s="1"/>
      <c r="P12" s="1"/>
      <c r="Q12" s="1"/>
      <c r="R12" s="1"/>
    </row>
    <row r="13" spans="1:18" x14ac:dyDescent="0.25">
      <c r="A13" s="1"/>
      <c r="B13" s="1" t="s">
        <v>22</v>
      </c>
      <c r="C13" s="1" t="s">
        <v>43</v>
      </c>
      <c r="D13" s="1" t="s">
        <v>310</v>
      </c>
      <c r="E13" s="1" t="s">
        <v>41</v>
      </c>
      <c r="F13" s="1" t="s">
        <v>333</v>
      </c>
    </row>
    <row r="14" spans="1:18" x14ac:dyDescent="0.25">
      <c r="A14" s="1"/>
      <c r="B14" s="1" t="str">
        <f>MID(Rakyat_EBank_det_in[Col1],52,8)</f>
        <v>01335726</v>
      </c>
      <c r="C14" s="1" t="str">
        <f>MID(Rakyat_EBank_det_in[Col1],4,25)</f>
        <v xml:space="preserve">MOHD SA***ON BIN MAZLAN  </v>
      </c>
      <c r="D14" s="1" t="str">
        <f>MID(Rakyat_EBank_det_in[Col1],29,12)</f>
        <v>130330100596</v>
      </c>
      <c r="E14" s="1" t="str">
        <f>MID(Rakyat_EBank_det_in[Col1],41,11)</f>
        <v>**000012000</v>
      </c>
      <c r="F14" s="1" t="str">
        <f>MID(Rakyat_EBank_det_in[Col1],192,8)</f>
        <v>27022018</v>
      </c>
    </row>
    <row r="15" spans="1:18" x14ac:dyDescent="0.25">
      <c r="A15" s="1"/>
      <c r="B15" s="1"/>
      <c r="C15" s="1"/>
      <c r="D15" s="1"/>
      <c r="E15" s="1"/>
      <c r="F15" s="1"/>
      <c r="G15" s="1"/>
      <c r="H15" s="1"/>
      <c r="I15" s="1"/>
      <c r="J15" s="1"/>
      <c r="K15" s="1"/>
      <c r="L15" s="1"/>
      <c r="M15" s="1"/>
    </row>
    <row r="17" spans="2:7" x14ac:dyDescent="0.25">
      <c r="B17" s="4" t="s">
        <v>370</v>
      </c>
      <c r="C17" s="1"/>
      <c r="D17" s="1"/>
      <c r="E17" s="1"/>
      <c r="F17" s="1"/>
      <c r="G17" s="1"/>
    </row>
    <row r="18" spans="2:7" x14ac:dyDescent="0.25">
      <c r="B18" s="1" t="s">
        <v>2</v>
      </c>
    </row>
    <row r="19" spans="2:7" x14ac:dyDescent="0.25">
      <c r="B19" s="25" t="s">
        <v>361</v>
      </c>
    </row>
    <row r="22" spans="2:7" x14ac:dyDescent="0.25">
      <c r="B22" s="4" t="s">
        <v>368</v>
      </c>
    </row>
    <row r="23" spans="2:7" x14ac:dyDescent="0.25">
      <c r="B23" s="1" t="s">
        <v>303</v>
      </c>
      <c r="D23" s="34"/>
    </row>
    <row r="24" spans="2:7" x14ac:dyDescent="0.25">
      <c r="B24" s="1" t="str">
        <f>MID(Rakyat_EBank_hdr_in[Col1],34,8)</f>
        <v>27022018</v>
      </c>
    </row>
    <row r="27" spans="2:7" x14ac:dyDescent="0.25">
      <c r="B27" s="4" t="s">
        <v>366</v>
      </c>
    </row>
    <row r="28" spans="2:7" x14ac:dyDescent="0.25">
      <c r="B28" s="1" t="s">
        <v>2</v>
      </c>
    </row>
    <row r="29" spans="2:7" x14ac:dyDescent="0.25">
      <c r="B29" s="25" t="s">
        <v>360</v>
      </c>
    </row>
    <row r="32" spans="2:7" x14ac:dyDescent="0.25">
      <c r="B32" s="4" t="s">
        <v>365</v>
      </c>
    </row>
    <row r="33" spans="2:5" x14ac:dyDescent="0.25">
      <c r="B33" s="1" t="s">
        <v>202</v>
      </c>
      <c r="C33" s="1" t="s">
        <v>296</v>
      </c>
      <c r="D33" s="1" t="s">
        <v>297</v>
      </c>
      <c r="E33" s="1" t="s">
        <v>154</v>
      </c>
    </row>
    <row r="34" spans="2:5" x14ac:dyDescent="0.25">
      <c r="B34" s="1" t="str">
        <f>MID(Rakyat_EBank_ftr_in[Col1],11,13)</f>
        <v>0000000102159</v>
      </c>
      <c r="C34" s="1" t="str">
        <f>MID(Rakyat_EBank_ftr_in[Col1],4,7)</f>
        <v>0000004</v>
      </c>
      <c r="D34" s="1" t="str">
        <f>MID(Rakyat_EBank_ftr_in[Col1],1,3)</f>
        <v>309</v>
      </c>
      <c r="E34" s="1" t="str">
        <f>MID(Rakyat_EBank_ftr_in[Col1],24,8)</f>
        <v>00001096</v>
      </c>
    </row>
  </sheetData>
  <dataValidations disablePrompts="1" count="1">
    <dataValidation type="list" allowBlank="1" showInputMessage="1" showErrorMessage="1" sqref="K3:K4" xr:uid="{E09FD867-A1D2-4172-8088-5F79722B3201}">
      <formula1>"Y,N"</formula1>
    </dataValidation>
  </dataValidations>
  <pageMargins left="0.7" right="0.7" top="0.75" bottom="0.75" header="0.3" footer="0.3"/>
  <pageSetup paperSize="9" orientation="portrait" horizontalDpi="4294967293" verticalDpi="4294967293" r:id="rId1"/>
  <legacyDrawing r:id="rId2"/>
  <tableParts count="7">
    <tablePart r:id="rId3"/>
    <tablePart r:id="rId4"/>
    <tablePart r:id="rId5"/>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3868-67CB-484D-8DC8-4342F02E5458}">
  <dimension ref="A1:R35"/>
  <sheetViews>
    <sheetView topLeftCell="A16" workbookViewId="0">
      <selection activeCell="D36" sqref="D36"/>
    </sheetView>
  </sheetViews>
  <sheetFormatPr defaultRowHeight="15" x14ac:dyDescent="0.25"/>
  <cols>
    <col min="2" max="2" width="22.42578125" customWidth="1"/>
    <col min="3" max="3" width="19.42578125" customWidth="1"/>
    <col min="4" max="4" width="12.140625" customWidth="1"/>
    <col min="5" max="5" width="14.5703125" customWidth="1"/>
    <col min="6" max="6" width="11.85546875" customWidth="1"/>
    <col min="7" max="7" width="15.7109375" customWidth="1"/>
    <col min="8" max="8" width="11.5703125" bestFit="1" customWidth="1"/>
    <col min="9"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359</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358</v>
      </c>
      <c r="C4" s="1" t="s">
        <v>357</v>
      </c>
      <c r="D4" s="1"/>
      <c r="E4" s="1"/>
      <c r="F4" s="1" t="s">
        <v>124</v>
      </c>
      <c r="G4" s="1"/>
      <c r="H4" s="1" t="b">
        <v>1</v>
      </c>
      <c r="I4" s="1" t="s">
        <v>294</v>
      </c>
      <c r="J4" s="1">
        <v>0</v>
      </c>
      <c r="K4" s="11" t="s">
        <v>30</v>
      </c>
      <c r="L4" s="1"/>
      <c r="M4" s="1"/>
      <c r="N4" s="1"/>
      <c r="O4" s="1"/>
      <c r="P4" s="1"/>
    </row>
    <row r="5" spans="1:18" x14ac:dyDescent="0.25">
      <c r="A5" s="1"/>
      <c r="B5" s="1"/>
      <c r="C5" s="1"/>
      <c r="D5" s="1"/>
      <c r="E5" s="1"/>
      <c r="F5" s="1"/>
      <c r="G5" s="1"/>
      <c r="H5" s="1"/>
      <c r="I5" s="1"/>
      <c r="J5" s="1"/>
      <c r="K5" s="1"/>
      <c r="L5" s="1"/>
      <c r="M5" s="1"/>
    </row>
    <row r="6" spans="1:18" x14ac:dyDescent="0.25">
      <c r="A6" s="1"/>
      <c r="B6" s="9" t="s">
        <v>356</v>
      </c>
      <c r="C6" s="1"/>
      <c r="D6" s="1"/>
      <c r="E6" s="1"/>
      <c r="F6" s="1"/>
      <c r="G6" s="1"/>
      <c r="J6" s="1"/>
      <c r="K6" s="1"/>
      <c r="L6" s="1"/>
      <c r="M6" s="1"/>
    </row>
    <row r="7" spans="1:18" x14ac:dyDescent="0.25">
      <c r="A7" s="1"/>
      <c r="B7" s="10" t="s">
        <v>2</v>
      </c>
      <c r="H7" s="1"/>
      <c r="L7" s="1"/>
    </row>
    <row r="8" spans="1:18" x14ac:dyDescent="0.25">
      <c r="A8" s="1"/>
      <c r="B8" s="25" t="s">
        <v>355</v>
      </c>
      <c r="H8" s="1"/>
      <c r="M8" s="1"/>
    </row>
    <row r="9" spans="1:18" x14ac:dyDescent="0.25">
      <c r="A9" s="1"/>
      <c r="B9" s="1"/>
      <c r="C9" s="1"/>
      <c r="D9" s="1"/>
      <c r="E9" s="1"/>
      <c r="F9" s="1"/>
      <c r="G9" s="1"/>
      <c r="H9" s="1"/>
      <c r="I9" s="1"/>
      <c r="N9" s="1"/>
    </row>
    <row r="10" spans="1:18" x14ac:dyDescent="0.25">
      <c r="A10" s="1"/>
      <c r="B10" s="1"/>
      <c r="C10" s="1"/>
      <c r="D10" s="1"/>
      <c r="E10" s="1"/>
      <c r="F10" s="1"/>
      <c r="G10" s="1"/>
      <c r="H10" s="1"/>
      <c r="I10" s="1"/>
      <c r="J10" s="1"/>
      <c r="K10" s="1"/>
      <c r="L10" s="1"/>
      <c r="M10" s="1"/>
      <c r="N10" s="1"/>
      <c r="O10" s="1"/>
      <c r="P10" s="1"/>
      <c r="Q10" s="1"/>
      <c r="R10" s="1"/>
    </row>
    <row r="11" spans="1:18" x14ac:dyDescent="0.25">
      <c r="A11" s="1"/>
      <c r="B11" s="1"/>
      <c r="C11" s="1"/>
      <c r="D11" s="1"/>
      <c r="E11" s="1"/>
      <c r="F11" s="1"/>
      <c r="G11" s="1"/>
      <c r="H11" s="1"/>
      <c r="I11" s="1"/>
      <c r="J11" s="1"/>
      <c r="K11" s="1"/>
      <c r="L11" s="1"/>
      <c r="M11" s="1"/>
      <c r="N11" s="1"/>
      <c r="O11" s="1"/>
      <c r="P11" s="1"/>
      <c r="Q11" s="1"/>
      <c r="R11" s="1"/>
    </row>
    <row r="12" spans="1:18" x14ac:dyDescent="0.25">
      <c r="A12" s="1"/>
      <c r="B12" s="4" t="s">
        <v>354</v>
      </c>
      <c r="C12" s="1"/>
      <c r="D12" s="1"/>
      <c r="E12" s="1"/>
      <c r="F12" s="1"/>
      <c r="G12" s="1"/>
      <c r="J12" s="1"/>
      <c r="K12" s="1"/>
      <c r="L12" s="1"/>
      <c r="M12" s="1"/>
      <c r="N12" s="1"/>
      <c r="O12" s="1"/>
      <c r="P12" s="1"/>
      <c r="Q12" s="1"/>
      <c r="R12" s="1"/>
    </row>
    <row r="13" spans="1:18" x14ac:dyDescent="0.25">
      <c r="A13" s="1"/>
      <c r="B13" s="1" t="s">
        <v>311</v>
      </c>
      <c r="C13" s="1" t="s">
        <v>43</v>
      </c>
      <c r="D13" s="1" t="s">
        <v>310</v>
      </c>
      <c r="E13" s="1" t="s">
        <v>41</v>
      </c>
      <c r="F13" s="1" t="s">
        <v>22</v>
      </c>
      <c r="G13" s="1" t="s">
        <v>309</v>
      </c>
      <c r="H13" s="1" t="s">
        <v>308</v>
      </c>
      <c r="I13" s="1" t="s">
        <v>353</v>
      </c>
      <c r="J13" s="1"/>
      <c r="K13" s="1"/>
    </row>
    <row r="14" spans="1:18" x14ac:dyDescent="0.25">
      <c r="A14" s="1"/>
      <c r="B14" s="1" t="str">
        <f>MID(Affin_EBank_det_in[Col1],1,3)</f>
        <v>027</v>
      </c>
      <c r="C14" s="1" t="str">
        <f>MID(Affin_EBank_det_in[Col1],4,25)</f>
        <v xml:space="preserve">NORAINI BINTI ISMAIL     </v>
      </c>
      <c r="D14" s="1" t="str">
        <f>MID(Affin_EBank_det_in[Col1],29,12)</f>
        <v>700730105734</v>
      </c>
      <c r="E14" s="1" t="str">
        <f>MID(Affin_EBank_det_in[Col1],41,11)</f>
        <v>00000032000</v>
      </c>
      <c r="F14" s="1" t="str">
        <f>MID(Affin_EBank_det_in[Col1],52,15)</f>
        <v xml:space="preserve">95338908       </v>
      </c>
      <c r="G14" s="1" t="str">
        <f>MID(Affin_EBank_det_in[Col1],67,6)</f>
        <v>867281</v>
      </c>
      <c r="H14" s="1" t="str">
        <f>MID(Affin_EBank_det_in[Col1],192,8)</f>
        <v>20032018</v>
      </c>
      <c r="I14" s="1" t="str">
        <f>MID(Affin_EBank_det_in[Col1],200,1)</f>
        <v>1</v>
      </c>
      <c r="J14" s="1"/>
      <c r="K14" s="1"/>
    </row>
    <row r="15" spans="1:18" x14ac:dyDescent="0.25">
      <c r="A15" s="1"/>
      <c r="B15" s="1"/>
      <c r="C15" s="1"/>
      <c r="D15" s="1"/>
      <c r="E15" s="1"/>
      <c r="F15" s="1"/>
      <c r="G15" s="1"/>
      <c r="H15" s="1"/>
      <c r="I15" s="1"/>
      <c r="J15" s="1"/>
      <c r="K15" s="1"/>
      <c r="L15" s="1"/>
      <c r="M15" s="1"/>
    </row>
    <row r="17" spans="2:7" x14ac:dyDescent="0.25">
      <c r="B17" s="4" t="s">
        <v>352</v>
      </c>
      <c r="C17" s="1"/>
      <c r="D17" s="1"/>
      <c r="E17" s="1"/>
      <c r="F17" s="1"/>
      <c r="G17" s="1"/>
    </row>
    <row r="18" spans="2:7" x14ac:dyDescent="0.25">
      <c r="B18" s="1" t="s">
        <v>2</v>
      </c>
    </row>
    <row r="19" spans="2:7" x14ac:dyDescent="0.25">
      <c r="B19" s="25" t="s">
        <v>351</v>
      </c>
    </row>
    <row r="22" spans="2:7" x14ac:dyDescent="0.25">
      <c r="B22" s="4" t="s">
        <v>350</v>
      </c>
    </row>
    <row r="23" spans="2:7" x14ac:dyDescent="0.25">
      <c r="B23" s="1" t="s">
        <v>297</v>
      </c>
      <c r="C23" s="1" t="s">
        <v>304</v>
      </c>
      <c r="D23" s="1" t="s">
        <v>303</v>
      </c>
      <c r="E23" s="1" t="s">
        <v>302</v>
      </c>
      <c r="F23" s="1" t="s">
        <v>333</v>
      </c>
    </row>
    <row r="24" spans="2:7" x14ac:dyDescent="0.25">
      <c r="B24" s="1" t="str">
        <f>MID(Affin_EBank_hdr_in[Col1],1,3)</f>
        <v>027</v>
      </c>
      <c r="C24" s="1" t="str">
        <f>MID(Affin_EBank_hdr_in[Col1],4,30)</f>
        <v xml:space="preserve">PRUDENTIAL BSN TAKAFUL BHD    </v>
      </c>
      <c r="D24" s="1" t="str">
        <f>MID(Affin_EBank_hdr_in[Col1],34,8)</f>
        <v>21032018</v>
      </c>
      <c r="E24" s="1" t="str">
        <f>MID(Affin_EBank_hdr_in[Col1],42,7)</f>
        <v>AFFINBA</v>
      </c>
      <c r="F24" s="1" t="str">
        <f>MID(Affin_EBank_hdr_in[Col1],34,8)</f>
        <v>21032018</v>
      </c>
    </row>
    <row r="27" spans="2:7" x14ac:dyDescent="0.25">
      <c r="B27" s="4" t="s">
        <v>349</v>
      </c>
    </row>
    <row r="28" spans="2:7" x14ac:dyDescent="0.25">
      <c r="B28" s="1" t="s">
        <v>2</v>
      </c>
    </row>
    <row r="29" spans="2:7" x14ac:dyDescent="0.25">
      <c r="B29" s="25" t="s">
        <v>348</v>
      </c>
    </row>
    <row r="32" spans="2:7" x14ac:dyDescent="0.25">
      <c r="B32" s="4" t="s">
        <v>347</v>
      </c>
    </row>
    <row r="33" spans="2:7" x14ac:dyDescent="0.25">
      <c r="B33" s="1" t="s">
        <v>297</v>
      </c>
      <c r="C33" s="1" t="s">
        <v>52</v>
      </c>
      <c r="D33" s="1" t="s">
        <v>154</v>
      </c>
      <c r="E33" s="1" t="s">
        <v>202</v>
      </c>
      <c r="F33" s="1" t="s">
        <v>296</v>
      </c>
      <c r="G33" s="1" t="s">
        <v>346</v>
      </c>
    </row>
    <row r="34" spans="2:7" x14ac:dyDescent="0.25">
      <c r="B34" s="1" t="str">
        <f>MID(Affin_EBank_ftr_in[Col1],1,3)</f>
        <v>027</v>
      </c>
      <c r="C34" s="1" t="str">
        <f>MID(Affin_EBank_ftr_in[Col1],11,13)</f>
        <v>0000000156500</v>
      </c>
      <c r="D34" s="1" t="str">
        <f>MID(Affin_EBank_ftr_in[Col1],24,8)</f>
        <v>00001714</v>
      </c>
      <c r="E34" s="1" t="str">
        <f>MID(Affin_EBank_ftr_in[Col1],11,13)</f>
        <v>0000000156500</v>
      </c>
      <c r="F34" s="1" t="str">
        <f>MID(Affin_EBank_ftr_in[Col1],4,7)</f>
        <v>0000006</v>
      </c>
      <c r="G34" s="1" t="str">
        <f>MID(Affin_EBank_ftr_in[Col1],200,1)</f>
        <v>9</v>
      </c>
    </row>
    <row r="35" spans="2:7" x14ac:dyDescent="0.25">
      <c r="B35" s="39"/>
      <c r="C35" s="40"/>
      <c r="D35" s="40">
        <f>SUM(TRIM(Affin_EBank_ftr_in_com[HashTotal]),(RIGHT(TRIM(MBB_EBank_det_in_com[PolicyNo]),4)),VALUE(Affin_EBank_ftr_in_com[TotAmt]),VALUE(Affin_EBank_ftr_in_com[TotRec]))</f>
        <v>161010</v>
      </c>
      <c r="E35" s="40"/>
      <c r="F35" s="40"/>
      <c r="G35" s="40"/>
    </row>
  </sheetData>
  <dataValidations disablePrompts="1" count="1">
    <dataValidation type="list" allowBlank="1" showInputMessage="1" showErrorMessage="1" sqref="K3:K4" xr:uid="{995C3A78-1FA6-486B-AE51-50B16295DD2E}">
      <formula1>"Y,N"</formula1>
    </dataValidation>
  </dataValidations>
  <pageMargins left="0.7" right="0.7" top="0.75" bottom="0.75" header="0.3" footer="0.3"/>
  <legacyDrawing r:id="rId1"/>
  <tableParts count="7">
    <tablePart r:id="rId2"/>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F70F-7412-4AAF-A85C-BF7D5E4C2491}">
  <dimension ref="A1:R34"/>
  <sheetViews>
    <sheetView zoomScale="60" zoomScaleNormal="60" workbookViewId="0">
      <selection activeCell="H12" sqref="H12"/>
    </sheetView>
  </sheetViews>
  <sheetFormatPr defaultRowHeight="15" x14ac:dyDescent="0.25"/>
  <cols>
    <col min="2" max="2" width="22.42578125" customWidth="1"/>
    <col min="3" max="3" width="19.42578125" customWidth="1"/>
    <col min="4" max="4" width="12.140625" customWidth="1"/>
    <col min="5" max="5" width="14.5703125" customWidth="1"/>
    <col min="6" max="6" width="11.85546875" customWidth="1"/>
    <col min="7" max="7" width="15.7109375" customWidth="1"/>
    <col min="8" max="8" width="11.5703125" bestFit="1" customWidth="1"/>
    <col min="9"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345</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344</v>
      </c>
      <c r="C4" s="1" t="s">
        <v>343</v>
      </c>
      <c r="D4" s="1"/>
      <c r="E4" s="1"/>
      <c r="F4" s="1" t="s">
        <v>124</v>
      </c>
      <c r="G4" s="1"/>
      <c r="H4" s="1" t="b">
        <v>1</v>
      </c>
      <c r="I4" s="1" t="s">
        <v>294</v>
      </c>
      <c r="J4" s="1">
        <v>0</v>
      </c>
      <c r="K4" s="11" t="s">
        <v>30</v>
      </c>
      <c r="L4" s="1"/>
      <c r="M4" s="1"/>
      <c r="N4" s="1"/>
      <c r="O4" s="1"/>
      <c r="P4" s="1"/>
    </row>
    <row r="5" spans="1:18" x14ac:dyDescent="0.25">
      <c r="A5" s="1"/>
      <c r="B5" s="1"/>
      <c r="C5" s="1"/>
      <c r="D5" s="1"/>
      <c r="E5" s="1"/>
      <c r="F5" s="1"/>
      <c r="G5" s="1"/>
      <c r="H5" s="1"/>
      <c r="I5" s="1"/>
      <c r="J5" s="1"/>
      <c r="K5" s="1"/>
      <c r="L5" s="1"/>
      <c r="M5" s="1"/>
    </row>
    <row r="6" spans="1:18" x14ac:dyDescent="0.25">
      <c r="A6" s="1"/>
      <c r="B6" s="9" t="s">
        <v>342</v>
      </c>
      <c r="C6" s="1"/>
      <c r="D6" s="1"/>
      <c r="E6" s="1"/>
      <c r="F6" s="1"/>
      <c r="G6" s="1"/>
      <c r="J6" s="1"/>
      <c r="K6" s="1"/>
      <c r="L6" s="1"/>
      <c r="M6" s="1"/>
    </row>
    <row r="7" spans="1:18" x14ac:dyDescent="0.25">
      <c r="A7" s="1"/>
      <c r="B7" s="10" t="s">
        <v>2</v>
      </c>
      <c r="H7" s="1"/>
      <c r="L7" s="1"/>
    </row>
    <row r="8" spans="1:18" x14ac:dyDescent="0.25">
      <c r="A8" s="1"/>
      <c r="B8" s="1" t="s">
        <v>341</v>
      </c>
      <c r="H8" s="1"/>
      <c r="M8" s="1"/>
    </row>
    <row r="9" spans="1:18" x14ac:dyDescent="0.25">
      <c r="A9" s="1"/>
      <c r="B9" s="1"/>
      <c r="C9" s="1"/>
      <c r="D9" s="1"/>
      <c r="E9" s="1"/>
      <c r="F9" s="1"/>
      <c r="G9" s="1"/>
      <c r="H9" s="1"/>
      <c r="I9" s="1"/>
      <c r="N9" s="1"/>
    </row>
    <row r="10" spans="1:18" x14ac:dyDescent="0.25">
      <c r="A10" s="1"/>
      <c r="B10" s="1"/>
      <c r="C10" s="1"/>
      <c r="D10" s="1"/>
      <c r="E10" s="1"/>
      <c r="F10" s="1"/>
      <c r="G10" s="1"/>
      <c r="H10" s="1"/>
      <c r="I10" s="1"/>
      <c r="J10" s="1"/>
      <c r="K10" s="1"/>
      <c r="L10" s="1"/>
      <c r="M10" s="1"/>
      <c r="N10" s="1"/>
      <c r="O10" s="1"/>
      <c r="P10" s="1"/>
      <c r="Q10" s="1"/>
      <c r="R10" s="1"/>
    </row>
    <row r="11" spans="1:18" x14ac:dyDescent="0.25">
      <c r="A11" s="1"/>
      <c r="B11" s="1"/>
      <c r="C11" s="1"/>
      <c r="D11" s="1"/>
      <c r="E11" s="1"/>
      <c r="F11" s="1"/>
      <c r="G11" s="1"/>
      <c r="H11" s="1"/>
      <c r="I11" s="1"/>
      <c r="J11" s="1"/>
      <c r="K11" s="1"/>
      <c r="L11" s="1"/>
      <c r="M11" s="1"/>
      <c r="N11" s="1"/>
      <c r="O11" s="1"/>
      <c r="P11" s="1"/>
      <c r="Q11" s="1"/>
      <c r="R11" s="1"/>
    </row>
    <row r="12" spans="1:18" x14ac:dyDescent="0.25">
      <c r="A12" s="1"/>
      <c r="B12" s="4" t="s">
        <v>340</v>
      </c>
      <c r="C12" s="1"/>
      <c r="D12" s="1"/>
      <c r="E12" s="1"/>
      <c r="F12" s="1"/>
      <c r="G12" s="1"/>
      <c r="J12" s="1"/>
      <c r="K12" s="1"/>
      <c r="L12" s="1"/>
      <c r="M12" s="1"/>
      <c r="N12" s="1"/>
      <c r="O12" s="1"/>
      <c r="P12" s="1"/>
      <c r="Q12" s="1"/>
      <c r="R12" s="1"/>
    </row>
    <row r="13" spans="1:18" x14ac:dyDescent="0.25">
      <c r="A13" s="1"/>
      <c r="B13" s="1" t="s">
        <v>22</v>
      </c>
      <c r="C13" s="1" t="s">
        <v>41</v>
      </c>
    </row>
    <row r="14" spans="1:18" x14ac:dyDescent="0.25">
      <c r="A14" s="1"/>
      <c r="B14" s="1" t="str">
        <f>MID(BSN_EBank_det_in[Col1],52,8)</f>
        <v>61108563</v>
      </c>
      <c r="C14" s="1" t="str">
        <f>MID(BSN_EBank_det_in[Col1],41,11)</f>
        <v xml:space="preserve">        640</v>
      </c>
    </row>
    <row r="15" spans="1:18" x14ac:dyDescent="0.25">
      <c r="A15" s="1"/>
      <c r="B15" s="1"/>
      <c r="C15" s="1"/>
      <c r="D15" s="1"/>
      <c r="E15" s="1"/>
      <c r="F15" s="1"/>
      <c r="G15" s="1"/>
      <c r="H15" s="1"/>
      <c r="I15" s="1"/>
      <c r="J15" s="1"/>
      <c r="K15" s="1"/>
      <c r="L15" s="1"/>
      <c r="M15" s="1"/>
    </row>
    <row r="17" spans="2:7" x14ac:dyDescent="0.25">
      <c r="B17" s="4" t="s">
        <v>339</v>
      </c>
      <c r="C17" s="1"/>
      <c r="D17" s="1"/>
      <c r="E17" s="1"/>
      <c r="F17" s="1"/>
      <c r="G17" s="1"/>
    </row>
    <row r="18" spans="2:7" x14ac:dyDescent="0.25">
      <c r="B18" s="1" t="s">
        <v>2</v>
      </c>
    </row>
    <row r="19" spans="2:7" x14ac:dyDescent="0.25">
      <c r="B19" s="25" t="s">
        <v>338</v>
      </c>
    </row>
    <row r="22" spans="2:7" x14ac:dyDescent="0.25">
      <c r="B22" s="4" t="s">
        <v>337</v>
      </c>
    </row>
    <row r="23" spans="2:7" x14ac:dyDescent="0.25">
      <c r="B23" s="1" t="s">
        <v>333</v>
      </c>
    </row>
    <row r="24" spans="2:7" x14ac:dyDescent="0.25">
      <c r="B24" s="1" t="str">
        <f>MID(BSN_EBank_hdr_in[Col1],9,8)</f>
        <v>20180320</v>
      </c>
    </row>
    <row r="27" spans="2:7" x14ac:dyDescent="0.25">
      <c r="B27" s="4" t="s">
        <v>336</v>
      </c>
    </row>
    <row r="28" spans="2:7" x14ac:dyDescent="0.25">
      <c r="B28" s="1" t="s">
        <v>2</v>
      </c>
    </row>
    <row r="29" spans="2:7" x14ac:dyDescent="0.25">
      <c r="B29" s="25" t="s">
        <v>335</v>
      </c>
    </row>
    <row r="32" spans="2:7" x14ac:dyDescent="0.25">
      <c r="B32" s="4" t="s">
        <v>334</v>
      </c>
    </row>
    <row r="33" spans="2:8" x14ac:dyDescent="0.25">
      <c r="B33" s="1" t="s">
        <v>184</v>
      </c>
      <c r="C33" s="1" t="s">
        <v>333</v>
      </c>
      <c r="D33" s="1" t="s">
        <v>332</v>
      </c>
      <c r="E33" s="1" t="s">
        <v>331</v>
      </c>
      <c r="F33" s="1" t="s">
        <v>330</v>
      </c>
      <c r="G33" s="1" t="s">
        <v>329</v>
      </c>
      <c r="H33" s="1" t="s">
        <v>328</v>
      </c>
    </row>
    <row r="34" spans="2:8" x14ac:dyDescent="0.25">
      <c r="B34" s="1" t="str">
        <f>MID(BSN_EBank_ftr_in[Col1],1,8)</f>
        <v>A4204500</v>
      </c>
      <c r="C34" s="1" t="str">
        <f>MID(BSN_EBank_ftr_in[Col1],9,8)</f>
        <v>20180320</v>
      </c>
      <c r="D34" s="1" t="str">
        <f>MID(BSN_EBank_ftr_in[Col1],17,5)</f>
        <v>99999</v>
      </c>
      <c r="E34" s="1" t="str">
        <f>MID(BSN_EBank_ftr_in[Col1],22,7)</f>
        <v>9999999</v>
      </c>
      <c r="F34" s="1" t="str">
        <f>MID(BSN_EBank_ftr_in[Col1],38,15)</f>
        <v>000000003568641</v>
      </c>
      <c r="G34" s="1" t="str">
        <f>MID(BSN_EBank_ftr_in[Col1],53,15)</f>
        <v>000000000000000</v>
      </c>
      <c r="H34" s="1" t="str">
        <f>MID(BSN_EBank_ftr_in[Col1],29,9)</f>
        <v>000000194</v>
      </c>
    </row>
  </sheetData>
  <dataValidations disablePrompts="1" count="1">
    <dataValidation type="list" allowBlank="1" showInputMessage="1" showErrorMessage="1" sqref="K3:K4" xr:uid="{3C8C949D-5582-49B0-8D7C-204C9DD848D8}">
      <formula1>"Y,N"</formula1>
    </dataValidation>
  </dataValidations>
  <pageMargins left="0.7" right="0.7" top="0.75" bottom="0.75" header="0.3" footer="0.3"/>
  <legacyDrawing r:id="rId1"/>
  <tableParts count="7">
    <tablePart r:id="rId2"/>
    <tablePart r:id="rId3"/>
    <tablePart r:id="rId4"/>
    <tablePart r:id="rId5"/>
    <tablePart r:id="rId6"/>
    <tablePart r:id="rId7"/>
    <tablePart r:id="rId8"/>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7034-FE92-4276-B1AB-A165EBF32880}">
  <dimension ref="A1:R34"/>
  <sheetViews>
    <sheetView topLeftCell="A4" zoomScale="80" zoomScaleNormal="80" workbookViewId="0">
      <selection activeCell="I4" sqref="I4"/>
    </sheetView>
  </sheetViews>
  <sheetFormatPr defaultRowHeight="15" x14ac:dyDescent="0.25"/>
  <cols>
    <col min="2" max="2" width="22.42578125" customWidth="1"/>
    <col min="3" max="3" width="19.42578125" customWidth="1"/>
    <col min="4" max="4" width="12.140625" customWidth="1"/>
    <col min="5" max="5" width="14.5703125" customWidth="1"/>
    <col min="6" max="6" width="11.85546875" customWidth="1"/>
    <col min="7" max="7" width="15.7109375" customWidth="1"/>
    <col min="8" max="8" width="11.5703125" bestFit="1" customWidth="1"/>
    <col min="9"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327</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326</v>
      </c>
      <c r="C4" s="1" t="s">
        <v>7</v>
      </c>
      <c r="D4" s="1"/>
      <c r="E4" s="1"/>
      <c r="F4" s="1" t="s">
        <v>124</v>
      </c>
      <c r="G4" s="1"/>
      <c r="H4" s="1" t="b">
        <v>1</v>
      </c>
      <c r="I4" s="1" t="s">
        <v>294</v>
      </c>
      <c r="J4" s="1">
        <v>0</v>
      </c>
      <c r="K4" s="11" t="s">
        <v>30</v>
      </c>
      <c r="L4" s="1"/>
      <c r="M4" s="1"/>
      <c r="N4" s="1"/>
      <c r="O4" s="1"/>
      <c r="P4" s="1"/>
    </row>
    <row r="5" spans="1:18" x14ac:dyDescent="0.25">
      <c r="A5" s="1"/>
      <c r="B5" s="1"/>
      <c r="C5" s="1"/>
      <c r="D5" s="1"/>
      <c r="E5" s="1"/>
      <c r="F5" s="1"/>
      <c r="G5" s="1"/>
      <c r="H5" s="1"/>
      <c r="I5" s="1"/>
      <c r="J5" s="1"/>
      <c r="K5" s="1"/>
      <c r="L5" s="1"/>
      <c r="M5" s="1"/>
    </row>
    <row r="6" spans="1:18" x14ac:dyDescent="0.25">
      <c r="A6" s="1"/>
      <c r="B6" s="9" t="s">
        <v>325</v>
      </c>
      <c r="C6" s="1"/>
      <c r="D6" s="1"/>
      <c r="E6" s="1"/>
      <c r="F6" s="1"/>
      <c r="G6" s="1"/>
      <c r="J6" s="1"/>
      <c r="K6" s="1"/>
      <c r="L6" s="1"/>
      <c r="M6" s="1"/>
    </row>
    <row r="7" spans="1:18" x14ac:dyDescent="0.25">
      <c r="A7" s="1"/>
      <c r="B7" s="10" t="s">
        <v>2</v>
      </c>
      <c r="H7" s="1"/>
      <c r="L7" s="1"/>
    </row>
    <row r="8" spans="1:18" x14ac:dyDescent="0.25">
      <c r="A8" s="1"/>
      <c r="B8" s="1" t="s">
        <v>324</v>
      </c>
      <c r="H8" s="1"/>
      <c r="M8" s="1"/>
    </row>
    <row r="9" spans="1:18" x14ac:dyDescent="0.25">
      <c r="A9" s="1"/>
      <c r="B9" s="1"/>
      <c r="C9" s="1"/>
      <c r="D9" s="1"/>
      <c r="E9" s="1"/>
      <c r="F9" s="1"/>
      <c r="G9" s="1"/>
      <c r="H9" s="1"/>
      <c r="I9" s="1"/>
      <c r="N9" s="1"/>
    </row>
    <row r="10" spans="1:18" x14ac:dyDescent="0.25">
      <c r="A10" s="1"/>
      <c r="B10" s="1"/>
      <c r="C10" s="1"/>
      <c r="D10" s="1"/>
      <c r="E10" s="1"/>
      <c r="F10" s="1"/>
      <c r="G10" s="1"/>
      <c r="H10" s="1"/>
      <c r="I10" s="1"/>
      <c r="J10" s="1"/>
      <c r="K10" s="1"/>
      <c r="L10" s="1"/>
      <c r="M10" s="1"/>
      <c r="N10" s="1"/>
      <c r="O10" s="1"/>
      <c r="P10" s="1"/>
      <c r="Q10" s="1"/>
      <c r="R10" s="1"/>
    </row>
    <row r="11" spans="1:18" x14ac:dyDescent="0.25">
      <c r="A11" s="1"/>
      <c r="B11" s="1"/>
      <c r="C11" s="1"/>
      <c r="D11" s="1"/>
      <c r="E11" s="1"/>
      <c r="F11" s="1"/>
      <c r="G11" s="1"/>
      <c r="H11" s="1"/>
      <c r="I11" s="1"/>
      <c r="J11" s="1"/>
      <c r="K11" s="1"/>
      <c r="L11" s="1"/>
      <c r="M11" s="1"/>
      <c r="N11" s="1"/>
      <c r="O11" s="1"/>
      <c r="P11" s="1"/>
      <c r="Q11" s="1"/>
      <c r="R11" s="1"/>
    </row>
    <row r="12" spans="1:18" x14ac:dyDescent="0.25">
      <c r="A12" s="1"/>
      <c r="B12" s="4" t="s">
        <v>323</v>
      </c>
      <c r="C12" s="1"/>
      <c r="D12" s="1"/>
      <c r="E12" s="1"/>
      <c r="F12" s="1"/>
      <c r="G12" s="1"/>
      <c r="J12" s="1"/>
      <c r="K12" s="1"/>
      <c r="L12" s="1"/>
      <c r="M12" s="1"/>
      <c r="N12" s="1"/>
      <c r="O12" s="1"/>
      <c r="P12" s="1"/>
      <c r="Q12" s="1"/>
      <c r="R12" s="1"/>
    </row>
    <row r="13" spans="1:18" x14ac:dyDescent="0.25">
      <c r="A13" s="1"/>
      <c r="B13" s="1" t="s">
        <v>22</v>
      </c>
      <c r="C13" s="1" t="s">
        <v>41</v>
      </c>
      <c r="D13" s="1" t="s">
        <v>43</v>
      </c>
      <c r="E13" s="1"/>
      <c r="F13" s="1"/>
      <c r="G13" s="1"/>
    </row>
    <row r="14" spans="1:18" x14ac:dyDescent="0.25">
      <c r="A14" s="1"/>
      <c r="B14" s="1" t="str">
        <f>MID(CIMB_EBank_det_in[Col1],29,8)</f>
        <v>96165605</v>
      </c>
      <c r="C14" s="1" t="str">
        <f>MID(CIMB_EBank_det_in[Col1],41,11)</f>
        <v>00000190.00</v>
      </c>
      <c r="D14" s="1" t="str">
        <f>MID(CIMB_EBank_det_in[Col1],4,25)</f>
        <v xml:space="preserve">azmi bin said            </v>
      </c>
      <c r="E14" s="1"/>
      <c r="F14" s="1"/>
      <c r="G14" s="1"/>
    </row>
    <row r="15" spans="1:18" x14ac:dyDescent="0.25">
      <c r="A15" s="1"/>
      <c r="B15" s="1"/>
      <c r="C15" s="1"/>
      <c r="D15" s="1"/>
      <c r="E15" s="1"/>
      <c r="F15" s="1"/>
      <c r="G15" s="1"/>
      <c r="H15" s="1"/>
      <c r="I15" s="1"/>
      <c r="J15" s="1"/>
      <c r="K15" s="1"/>
      <c r="L15" s="1"/>
      <c r="M15" s="1"/>
    </row>
    <row r="17" spans="2:7" x14ac:dyDescent="0.25">
      <c r="B17" s="4" t="s">
        <v>322</v>
      </c>
      <c r="C17" s="1"/>
      <c r="D17" s="1"/>
      <c r="E17" s="1"/>
      <c r="F17" s="1"/>
      <c r="G17" s="1"/>
    </row>
    <row r="18" spans="2:7" x14ac:dyDescent="0.25">
      <c r="B18" s="1" t="s">
        <v>2</v>
      </c>
    </row>
    <row r="19" spans="2:7" x14ac:dyDescent="0.25">
      <c r="B19" s="1" t="s">
        <v>321</v>
      </c>
    </row>
    <row r="22" spans="2:7" x14ac:dyDescent="0.25">
      <c r="B22" s="4" t="s">
        <v>320</v>
      </c>
    </row>
    <row r="23" spans="2:7" x14ac:dyDescent="0.25">
      <c r="B23" s="1" t="s">
        <v>303</v>
      </c>
    </row>
    <row r="24" spans="2:7" x14ac:dyDescent="0.25">
      <c r="B24" s="1" t="str">
        <f>MID(CIMB_EBank_hdr_in[Col1],34,8)</f>
        <v>20032018</v>
      </c>
    </row>
    <row r="27" spans="2:7" x14ac:dyDescent="0.25">
      <c r="B27" s="4" t="s">
        <v>319</v>
      </c>
    </row>
    <row r="28" spans="2:7" x14ac:dyDescent="0.25">
      <c r="B28" s="1" t="s">
        <v>2</v>
      </c>
    </row>
    <row r="29" spans="2:7" x14ac:dyDescent="0.25">
      <c r="B29" s="25" t="s">
        <v>318</v>
      </c>
    </row>
    <row r="32" spans="2:7" x14ac:dyDescent="0.25">
      <c r="B32" s="4" t="s">
        <v>317</v>
      </c>
    </row>
    <row r="33" spans="2:3" x14ac:dyDescent="0.25">
      <c r="B33" s="1" t="s">
        <v>202</v>
      </c>
      <c r="C33" s="1" t="s">
        <v>296</v>
      </c>
    </row>
    <row r="34" spans="2:3" x14ac:dyDescent="0.25">
      <c r="B34" s="1" t="str">
        <f>MID(CIMB_EBank_ftr_in[Col1],11,13)</f>
        <v>0000066590.40</v>
      </c>
      <c r="C34" s="1" t="str">
        <f>MID(CIMB_EBank_ftr_in[Col1],4,7)</f>
        <v>0000346</v>
      </c>
    </row>
  </sheetData>
  <dataValidations disablePrompts="1" count="1">
    <dataValidation type="list" allowBlank="1" showInputMessage="1" showErrorMessage="1" sqref="K3:K4" xr:uid="{487A0A3B-37FB-4995-87F1-39F47F5E0E6A}">
      <formula1>"Y,N"</formula1>
    </dataValidation>
  </dataValidations>
  <pageMargins left="0.7" right="0.7" top="0.75" bottom="0.75" header="0.3" footer="0.3"/>
  <legacyDrawing r:id="rId1"/>
  <tableParts count="7">
    <tablePart r:id="rId2"/>
    <tablePart r:id="rId3"/>
    <tablePart r:id="rId4"/>
    <tablePart r:id="rId5"/>
    <tablePart r:id="rId6"/>
    <tablePart r:id="rId7"/>
    <tablePart r:id="rId8"/>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0D453-BD91-4916-BEFA-BFC39FCB551C}">
  <dimension ref="A1:R35"/>
  <sheetViews>
    <sheetView workbookViewId="0"/>
  </sheetViews>
  <sheetFormatPr defaultRowHeight="15" x14ac:dyDescent="0.25"/>
  <cols>
    <col min="2" max="2" width="22.42578125" customWidth="1"/>
    <col min="3" max="3" width="19.42578125" customWidth="1"/>
    <col min="4" max="4" width="12.140625" customWidth="1"/>
    <col min="5" max="5" width="14.5703125" customWidth="1"/>
    <col min="6" max="6" width="11.85546875" customWidth="1"/>
    <col min="7" max="7" width="15.7109375" customWidth="1"/>
    <col min="8" max="8" width="11.5703125" bestFit="1" customWidth="1"/>
    <col min="9"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316</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315</v>
      </c>
      <c r="C4" s="1" t="s">
        <v>3</v>
      </c>
      <c r="D4" s="1"/>
      <c r="E4" s="1"/>
      <c r="F4" s="1" t="s">
        <v>124</v>
      </c>
      <c r="G4" s="1"/>
      <c r="H4" s="1" t="b">
        <v>1</v>
      </c>
      <c r="I4" s="1" t="s">
        <v>294</v>
      </c>
      <c r="J4" s="1">
        <v>0</v>
      </c>
      <c r="K4" s="11" t="s">
        <v>30</v>
      </c>
      <c r="L4" s="1"/>
      <c r="M4" s="1"/>
      <c r="N4" s="1"/>
      <c r="O4" s="1"/>
      <c r="P4" s="1"/>
    </row>
    <row r="5" spans="1:18" x14ac:dyDescent="0.25">
      <c r="A5" s="1"/>
      <c r="B5" s="1"/>
      <c r="C5" s="1"/>
      <c r="D5" s="1"/>
      <c r="E5" s="1"/>
      <c r="F5" s="1"/>
      <c r="G5" s="1"/>
      <c r="H5" s="1"/>
      <c r="I5" s="1"/>
      <c r="J5" s="1"/>
      <c r="K5" s="1"/>
      <c r="L5" s="1"/>
      <c r="M5" s="1"/>
    </row>
    <row r="6" spans="1:18" x14ac:dyDescent="0.25">
      <c r="A6" s="1"/>
      <c r="B6" s="9" t="s">
        <v>314</v>
      </c>
      <c r="C6" s="1"/>
      <c r="D6" s="1"/>
      <c r="E6" s="1"/>
      <c r="F6" s="1"/>
      <c r="G6" s="1"/>
      <c r="J6" s="1"/>
      <c r="K6" s="1"/>
      <c r="L6" s="1"/>
      <c r="M6" s="1"/>
    </row>
    <row r="7" spans="1:18" x14ac:dyDescent="0.25">
      <c r="A7" s="1"/>
      <c r="B7" s="10" t="s">
        <v>2</v>
      </c>
      <c r="H7" s="1"/>
      <c r="L7" s="1"/>
    </row>
    <row r="8" spans="1:18" x14ac:dyDescent="0.25">
      <c r="A8" s="1"/>
      <c r="B8" s="1" t="s">
        <v>313</v>
      </c>
      <c r="H8" s="1"/>
      <c r="M8" s="1"/>
    </row>
    <row r="9" spans="1:18" x14ac:dyDescent="0.25">
      <c r="A9" s="1"/>
      <c r="B9" s="1"/>
      <c r="C9" s="1"/>
      <c r="D9" s="1"/>
      <c r="E9" s="1"/>
      <c r="F9" s="1"/>
      <c r="G9" s="1"/>
      <c r="H9" s="1"/>
      <c r="I9" s="1"/>
      <c r="N9" s="1"/>
    </row>
    <row r="10" spans="1:18" x14ac:dyDescent="0.25">
      <c r="A10" s="1"/>
      <c r="B10" s="1"/>
      <c r="C10" s="1"/>
      <c r="D10" s="1"/>
      <c r="E10" s="1"/>
      <c r="F10" s="1"/>
      <c r="G10" s="1"/>
      <c r="H10" s="1"/>
      <c r="I10" s="1"/>
      <c r="J10" s="1"/>
      <c r="K10" s="1"/>
      <c r="L10" s="1"/>
      <c r="M10" s="1"/>
      <c r="N10" s="1"/>
      <c r="O10" s="1"/>
      <c r="P10" s="1"/>
      <c r="Q10" s="1"/>
      <c r="R10" s="1"/>
    </row>
    <row r="11" spans="1:18" x14ac:dyDescent="0.25">
      <c r="A11" s="1"/>
      <c r="B11" s="1"/>
      <c r="C11" s="1"/>
      <c r="D11" s="1"/>
      <c r="E11" s="1"/>
      <c r="F11" s="1"/>
      <c r="G11" s="1"/>
      <c r="H11" s="1"/>
      <c r="I11" s="1"/>
      <c r="J11" s="1"/>
      <c r="K11" s="1"/>
      <c r="L11" s="1"/>
      <c r="M11" s="1"/>
      <c r="N11" s="1"/>
      <c r="O11" s="1"/>
      <c r="P11" s="1"/>
      <c r="Q11" s="1"/>
      <c r="R11" s="1"/>
    </row>
    <row r="12" spans="1:18" x14ac:dyDescent="0.25">
      <c r="A12" s="1"/>
      <c r="B12" s="4" t="s">
        <v>312</v>
      </c>
      <c r="C12" s="1"/>
      <c r="D12" s="1"/>
      <c r="E12" s="1"/>
      <c r="F12" s="1"/>
      <c r="G12" s="1"/>
      <c r="J12" s="1"/>
      <c r="K12" s="1"/>
      <c r="L12" s="1"/>
      <c r="M12" s="1"/>
      <c r="N12" s="1"/>
      <c r="O12" s="1"/>
      <c r="P12" s="1"/>
      <c r="Q12" s="1"/>
      <c r="R12" s="1"/>
    </row>
    <row r="13" spans="1:18" x14ac:dyDescent="0.25">
      <c r="A13" s="1"/>
      <c r="B13" s="1" t="s">
        <v>311</v>
      </c>
      <c r="C13" s="1" t="s">
        <v>43</v>
      </c>
      <c r="D13" s="1" t="s">
        <v>310</v>
      </c>
      <c r="E13" s="1" t="s">
        <v>41</v>
      </c>
      <c r="F13" s="1" t="s">
        <v>22</v>
      </c>
      <c r="G13" s="1" t="s">
        <v>309</v>
      </c>
      <c r="H13" s="1" t="s">
        <v>308</v>
      </c>
      <c r="I13" s="1"/>
      <c r="J13" s="1"/>
      <c r="K13" s="1"/>
    </row>
    <row r="14" spans="1:18" x14ac:dyDescent="0.25">
      <c r="A14" s="1"/>
      <c r="B14" s="1" t="str">
        <f>MID(MBB_EBank_det_in[Col1],1,3)</f>
        <v>1IX</v>
      </c>
      <c r="C14" s="1" t="str">
        <f>MID(MBB_EBank_det_in[Col1],4,25)</f>
        <v>BADRUL HISHAM MERICAN BIN</v>
      </c>
      <c r="D14" s="1" t="str">
        <f>MID(MBB_EBank_det_in[Col1],29,12)</f>
        <v>720111075431</v>
      </c>
      <c r="E14" s="1" t="str">
        <f>MID(MBB_EBank_det_in[Col1],41,11)</f>
        <v>00000015000</v>
      </c>
      <c r="F14" s="1" t="str">
        <f>MID(MBB_EBank_det_in[Col1],52,15)</f>
        <v xml:space="preserve">10562790       </v>
      </c>
      <c r="G14" s="1" t="str">
        <f>MID(MBB_EBank_det_in[Col1],67,6)</f>
        <v xml:space="preserve">      </v>
      </c>
      <c r="H14" s="1" t="str">
        <f>MID(MBB_EBank_det_in[Col1],192,8)</f>
        <v>21032018</v>
      </c>
      <c r="I14" s="1"/>
      <c r="J14" s="1"/>
      <c r="K14" s="1"/>
    </row>
    <row r="15" spans="1:18" x14ac:dyDescent="0.25">
      <c r="A15" s="1"/>
      <c r="B15" s="1"/>
      <c r="C15" s="1"/>
      <c r="D15" s="1"/>
      <c r="E15" s="1"/>
      <c r="F15" s="1"/>
      <c r="G15" s="1"/>
      <c r="H15" s="1"/>
      <c r="I15" s="1"/>
      <c r="J15" s="1"/>
      <c r="K15" s="1"/>
      <c r="L15" s="1"/>
      <c r="M15" s="1"/>
    </row>
    <row r="17" spans="2:7" x14ac:dyDescent="0.25">
      <c r="B17" s="4" t="s">
        <v>307</v>
      </c>
      <c r="C17" s="1"/>
      <c r="D17" s="1"/>
      <c r="E17" s="1"/>
      <c r="F17" s="1"/>
      <c r="G17" s="1"/>
    </row>
    <row r="18" spans="2:7" x14ac:dyDescent="0.25">
      <c r="B18" s="1" t="s">
        <v>2</v>
      </c>
    </row>
    <row r="19" spans="2:7" x14ac:dyDescent="0.25">
      <c r="B19" s="1" t="s">
        <v>306</v>
      </c>
    </row>
    <row r="22" spans="2:7" x14ac:dyDescent="0.25">
      <c r="B22" s="4" t="s">
        <v>305</v>
      </c>
    </row>
    <row r="23" spans="2:7" x14ac:dyDescent="0.25">
      <c r="B23" s="1" t="s">
        <v>297</v>
      </c>
      <c r="C23" s="1" t="s">
        <v>304</v>
      </c>
      <c r="D23" s="1" t="s">
        <v>303</v>
      </c>
      <c r="E23" s="1" t="s">
        <v>302</v>
      </c>
      <c r="F23" s="1" t="s">
        <v>301</v>
      </c>
    </row>
    <row r="24" spans="2:7" x14ac:dyDescent="0.25">
      <c r="B24" s="1" t="str">
        <f>MID(MBB_EBank_hdr_in[Col1],1,3)</f>
        <v>1IX</v>
      </c>
      <c r="C24" s="1" t="str">
        <f>MID(MBB_EBank_hdr_in[Col1],4,30)</f>
        <v xml:space="preserve">PRUDENTIAL BSN TAKAFUL BHD    </v>
      </c>
      <c r="D24" s="1" t="str">
        <f>MID(MBB_EBank_hdr_in[Col1],34,8)</f>
        <v>20032018</v>
      </c>
      <c r="E24" s="1" t="str">
        <f>MID(MBB_EBank_hdr_in[Col1],42,7)</f>
        <v>MAYBANK</v>
      </c>
      <c r="F24" s="1" t="str">
        <f>MID(MBB_EBank_hdr_in[Col1],34,8)</f>
        <v>20032018</v>
      </c>
    </row>
    <row r="27" spans="2:7" x14ac:dyDescent="0.25">
      <c r="B27" s="4" t="s">
        <v>300</v>
      </c>
    </row>
    <row r="28" spans="2:7" x14ac:dyDescent="0.25">
      <c r="B28" s="1" t="s">
        <v>2</v>
      </c>
    </row>
    <row r="29" spans="2:7" x14ac:dyDescent="0.25">
      <c r="B29" s="1" t="s">
        <v>299</v>
      </c>
    </row>
    <row r="32" spans="2:7" x14ac:dyDescent="0.25">
      <c r="B32" s="4" t="s">
        <v>298</v>
      </c>
    </row>
    <row r="33" spans="2:6" x14ac:dyDescent="0.25">
      <c r="B33" s="1" t="s">
        <v>297</v>
      </c>
      <c r="C33" s="1" t="s">
        <v>52</v>
      </c>
      <c r="D33" s="1" t="s">
        <v>154</v>
      </c>
      <c r="E33" s="1" t="s">
        <v>202</v>
      </c>
      <c r="F33" s="1" t="s">
        <v>296</v>
      </c>
    </row>
    <row r="34" spans="2:6" x14ac:dyDescent="0.25">
      <c r="B34" s="1" t="str">
        <f>MID(MBB_EBank_ftr_in[Col1],1,3)</f>
        <v>1IX</v>
      </c>
      <c r="C34" s="1">
        <v>1</v>
      </c>
      <c r="D34" s="1" t="str">
        <f>MID(MBB_EBank_ftr_in[Col1],24,8)</f>
        <v>00209297</v>
      </c>
      <c r="E34" s="1" t="str">
        <f>MID(MBB_EBank_ftr_in[Col1],11,13)</f>
        <v>0000019224550</v>
      </c>
      <c r="F34" s="1" t="str">
        <f>MID(MBB_EBank_ftr_in[Col1],4,7)</f>
        <v>0000896</v>
      </c>
    </row>
    <row r="35" spans="2:6" x14ac:dyDescent="0.25">
      <c r="B35" s="39"/>
      <c r="C35" s="40"/>
      <c r="D35" s="40">
        <f>SUM(TRIM(MBB_EBank_ftr_in_com[HashTotal]),(RIGHT(TRIM(MBB_EBank_det_in_com[PolicyNo]),4)),VALUE(MBB_EBank_ftr_in_com[TotAmt]),VALUE(MBB_EBank_ftr_in_com[TotRec]))</f>
        <v>19437533</v>
      </c>
      <c r="E35" s="40"/>
      <c r="F35" s="40"/>
    </row>
  </sheetData>
  <dataValidations disablePrompts="1" count="1">
    <dataValidation type="list" allowBlank="1" showInputMessage="1" showErrorMessage="1" sqref="K3:K4" xr:uid="{69DB500E-B139-4023-835E-941693C4F755}">
      <formula1>"Y,N"</formula1>
    </dataValidation>
  </dataValidations>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9448-0D32-4F35-9E53-5B3DEDBA4FE3}">
  <dimension ref="A1:R48"/>
  <sheetViews>
    <sheetView tabSelected="1" workbookViewId="0">
      <selection activeCell="J14" sqref="J14"/>
    </sheetView>
  </sheetViews>
  <sheetFormatPr defaultRowHeight="15" x14ac:dyDescent="0.25"/>
  <cols>
    <col min="2" max="2" width="69.42578125" bestFit="1" customWidth="1"/>
    <col min="3" max="3" width="17.42578125" customWidth="1"/>
    <col min="4" max="4" width="12.140625" customWidth="1"/>
    <col min="5" max="5" width="14.5703125" customWidth="1"/>
    <col min="6" max="6" width="13.42578125" bestFit="1" customWidth="1"/>
    <col min="7" max="7" width="18.85546875" customWidth="1"/>
    <col min="8" max="8" width="17.140625" bestFit="1" customWidth="1"/>
    <col min="9" max="9" width="11.140625" customWidth="1"/>
    <col min="10"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68</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66</v>
      </c>
      <c r="C4" s="1" t="s">
        <v>3</v>
      </c>
      <c r="D4" s="1"/>
      <c r="E4" s="1" t="s">
        <v>45</v>
      </c>
      <c r="F4" s="1" t="s">
        <v>46</v>
      </c>
      <c r="G4" s="1" t="s">
        <v>47</v>
      </c>
      <c r="H4" s="1" t="b">
        <v>1</v>
      </c>
      <c r="I4" s="1" t="s">
        <v>67</v>
      </c>
      <c r="J4" s="1">
        <v>999</v>
      </c>
      <c r="K4" s="11" t="s">
        <v>30</v>
      </c>
      <c r="L4" s="1" t="s">
        <v>67</v>
      </c>
      <c r="M4" s="1"/>
      <c r="N4" s="1"/>
      <c r="O4" s="1"/>
      <c r="P4" s="1"/>
    </row>
    <row r="5" spans="1:18" x14ac:dyDescent="0.25">
      <c r="A5" s="1"/>
      <c r="B5" s="1"/>
      <c r="C5" s="1"/>
      <c r="D5" s="1"/>
      <c r="E5" s="1"/>
      <c r="F5" s="1"/>
      <c r="G5" s="1"/>
      <c r="H5" s="1"/>
      <c r="I5" s="1"/>
      <c r="J5" s="1"/>
      <c r="K5" s="1"/>
      <c r="L5" s="1"/>
      <c r="M5" s="1"/>
    </row>
    <row r="6" spans="1:18" x14ac:dyDescent="0.25">
      <c r="A6" s="1"/>
      <c r="B6" s="9" t="s">
        <v>69</v>
      </c>
      <c r="C6" s="1"/>
      <c r="D6" s="1"/>
      <c r="E6" s="1"/>
      <c r="F6" s="1"/>
      <c r="G6" s="1"/>
      <c r="J6" s="1"/>
      <c r="K6" s="1"/>
      <c r="L6" s="1"/>
      <c r="M6" s="1"/>
    </row>
    <row r="7" spans="1:18" x14ac:dyDescent="0.25">
      <c r="A7" s="1"/>
      <c r="B7" s="10" t="s">
        <v>2</v>
      </c>
      <c r="C7" s="1"/>
      <c r="I7" s="1"/>
      <c r="M7" s="1"/>
    </row>
    <row r="8" spans="1:18" x14ac:dyDescent="0.25">
      <c r="A8" s="1"/>
      <c r="B8" s="1" t="s">
        <v>467</v>
      </c>
      <c r="C8" s="1"/>
      <c r="I8" s="1"/>
      <c r="N8" s="1"/>
    </row>
    <row r="9" spans="1:18" x14ac:dyDescent="0.25">
      <c r="A9" s="1"/>
      <c r="B9" s="1"/>
      <c r="C9" s="1"/>
      <c r="D9" s="1"/>
      <c r="E9" s="1"/>
      <c r="F9" s="1"/>
      <c r="G9" s="1"/>
      <c r="H9" s="1"/>
      <c r="I9" s="1"/>
      <c r="N9" s="1"/>
    </row>
    <row r="10" spans="1:18" x14ac:dyDescent="0.25">
      <c r="A10" s="1"/>
      <c r="B10" s="4" t="s">
        <v>70</v>
      </c>
      <c r="C10" s="1"/>
      <c r="D10" s="1"/>
      <c r="E10" s="1"/>
      <c r="F10" s="1"/>
      <c r="G10" s="1"/>
      <c r="H10" s="1"/>
      <c r="I10" s="1"/>
      <c r="J10" s="1"/>
      <c r="K10" s="1"/>
      <c r="L10" s="1"/>
      <c r="M10" s="1"/>
    </row>
    <row r="11" spans="1:18" x14ac:dyDescent="0.25">
      <c r="A11" s="1"/>
      <c r="B11" s="10" t="s">
        <v>2</v>
      </c>
      <c r="C11" s="1"/>
      <c r="D11" s="1"/>
      <c r="E11" s="1"/>
      <c r="F11" s="1"/>
      <c r="G11" s="1"/>
      <c r="H11" s="1"/>
      <c r="I11" s="1"/>
      <c r="J11" s="1"/>
      <c r="K11" s="1"/>
      <c r="L11" s="1"/>
      <c r="M11" s="1"/>
      <c r="N11" s="1"/>
      <c r="O11" s="1"/>
      <c r="P11" s="1"/>
      <c r="Q11" s="1"/>
      <c r="R11" s="1"/>
    </row>
    <row r="12" spans="1:18" x14ac:dyDescent="0.25">
      <c r="A12" s="1"/>
      <c r="B12" s="1" t="s">
        <v>56</v>
      </c>
      <c r="C12" s="1"/>
      <c r="D12" s="1"/>
      <c r="E12" s="1"/>
      <c r="F12" s="1"/>
      <c r="G12" s="1"/>
      <c r="H12" s="1"/>
      <c r="I12" s="1"/>
      <c r="J12" s="1"/>
      <c r="K12" s="1"/>
      <c r="L12" s="1"/>
      <c r="M12" s="1"/>
      <c r="N12" s="1"/>
      <c r="O12" s="1"/>
      <c r="P12" s="1"/>
    </row>
    <row r="13" spans="1:18" x14ac:dyDescent="0.25">
      <c r="A13" s="1"/>
      <c r="B13" s="1"/>
      <c r="C13" s="1"/>
      <c r="D13" s="1"/>
      <c r="E13" s="1"/>
      <c r="F13" s="1"/>
      <c r="G13" s="1"/>
      <c r="H13" s="1"/>
      <c r="I13" s="1"/>
      <c r="J13" s="1"/>
      <c r="K13" s="1"/>
      <c r="L13" s="1"/>
      <c r="M13" s="1"/>
      <c r="N13" s="1"/>
      <c r="O13" s="1"/>
      <c r="P13" s="1"/>
    </row>
    <row r="14" spans="1:18" x14ac:dyDescent="0.25">
      <c r="A14" s="1"/>
      <c r="B14" s="4" t="s">
        <v>71</v>
      </c>
      <c r="C14" s="1"/>
      <c r="D14" s="1"/>
      <c r="E14" s="1"/>
      <c r="F14" s="1"/>
      <c r="G14" s="1"/>
      <c r="H14" s="1"/>
      <c r="I14" s="1"/>
      <c r="J14" s="1"/>
      <c r="K14" s="1"/>
      <c r="L14" s="1"/>
      <c r="M14" s="1"/>
      <c r="N14" s="1"/>
      <c r="O14" s="1"/>
      <c r="P14" s="1"/>
      <c r="Q14" s="1"/>
      <c r="R14" s="1"/>
    </row>
    <row r="15" spans="1:18" x14ac:dyDescent="0.25">
      <c r="A15" s="1"/>
      <c r="B15" s="10" t="s">
        <v>2</v>
      </c>
      <c r="C15" s="1"/>
      <c r="D15" s="1"/>
      <c r="E15" s="1"/>
      <c r="F15" s="1"/>
      <c r="G15" s="1"/>
      <c r="H15" s="1"/>
      <c r="I15" s="1"/>
      <c r="J15" s="1"/>
      <c r="K15" s="1"/>
      <c r="L15" s="1"/>
      <c r="M15" s="1"/>
      <c r="N15" s="1"/>
      <c r="O15" s="1"/>
      <c r="P15" s="1"/>
      <c r="Q15" s="1"/>
      <c r="R15" s="1"/>
    </row>
    <row r="16" spans="1:18" x14ac:dyDescent="0.25">
      <c r="A16" s="1"/>
      <c r="B16" s="1" t="s">
        <v>57</v>
      </c>
      <c r="C16" s="1"/>
      <c r="D16" s="1"/>
      <c r="E16" s="1"/>
      <c r="F16" s="1"/>
      <c r="G16" s="1"/>
      <c r="H16" s="1"/>
      <c r="I16" s="1"/>
      <c r="J16" s="1"/>
      <c r="K16" s="1"/>
      <c r="L16" s="1"/>
      <c r="M16" s="1"/>
      <c r="N16" s="1"/>
      <c r="O16" s="1"/>
      <c r="P16" s="1"/>
      <c r="Q16" s="1"/>
      <c r="R16" s="1"/>
    </row>
    <row r="17" spans="1:18" x14ac:dyDescent="0.25">
      <c r="A17" s="1"/>
      <c r="B17" s="1"/>
      <c r="C17" s="1"/>
      <c r="D17" s="1"/>
      <c r="E17" s="1"/>
      <c r="F17" s="1"/>
      <c r="G17" s="1"/>
      <c r="H17" s="1"/>
      <c r="I17" s="1"/>
      <c r="J17" s="1"/>
      <c r="K17" s="1"/>
      <c r="L17" s="1"/>
      <c r="M17" s="1"/>
      <c r="N17" s="1"/>
      <c r="O17" s="1"/>
      <c r="P17" s="1"/>
      <c r="Q17" s="1"/>
      <c r="R17" s="1"/>
    </row>
    <row r="18" spans="1:18" x14ac:dyDescent="0.25">
      <c r="A18" s="1"/>
      <c r="B18" s="1"/>
      <c r="C18" s="1"/>
      <c r="D18" s="1"/>
      <c r="E18" s="1"/>
      <c r="F18" s="1"/>
      <c r="G18" s="1"/>
      <c r="H18" s="1"/>
      <c r="I18" s="1"/>
      <c r="J18" s="1"/>
      <c r="K18" s="1"/>
      <c r="L18" s="1"/>
      <c r="M18" s="1"/>
      <c r="N18" s="1"/>
      <c r="O18" s="1"/>
      <c r="P18" s="1"/>
      <c r="Q18" s="1"/>
      <c r="R18" s="1"/>
    </row>
    <row r="19" spans="1:18" x14ac:dyDescent="0.25">
      <c r="A19" s="1"/>
      <c r="B19" s="4" t="s">
        <v>72</v>
      </c>
      <c r="C19" s="1"/>
      <c r="D19" s="1"/>
      <c r="E19" s="1"/>
      <c r="F19" s="1"/>
      <c r="G19" s="1"/>
      <c r="J19" s="1"/>
      <c r="K19" s="1"/>
      <c r="L19" s="1"/>
      <c r="M19" s="1"/>
      <c r="N19" s="1"/>
      <c r="O19" s="1"/>
      <c r="P19" s="1"/>
      <c r="Q19" s="1"/>
      <c r="R19" s="1"/>
    </row>
    <row r="20" spans="1:18" x14ac:dyDescent="0.25">
      <c r="A20" s="1"/>
      <c r="B20" s="1" t="s">
        <v>22</v>
      </c>
      <c r="C20" s="1" t="s">
        <v>23</v>
      </c>
      <c r="D20" s="1" t="s">
        <v>37</v>
      </c>
      <c r="E20" s="1" t="s">
        <v>41</v>
      </c>
      <c r="F20" s="1" t="s">
        <v>138</v>
      </c>
      <c r="G20" s="1"/>
      <c r="J20" s="1"/>
      <c r="K20" s="1"/>
      <c r="L20" s="1"/>
      <c r="M20" s="1"/>
    </row>
    <row r="21" spans="1:18" x14ac:dyDescent="0.25">
      <c r="A21" s="1"/>
      <c r="B21" s="1" t="str">
        <f>(MID(MBB_CC_det_in[Col1],13,9))</f>
        <v xml:space="preserve"> 12345683</v>
      </c>
      <c r="C21" s="1" t="str">
        <f>(MID(MBB_CC_det_in[Col1],24,16))</f>
        <v>1234567812310076</v>
      </c>
      <c r="D21" s="1" t="str">
        <f>(MID(MBB_CC_det_in[Col1],40,4))</f>
        <v>0920</v>
      </c>
      <c r="E21" s="1">
        <f>VALUE(INT((MID(MBB_CC_det_in[Col1],44,10))))</f>
        <v>400760</v>
      </c>
      <c r="F21" s="1" t="str">
        <f>(MID(MBB_CC_det_in[Col1],89,3))</f>
        <v>A00</v>
      </c>
      <c r="G21" s="1"/>
      <c r="J21" s="1"/>
      <c r="K21" s="1"/>
      <c r="L21" s="1"/>
      <c r="M21" s="1"/>
    </row>
    <row r="22" spans="1:18" x14ac:dyDescent="0.25">
      <c r="A22" s="1"/>
      <c r="B22" s="1"/>
      <c r="C22" s="1"/>
      <c r="D22" s="1"/>
      <c r="E22" s="1"/>
      <c r="F22" s="1"/>
      <c r="G22" s="1"/>
      <c r="H22" s="1"/>
      <c r="I22" s="1"/>
      <c r="J22" s="1"/>
      <c r="K22" s="1"/>
      <c r="L22" s="1"/>
      <c r="M22" s="1"/>
    </row>
    <row r="23" spans="1:18" x14ac:dyDescent="0.25">
      <c r="A23" s="1"/>
      <c r="B23" s="4" t="s">
        <v>73</v>
      </c>
      <c r="C23" s="1"/>
      <c r="D23" s="1"/>
      <c r="E23" s="1"/>
      <c r="F23" s="1"/>
      <c r="G23" s="1"/>
      <c r="H23" s="1"/>
      <c r="I23" s="1"/>
      <c r="J23" s="1"/>
      <c r="K23" s="1"/>
      <c r="L23" s="1"/>
      <c r="M23" s="1"/>
    </row>
    <row r="24" spans="1:18" x14ac:dyDescent="0.25">
      <c r="A24" s="1"/>
      <c r="B24" s="1" t="s">
        <v>38</v>
      </c>
      <c r="C24" s="1"/>
      <c r="D24" s="1"/>
      <c r="E24" s="1"/>
      <c r="F24" s="1"/>
      <c r="G24" s="1"/>
      <c r="H24" s="1"/>
      <c r="I24" s="1"/>
    </row>
    <row r="25" spans="1:18" x14ac:dyDescent="0.25">
      <c r="B25" s="1" t="str">
        <f>(RIGHT(MBB_CC_hdr_in[Col1],6))</f>
        <v>240401</v>
      </c>
      <c r="I25" s="1"/>
    </row>
    <row r="27" spans="1:18" x14ac:dyDescent="0.25">
      <c r="B27" s="4" t="s">
        <v>74</v>
      </c>
      <c r="C27" s="1"/>
      <c r="D27" s="1"/>
      <c r="E27" s="1"/>
      <c r="F27" s="1"/>
    </row>
    <row r="28" spans="1:18" x14ac:dyDescent="0.25">
      <c r="B28" s="1" t="s">
        <v>25</v>
      </c>
      <c r="C28" s="1" t="s">
        <v>52</v>
      </c>
      <c r="G28" s="1"/>
      <c r="H28" s="1"/>
      <c r="I28" s="1"/>
      <c r="J28" s="1"/>
      <c r="K28" s="1"/>
      <c r="L28" s="1"/>
      <c r="M28" s="1"/>
      <c r="N28" s="1"/>
      <c r="O28" s="1"/>
    </row>
    <row r="29" spans="1:18" x14ac:dyDescent="0.25">
      <c r="B29" s="1">
        <f>INT((MID(MBB_CC_ftr_in[Col1],2,3)))</f>
        <v>1</v>
      </c>
      <c r="C29" s="1">
        <f>VALUE(INT(MID(MBB_CC_ftr_in[Col1],5,11)) &amp;"." &amp; MID(MBB_CC_ftr_in[Col1],16,2))</f>
        <v>681</v>
      </c>
      <c r="G29" s="1"/>
      <c r="H29" s="1"/>
      <c r="I29" s="1"/>
      <c r="J29" s="1"/>
      <c r="K29" s="1"/>
      <c r="L29" s="1"/>
      <c r="M29" s="1"/>
      <c r="N29" s="1"/>
      <c r="O29" s="1"/>
    </row>
    <row r="30" spans="1:18" x14ac:dyDescent="0.25">
      <c r="J30" s="1"/>
      <c r="K30" s="1"/>
      <c r="L30" s="1"/>
      <c r="M30" s="1"/>
      <c r="N30" s="1"/>
    </row>
    <row r="31" spans="1:18" x14ac:dyDescent="0.25">
      <c r="B31" s="1"/>
      <c r="C31" s="1"/>
      <c r="D31" s="1"/>
      <c r="E31" s="1"/>
      <c r="F31" s="1"/>
      <c r="G31" s="1"/>
      <c r="H31" s="1"/>
      <c r="I31" s="1"/>
    </row>
    <row r="32" spans="1:18" x14ac:dyDescent="0.25">
      <c r="B32" s="3" t="s">
        <v>75</v>
      </c>
      <c r="C32" s="1"/>
      <c r="D32" s="1"/>
      <c r="E32" s="1"/>
      <c r="F32" s="1"/>
      <c r="G32" s="1"/>
    </row>
    <row r="33" spans="2:9" x14ac:dyDescent="0.25">
      <c r="B33" s="1" t="s">
        <v>22</v>
      </c>
      <c r="C33" s="1" t="s">
        <v>41</v>
      </c>
      <c r="D33" s="1" t="s">
        <v>58</v>
      </c>
      <c r="E33" s="1" t="s">
        <v>53</v>
      </c>
      <c r="F33" s="1" t="s">
        <v>23</v>
      </c>
      <c r="G33" s="1" t="s">
        <v>51</v>
      </c>
      <c r="H33" s="1" t="s">
        <v>50</v>
      </c>
      <c r="I33" s="1" t="s">
        <v>37</v>
      </c>
    </row>
    <row r="34" spans="2:9" x14ac:dyDescent="0.25">
      <c r="B34" s="1">
        <v>1234567</v>
      </c>
      <c r="C34" s="1">
        <v>123456</v>
      </c>
      <c r="D34" s="1" t="str">
        <f>TEXT(INT((MBB_CC_det_out_com[Amount])),"00000000")</f>
        <v>00123456</v>
      </c>
      <c r="E34" s="1" t="str">
        <f>(RIGHT((TEXT(MBB_CC_det_out_com[Amount]-INT(MBB_CC_det_out_com[Amount]),"0.00")),2))</f>
        <v>00</v>
      </c>
      <c r="F34" s="25">
        <v>12333</v>
      </c>
      <c r="G34" s="1" t="str">
        <f>("1" &amp; (RIGHT(REPT(" ",19) &amp; MBB_CC_det_out_com[PolicyNo],19)))</f>
        <v>1            1234567</v>
      </c>
      <c r="H34" s="1">
        <v>16</v>
      </c>
      <c r="I34" s="6" t="s">
        <v>113</v>
      </c>
    </row>
    <row r="35" spans="2:9" x14ac:dyDescent="0.25">
      <c r="B35" s="1"/>
      <c r="C35" s="1"/>
      <c r="D35" s="1"/>
      <c r="E35" s="1"/>
      <c r="F35" s="1"/>
      <c r="G35" s="1"/>
      <c r="H35" s="1"/>
      <c r="I35" s="1"/>
    </row>
    <row r="36" spans="2:9" x14ac:dyDescent="0.25">
      <c r="B36" s="3" t="s">
        <v>76</v>
      </c>
      <c r="C36" s="1"/>
      <c r="D36" s="1"/>
      <c r="E36" s="1"/>
      <c r="F36" s="1"/>
      <c r="G36" s="1"/>
      <c r="H36" s="1"/>
      <c r="I36" s="1"/>
    </row>
    <row r="37" spans="2:9" x14ac:dyDescent="0.25">
      <c r="B37" s="1" t="s">
        <v>27</v>
      </c>
      <c r="C37" s="10" t="s">
        <v>26</v>
      </c>
      <c r="D37" s="1"/>
      <c r="E37" s="1"/>
      <c r="F37" s="1"/>
      <c r="G37" s="1"/>
      <c r="H37" s="1"/>
    </row>
    <row r="38" spans="2:9" x14ac:dyDescent="0.25">
      <c r="B38" s="1" t="str">
        <f>(CONCATENATE("MBB",TEXT(SUM(MBB_CC_hdr_out_com[currBatch],1),"0000"),".CTD"))</f>
        <v>MBB0011.CTD</v>
      </c>
      <c r="C38" s="1">
        <v>10</v>
      </c>
      <c r="D38" s="1"/>
      <c r="E38" s="1"/>
      <c r="F38" s="1"/>
      <c r="G38" s="1"/>
      <c r="H38" s="1"/>
    </row>
    <row r="39" spans="2:9" x14ac:dyDescent="0.25">
      <c r="B39" s="1"/>
      <c r="C39" s="1"/>
      <c r="D39" s="1"/>
      <c r="E39" s="1"/>
      <c r="F39" s="1"/>
      <c r="G39" s="1"/>
      <c r="H39" s="1"/>
      <c r="I39" s="1"/>
    </row>
    <row r="40" spans="2:9" x14ac:dyDescent="0.25">
      <c r="B40" s="3" t="s">
        <v>77</v>
      </c>
      <c r="C40" s="1"/>
      <c r="D40" s="1"/>
      <c r="E40" s="1"/>
      <c r="F40" s="1"/>
      <c r="G40" s="1"/>
      <c r="H40" s="1"/>
      <c r="I40" s="1"/>
    </row>
    <row r="41" spans="2:9" x14ac:dyDescent="0.25">
      <c r="B41" s="1" t="s">
        <v>25</v>
      </c>
      <c r="C41" s="1" t="s">
        <v>52</v>
      </c>
      <c r="D41" s="1"/>
      <c r="E41" s="1"/>
      <c r="F41" s="1"/>
      <c r="G41" s="1"/>
      <c r="H41" s="1"/>
      <c r="I41" s="1"/>
    </row>
    <row r="42" spans="2:9" x14ac:dyDescent="0.25">
      <c r="B42" s="1">
        <v>0</v>
      </c>
      <c r="C42" s="12">
        <v>0</v>
      </c>
      <c r="D42" s="1"/>
      <c r="E42" s="1"/>
      <c r="F42" s="1"/>
      <c r="G42" s="1"/>
      <c r="H42" s="1"/>
      <c r="I42" s="1"/>
    </row>
    <row r="43" spans="2:9" x14ac:dyDescent="0.25">
      <c r="B43" s="1">
        <f>(MBB_CC_ftr_out_com[Count]+1)</f>
        <v>1</v>
      </c>
      <c r="C43" s="1">
        <f>(SUM(MBB_CC_ftr_out_com[Sum],MBB_CC_det_out_com[Amount]))</f>
        <v>123456</v>
      </c>
      <c r="D43" s="1"/>
      <c r="E43" s="1"/>
      <c r="F43" s="1"/>
      <c r="G43" s="1"/>
      <c r="H43" s="1"/>
      <c r="I43" s="1"/>
    </row>
    <row r="44" spans="2:9" x14ac:dyDescent="0.25">
      <c r="B44" s="1"/>
      <c r="C44" s="1"/>
      <c r="D44" s="1"/>
      <c r="E44" s="1"/>
      <c r="F44" s="1"/>
      <c r="G44" s="1"/>
      <c r="H44" s="1"/>
      <c r="I44" s="1"/>
    </row>
    <row r="45" spans="2:9" x14ac:dyDescent="0.25">
      <c r="B45" s="3" t="s">
        <v>78</v>
      </c>
      <c r="C45" s="1"/>
      <c r="D45" s="1"/>
      <c r="E45" s="1"/>
    </row>
    <row r="46" spans="2:9" x14ac:dyDescent="0.25">
      <c r="B46" s="1" t="s">
        <v>4</v>
      </c>
      <c r="C46" s="1" t="s">
        <v>5</v>
      </c>
      <c r="D46" s="1" t="s">
        <v>6</v>
      </c>
      <c r="E46" s="1"/>
    </row>
    <row r="47" spans="2:9" x14ac:dyDescent="0.25">
      <c r="B47" s="1" t="str">
        <f ca="1">CONCATENATE("HCRETAPSR01A       1  00147617500000000000000111",TEXT(TODAY(),"YYMMDD"))</f>
        <v>HCRETAPSR01A       1  00147617500000000000000111180706</v>
      </c>
      <c r="C47" s="1" t="str">
        <f>CONCATENATE("D",MBB_CC_det_out_com[UserAccount],MBB_CC_det_out_com[CardLength],MBB_CC_det_out_com[CardNo],MBB_CC_det_out_com[Expiry],REPT("0",10-LEN(MBB_CC_det_out_com[Amount])),MBB_CC_det_out_com[Amount],MBB_CC_det_out_com[PolicyNo],REPT(" ",25-LEN(MBB_CC_det_out_com[PolicyNo])))</f>
        <v xml:space="preserve">D1            12345671612333071200001234561234567                  </v>
      </c>
      <c r="D47" s="8" t="str">
        <f>CONCATENATE("T",(TEXT(MBB_CC_ftr_out_com[[#Totals],[Count]],"000000")),TEXT(INT(MBB_CC_ftr_out_com[[#Totals],[Sum]]),"0000000000000"))</f>
        <v>T0000010000000123456</v>
      </c>
      <c r="E47" s="1"/>
    </row>
    <row r="48" spans="2:9" x14ac:dyDescent="0.25">
      <c r="B48" s="1"/>
      <c r="C48" s="1"/>
      <c r="D48" s="1"/>
      <c r="E48" s="1"/>
      <c r="F48" s="1"/>
      <c r="G48" s="1"/>
      <c r="H48" s="1"/>
      <c r="I48" s="1"/>
    </row>
  </sheetData>
  <dataValidations disablePrompts="1" count="1">
    <dataValidation type="list" allowBlank="1" showInputMessage="1" showErrorMessage="1" sqref="K3:K4" xr:uid="{C6BAD99C-EAEE-4DD0-A26C-63E4A69706AD}">
      <formula1>"Y,N"</formula1>
    </dataValidation>
  </dataValidations>
  <pageMargins left="0.7" right="0.7" top="0.75" bottom="0.75" header="0.3" footer="0.3"/>
  <pageSetup orientation="portrait"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D9DE5-8975-4260-B6AC-67F0074BCA72}">
  <dimension ref="A1:R49"/>
  <sheetViews>
    <sheetView workbookViewId="0">
      <selection activeCell="C48" sqref="C48"/>
    </sheetView>
  </sheetViews>
  <sheetFormatPr defaultRowHeight="15" x14ac:dyDescent="0.25"/>
  <cols>
    <col min="2" max="2" width="21.140625" customWidth="1"/>
    <col min="3" max="3" width="22" customWidth="1"/>
    <col min="4" max="4" width="17.42578125" bestFit="1" customWidth="1"/>
    <col min="5" max="5" width="16.5703125" customWidth="1"/>
    <col min="6" max="6" width="13.42578125" bestFit="1" customWidth="1"/>
    <col min="7" max="7" width="16.85546875" customWidth="1"/>
    <col min="8" max="8" width="16.85546875" bestFit="1" customWidth="1"/>
    <col min="9" max="9" width="11" bestFit="1" customWidth="1"/>
    <col min="10" max="10" width="12" customWidth="1"/>
    <col min="11" max="11" width="13.140625" bestFit="1" customWidth="1"/>
    <col min="12" max="12" width="8.5703125"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81</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79</v>
      </c>
      <c r="C4" s="1" t="s">
        <v>7</v>
      </c>
      <c r="D4" s="1"/>
      <c r="E4" s="1" t="s">
        <v>45</v>
      </c>
      <c r="F4" s="1" t="s">
        <v>46</v>
      </c>
      <c r="G4" s="1" t="s">
        <v>47</v>
      </c>
      <c r="H4" s="1" t="b">
        <v>1</v>
      </c>
      <c r="I4" s="1" t="s">
        <v>67</v>
      </c>
      <c r="J4" s="1">
        <v>999</v>
      </c>
      <c r="K4" s="11" t="s">
        <v>30</v>
      </c>
      <c r="L4" s="1" t="s">
        <v>67</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11</v>
      </c>
      <c r="C7" s="1"/>
      <c r="D7" s="1"/>
      <c r="E7" s="1"/>
      <c r="F7" s="1"/>
      <c r="G7" s="1"/>
    </row>
    <row r="8" spans="1:18" x14ac:dyDescent="0.25">
      <c r="A8" s="1"/>
      <c r="B8" s="1" t="s">
        <v>2</v>
      </c>
      <c r="C8" s="1"/>
    </row>
    <row r="9" spans="1:18" x14ac:dyDescent="0.25">
      <c r="A9" s="1"/>
      <c r="B9" s="1" t="s">
        <v>110</v>
      </c>
      <c r="C9" s="1"/>
    </row>
    <row r="10" spans="1:18" x14ac:dyDescent="0.25">
      <c r="A10" s="1"/>
      <c r="B10" s="1"/>
      <c r="C10" s="1"/>
      <c r="D10" s="1"/>
      <c r="E10" s="1"/>
      <c r="F10" s="1"/>
      <c r="G10" s="1"/>
      <c r="J10" s="1"/>
      <c r="K10" s="1"/>
    </row>
    <row r="11" spans="1:18" x14ac:dyDescent="0.25">
      <c r="A11" s="1"/>
      <c r="B11" s="4" t="s">
        <v>17</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109</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16</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1" t="s">
        <v>111</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10</v>
      </c>
      <c r="C19" s="1"/>
      <c r="D19" s="1"/>
      <c r="E19" s="1"/>
      <c r="F19" s="1"/>
      <c r="G19" s="1"/>
      <c r="J19" s="1"/>
      <c r="K19" s="1"/>
    </row>
    <row r="20" spans="1:18" x14ac:dyDescent="0.25">
      <c r="A20" s="1"/>
      <c r="B20" s="1" t="s">
        <v>22</v>
      </c>
      <c r="C20" s="1" t="s">
        <v>23</v>
      </c>
      <c r="D20" s="1" t="s">
        <v>37</v>
      </c>
      <c r="E20" s="1" t="s">
        <v>41</v>
      </c>
      <c r="F20" s="1" t="s">
        <v>138</v>
      </c>
      <c r="G20" s="1"/>
      <c r="J20" s="1"/>
      <c r="K20" s="1"/>
    </row>
    <row r="21" spans="1:18" x14ac:dyDescent="0.25">
      <c r="A21" s="1"/>
      <c r="B21" s="1" t="str">
        <f>(MID(CIMB_CC_det_in[Col1],13,9))</f>
        <v xml:space="preserve"> 95889253</v>
      </c>
      <c r="C21" s="1" t="str">
        <f>(MID(CIMB_CC_det_in[Col1],24,16))</f>
        <v>4444444444444444</v>
      </c>
      <c r="D21" s="1" t="str">
        <f>(MID(CIMB_CC_det_in[Col1],40,4))</f>
        <v>0127</v>
      </c>
      <c r="E21" s="1">
        <f>VALUE(INT((MID(CIMB_CC_det_in[Col1],44,8)))&amp;"."&amp;MID(CIMB_CC_det_in[Col1],52,2))</f>
        <v>918</v>
      </c>
      <c r="F21" s="1" t="str">
        <f>(MID(CIMB_CC_det_in[Col1],89,3))</f>
        <v>R03</v>
      </c>
      <c r="G21" s="1"/>
      <c r="J21" s="1"/>
      <c r="K21" s="1"/>
    </row>
    <row r="22" spans="1:18" x14ac:dyDescent="0.25">
      <c r="A22" s="1"/>
      <c r="B22" s="1"/>
      <c r="C22" s="1"/>
      <c r="D22" s="1"/>
      <c r="E22" s="1"/>
      <c r="F22" s="1"/>
      <c r="G22" s="1"/>
      <c r="J22" s="1"/>
      <c r="K22" s="1"/>
    </row>
    <row r="23" spans="1:18" x14ac:dyDescent="0.25">
      <c r="A23" s="1"/>
      <c r="B23" s="4" t="s">
        <v>14</v>
      </c>
      <c r="C23" s="1"/>
      <c r="D23" s="1"/>
      <c r="E23" s="1"/>
      <c r="F23" s="1"/>
      <c r="G23" s="1"/>
      <c r="H23" s="1"/>
      <c r="I23" s="1"/>
      <c r="J23" s="1"/>
      <c r="K23" s="1"/>
    </row>
    <row r="24" spans="1:18" x14ac:dyDescent="0.25">
      <c r="B24" s="1" t="s">
        <v>38</v>
      </c>
    </row>
    <row r="25" spans="1:18" x14ac:dyDescent="0.25">
      <c r="B25" s="1" t="str">
        <f>(RIGHT(CIMB_CC_hdr_in[Col1],6))</f>
        <v>240101</v>
      </c>
    </row>
    <row r="27" spans="1:18" x14ac:dyDescent="0.25">
      <c r="B27" s="4" t="s">
        <v>15</v>
      </c>
      <c r="C27" s="1"/>
      <c r="D27" s="1"/>
      <c r="E27" s="1"/>
      <c r="F27" s="1"/>
      <c r="H27" s="1"/>
      <c r="I27" s="1"/>
      <c r="J27" s="1"/>
      <c r="K27" s="1"/>
      <c r="L27" s="1"/>
      <c r="N27" s="1"/>
      <c r="O27" s="1"/>
      <c r="P27" s="1"/>
      <c r="Q27" s="1"/>
      <c r="R27" s="1"/>
    </row>
    <row r="28" spans="1:18" x14ac:dyDescent="0.25">
      <c r="B28" s="1" t="s">
        <v>25</v>
      </c>
      <c r="C28" s="1" t="s">
        <v>52</v>
      </c>
      <c r="E28" s="1"/>
      <c r="F28" s="1"/>
      <c r="G28" s="1"/>
      <c r="H28" s="1"/>
      <c r="I28" s="1"/>
      <c r="K28" s="1"/>
      <c r="L28" s="1"/>
      <c r="M28" s="1"/>
      <c r="N28" s="1"/>
      <c r="O28" s="1"/>
    </row>
    <row r="29" spans="1:18" x14ac:dyDescent="0.25">
      <c r="B29" s="1">
        <f>INT((MID(CIMB_CC_ftr_in[Col1],2,3)))</f>
        <v>2</v>
      </c>
      <c r="C29" s="1">
        <f>VALUE(INT(MID(CIMB_CC_ftr_in[Col1],5,11)) &amp;"." &amp; MID(CIMB_CC_ftr_in[Col1],16,2))</f>
        <v>736</v>
      </c>
      <c r="E29" s="1"/>
      <c r="F29" s="1"/>
      <c r="G29" s="1"/>
      <c r="H29" s="1"/>
      <c r="I29" s="1"/>
      <c r="K29" s="1"/>
      <c r="L29" s="1"/>
      <c r="M29" s="1"/>
      <c r="N29" s="1"/>
      <c r="O29" s="1"/>
    </row>
    <row r="30" spans="1:18" x14ac:dyDescent="0.25">
      <c r="H30" s="1"/>
      <c r="I30" s="1"/>
      <c r="J30" s="1"/>
      <c r="K30" s="1"/>
      <c r="L30" s="1"/>
      <c r="N30" s="1"/>
      <c r="O30" s="1"/>
      <c r="P30" s="1"/>
      <c r="Q30" s="1"/>
      <c r="R30" s="1"/>
    </row>
    <row r="32" spans="1:18" x14ac:dyDescent="0.25">
      <c r="A32" s="1"/>
      <c r="B32" s="3" t="s">
        <v>8</v>
      </c>
      <c r="C32" s="1"/>
      <c r="D32" s="1"/>
      <c r="E32" s="1"/>
      <c r="F32" s="1"/>
      <c r="G32" s="1"/>
    </row>
    <row r="33" spans="1:9" x14ac:dyDescent="0.25">
      <c r="A33" s="1"/>
      <c r="B33" s="1" t="s">
        <v>22</v>
      </c>
      <c r="C33" s="1" t="s">
        <v>41</v>
      </c>
      <c r="D33" s="1" t="s">
        <v>58</v>
      </c>
      <c r="E33" s="1" t="s">
        <v>53</v>
      </c>
      <c r="F33" s="1" t="s">
        <v>23</v>
      </c>
      <c r="G33" s="1" t="s">
        <v>51</v>
      </c>
      <c r="H33" s="1" t="s">
        <v>50</v>
      </c>
      <c r="I33" s="1" t="s">
        <v>37</v>
      </c>
    </row>
    <row r="34" spans="1:9" x14ac:dyDescent="0.25">
      <c r="A34" s="1"/>
      <c r="B34" s="1">
        <v>99999999</v>
      </c>
      <c r="C34" s="1">
        <v>1220111</v>
      </c>
      <c r="D34" s="1" t="str">
        <f>TEXT(INT((CIMB_CC_det_out_com[Amount])),"00000000")</f>
        <v>01220111</v>
      </c>
      <c r="E34" s="1" t="str">
        <f>(RIGHT((TEXT(CIMB_CC_det_out_com[Amount]-INT(CIMB_CC_det_out_com[Amount]),"0.00")),2))</f>
        <v>00</v>
      </c>
      <c r="F34" s="1">
        <v>12333333</v>
      </c>
      <c r="G34" s="1" t="str">
        <f>("1" &amp; (RIGHT(REPT(" ",19) &amp; CIMB_CC_det_out_com[PolicyNo],19)))</f>
        <v>1           99999999</v>
      </c>
      <c r="H34" s="1">
        <v>16</v>
      </c>
      <c r="I34" s="6" t="s">
        <v>114</v>
      </c>
    </row>
    <row r="35" spans="1:9" x14ac:dyDescent="0.25">
      <c r="A35" s="1"/>
      <c r="B35" s="1"/>
      <c r="C35" s="1"/>
      <c r="D35" s="1"/>
      <c r="E35" s="1"/>
      <c r="F35" s="1"/>
      <c r="G35" s="1"/>
      <c r="H35" s="1"/>
      <c r="I35" s="1"/>
    </row>
    <row r="36" spans="1:9" x14ac:dyDescent="0.25">
      <c r="A36" s="1"/>
      <c r="B36" s="3" t="s">
        <v>12</v>
      </c>
      <c r="C36" s="1"/>
      <c r="D36" s="1"/>
      <c r="E36" s="1"/>
      <c r="F36" s="1"/>
      <c r="G36" s="1"/>
      <c r="H36" s="1"/>
      <c r="I36" s="1"/>
    </row>
    <row r="37" spans="1:9" x14ac:dyDescent="0.25">
      <c r="A37" s="1"/>
      <c r="B37" s="1" t="s">
        <v>27</v>
      </c>
      <c r="C37" s="10" t="s">
        <v>26</v>
      </c>
      <c r="D37" s="1"/>
      <c r="E37" s="1"/>
      <c r="F37" s="1"/>
    </row>
    <row r="38" spans="1:9" x14ac:dyDescent="0.25">
      <c r="A38" s="1"/>
      <c r="B38" s="1" t="str">
        <f>(CONCATENATE("CIM",TEXT(SUM(CIMB_CC_hdr_out_com[currBatch],1),"0000"),".CTD"))</f>
        <v>CIM0011.CTD</v>
      </c>
      <c r="C38" s="1">
        <v>10</v>
      </c>
      <c r="D38" s="1"/>
      <c r="E38" s="1"/>
      <c r="F38" s="1"/>
    </row>
    <row r="39" spans="1:9" x14ac:dyDescent="0.25">
      <c r="A39" s="1"/>
      <c r="B39" s="1"/>
      <c r="C39" s="1"/>
      <c r="D39" s="1"/>
      <c r="E39" s="1"/>
      <c r="F39" s="1"/>
      <c r="G39" s="1"/>
      <c r="H39" s="1"/>
      <c r="I39" s="1"/>
    </row>
    <row r="40" spans="1:9" x14ac:dyDescent="0.25">
      <c r="A40" s="1"/>
      <c r="B40" s="3" t="s">
        <v>13</v>
      </c>
      <c r="C40" s="1"/>
      <c r="D40" s="1"/>
      <c r="E40" s="1"/>
      <c r="F40" s="1"/>
      <c r="G40" s="1"/>
      <c r="H40" s="1"/>
      <c r="I40" s="1"/>
    </row>
    <row r="41" spans="1:9" x14ac:dyDescent="0.25">
      <c r="A41" s="1"/>
      <c r="B41" s="1" t="s">
        <v>25</v>
      </c>
      <c r="C41" s="1" t="s">
        <v>52</v>
      </c>
      <c r="D41" s="1"/>
      <c r="E41" s="1"/>
      <c r="F41" s="1"/>
    </row>
    <row r="42" spans="1:9" x14ac:dyDescent="0.25">
      <c r="A42" s="1"/>
      <c r="B42" s="1"/>
      <c r="C42" s="1">
        <v>0</v>
      </c>
      <c r="D42" s="1"/>
      <c r="E42" s="1"/>
      <c r="F42" s="1"/>
    </row>
    <row r="43" spans="1:9" x14ac:dyDescent="0.25">
      <c r="A43" s="1"/>
      <c r="B43" s="1">
        <f>(CIMB_CC_ftr_out_com[Count]+1)</f>
        <v>1</v>
      </c>
      <c r="C43" s="1">
        <f>(SUM(CIMB_CC_ftr_out_com[Sum],CIMB_CC_det_out_com[Amount]))</f>
        <v>1220111</v>
      </c>
      <c r="D43" s="1"/>
      <c r="E43" s="1"/>
      <c r="F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9</v>
      </c>
      <c r="C46" s="1"/>
      <c r="D46" s="1"/>
      <c r="E46" s="1"/>
    </row>
    <row r="47" spans="1:9" x14ac:dyDescent="0.25">
      <c r="A47" s="1"/>
      <c r="B47" s="1" t="s">
        <v>4</v>
      </c>
      <c r="C47" s="1" t="s">
        <v>5</v>
      </c>
      <c r="D47" s="1" t="s">
        <v>6</v>
      </c>
      <c r="E47" s="1"/>
    </row>
    <row r="48" spans="1:9" x14ac:dyDescent="0.25">
      <c r="A48" s="1"/>
      <c r="B48" s="1" t="str">
        <f ca="1">CONCATENATE("HCRETAPSR01A       1  00000115011128400000000111",TEXT(TODAY(),"YYMMDD"))</f>
        <v>HCRETAPSR01A       1  00000115011128400000000111180706</v>
      </c>
      <c r="C48" s="1" t="str">
        <f>CONCATENATE("D",CIMB_CC_det_out_com[UserAccount],CIMB_CC_det_out_com[CardLength],CIMB_CC_det_out_com[CardNo],CIMB_CC_det_out_com[Expiry],REPT("0",10-LEN(CIMB_CC_det_out_com[Amount])),CIMB_CC_det_out_com[Amount],CIMB_CC_det_out_com[PolicyNo],REPT(" ",25-LEN(CIMB_CC_det_out_com[PolicyNo])))</f>
        <v xml:space="preserve">D1           9999999916123333330812000122011199999999                 </v>
      </c>
      <c r="D48" s="1" t="str">
        <f>CONCATENATE("T",(TEXT(CIMB_CC_ftr_out_com[[#Totals],[Count]],"000000")),TEXT(INT(CIMB_CC_ftr_out_com[[#Totals],[Sum]]),"0000000000000"))</f>
        <v>T0000010000001220111</v>
      </c>
      <c r="E48" s="1"/>
    </row>
    <row r="49" spans="1:9" x14ac:dyDescent="0.25">
      <c r="A49" s="1"/>
      <c r="B49" s="1"/>
      <c r="C49" s="1"/>
      <c r="D49" s="1"/>
      <c r="E49" s="1"/>
      <c r="F49" s="1"/>
      <c r="G49" s="1"/>
      <c r="H49" s="1"/>
      <c r="I49" s="1"/>
    </row>
  </sheetData>
  <dataValidations disablePrompts="1" count="1">
    <dataValidation type="list" allowBlank="1" showInputMessage="1" showErrorMessage="1" sqref="K4" xr:uid="{0B48B93D-AA9E-42D3-A59C-12DDCCC969B7}">
      <formula1>"Y,N"</formula1>
    </dataValidation>
  </dataValidations>
  <pageMargins left="0.7" right="0.7" top="0.75" bottom="0.75" header="0.3" footer="0.3"/>
  <legacyDrawing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B5BD-254F-4B76-93EA-4572A91D7A5E}">
  <dimension ref="B2:K19"/>
  <sheetViews>
    <sheetView zoomScaleNormal="100" workbookViewId="0">
      <selection activeCell="B16" sqref="B16"/>
    </sheetView>
  </sheetViews>
  <sheetFormatPr defaultColWidth="8.7109375" defaultRowHeight="12" x14ac:dyDescent="0.2"/>
  <cols>
    <col min="1" max="1" width="8.7109375" style="1"/>
    <col min="2" max="2" width="20.140625" style="1" customWidth="1"/>
    <col min="3" max="3" width="25.85546875" style="1" bestFit="1" customWidth="1"/>
    <col min="4" max="4" width="14" style="1" bestFit="1" customWidth="1"/>
    <col min="5" max="5" width="11.28515625" style="1" customWidth="1"/>
    <col min="6" max="6" width="11.85546875" style="1" customWidth="1"/>
    <col min="7" max="7" width="16.85546875" style="1" bestFit="1" customWidth="1"/>
    <col min="8" max="8" width="14.85546875" style="1" bestFit="1" customWidth="1"/>
    <col min="9" max="9" width="17.42578125" style="1" customWidth="1"/>
    <col min="10" max="10" width="13" style="1" bestFit="1" customWidth="1"/>
    <col min="11" max="11" width="16.85546875" style="1" bestFit="1" customWidth="1"/>
    <col min="12" max="12" width="12.5703125" style="1" bestFit="1" customWidth="1"/>
    <col min="13" max="13" width="8.7109375" style="1"/>
    <col min="14" max="14" width="11.7109375" style="1" customWidth="1"/>
    <col min="15" max="16384" width="8.7109375" style="1"/>
  </cols>
  <sheetData>
    <row r="2" spans="2:11" x14ac:dyDescent="0.2">
      <c r="B2" s="5" t="s">
        <v>295</v>
      </c>
    </row>
    <row r="3" spans="2:11" ht="15" customHeight="1" x14ac:dyDescent="0.2">
      <c r="B3" s="1" t="s">
        <v>0</v>
      </c>
      <c r="C3" s="1" t="s">
        <v>1</v>
      </c>
      <c r="D3" s="1" t="s">
        <v>32</v>
      </c>
      <c r="E3" s="1" t="s">
        <v>33</v>
      </c>
      <c r="F3" s="1" t="s">
        <v>34</v>
      </c>
      <c r="G3" s="1" t="s">
        <v>31</v>
      </c>
      <c r="H3" s="1" t="s">
        <v>84</v>
      </c>
      <c r="I3" s="1" t="s">
        <v>35</v>
      </c>
      <c r="J3" s="1" t="s">
        <v>29</v>
      </c>
      <c r="K3" s="10" t="s">
        <v>24</v>
      </c>
    </row>
    <row r="4" spans="2:11" ht="15" customHeight="1" x14ac:dyDescent="0.2">
      <c r="B4" s="1" t="s">
        <v>294</v>
      </c>
      <c r="C4" s="1" t="s">
        <v>44</v>
      </c>
      <c r="I4" s="1">
        <v>999</v>
      </c>
      <c r="J4" s="11" t="s">
        <v>30</v>
      </c>
      <c r="K4" s="1" t="s">
        <v>293</v>
      </c>
    </row>
    <row r="5" spans="2:11" ht="15.6" customHeight="1" x14ac:dyDescent="0.2"/>
    <row r="7" spans="2:11" x14ac:dyDescent="0.2">
      <c r="B7" s="3" t="s">
        <v>292</v>
      </c>
    </row>
    <row r="8" spans="2:11" x14ac:dyDescent="0.2">
      <c r="B8" s="1" t="s">
        <v>43</v>
      </c>
      <c r="C8" s="1" t="s">
        <v>41</v>
      </c>
      <c r="D8" s="1" t="s">
        <v>38</v>
      </c>
      <c r="E8" s="1" t="s">
        <v>22</v>
      </c>
      <c r="F8" s="1" t="s">
        <v>281</v>
      </c>
    </row>
    <row r="9" spans="2:11" x14ac:dyDescent="0.2">
      <c r="B9" s="1">
        <v>1234567</v>
      </c>
      <c r="C9" s="1">
        <v>10.65</v>
      </c>
      <c r="D9" s="1" t="s">
        <v>142</v>
      </c>
      <c r="F9" s="23">
        <v>123456</v>
      </c>
    </row>
    <row r="12" spans="2:11" x14ac:dyDescent="0.2">
      <c r="B12" s="3" t="s">
        <v>291</v>
      </c>
    </row>
    <row r="13" spans="2:11" x14ac:dyDescent="0.2">
      <c r="B13" s="1" t="s">
        <v>27</v>
      </c>
      <c r="C13" s="10" t="s">
        <v>26</v>
      </c>
    </row>
    <row r="14" spans="2:11" x14ac:dyDescent="0.2">
      <c r="B14" s="1" t="str">
        <f ca="1">CONCATENATE("EBANKRECEIPT","_",TEXT(TODAY(),"YYYYMMDD"),".txt")</f>
        <v>EBANKRECEIPT_20180706.txt</v>
      </c>
      <c r="C14" s="1">
        <v>0</v>
      </c>
      <c r="D14" s="14"/>
    </row>
    <row r="15" spans="2:11" x14ac:dyDescent="0.2">
      <c r="I15" s="6"/>
    </row>
    <row r="17" spans="2:4" x14ac:dyDescent="0.2">
      <c r="B17" s="3" t="s">
        <v>290</v>
      </c>
    </row>
    <row r="18" spans="2:4" x14ac:dyDescent="0.2">
      <c r="B18" s="1" t="s">
        <v>4</v>
      </c>
      <c r="C18" s="1" t="s">
        <v>5</v>
      </c>
      <c r="D18" s="1" t="s">
        <v>6</v>
      </c>
    </row>
    <row r="19" spans="2:4" x14ac:dyDescent="0.2">
      <c r="C19" s="1" t="str">
        <f>(IL_EBank_det_out_com[Date] &amp; "|" &amp;IL_EBank_det_out_com[CustomerName]  &amp; "|" &amp; IL_EBank_det_out_com[Amount])</f>
        <v>XXXXXXXXXXXXXXX|1234567|10.65</v>
      </c>
    </row>
  </sheetData>
  <dataValidations count="1">
    <dataValidation type="list" allowBlank="1" showInputMessage="1" showErrorMessage="1" sqref="J4" xr:uid="{CE8A224D-6F65-4637-BF4A-8F076EE1C708}">
      <formula1>"Y,N"</formula1>
    </dataValidation>
  </dataValidations>
  <pageMargins left="0.7" right="0.7" top="0.75" bottom="0.75" header="0.3" footer="0.3"/>
  <pageSetup orientation="portrait" r:id="rId1"/>
  <legacyDrawing r:id="rId2"/>
  <tableParts count="4">
    <tablePart r:id="rId3"/>
    <tablePart r:id="rId4"/>
    <tablePart r:id="rId5"/>
    <tablePart r:id="rId6"/>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88040-C560-454C-AC39-62FA1B4E7309}">
  <dimension ref="A1:R49"/>
  <sheetViews>
    <sheetView topLeftCell="A30" workbookViewId="0">
      <selection activeCell="C48" sqref="C48"/>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92</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103</v>
      </c>
      <c r="C4" s="1" t="s">
        <v>104</v>
      </c>
      <c r="D4" s="1"/>
      <c r="E4" s="1" t="s">
        <v>45</v>
      </c>
      <c r="F4" s="1" t="s">
        <v>47</v>
      </c>
      <c r="G4" s="1" t="s">
        <v>105</v>
      </c>
      <c r="H4" s="1" t="b">
        <v>1</v>
      </c>
      <c r="I4" s="1" t="s">
        <v>67</v>
      </c>
      <c r="J4" s="1">
        <v>999</v>
      </c>
      <c r="K4" s="11" t="s">
        <v>30</v>
      </c>
      <c r="L4" s="1" t="s">
        <v>67</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93</v>
      </c>
      <c r="C7" s="1"/>
      <c r="D7" s="1"/>
      <c r="E7" s="1"/>
      <c r="F7" s="1"/>
      <c r="G7" s="1"/>
    </row>
    <row r="8" spans="1:18" x14ac:dyDescent="0.25">
      <c r="A8" s="1"/>
      <c r="B8" s="1" t="s">
        <v>2</v>
      </c>
      <c r="C8" s="1"/>
    </row>
    <row r="9" spans="1:18" x14ac:dyDescent="0.25">
      <c r="A9" s="1"/>
      <c r="B9" s="1" t="s">
        <v>106</v>
      </c>
      <c r="C9" s="1"/>
    </row>
    <row r="10" spans="1:18" x14ac:dyDescent="0.25">
      <c r="A10" s="1"/>
      <c r="B10" s="1"/>
      <c r="C10" s="1"/>
      <c r="D10" s="1"/>
      <c r="E10" s="1"/>
      <c r="F10" s="1"/>
      <c r="G10" s="1"/>
      <c r="J10" s="1"/>
      <c r="K10" s="1"/>
    </row>
    <row r="11" spans="1:18" x14ac:dyDescent="0.25">
      <c r="A11" s="1"/>
      <c r="B11" s="4" t="s">
        <v>94</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108</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95</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16" t="s">
        <v>107</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96</v>
      </c>
      <c r="C19" s="1"/>
      <c r="D19" s="1"/>
      <c r="E19" s="1"/>
      <c r="F19" s="1"/>
      <c r="G19" s="1"/>
      <c r="J19" s="1"/>
      <c r="K19" s="1"/>
    </row>
    <row r="20" spans="1:18" x14ac:dyDescent="0.25">
      <c r="A20" s="1"/>
      <c r="B20" s="1" t="s">
        <v>22</v>
      </c>
      <c r="C20" s="1" t="s">
        <v>23</v>
      </c>
      <c r="D20" s="1" t="s">
        <v>37</v>
      </c>
      <c r="E20" s="1" t="s">
        <v>41</v>
      </c>
      <c r="F20" s="1" t="s">
        <v>138</v>
      </c>
      <c r="G20" s="1"/>
      <c r="J20" s="1"/>
      <c r="K20" s="1"/>
    </row>
    <row r="21" spans="1:18" x14ac:dyDescent="0.25">
      <c r="A21" s="1"/>
      <c r="B21" s="1" t="str">
        <f>(MID(SCB_CC_det_in[Col1],45,15))</f>
        <v xml:space="preserve">  95889254     </v>
      </c>
      <c r="C21" s="1" t="str">
        <f>(MID(SCB_CC_det_in[Col1],7,19))</f>
        <v xml:space="preserve">5520408895889254   </v>
      </c>
      <c r="D21" s="1" t="str">
        <f>(MID(SCB_CC_det_in[Col1],26,4))</f>
        <v>0127</v>
      </c>
      <c r="E21" s="1" t="str">
        <f>(MID(SCB_CC_det_in[Col1],30,13))</f>
        <v>0000000035800</v>
      </c>
      <c r="F21" s="1" t="str">
        <f>(MID(SCB_CC_det_in[Col1],43,2))</f>
        <v>04</v>
      </c>
      <c r="G21" s="1"/>
      <c r="J21" s="1"/>
      <c r="K21" s="1"/>
    </row>
    <row r="22" spans="1:18" x14ac:dyDescent="0.25">
      <c r="A22" s="1"/>
      <c r="B22" s="1"/>
      <c r="C22" s="1"/>
      <c r="D22" s="1"/>
      <c r="E22" s="1"/>
      <c r="F22" s="1"/>
      <c r="G22" s="1"/>
      <c r="J22" s="1"/>
      <c r="K22" s="1"/>
    </row>
    <row r="23" spans="1:18" x14ac:dyDescent="0.25">
      <c r="A23" s="1"/>
      <c r="B23" s="4" t="s">
        <v>97</v>
      </c>
      <c r="C23" s="1"/>
      <c r="D23" s="1"/>
      <c r="E23" s="1"/>
      <c r="F23" s="1"/>
      <c r="G23" s="1"/>
      <c r="H23" s="1"/>
      <c r="I23" s="1"/>
      <c r="J23" s="1"/>
      <c r="K23" s="1"/>
    </row>
    <row r="24" spans="1:18" x14ac:dyDescent="0.25">
      <c r="B24" s="1" t="s">
        <v>38</v>
      </c>
    </row>
    <row r="25" spans="1:18" x14ac:dyDescent="0.25">
      <c r="B25" s="1"/>
    </row>
    <row r="27" spans="1:18" x14ac:dyDescent="0.25">
      <c r="B27" s="4" t="s">
        <v>98</v>
      </c>
      <c r="C27" s="1"/>
      <c r="D27" s="1"/>
      <c r="E27" s="1"/>
      <c r="F27" s="1"/>
      <c r="H27" s="1"/>
      <c r="I27" s="1"/>
      <c r="J27" s="1"/>
      <c r="K27" s="1"/>
      <c r="L27" s="1"/>
      <c r="N27" s="1"/>
      <c r="O27" s="1"/>
      <c r="P27" s="1"/>
      <c r="Q27" s="1"/>
      <c r="R27" s="1"/>
    </row>
    <row r="28" spans="1:18" x14ac:dyDescent="0.25">
      <c r="B28" s="1" t="s">
        <v>25</v>
      </c>
      <c r="C28" s="1" t="s">
        <v>52</v>
      </c>
      <c r="E28" s="1"/>
      <c r="F28" s="1"/>
      <c r="G28" s="1"/>
      <c r="H28" s="1"/>
      <c r="I28" s="1"/>
      <c r="K28" s="1"/>
      <c r="L28" s="1"/>
      <c r="M28" s="1"/>
      <c r="N28" s="1"/>
      <c r="O28" s="1"/>
    </row>
    <row r="29" spans="1:18" x14ac:dyDescent="0.25">
      <c r="B29" s="1"/>
      <c r="C29" s="1"/>
      <c r="E29" s="1"/>
      <c r="F29" s="1"/>
      <c r="G29" s="1"/>
      <c r="H29" s="1"/>
      <c r="I29" s="1"/>
      <c r="K29" s="1"/>
      <c r="L29" s="1"/>
      <c r="M29" s="1"/>
      <c r="N29" s="1"/>
      <c r="O29" s="1"/>
    </row>
    <row r="30" spans="1:18" x14ac:dyDescent="0.25">
      <c r="H30" s="1"/>
      <c r="I30" s="1"/>
      <c r="J30" s="1"/>
      <c r="K30" s="1"/>
      <c r="L30" s="1"/>
      <c r="N30" s="1"/>
      <c r="O30" s="1"/>
      <c r="P30" s="1"/>
      <c r="Q30" s="1"/>
      <c r="R30" s="1"/>
    </row>
    <row r="32" spans="1:18" x14ac:dyDescent="0.25">
      <c r="A32" s="1"/>
      <c r="B32" s="3" t="s">
        <v>99</v>
      </c>
      <c r="C32" s="1"/>
      <c r="D32" s="1"/>
      <c r="E32" s="1"/>
      <c r="F32" s="1"/>
      <c r="G32" s="1"/>
    </row>
    <row r="33" spans="1:9" x14ac:dyDescent="0.25">
      <c r="A33" s="1"/>
      <c r="B33" s="1" t="s">
        <v>144</v>
      </c>
      <c r="C33" s="1" t="s">
        <v>145</v>
      </c>
      <c r="D33" s="1" t="s">
        <v>23</v>
      </c>
      <c r="E33" s="1" t="s">
        <v>41</v>
      </c>
      <c r="F33" s="1" t="s">
        <v>22</v>
      </c>
      <c r="G33" s="1" t="s">
        <v>146</v>
      </c>
      <c r="H33" s="39" t="s">
        <v>40</v>
      </c>
    </row>
    <row r="34" spans="1:9" x14ac:dyDescent="0.25">
      <c r="A34" s="1"/>
      <c r="B34" s="25" t="s">
        <v>148</v>
      </c>
      <c r="C34" s="25" t="s">
        <v>147</v>
      </c>
      <c r="D34" s="25" t="s">
        <v>149</v>
      </c>
      <c r="E34" s="1">
        <v>1881</v>
      </c>
      <c r="F34" s="17">
        <v>71878818</v>
      </c>
      <c r="G34" s="17">
        <v>101</v>
      </c>
      <c r="H34" s="36" t="s">
        <v>460</v>
      </c>
    </row>
    <row r="35" spans="1:9" x14ac:dyDescent="0.25">
      <c r="A35" s="1"/>
      <c r="B35" s="1"/>
      <c r="C35" s="1"/>
      <c r="D35" s="1"/>
      <c r="E35" s="1"/>
      <c r="F35" s="1"/>
      <c r="G35" s="1"/>
      <c r="H35" s="1"/>
      <c r="I35" s="1"/>
    </row>
    <row r="36" spans="1:9" x14ac:dyDescent="0.25">
      <c r="A36" s="1"/>
      <c r="B36" s="3" t="s">
        <v>102</v>
      </c>
      <c r="C36" s="1"/>
      <c r="D36" s="1"/>
      <c r="E36" s="1"/>
      <c r="F36" s="1"/>
      <c r="G36" s="1"/>
      <c r="H36" s="1"/>
      <c r="I36" s="1"/>
    </row>
    <row r="37" spans="1:9" x14ac:dyDescent="0.25">
      <c r="A37" s="1"/>
      <c r="B37" s="1" t="s">
        <v>41</v>
      </c>
      <c r="C37" s="1" t="s">
        <v>27</v>
      </c>
      <c r="D37" s="10" t="s">
        <v>26</v>
      </c>
      <c r="E37" s="1" t="s">
        <v>25</v>
      </c>
      <c r="F37" s="1" t="s">
        <v>143</v>
      </c>
    </row>
    <row r="38" spans="1:9" x14ac:dyDescent="0.25">
      <c r="A38" s="1"/>
      <c r="B38" s="24">
        <v>120</v>
      </c>
      <c r="C38" s="1" t="str">
        <f>("PT" &amp; TEXT(SCB_CC_hdr_out_com[Amount],"DDMMYY")&amp; TEXT(SUM(SCB_CC_hdr_out_com[currBatch],1),"00") &amp;".DAT")</f>
        <v>PT29040004.DAT</v>
      </c>
      <c r="D38" s="1">
        <v>3</v>
      </c>
      <c r="E38" s="17">
        <v>345</v>
      </c>
      <c r="F38" s="17" t="str">
        <f>SCB_CC_det_out_com[TransNumber]</f>
        <v>23455</v>
      </c>
    </row>
    <row r="39" spans="1:9" x14ac:dyDescent="0.25">
      <c r="A39" s="1"/>
      <c r="B39" s="1"/>
      <c r="C39" s="1"/>
      <c r="D39" s="1"/>
      <c r="E39" s="1"/>
      <c r="F39" s="1"/>
      <c r="G39" s="1"/>
      <c r="H39" s="1"/>
      <c r="I39" s="1"/>
    </row>
    <row r="40" spans="1:9" x14ac:dyDescent="0.25">
      <c r="A40" s="1"/>
      <c r="B40" s="3" t="s">
        <v>101</v>
      </c>
      <c r="C40" s="1"/>
      <c r="D40" s="1"/>
      <c r="E40" s="1"/>
      <c r="F40" s="1"/>
      <c r="G40" s="1"/>
      <c r="H40" s="1"/>
      <c r="I40" s="1"/>
    </row>
    <row r="41" spans="1:9" x14ac:dyDescent="0.25">
      <c r="A41" s="1"/>
      <c r="B41" s="1" t="s">
        <v>25</v>
      </c>
      <c r="C41" s="1" t="s">
        <v>52</v>
      </c>
      <c r="D41" s="1"/>
      <c r="E41" s="1"/>
      <c r="F41" s="1"/>
    </row>
    <row r="42" spans="1:9" x14ac:dyDescent="0.25">
      <c r="A42" s="1"/>
      <c r="B42" s="1">
        <v>10</v>
      </c>
      <c r="C42" s="1">
        <v>1221</v>
      </c>
      <c r="D42" s="1"/>
      <c r="E42" s="1"/>
      <c r="F42" s="1"/>
    </row>
    <row r="43" spans="1:9" x14ac:dyDescent="0.25">
      <c r="A43" s="1"/>
      <c r="B43" s="1">
        <f>(SCB_CC_ftr_out_com[Count]+1)</f>
        <v>11</v>
      </c>
      <c r="C43" s="1">
        <f>(SUM(SCB_CC_ftr_out_com[Sum],SCB_CC_det_out_com[Amount]))</f>
        <v>3102</v>
      </c>
      <c r="D43" s="1"/>
      <c r="E43" s="1"/>
      <c r="F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100</v>
      </c>
      <c r="C46" s="1"/>
      <c r="D46" s="1"/>
      <c r="E46" s="1"/>
    </row>
    <row r="47" spans="1:9" x14ac:dyDescent="0.25">
      <c r="A47" s="1"/>
      <c r="B47" s="1" t="s">
        <v>4</v>
      </c>
      <c r="C47" s="1" t="s">
        <v>5</v>
      </c>
      <c r="D47" s="1" t="s">
        <v>6</v>
      </c>
      <c r="E47" s="1"/>
    </row>
    <row r="48" spans="1:9" x14ac:dyDescent="0.25">
      <c r="A48" s="1"/>
      <c r="B48" s="1" t="str">
        <f>CONCATENATE("H",SCB_CC_hdr_out_com[trrnno],"001","010170845","Prudential-Takaful","5960",REPT("0",4-LEN(SCB_CC_ftr_out_com[[#Totals],[Count]])),SCB_CC_ftr_out_com[[#Totals],[Count]],REPT("0",13-LEN(SCB_CC_ftr_out_com[[#Totals],[Sum]])),SCB_CC_ftr_out_com[[#Totals],[Sum]],"N",REPT(" ",20),"458","000000000000","          ")</f>
        <v xml:space="preserve">H23455001010170845Prudential-Takaful596000110000000003102N                    458000000000000          </v>
      </c>
      <c r="C48" s="1" t="str">
        <f>CONCATENATE("T",SCB_CC_det_out_com[TransNumber],SCB_CC_det_out_com[SeqNumber],"40",SCB_CC_det_out_com[ExpiryDate],REPT("0",10-LEN(SCB_CC_det_out_com[Amount])),SCB_CC_det_out_com[Amount],SCB_CC_det_out_com[PolicyNo],REPT(" ",25-LEN(SCB_CC_det_out_com[PolicyNo])),"01","          ","000000000000","95701499")</f>
        <v>T234550010400219000000188171878818                 01          00000000000095701499</v>
      </c>
      <c r="D48" s="1" t="str">
        <f>CONCATENATE("R","001",REPT("0",5-LEN(SCB_CC_ftr_out_com[[#Totals],[Count]])),SCB_CC_ftr_out_com[[#Totals],[Count]],REPT("0",13-LEN(SCB_CC_ftr_out_com[[#Totals],[Sum]])),SCB_CC_ftr_out_com[[#Totals],[Sum]],REPT(" ",83))</f>
        <v xml:space="preserve">R001000110000000003102                                                                                   </v>
      </c>
      <c r="E48" s="1"/>
    </row>
    <row r="49" spans="1:9" x14ac:dyDescent="0.25">
      <c r="A49" s="1"/>
      <c r="B49" s="1"/>
      <c r="C49" s="1"/>
      <c r="D49" s="1"/>
      <c r="E49" s="1"/>
      <c r="F49" s="1"/>
      <c r="G49" s="1"/>
      <c r="H49" s="1"/>
      <c r="I49" s="1"/>
    </row>
  </sheetData>
  <dataValidations disablePrompts="1" count="1">
    <dataValidation type="list" allowBlank="1" showInputMessage="1" showErrorMessage="1" sqref="K4" xr:uid="{37FF7AD4-E4BB-4D2F-B7A8-9F02AF75644B}">
      <formula1>"Y,N"</formula1>
    </dataValidation>
  </dataValidations>
  <pageMargins left="0.7" right="0.7" top="0.75" bottom="0.75" header="0.3" footer="0.3"/>
  <pageSetup paperSize="9" orientation="portrait" horizontalDpi="4294967293" verticalDpi="4294967293"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A0FF0-DD97-4A95-BEAE-D88791F42500}">
  <dimension ref="A1:R20"/>
  <sheetViews>
    <sheetView workbookViewId="0">
      <selection activeCell="H14" sqref="H14"/>
    </sheetView>
  </sheetViews>
  <sheetFormatPr defaultRowHeight="15" x14ac:dyDescent="0.25"/>
  <cols>
    <col min="2" max="2" width="22.42578125" customWidth="1"/>
    <col min="3" max="3" width="19.42578125" customWidth="1"/>
    <col min="4" max="4" width="12.140625" customWidth="1"/>
    <col min="5" max="5" width="14.5703125" customWidth="1"/>
    <col min="6" max="6" width="11.85546875" customWidth="1"/>
    <col min="7" max="7" width="15.7109375" customWidth="1"/>
    <col min="8" max="8" width="11.5703125" bestFit="1" customWidth="1"/>
    <col min="9" max="10" width="13.5703125" bestFit="1" customWidth="1"/>
    <col min="11" max="11" width="13.140625" bestFit="1" customWidth="1"/>
    <col min="12" max="12" width="13.7109375" customWidth="1"/>
    <col min="14" max="14" width="12.7109375" customWidth="1"/>
  </cols>
  <sheetData>
    <row r="1" spans="1:18" x14ac:dyDescent="0.25">
      <c r="A1" s="1"/>
      <c r="B1" s="1"/>
      <c r="C1" s="1"/>
      <c r="D1" s="1"/>
      <c r="E1" s="1"/>
      <c r="F1" s="1"/>
      <c r="G1" s="1"/>
      <c r="H1" s="1"/>
      <c r="I1" s="1"/>
      <c r="J1" s="1"/>
      <c r="K1" s="1"/>
      <c r="L1" s="1"/>
      <c r="M1" s="1"/>
    </row>
    <row r="2" spans="1:18" x14ac:dyDescent="0.25">
      <c r="A2" s="1"/>
      <c r="B2" s="5" t="s">
        <v>122</v>
      </c>
      <c r="C2" s="1"/>
      <c r="D2" s="1"/>
      <c r="E2" s="1"/>
      <c r="F2" s="1"/>
      <c r="G2" s="1"/>
      <c r="H2" s="1"/>
      <c r="I2" s="1"/>
      <c r="J2" s="1"/>
      <c r="K2" s="1"/>
      <c r="L2" s="1"/>
      <c r="M2" s="1"/>
    </row>
    <row r="3" spans="1:18" x14ac:dyDescent="0.25">
      <c r="A3" s="1"/>
      <c r="B3" s="1" t="s">
        <v>0</v>
      </c>
      <c r="C3" s="1" t="s">
        <v>28</v>
      </c>
      <c r="D3" s="1" t="s">
        <v>1</v>
      </c>
      <c r="E3" s="1" t="s">
        <v>32</v>
      </c>
      <c r="F3" s="1" t="s">
        <v>33</v>
      </c>
      <c r="G3" s="1" t="s">
        <v>34</v>
      </c>
      <c r="H3" s="1" t="s">
        <v>31</v>
      </c>
      <c r="I3" s="1" t="s">
        <v>85</v>
      </c>
      <c r="J3" s="1" t="s">
        <v>36</v>
      </c>
      <c r="K3" s="1" t="s">
        <v>29</v>
      </c>
      <c r="L3" s="10" t="s">
        <v>24</v>
      </c>
      <c r="M3" s="1"/>
      <c r="N3" s="1"/>
      <c r="O3" s="1"/>
      <c r="P3" s="1"/>
    </row>
    <row r="4" spans="1:18" x14ac:dyDescent="0.25">
      <c r="A4" s="1"/>
      <c r="B4" s="1" t="s">
        <v>127</v>
      </c>
      <c r="C4" s="1" t="s">
        <v>123</v>
      </c>
      <c r="D4" s="1"/>
      <c r="E4" s="1"/>
      <c r="F4" s="1" t="s">
        <v>124</v>
      </c>
      <c r="G4" s="1"/>
      <c r="H4" s="1" t="b">
        <v>1</v>
      </c>
      <c r="I4" s="1" t="s">
        <v>134</v>
      </c>
      <c r="J4" s="1">
        <v>0</v>
      </c>
      <c r="K4" s="11" t="s">
        <v>30</v>
      </c>
      <c r="L4" s="1"/>
      <c r="M4" s="1"/>
      <c r="N4" s="1"/>
      <c r="O4" s="1"/>
      <c r="P4" s="1"/>
    </row>
    <row r="5" spans="1:18" x14ac:dyDescent="0.25">
      <c r="A5" s="1"/>
      <c r="B5" s="1"/>
      <c r="C5" s="1"/>
      <c r="D5" s="1"/>
      <c r="E5" s="1"/>
      <c r="F5" s="1"/>
      <c r="G5" s="1"/>
      <c r="H5" s="1"/>
      <c r="I5" s="1"/>
      <c r="J5" s="1"/>
      <c r="K5" s="1"/>
      <c r="L5" s="1"/>
      <c r="M5" s="1"/>
    </row>
    <row r="6" spans="1:18" x14ac:dyDescent="0.25">
      <c r="A6" s="1"/>
      <c r="B6" s="9" t="s">
        <v>126</v>
      </c>
      <c r="C6" s="1"/>
      <c r="D6" s="1"/>
      <c r="E6" s="1"/>
      <c r="F6" s="1"/>
      <c r="G6" s="1"/>
      <c r="J6" s="1"/>
      <c r="K6" s="1"/>
      <c r="L6" s="1"/>
      <c r="M6" s="1"/>
    </row>
    <row r="7" spans="1:18" x14ac:dyDescent="0.25">
      <c r="A7" s="1"/>
      <c r="B7" s="10" t="s">
        <v>2</v>
      </c>
      <c r="C7" s="10" t="s">
        <v>125</v>
      </c>
      <c r="I7" s="1"/>
      <c r="M7" s="1"/>
    </row>
    <row r="8" spans="1:18" x14ac:dyDescent="0.25">
      <c r="A8" s="1"/>
      <c r="B8" s="39" t="s">
        <v>453</v>
      </c>
      <c r="C8" s="40" t="s">
        <v>454</v>
      </c>
      <c r="I8" s="1"/>
      <c r="N8" s="1"/>
    </row>
    <row r="9" spans="1:18" x14ac:dyDescent="0.25">
      <c r="A9" s="1"/>
      <c r="B9" s="1"/>
      <c r="C9" s="1"/>
      <c r="D9" s="1"/>
      <c r="E9" s="1"/>
      <c r="F9" s="1"/>
      <c r="G9" s="1"/>
      <c r="H9" s="1"/>
      <c r="I9" s="1"/>
      <c r="N9" s="1"/>
    </row>
    <row r="10" spans="1:18" x14ac:dyDescent="0.25">
      <c r="A10" s="1"/>
      <c r="B10" s="1"/>
      <c r="C10" s="1"/>
      <c r="D10" s="1"/>
      <c r="E10" s="1"/>
      <c r="F10" s="1"/>
      <c r="G10" s="1"/>
      <c r="H10" s="1"/>
      <c r="I10" s="1"/>
      <c r="J10" s="1"/>
      <c r="K10" s="1"/>
      <c r="L10" s="1"/>
      <c r="M10" s="1"/>
      <c r="N10" s="1"/>
      <c r="O10" s="1"/>
      <c r="P10" s="1"/>
      <c r="Q10" s="1"/>
      <c r="R10" s="1"/>
    </row>
    <row r="11" spans="1:18" x14ac:dyDescent="0.25">
      <c r="A11" s="1"/>
      <c r="B11" s="1"/>
      <c r="C11" s="1"/>
      <c r="D11" s="1"/>
      <c r="E11" s="1"/>
      <c r="F11" s="1"/>
      <c r="G11" s="1"/>
      <c r="H11" s="1"/>
      <c r="I11" s="1"/>
      <c r="J11" s="1"/>
      <c r="K11" s="1"/>
      <c r="L11" s="1"/>
      <c r="M11" s="1"/>
      <c r="N11" s="1"/>
      <c r="O11" s="1"/>
      <c r="P11" s="1"/>
      <c r="Q11" s="1"/>
      <c r="R11" s="1"/>
    </row>
    <row r="12" spans="1:18" x14ac:dyDescent="0.25">
      <c r="A12" s="1"/>
      <c r="B12" s="4" t="s">
        <v>128</v>
      </c>
      <c r="C12" s="1"/>
      <c r="D12" s="1"/>
      <c r="E12" s="1"/>
      <c r="F12" s="1"/>
      <c r="G12" s="1"/>
      <c r="J12" s="1"/>
      <c r="K12" s="1"/>
      <c r="L12" s="1"/>
      <c r="M12" s="1"/>
      <c r="N12" s="1"/>
      <c r="O12" s="1"/>
      <c r="P12" s="1"/>
      <c r="Q12" s="1"/>
      <c r="R12" s="1"/>
    </row>
    <row r="13" spans="1:18" x14ac:dyDescent="0.25">
      <c r="A13" s="1"/>
      <c r="B13" s="1" t="s">
        <v>22</v>
      </c>
      <c r="C13" s="1" t="s">
        <v>41</v>
      </c>
      <c r="D13" s="1" t="s">
        <v>129</v>
      </c>
      <c r="E13" s="1" t="s">
        <v>43</v>
      </c>
      <c r="F13" s="1" t="s">
        <v>130</v>
      </c>
      <c r="G13" s="1" t="s">
        <v>131</v>
      </c>
      <c r="H13" s="1" t="s">
        <v>132</v>
      </c>
      <c r="I13" s="1"/>
      <c r="J13" s="1"/>
      <c r="K13" s="1"/>
    </row>
    <row r="14" spans="1:18" x14ac:dyDescent="0.25">
      <c r="A14" s="1"/>
      <c r="B14" s="1" t="str">
        <f>TRIM((MID(Biro_DD_det_in[Col1],20,10)))</f>
        <v>20005463</v>
      </c>
      <c r="C14" s="1">
        <f>VALUE((MID(Biro_DD_det_in[Col1],49,7)))</f>
        <v>34300</v>
      </c>
      <c r="D14" s="1" t="str">
        <f>TRIM((MID(Biro_DD_det_in[Col1],68,10)))</f>
        <v>1324454322</v>
      </c>
      <c r="E14" s="23" t="str">
        <f>TRIM((MID(Biro_DD_det_in[Col2],56,35)))</f>
        <v>BNC SHOBA K</v>
      </c>
      <c r="F14" s="23" t="str">
        <f>TRIM((MID(Biro_DD_det_in[Col1],3,12)))</f>
        <v>831111012332</v>
      </c>
      <c r="G14" s="23" t="str">
        <f>TRIM((MID(Biro_DD_det_in[Col1],91,10)))</f>
        <v/>
      </c>
      <c r="H14" s="23" t="str">
        <f>(MID(Biro_DD_det_in[Col1],32,6))</f>
        <v>201807</v>
      </c>
      <c r="I14" s="1"/>
      <c r="J14" s="1"/>
      <c r="K14" s="1"/>
    </row>
    <row r="15" spans="1:18" x14ac:dyDescent="0.25">
      <c r="A15" s="1"/>
      <c r="B15" s="1"/>
      <c r="C15" s="1"/>
      <c r="D15" s="1"/>
      <c r="E15" s="1"/>
      <c r="F15" s="1"/>
      <c r="G15" s="1"/>
      <c r="H15" s="1"/>
      <c r="I15" s="1"/>
      <c r="J15" s="1"/>
      <c r="K15" s="1"/>
      <c r="L15" s="1"/>
      <c r="M15" s="1"/>
    </row>
    <row r="17" spans="2:14" x14ac:dyDescent="0.25">
      <c r="J17" s="1"/>
      <c r="K17" s="1"/>
      <c r="L17" s="1"/>
      <c r="M17" s="1"/>
      <c r="N17" s="1"/>
    </row>
    <row r="18" spans="2:14" x14ac:dyDescent="0.25">
      <c r="B18" s="1"/>
      <c r="C18" s="1"/>
      <c r="D18" s="1"/>
      <c r="E18" s="1"/>
      <c r="F18" s="1"/>
      <c r="G18" s="1"/>
      <c r="H18" s="1"/>
      <c r="I18" s="1"/>
    </row>
    <row r="19" spans="2:14" x14ac:dyDescent="0.25">
      <c r="B19" s="1"/>
      <c r="C19" s="1"/>
      <c r="D19" s="1"/>
      <c r="E19" s="1"/>
      <c r="F19" s="1"/>
      <c r="G19" s="1"/>
      <c r="H19" s="1"/>
      <c r="I19" s="1"/>
    </row>
    <row r="20" spans="2:14" x14ac:dyDescent="0.25">
      <c r="B20" s="1"/>
      <c r="C20" s="1"/>
      <c r="D20" s="1"/>
      <c r="E20" s="1"/>
      <c r="F20" s="1"/>
      <c r="G20" s="1"/>
      <c r="H20" s="1"/>
      <c r="I20" s="1"/>
    </row>
  </sheetData>
  <dataValidations disablePrompts="1" count="1">
    <dataValidation type="list" allowBlank="1" showInputMessage="1" showErrorMessage="1" sqref="K3:K4" xr:uid="{69DB500E-B139-4023-835E-941693C4F755}">
      <formula1>"Y,N"</formula1>
    </dataValidation>
  </dataValidations>
  <pageMargins left="0.7" right="0.7" top="0.75" bottom="0.75" header="0.3" footer="0.3"/>
  <pageSetup orientation="portrait" r:id="rId1"/>
  <legacyDrawing r:id="rId2"/>
  <tableParts count="3">
    <tablePart r:id="rId3"/>
    <tablePart r:id="rId4"/>
    <tablePart r:id="rId5"/>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390A-467F-42CF-A0B6-6D82E16FFA17}">
  <dimension ref="B2:C9"/>
  <sheetViews>
    <sheetView workbookViewId="0">
      <selection activeCell="B17" sqref="B17"/>
    </sheetView>
  </sheetViews>
  <sheetFormatPr defaultRowHeight="15" x14ac:dyDescent="0.25"/>
  <cols>
    <col min="2" max="2" width="17.140625" bestFit="1" customWidth="1"/>
    <col min="3" max="3" width="16.42578125" customWidth="1"/>
  </cols>
  <sheetData>
    <row r="2" spans="2:3" x14ac:dyDescent="0.25">
      <c r="B2" s="22" t="s">
        <v>152</v>
      </c>
    </row>
    <row r="3" spans="2:3" x14ac:dyDescent="0.25">
      <c r="B3" t="s">
        <v>150</v>
      </c>
      <c r="C3" t="s">
        <v>83</v>
      </c>
    </row>
    <row r="4" spans="2:3" x14ac:dyDescent="0.25">
      <c r="B4">
        <v>13332</v>
      </c>
      <c r="C4" t="s">
        <v>273</v>
      </c>
    </row>
    <row r="5" spans="2:3" x14ac:dyDescent="0.25">
      <c r="B5">
        <v>10000</v>
      </c>
      <c r="C5" t="s">
        <v>66</v>
      </c>
    </row>
    <row r="6" spans="2:3" x14ac:dyDescent="0.25">
      <c r="B6" t="s">
        <v>464</v>
      </c>
      <c r="C6" t="s">
        <v>79</v>
      </c>
    </row>
    <row r="7" spans="2:3" x14ac:dyDescent="0.25">
      <c r="B7" t="s">
        <v>465</v>
      </c>
      <c r="C7" t="s">
        <v>103</v>
      </c>
    </row>
    <row r="8" spans="2:3" x14ac:dyDescent="0.25">
      <c r="B8" t="s">
        <v>461</v>
      </c>
      <c r="C8" t="s">
        <v>66</v>
      </c>
    </row>
    <row r="9" spans="2:3" x14ac:dyDescent="0.25">
      <c r="B9" t="s">
        <v>462</v>
      </c>
      <c r="C9" t="s">
        <v>177</v>
      </c>
    </row>
  </sheetData>
  <pageMargins left="0.7" right="0.7" top="0.75" bottom="0.75" header="0.3" footer="0.3"/>
  <legacy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3C11B-002E-4D3C-A51F-20C788B467ED}">
  <dimension ref="B3:L16"/>
  <sheetViews>
    <sheetView zoomScaleNormal="100" workbookViewId="0">
      <selection activeCell="D18" sqref="D18"/>
    </sheetView>
  </sheetViews>
  <sheetFormatPr defaultRowHeight="15" x14ac:dyDescent="0.25"/>
  <cols>
    <col min="2" max="2" width="16.5703125" customWidth="1"/>
    <col min="3" max="3" width="23.7109375" customWidth="1"/>
    <col min="4" max="4" width="19.42578125" customWidth="1"/>
    <col min="6" max="6" width="2.42578125" customWidth="1"/>
    <col min="7" max="7" width="2.5703125" customWidth="1"/>
    <col min="8" max="8" width="3" customWidth="1"/>
    <col min="9" max="9" width="20.42578125" customWidth="1"/>
    <col min="10" max="12" width="20.140625" customWidth="1"/>
  </cols>
  <sheetData>
    <row r="3" spans="2:12" x14ac:dyDescent="0.25">
      <c r="B3" s="7" t="s">
        <v>21</v>
      </c>
      <c r="C3" s="1"/>
      <c r="D3" s="1"/>
      <c r="E3" s="1"/>
      <c r="I3" s="7" t="s">
        <v>18</v>
      </c>
      <c r="J3" s="1"/>
      <c r="K3" s="1"/>
      <c r="L3" s="1"/>
    </row>
    <row r="4" spans="2:12" x14ac:dyDescent="0.25">
      <c r="B4" s="1" t="s">
        <v>4</v>
      </c>
      <c r="C4" s="1" t="s">
        <v>5</v>
      </c>
      <c r="D4" s="1" t="s">
        <v>6</v>
      </c>
      <c r="E4" s="1" t="s">
        <v>19</v>
      </c>
      <c r="I4" s="1" t="s">
        <v>4</v>
      </c>
      <c r="J4" s="1" t="s">
        <v>5</v>
      </c>
      <c r="K4" s="1" t="s">
        <v>6</v>
      </c>
      <c r="L4" s="1" t="s">
        <v>19</v>
      </c>
    </row>
    <row r="5" spans="2:12" x14ac:dyDescent="0.25">
      <c r="B5" s="1" t="s">
        <v>112</v>
      </c>
      <c r="C5" s="6" t="s">
        <v>119</v>
      </c>
      <c r="D5" s="1" t="str">
        <f>CONCATENATE("T",(TEXT(CIMB_CC_ftr_out_com[[#Totals],[Count]],"000000")),TEXT(INT(CIMB_CC_ftr_out_com[[#Totals],[Sum]]),"00000000000"),RIGHT((TEXT(MOD(MBB_CC_ftr_out_com[[#Totals],[Sum]],1),"0.00")),2))</f>
        <v>T0000010000122011100</v>
      </c>
      <c r="E5" s="1" t="str">
        <f ca="1">IF(AND(CIMB_CC_out[detail] = CIMB_out_expected[detail],CIMB_CC_out[header] = CIMB_out_expected[header],CIMB_CC_out[footer] = CIMB_out_expected[footer]),"PASS","FAIL")</f>
        <v>FAIL</v>
      </c>
      <c r="I5" s="1" t="e">
        <f>("H|" &amp; TEXT(#REF!,"YYYYMMDD"))</f>
        <v>#REF!</v>
      </c>
      <c r="J5" s="1" t="e">
        <f>("D|" &amp; IL_CC_det_out_com[Amount] &amp; "|RM|" &amp; IL_CC_det_out_com[PolicyNo] &amp; "|" &amp;#REF! &amp; "|" &amp; IL_CC_det_out_com[RejectCode] &amp;"|"&amp;IL_CC_det_out_com[RejectReason])</f>
        <v>#REF!</v>
      </c>
      <c r="K5" s="1" t="str">
        <f>("T|"&amp; IL_CC_ftr_out_com[[#Totals],[Count]]&amp;"|" &amp; IL_CC_ftr_out_com[[#Totals],[Sum]])</f>
        <v>T|1|1067</v>
      </c>
      <c r="L5" s="1" t="e">
        <f>IF(AND(IL_CC_out[detail] = IL_out_expected[detail],IL_CC_out[header] = IL_out_expected[header],IL_CC_out[footer] = IL_out_expected[footer]),"PASS","FAIL")</f>
        <v>#REF!</v>
      </c>
    </row>
    <row r="8" spans="2:12" x14ac:dyDescent="0.25">
      <c r="B8" s="7" t="s">
        <v>20</v>
      </c>
      <c r="C8" s="1"/>
      <c r="D8" s="1"/>
      <c r="E8" s="1"/>
    </row>
    <row r="9" spans="2:12" x14ac:dyDescent="0.25">
      <c r="B9" s="1" t="s">
        <v>4</v>
      </c>
      <c r="C9" s="1" t="s">
        <v>5</v>
      </c>
      <c r="D9" s="1" t="s">
        <v>6</v>
      </c>
      <c r="E9" s="1" t="s">
        <v>19</v>
      </c>
    </row>
    <row r="10" spans="2:12" ht="36.75" x14ac:dyDescent="0.25">
      <c r="B10" s="6" t="s">
        <v>49</v>
      </c>
      <c r="C10" s="19" t="s">
        <v>116</v>
      </c>
      <c r="D10" s="18" t="s">
        <v>115</v>
      </c>
      <c r="E10" s="1" t="str">
        <f ca="1">IF(AND(MBB_CC_out[detail] = MBB_out_expected[detail],MBB_CC_out[header] = MBB_out_expected[header],MBB_CC_out[footer] = MBB_out_expected[footer]),"PASS","FAIL")</f>
        <v>FAIL</v>
      </c>
    </row>
    <row r="14" spans="2:12" x14ac:dyDescent="0.25">
      <c r="C14" s="54" t="s">
        <v>120</v>
      </c>
      <c r="D14" s="55"/>
      <c r="E14" s="55"/>
      <c r="F14" s="55"/>
      <c r="G14" s="55"/>
      <c r="H14" s="55"/>
      <c r="I14" s="55"/>
    </row>
    <row r="15" spans="2:12" x14ac:dyDescent="0.25">
      <c r="C15" s="55"/>
      <c r="D15" s="55"/>
      <c r="E15" s="55"/>
      <c r="F15" s="55"/>
      <c r="G15" s="55"/>
      <c r="H15" s="55"/>
      <c r="I15" s="55"/>
    </row>
    <row r="16" spans="2:12" x14ac:dyDescent="0.25">
      <c r="C16" s="55"/>
      <c r="D16" s="55"/>
      <c r="E16" s="55"/>
      <c r="F16" s="55"/>
      <c r="G16" s="55"/>
      <c r="H16" s="55"/>
      <c r="I16" s="55"/>
    </row>
  </sheetData>
  <mergeCells count="1">
    <mergeCell ref="C14:I16"/>
  </mergeCells>
  <conditionalFormatting sqref="E5">
    <cfRule type="cellIs" dxfId="80" priority="7" operator="equal">
      <formula>"FAIL"</formula>
    </cfRule>
    <cfRule type="cellIs" dxfId="79" priority="8" operator="equal">
      <formula>"FAIL"</formula>
    </cfRule>
    <cfRule type="cellIs" dxfId="78" priority="9" operator="equal">
      <formula>"PASS"</formula>
    </cfRule>
  </conditionalFormatting>
  <conditionalFormatting sqref="C10">
    <cfRule type="cellIs" dxfId="77" priority="5" operator="equal">
      <formula>"FAIL"</formula>
    </cfRule>
    <cfRule type="cellIs" dxfId="76" priority="6" operator="equal">
      <formula>"PASS"</formula>
    </cfRule>
  </conditionalFormatting>
  <conditionalFormatting sqref="E10">
    <cfRule type="cellIs" dxfId="75" priority="3" operator="equal">
      <formula>"FAIL"</formula>
    </cfRule>
    <cfRule type="cellIs" dxfId="74" priority="4" operator="equal">
      <formula>"PASS"</formula>
    </cfRule>
  </conditionalFormatting>
  <conditionalFormatting sqref="L5">
    <cfRule type="cellIs" dxfId="73" priority="1" operator="equal">
      <formula>"PASS"</formula>
    </cfRule>
    <cfRule type="cellIs" dxfId="72" priority="2" operator="equal">
      <formula>"FAIL"</formula>
    </cfRule>
  </conditionalFormatting>
  <pageMargins left="0.7" right="0.7" top="0.75" bottom="0.75" header="0.3" footer="0.3"/>
  <tableParts count="3">
    <tablePart r:id="rId1"/>
    <tablePart r:id="rId2"/>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E617-4E42-4F24-B2FB-0BDC5A18296F}">
  <dimension ref="B3:L16"/>
  <sheetViews>
    <sheetView zoomScaleNormal="100" workbookViewId="0">
      <selection activeCell="D18" sqref="D18"/>
    </sheetView>
  </sheetViews>
  <sheetFormatPr defaultRowHeight="15" x14ac:dyDescent="0.25"/>
  <cols>
    <col min="2" max="2" width="16.5703125" customWidth="1"/>
    <col min="3" max="3" width="23.7109375" customWidth="1"/>
    <col min="4" max="4" width="19.42578125" customWidth="1"/>
    <col min="6" max="6" width="2.42578125" customWidth="1"/>
    <col min="7" max="7" width="2.5703125" customWidth="1"/>
    <col min="8" max="8" width="3" customWidth="1"/>
    <col min="9" max="9" width="20.42578125" customWidth="1"/>
    <col min="10" max="12" width="20.140625" customWidth="1"/>
  </cols>
  <sheetData>
    <row r="3" spans="2:12" x14ac:dyDescent="0.25">
      <c r="B3" s="7" t="s">
        <v>21</v>
      </c>
      <c r="C3" s="1"/>
      <c r="D3" s="1"/>
      <c r="E3" s="1"/>
      <c r="I3" s="7" t="s">
        <v>18</v>
      </c>
      <c r="J3" s="1"/>
      <c r="K3" s="1"/>
      <c r="L3" s="1"/>
    </row>
    <row r="4" spans="2:12" x14ac:dyDescent="0.25">
      <c r="B4" s="1" t="s">
        <v>4</v>
      </c>
      <c r="C4" s="1" t="s">
        <v>5</v>
      </c>
      <c r="D4" s="1" t="s">
        <v>6</v>
      </c>
      <c r="E4" s="1" t="s">
        <v>19</v>
      </c>
      <c r="I4" s="1" t="s">
        <v>4</v>
      </c>
      <c r="J4" s="1" t="s">
        <v>5</v>
      </c>
      <c r="K4" s="1" t="s">
        <v>6</v>
      </c>
      <c r="L4" s="1" t="s">
        <v>19</v>
      </c>
    </row>
    <row r="5" spans="2:12" x14ac:dyDescent="0.25">
      <c r="B5" s="1" t="s">
        <v>112</v>
      </c>
      <c r="C5" s="6" t="s">
        <v>119</v>
      </c>
      <c r="D5" s="1" t="e">
        <f>CONCATENATE("T",(TEXT(#REF!,"000000")),TEXT(INT(#REF!),"00000000000"),RIGHT((TEXT(MOD(#REF!,1),"0.00")),2))</f>
        <v>#REF!</v>
      </c>
      <c r="E5" s="1" t="e">
        <f>IF(AND(#REF! = CIMB_out_expected3738176[detail],#REF! = CIMB_out_expected3738176[header],#REF! = CIMB_out_expected3738176[footer]),"PASS","FAIL")</f>
        <v>#REF!</v>
      </c>
      <c r="I5" s="1" t="e">
        <f>("H|" &amp; TEXT(#REF!,"YYYYMMDD"))</f>
        <v>#REF!</v>
      </c>
      <c r="J5" s="1" t="e">
        <f>("D|" &amp;#REF! &amp; "|RM|" &amp;#REF! &amp; "|" &amp;#REF! &amp; "|" &amp;#REF! &amp;"|"&amp;#REF!)</f>
        <v>#REF!</v>
      </c>
      <c r="K5" s="1" t="e">
        <f>("T|" &amp;#REF!&amp;"|" &amp;#REF!)</f>
        <v>#REF!</v>
      </c>
      <c r="L5" s="1" t="e">
        <f>IF(AND(#REF! = IL_out_expected178[detail],#REF! = IL_out_expected178[header],#REF! = IL_out_expected178[footer]),"PASS","FAIL")</f>
        <v>#REF!</v>
      </c>
    </row>
    <row r="8" spans="2:12" x14ac:dyDescent="0.25">
      <c r="B8" s="7" t="s">
        <v>20</v>
      </c>
      <c r="C8" s="1"/>
      <c r="D8" s="1"/>
      <c r="E8" s="1"/>
    </row>
    <row r="9" spans="2:12" x14ac:dyDescent="0.25">
      <c r="B9" s="1" t="s">
        <v>4</v>
      </c>
      <c r="C9" s="1" t="s">
        <v>5</v>
      </c>
      <c r="D9" s="1" t="s">
        <v>6</v>
      </c>
      <c r="E9" s="1" t="s">
        <v>19</v>
      </c>
    </row>
    <row r="10" spans="2:12" ht="36.75" x14ac:dyDescent="0.25">
      <c r="B10" s="6" t="s">
        <v>49</v>
      </c>
      <c r="C10" s="19" t="s">
        <v>116</v>
      </c>
      <c r="D10" s="18" t="s">
        <v>115</v>
      </c>
      <c r="E10" s="1" t="e">
        <f>IF(AND(#REF! = MBB_out_expected37177[detail],#REF! = MBB_out_expected37177[header],#REF! = MBB_out_expected37177[footer]),"PASS","FAIL")</f>
        <v>#REF!</v>
      </c>
    </row>
    <row r="14" spans="2:12" x14ac:dyDescent="0.25">
      <c r="C14" s="54" t="s">
        <v>120</v>
      </c>
      <c r="D14" s="55"/>
      <c r="E14" s="55"/>
      <c r="F14" s="55"/>
      <c r="G14" s="55"/>
      <c r="H14" s="55"/>
      <c r="I14" s="55"/>
    </row>
    <row r="15" spans="2:12" x14ac:dyDescent="0.25">
      <c r="C15" s="55"/>
      <c r="D15" s="55"/>
      <c r="E15" s="55"/>
      <c r="F15" s="55"/>
      <c r="G15" s="55"/>
      <c r="H15" s="55"/>
      <c r="I15" s="55"/>
    </row>
    <row r="16" spans="2:12" x14ac:dyDescent="0.25">
      <c r="C16" s="55"/>
      <c r="D16" s="55"/>
      <c r="E16" s="55"/>
      <c r="F16" s="55"/>
      <c r="G16" s="55"/>
      <c r="H16" s="55"/>
      <c r="I16" s="55"/>
    </row>
  </sheetData>
  <mergeCells count="1">
    <mergeCell ref="C14:I16"/>
  </mergeCells>
  <conditionalFormatting sqref="E5">
    <cfRule type="cellIs" dxfId="53" priority="7" operator="equal">
      <formula>"FAIL"</formula>
    </cfRule>
    <cfRule type="cellIs" dxfId="52" priority="8" operator="equal">
      <formula>"FAIL"</formula>
    </cfRule>
    <cfRule type="cellIs" dxfId="51" priority="9" operator="equal">
      <formula>"PASS"</formula>
    </cfRule>
  </conditionalFormatting>
  <conditionalFormatting sqref="C10">
    <cfRule type="cellIs" dxfId="50" priority="5" operator="equal">
      <formula>"FAIL"</formula>
    </cfRule>
    <cfRule type="cellIs" dxfId="49" priority="6" operator="equal">
      <formula>"PASS"</formula>
    </cfRule>
  </conditionalFormatting>
  <conditionalFormatting sqref="E10">
    <cfRule type="cellIs" dxfId="48" priority="3" operator="equal">
      <formula>"FAIL"</formula>
    </cfRule>
    <cfRule type="cellIs" dxfId="47" priority="4" operator="equal">
      <formula>"PASS"</formula>
    </cfRule>
  </conditionalFormatting>
  <conditionalFormatting sqref="L5">
    <cfRule type="cellIs" dxfId="46" priority="1" operator="equal">
      <formula>"PASS"</formula>
    </cfRule>
    <cfRule type="cellIs" dxfId="45" priority="2" operator="equal">
      <formula>"FAIL"</formula>
    </cfRule>
  </conditionalFormatting>
  <pageMargins left="0.7" right="0.7" top="0.75" bottom="0.75" header="0.3" footer="0.3"/>
  <tableParts count="3">
    <tablePart r:id="rId1"/>
    <tablePart r:id="rId2"/>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A02D-050F-4ECE-902F-FA3E2D028F72}">
  <dimension ref="B3:L16"/>
  <sheetViews>
    <sheetView zoomScaleNormal="100" workbookViewId="0">
      <selection activeCell="D22" sqref="D22"/>
    </sheetView>
  </sheetViews>
  <sheetFormatPr defaultRowHeight="15" x14ac:dyDescent="0.25"/>
  <cols>
    <col min="2" max="2" width="16.5703125" customWidth="1"/>
    <col min="3" max="3" width="23.7109375" customWidth="1"/>
    <col min="4" max="4" width="19.42578125" customWidth="1"/>
    <col min="6" max="6" width="2.42578125" customWidth="1"/>
    <col min="7" max="7" width="2.5703125" customWidth="1"/>
    <col min="8" max="8" width="3" customWidth="1"/>
    <col min="9" max="9" width="20.42578125" customWidth="1"/>
    <col min="10" max="12" width="20.140625" customWidth="1"/>
  </cols>
  <sheetData>
    <row r="3" spans="2:12" x14ac:dyDescent="0.25">
      <c r="B3" s="7" t="s">
        <v>21</v>
      </c>
      <c r="C3" s="1"/>
      <c r="D3" s="1"/>
      <c r="E3" s="1"/>
      <c r="I3" s="7" t="s">
        <v>18</v>
      </c>
      <c r="J3" s="1"/>
      <c r="K3" s="1"/>
      <c r="L3" s="1"/>
    </row>
    <row r="4" spans="2:12" x14ac:dyDescent="0.25">
      <c r="B4" s="1" t="s">
        <v>4</v>
      </c>
      <c r="C4" s="1" t="s">
        <v>5</v>
      </c>
      <c r="D4" s="1" t="s">
        <v>6</v>
      </c>
      <c r="E4" s="1" t="s">
        <v>19</v>
      </c>
      <c r="I4" s="1" t="s">
        <v>4</v>
      </c>
      <c r="J4" s="1" t="s">
        <v>5</v>
      </c>
      <c r="K4" s="1" t="s">
        <v>6</v>
      </c>
      <c r="L4" s="1" t="s">
        <v>19</v>
      </c>
    </row>
    <row r="5" spans="2:12" x14ac:dyDescent="0.25">
      <c r="B5" s="1" t="s">
        <v>112</v>
      </c>
      <c r="C5" s="6" t="s">
        <v>119</v>
      </c>
      <c r="D5" s="1" t="str">
        <f>CONCATENATE("T",(TEXT(CIMB_DD_ftr_out_com[[#Totals],[Count]],"000000")),TEXT(INT(CIMB_DD_ftr_out_com[[#Totals],[Sum]]),"00000000000"),RIGHT((TEXT(MOD(MBB_DD_ftr_out_com[[#Totals],[Sum]],1),"0.00")),2))</f>
        <v>T0001340000000123400</v>
      </c>
      <c r="E5" s="1" t="str">
        <f>IF(AND(CIMB_DD_out[detail] = CIMB_out_expected3738265[detail],CIMB_DD_out[header] = CIMB_out_expected3738265[header],CIMB_DD_out[footer] = CIMB_out_expected3738265[footer]),"PASS","FAIL")</f>
        <v>FAIL</v>
      </c>
      <c r="I5" s="1" t="e">
        <f>("H|" &amp; TEXT(#REF!,"YYYYMMDD"))</f>
        <v>#REF!</v>
      </c>
      <c r="J5" s="1" t="e">
        <f ca="1">("D|" &amp; IL_DD_det_out_com[CustomerName] &amp; "|RM|" &amp; IL_DD_det_out_com[BillingDate] &amp; "|" &amp;#REF! &amp; "|" &amp; IL_DD_det_out_com[FactoringHouse] &amp;"|"&amp;IL_DD_det_out_com[BankRespCode])</f>
        <v>#REF!</v>
      </c>
      <c r="K5" s="1" t="str">
        <f ca="1">("T|"&amp; IL_DD_ftr_out_com[[#Totals],[Count]]&amp;"|" &amp; IL_DD_ftr_out_com[[#Totals],[Sum]])</f>
        <v>T|1|0</v>
      </c>
      <c r="L5" s="1" t="e">
        <f ca="1">IF(AND(IL_DD_out[detail] = IL_out_expected267[detail],IL_DD_out[header] = IL_out_expected267[header],IL_DD_out[footer] = IL_out_expected267[footer]),"PASS","FAIL")</f>
        <v>#REF!</v>
      </c>
    </row>
    <row r="8" spans="2:12" x14ac:dyDescent="0.25">
      <c r="B8" s="7" t="s">
        <v>20</v>
      </c>
      <c r="C8" s="1"/>
      <c r="D8" s="1"/>
      <c r="E8" s="1"/>
    </row>
    <row r="9" spans="2:12" x14ac:dyDescent="0.25">
      <c r="B9" s="1" t="s">
        <v>4</v>
      </c>
      <c r="C9" s="1" t="s">
        <v>5</v>
      </c>
      <c r="D9" s="1" t="s">
        <v>6</v>
      </c>
      <c r="E9" s="1" t="s">
        <v>19</v>
      </c>
    </row>
    <row r="10" spans="2:12" ht="36.75" x14ac:dyDescent="0.25">
      <c r="B10" s="6" t="s">
        <v>49</v>
      </c>
      <c r="C10" s="19" t="s">
        <v>116</v>
      </c>
      <c r="D10" s="18" t="s">
        <v>115</v>
      </c>
      <c r="E10" s="1" t="str">
        <f ca="1">IF(AND(MBB_DD_out[detail] = MBB_out_expected37266[detail],MBB_DD_out[header] = MBB_out_expected37266[header],MBB_DD_out[footer] = MBB_out_expected37266[footer]),"PASS","FAIL")</f>
        <v>FAIL</v>
      </c>
    </row>
    <row r="14" spans="2:12" x14ac:dyDescent="0.25">
      <c r="C14" s="54" t="s">
        <v>120</v>
      </c>
      <c r="D14" s="55"/>
      <c r="E14" s="55"/>
      <c r="F14" s="55"/>
      <c r="G14" s="55"/>
      <c r="H14" s="55"/>
      <c r="I14" s="55"/>
    </row>
    <row r="15" spans="2:12" x14ac:dyDescent="0.25">
      <c r="C15" s="55"/>
      <c r="D15" s="55"/>
      <c r="E15" s="55"/>
      <c r="F15" s="55"/>
      <c r="G15" s="55"/>
      <c r="H15" s="55"/>
      <c r="I15" s="55"/>
    </row>
    <row r="16" spans="2:12" x14ac:dyDescent="0.25">
      <c r="C16" s="55"/>
      <c r="D16" s="55"/>
      <c r="E16" s="55"/>
      <c r="F16" s="55"/>
      <c r="G16" s="55"/>
      <c r="H16" s="55"/>
      <c r="I16" s="55"/>
    </row>
  </sheetData>
  <mergeCells count="1">
    <mergeCell ref="C14:I16"/>
  </mergeCells>
  <conditionalFormatting sqref="E5">
    <cfRule type="cellIs" dxfId="26" priority="7" operator="equal">
      <formula>"FAIL"</formula>
    </cfRule>
    <cfRule type="cellIs" dxfId="25" priority="8" operator="equal">
      <formula>"FAIL"</formula>
    </cfRule>
    <cfRule type="cellIs" dxfId="24" priority="9" operator="equal">
      <formula>"PASS"</formula>
    </cfRule>
  </conditionalFormatting>
  <conditionalFormatting sqref="C10">
    <cfRule type="cellIs" dxfId="23" priority="5" operator="equal">
      <formula>"FAIL"</formula>
    </cfRule>
    <cfRule type="cellIs" dxfId="22" priority="6" operator="equal">
      <formula>"PASS"</formula>
    </cfRule>
  </conditionalFormatting>
  <conditionalFormatting sqref="E10">
    <cfRule type="cellIs" dxfId="21" priority="3" operator="equal">
      <formula>"FAIL"</formula>
    </cfRule>
    <cfRule type="cellIs" dxfId="20" priority="4" operator="equal">
      <formula>"PASS"</formula>
    </cfRule>
  </conditionalFormatting>
  <conditionalFormatting sqref="L5">
    <cfRule type="cellIs" dxfId="19" priority="1" operator="equal">
      <formula>"PASS"</formula>
    </cfRule>
    <cfRule type="cellIs" dxfId="18" priority="2" operator="equal">
      <formula>"FAIL"</formula>
    </cfRule>
  </conditionalFormatting>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E832-A9C7-423E-B3E3-CF97FC38ECFE}">
  <dimension ref="B2:L101"/>
  <sheetViews>
    <sheetView zoomScaleNormal="100" workbookViewId="0">
      <selection activeCell="I12" sqref="I12"/>
    </sheetView>
  </sheetViews>
  <sheetFormatPr defaultColWidth="8.7109375" defaultRowHeight="12" x14ac:dyDescent="0.2"/>
  <cols>
    <col min="1" max="1" width="8.7109375" style="1"/>
    <col min="2" max="2" width="25.140625" style="1" customWidth="1"/>
    <col min="3" max="3" width="20.140625" style="1" customWidth="1"/>
    <col min="4" max="4" width="40.140625" style="1" customWidth="1"/>
    <col min="5" max="5" width="12.85546875" style="1" bestFit="1" customWidth="1"/>
    <col min="6" max="6" width="13.42578125" style="1" customWidth="1"/>
    <col min="7" max="7" width="22.5703125" style="1" customWidth="1"/>
    <col min="8" max="8" width="14.85546875" style="1" bestFit="1" customWidth="1"/>
    <col min="9" max="9" width="17.42578125" style="1" customWidth="1"/>
    <col min="10" max="10" width="14.140625" style="1" customWidth="1"/>
    <col min="11" max="11" width="16.85546875" style="1" bestFit="1" customWidth="1"/>
    <col min="12" max="12" width="12.5703125" style="1" bestFit="1" customWidth="1"/>
    <col min="13" max="13" width="8.7109375" style="1"/>
    <col min="14" max="14" width="11.7109375" style="1" customWidth="1"/>
    <col min="15" max="16384" width="8.7109375" style="1"/>
  </cols>
  <sheetData>
    <row r="2" spans="2:11" x14ac:dyDescent="0.2">
      <c r="B2" s="5" t="s">
        <v>80</v>
      </c>
    </row>
    <row r="3" spans="2:11" ht="15" customHeight="1" x14ac:dyDescent="0.2">
      <c r="B3" s="1" t="s">
        <v>0</v>
      </c>
      <c r="C3" s="1" t="s">
        <v>1</v>
      </c>
      <c r="D3" s="1" t="s">
        <v>32</v>
      </c>
      <c r="E3" s="1" t="s">
        <v>33</v>
      </c>
      <c r="F3" s="1" t="s">
        <v>34</v>
      </c>
      <c r="G3" s="1" t="s">
        <v>31</v>
      </c>
      <c r="H3" s="1" t="s">
        <v>84</v>
      </c>
      <c r="I3" s="1" t="s">
        <v>35</v>
      </c>
      <c r="J3" s="1" t="s">
        <v>29</v>
      </c>
      <c r="K3" s="10" t="s">
        <v>24</v>
      </c>
    </row>
    <row r="4" spans="2:11" ht="15" customHeight="1" x14ac:dyDescent="0.2">
      <c r="B4" s="1" t="s">
        <v>67</v>
      </c>
      <c r="C4" s="1" t="s">
        <v>44</v>
      </c>
      <c r="G4" s="1" t="b">
        <f>IF(IL_CC_det_in[CardNumber] &lt;&gt; "", TRUE, FALSE)</f>
        <v>1</v>
      </c>
      <c r="H4" s="1" t="str">
        <f>VLOOKUP(IL_CC_det_in_com[FactoringHouse],RoutingRule[[FactoringHouse]:[Bank]],2,FALSE)</f>
        <v>MBB_CC</v>
      </c>
      <c r="I4" s="1">
        <v>999</v>
      </c>
      <c r="J4" s="11" t="s">
        <v>30</v>
      </c>
      <c r="K4" s="1" t="s">
        <v>66</v>
      </c>
    </row>
    <row r="5" spans="2:11" ht="14.1" customHeight="1" x14ac:dyDescent="0.2"/>
    <row r="7" spans="2:11" x14ac:dyDescent="0.2">
      <c r="B7" s="4" t="s">
        <v>87</v>
      </c>
    </row>
    <row r="8" spans="2:11" x14ac:dyDescent="0.2">
      <c r="B8" s="10" t="s">
        <v>39</v>
      </c>
      <c r="C8" s="10" t="s">
        <v>40</v>
      </c>
      <c r="D8" s="10" t="s">
        <v>41</v>
      </c>
      <c r="E8" s="10" t="s">
        <v>42</v>
      </c>
      <c r="F8" s="10" t="s">
        <v>139</v>
      </c>
      <c r="G8" s="10" t="s">
        <v>140</v>
      </c>
      <c r="H8" s="10" t="s">
        <v>141</v>
      </c>
    </row>
    <row r="9" spans="2:11" x14ac:dyDescent="0.2">
      <c r="B9" s="26" t="s">
        <v>151</v>
      </c>
      <c r="C9" s="6" t="s">
        <v>48</v>
      </c>
      <c r="D9" s="8">
        <v>123267</v>
      </c>
      <c r="E9" s="1">
        <v>99999999</v>
      </c>
      <c r="F9" s="1" t="s">
        <v>3</v>
      </c>
      <c r="G9" s="1" t="s">
        <v>461</v>
      </c>
      <c r="H9" s="14">
        <v>43213</v>
      </c>
    </row>
    <row r="12" spans="2:11" x14ac:dyDescent="0.2">
      <c r="B12" s="4" t="s">
        <v>86</v>
      </c>
    </row>
    <row r="13" spans="2:11" x14ac:dyDescent="0.2">
      <c r="B13" s="1" t="s">
        <v>22</v>
      </c>
      <c r="C13" s="1" t="s">
        <v>41</v>
      </c>
      <c r="D13" s="1" t="s">
        <v>23</v>
      </c>
      <c r="E13" s="1" t="s">
        <v>37</v>
      </c>
      <c r="F13" s="1" t="s">
        <v>82</v>
      </c>
      <c r="G13" s="1" t="s">
        <v>121</v>
      </c>
      <c r="H13" s="1" t="s">
        <v>150</v>
      </c>
    </row>
    <row r="14" spans="2:11" x14ac:dyDescent="0.2">
      <c r="B14" s="1" t="str">
        <f>TRIM(IL_CC_det_in[PolicyNumber])</f>
        <v>99999999</v>
      </c>
      <c r="C14" s="1">
        <f>VALUE(TRIM((TRUNC(IL_CC_det_in[Amount],2))))</f>
        <v>123267</v>
      </c>
      <c r="D14" s="13" t="str">
        <f>TRIM((IL_CC_det_in[CardNumber]))</f>
        <v>1234567812345670</v>
      </c>
      <c r="E14" s="1" t="str">
        <f>TRIM(IL_CC_det_in[ExpiryDate])</f>
        <v>0820</v>
      </c>
      <c r="F14" s="1">
        <v>111111</v>
      </c>
      <c r="G14" s="1" t="str">
        <f>(IL_CC_det_in[CardNumber])&amp;"    "&amp;IL_CC_src_config[Delimiter]&amp;IL_CC_det_in[ExpiryDate]&amp;"    "&amp;IL_CC_src_config[Delimiter]&amp; REPT("0",17-LEN(IL_CC_det_in[Amount])) &amp; IL_CC_det_in[Amount] &amp; IL_CC_src_config[Delimiter]&amp; IL_CC_det_in[PolicyNumber]&amp; IL_CC_src_config[Delimiter]&amp; IL_CC_det_out_com[RejectCode]</f>
        <v>1234567812345670    |0820    |00000000000123267|99999999|A</v>
      </c>
      <c r="H14" s="1" t="str">
        <f>TRIM(IL_CC_det_in[CardFactoringHouse])</f>
        <v>M1</v>
      </c>
    </row>
    <row r="18" spans="2:12" x14ac:dyDescent="0.2">
      <c r="B18" s="3" t="s">
        <v>88</v>
      </c>
    </row>
    <row r="19" spans="2:12" x14ac:dyDescent="0.2">
      <c r="B19" s="1" t="s">
        <v>22</v>
      </c>
      <c r="C19" s="1" t="s">
        <v>41</v>
      </c>
      <c r="D19" s="1" t="s">
        <v>23</v>
      </c>
      <c r="E19" s="1" t="s">
        <v>37</v>
      </c>
      <c r="F19" s="1" t="s">
        <v>138</v>
      </c>
      <c r="G19" s="1" t="s">
        <v>54</v>
      </c>
      <c r="H19" s="1" t="s">
        <v>55</v>
      </c>
    </row>
    <row r="20" spans="2:12" x14ac:dyDescent="0.2">
      <c r="B20" s="1">
        <v>99999999</v>
      </c>
      <c r="C20" s="1">
        <v>1067</v>
      </c>
      <c r="D20" s="6" t="s">
        <v>151</v>
      </c>
      <c r="E20" s="6" t="s">
        <v>48</v>
      </c>
      <c r="F20" s="1" t="s">
        <v>688</v>
      </c>
      <c r="G20" s="1" t="str">
        <f>VLOOKUP(IL_CC_src_config[Source]&amp;"_"&amp;IL_CC_det_out_com[BankRespCode], IL_BankRejectCodeMap[[BankCode]:[RejectCode]],2,FALSE)</f>
        <v>A</v>
      </c>
      <c r="H20" s="1" t="str">
        <f>VLOOKUP(IL_CC_det_out_com[RejectCode],RejectCodeMap[[RejectCode]:[RejectDesc]],2,FALSE)</f>
        <v>Approved</v>
      </c>
    </row>
    <row r="23" spans="2:12" x14ac:dyDescent="0.2">
      <c r="B23" s="3" t="s">
        <v>89</v>
      </c>
    </row>
    <row r="24" spans="2:12" x14ac:dyDescent="0.2">
      <c r="B24" s="1" t="s">
        <v>27</v>
      </c>
      <c r="C24" s="10" t="s">
        <v>26</v>
      </c>
      <c r="H24" s="20" t="s">
        <v>117</v>
      </c>
      <c r="K24" s="21" t="s">
        <v>118</v>
      </c>
    </row>
    <row r="25" spans="2:12" x14ac:dyDescent="0.2">
      <c r="B25" s="1" t="str">
        <f ca="1">CONCATENATE("CCRECEIPT","_",TEXT(TODAY(),"YYYYMMDD"),".txt")</f>
        <v>CCRECEIPT_20180706.txt</v>
      </c>
      <c r="C25" s="1">
        <v>0</v>
      </c>
      <c r="D25" s="14"/>
      <c r="H25" s="44" t="s">
        <v>54</v>
      </c>
      <c r="I25" s="45" t="s">
        <v>59</v>
      </c>
      <c r="K25" s="44" t="s">
        <v>28</v>
      </c>
      <c r="L25" s="45" t="s">
        <v>54</v>
      </c>
    </row>
    <row r="26" spans="2:12" x14ac:dyDescent="0.2">
      <c r="H26" s="46" t="s">
        <v>541</v>
      </c>
      <c r="I26" s="52" t="s">
        <v>617</v>
      </c>
      <c r="K26" s="47" t="s">
        <v>65</v>
      </c>
      <c r="L26" s="49" t="s">
        <v>541</v>
      </c>
    </row>
    <row r="27" spans="2:12" x14ac:dyDescent="0.2">
      <c r="H27" s="46" t="s">
        <v>542</v>
      </c>
      <c r="I27" s="52" t="s">
        <v>618</v>
      </c>
      <c r="K27" s="47" t="s">
        <v>466</v>
      </c>
      <c r="L27" s="49" t="s">
        <v>542</v>
      </c>
    </row>
    <row r="28" spans="2:12" ht="24" x14ac:dyDescent="0.2">
      <c r="B28" s="3" t="s">
        <v>90</v>
      </c>
      <c r="H28" s="46" t="s">
        <v>543</v>
      </c>
      <c r="I28" s="52" t="s">
        <v>619</v>
      </c>
      <c r="K28" s="47" t="s">
        <v>468</v>
      </c>
      <c r="L28" s="49" t="s">
        <v>543</v>
      </c>
    </row>
    <row r="29" spans="2:12" x14ac:dyDescent="0.2">
      <c r="B29" s="1" t="s">
        <v>25</v>
      </c>
      <c r="C29" s="1" t="s">
        <v>52</v>
      </c>
      <c r="H29" s="46" t="s">
        <v>544</v>
      </c>
      <c r="I29" s="52" t="s">
        <v>620</v>
      </c>
      <c r="K29" s="47" t="s">
        <v>469</v>
      </c>
      <c r="L29" s="49" t="s">
        <v>544</v>
      </c>
    </row>
    <row r="30" spans="2:12" x14ac:dyDescent="0.2">
      <c r="H30" s="46" t="s">
        <v>545</v>
      </c>
      <c r="I30" s="52" t="s">
        <v>621</v>
      </c>
      <c r="K30" s="47" t="s">
        <v>470</v>
      </c>
      <c r="L30" s="49" t="s">
        <v>545</v>
      </c>
    </row>
    <row r="31" spans="2:12" x14ac:dyDescent="0.2">
      <c r="B31" s="1">
        <f>(IL_CC_ftr_out_com[Count]+1)</f>
        <v>1</v>
      </c>
      <c r="C31" s="1">
        <f>(SUM(IL_CC_det_out_com[Amount],IL_CC_ftr_out_com[Sum]))</f>
        <v>1067</v>
      </c>
      <c r="H31" s="46" t="s">
        <v>546</v>
      </c>
      <c r="I31" s="52" t="s">
        <v>622</v>
      </c>
      <c r="K31" s="47" t="s">
        <v>471</v>
      </c>
      <c r="L31" s="49" t="s">
        <v>546</v>
      </c>
    </row>
    <row r="32" spans="2:12" x14ac:dyDescent="0.2">
      <c r="H32" s="46" t="s">
        <v>547</v>
      </c>
      <c r="I32" s="52" t="s">
        <v>623</v>
      </c>
      <c r="K32" s="47" t="s">
        <v>472</v>
      </c>
      <c r="L32" s="49" t="s">
        <v>547</v>
      </c>
    </row>
    <row r="33" spans="2:12" ht="24" x14ac:dyDescent="0.2">
      <c r="B33" s="3" t="s">
        <v>91</v>
      </c>
      <c r="H33" s="46" t="s">
        <v>548</v>
      </c>
      <c r="I33" s="52" t="s">
        <v>624</v>
      </c>
      <c r="K33" s="47" t="s">
        <v>473</v>
      </c>
      <c r="L33" s="49" t="s">
        <v>548</v>
      </c>
    </row>
    <row r="34" spans="2:12" ht="24" x14ac:dyDescent="0.2">
      <c r="B34" s="1" t="s">
        <v>4</v>
      </c>
      <c r="C34" s="1" t="s">
        <v>5</v>
      </c>
      <c r="D34" s="1" t="s">
        <v>6</v>
      </c>
      <c r="H34" s="46" t="s">
        <v>549</v>
      </c>
      <c r="I34" s="52" t="s">
        <v>625</v>
      </c>
      <c r="K34" s="47" t="s">
        <v>474</v>
      </c>
      <c r="L34" s="49" t="s">
        <v>549</v>
      </c>
    </row>
    <row r="35" spans="2:12" x14ac:dyDescent="0.2">
      <c r="C35" s="1" t="str">
        <f>(IL_CC_det_out_com[CardNo]&amp;"    "&amp;"|"&amp;IL_CC_det_out_com[Expiry]&amp;"    "&amp;"|"&amp;REPT("0",17-LEN(IL_CC_det_out_com[Amount]))&amp;IL_CC_det_out_com[Amount]&amp;"|"&amp;TRIM(IL_CC_det_out_com[PolicyNo])&amp;"|"&amp;IL_CC_det_out_com[RejectCode])</f>
        <v>1234567812345670    |0820    |00000000000001067|99999999|A</v>
      </c>
      <c r="H35" s="46" t="s">
        <v>550</v>
      </c>
      <c r="I35" s="52" t="s">
        <v>626</v>
      </c>
      <c r="K35" s="47" t="s">
        <v>475</v>
      </c>
      <c r="L35" s="49" t="s">
        <v>550</v>
      </c>
    </row>
    <row r="36" spans="2:12" ht="24" x14ac:dyDescent="0.2">
      <c r="H36" s="46" t="s">
        <v>551</v>
      </c>
      <c r="I36" s="52" t="s">
        <v>627</v>
      </c>
      <c r="K36" s="47" t="s">
        <v>476</v>
      </c>
      <c r="L36" s="49" t="s">
        <v>551</v>
      </c>
    </row>
    <row r="37" spans="2:12" x14ac:dyDescent="0.2">
      <c r="H37" s="46" t="s">
        <v>552</v>
      </c>
      <c r="I37" s="52" t="s">
        <v>628</v>
      </c>
      <c r="K37" s="47" t="s">
        <v>477</v>
      </c>
      <c r="L37" s="49" t="s">
        <v>552</v>
      </c>
    </row>
    <row r="38" spans="2:12" x14ac:dyDescent="0.2">
      <c r="H38" s="46" t="s">
        <v>553</v>
      </c>
      <c r="I38" s="52" t="s">
        <v>629</v>
      </c>
      <c r="K38" s="47" t="s">
        <v>478</v>
      </c>
      <c r="L38" s="49" t="s">
        <v>553</v>
      </c>
    </row>
    <row r="39" spans="2:12" x14ac:dyDescent="0.2">
      <c r="H39" s="46" t="s">
        <v>554</v>
      </c>
      <c r="I39" s="52" t="s">
        <v>630</v>
      </c>
      <c r="K39" s="47" t="s">
        <v>479</v>
      </c>
      <c r="L39" s="49" t="s">
        <v>554</v>
      </c>
    </row>
    <row r="40" spans="2:12" ht="24" x14ac:dyDescent="0.2">
      <c r="H40" s="46" t="s">
        <v>555</v>
      </c>
      <c r="I40" s="52" t="s">
        <v>631</v>
      </c>
      <c r="K40" s="47" t="s">
        <v>480</v>
      </c>
      <c r="L40" s="49" t="s">
        <v>555</v>
      </c>
    </row>
    <row r="41" spans="2:12" x14ac:dyDescent="0.2">
      <c r="H41" s="46" t="s">
        <v>556</v>
      </c>
      <c r="I41" s="52" t="s">
        <v>632</v>
      </c>
      <c r="K41" s="47" t="s">
        <v>481</v>
      </c>
      <c r="L41" s="49" t="s">
        <v>556</v>
      </c>
    </row>
    <row r="42" spans="2:12" ht="24" x14ac:dyDescent="0.2">
      <c r="H42" s="46" t="s">
        <v>557</v>
      </c>
      <c r="I42" s="52" t="s">
        <v>633</v>
      </c>
      <c r="K42" s="47" t="s">
        <v>482</v>
      </c>
      <c r="L42" s="49" t="s">
        <v>557</v>
      </c>
    </row>
    <row r="43" spans="2:12" ht="24" x14ac:dyDescent="0.2">
      <c r="H43" s="46" t="s">
        <v>558</v>
      </c>
      <c r="I43" s="52" t="s">
        <v>634</v>
      </c>
      <c r="K43" s="47" t="s">
        <v>483</v>
      </c>
      <c r="L43" s="49" t="s">
        <v>558</v>
      </c>
    </row>
    <row r="44" spans="2:12" x14ac:dyDescent="0.2">
      <c r="H44" s="46" t="s">
        <v>559</v>
      </c>
      <c r="I44" s="52" t="s">
        <v>635</v>
      </c>
      <c r="K44" s="47" t="s">
        <v>484</v>
      </c>
      <c r="L44" s="49" t="s">
        <v>559</v>
      </c>
    </row>
    <row r="45" spans="2:12" x14ac:dyDescent="0.2">
      <c r="H45" s="46" t="s">
        <v>560</v>
      </c>
      <c r="I45" s="52" t="s">
        <v>636</v>
      </c>
      <c r="K45" s="47" t="s">
        <v>485</v>
      </c>
      <c r="L45" s="49" t="s">
        <v>560</v>
      </c>
    </row>
    <row r="46" spans="2:12" x14ac:dyDescent="0.2">
      <c r="H46" s="46" t="s">
        <v>561</v>
      </c>
      <c r="I46" s="52" t="s">
        <v>637</v>
      </c>
      <c r="K46" s="47" t="s">
        <v>486</v>
      </c>
      <c r="L46" s="49" t="s">
        <v>561</v>
      </c>
    </row>
    <row r="47" spans="2:12" ht="24" x14ac:dyDescent="0.2">
      <c r="H47" s="46" t="s">
        <v>562</v>
      </c>
      <c r="I47" s="52" t="s">
        <v>638</v>
      </c>
      <c r="K47" s="47" t="s">
        <v>487</v>
      </c>
      <c r="L47" s="49" t="s">
        <v>562</v>
      </c>
    </row>
    <row r="48" spans="2:12" ht="24" x14ac:dyDescent="0.2">
      <c r="H48" s="46" t="s">
        <v>563</v>
      </c>
      <c r="I48" s="52" t="s">
        <v>639</v>
      </c>
      <c r="K48" s="47" t="s">
        <v>488</v>
      </c>
      <c r="L48" s="49" t="s">
        <v>563</v>
      </c>
    </row>
    <row r="49" spans="8:12" ht="24" x14ac:dyDescent="0.2">
      <c r="H49" s="46" t="s">
        <v>564</v>
      </c>
      <c r="I49" s="52" t="s">
        <v>640</v>
      </c>
      <c r="K49" s="47" t="s">
        <v>489</v>
      </c>
      <c r="L49" s="49" t="s">
        <v>564</v>
      </c>
    </row>
    <row r="50" spans="8:12" ht="24" x14ac:dyDescent="0.2">
      <c r="H50" s="46" t="s">
        <v>565</v>
      </c>
      <c r="I50" s="52" t="s">
        <v>641</v>
      </c>
      <c r="K50" s="47" t="s">
        <v>490</v>
      </c>
      <c r="L50" s="49" t="s">
        <v>565</v>
      </c>
    </row>
    <row r="51" spans="8:12" ht="24" x14ac:dyDescent="0.2">
      <c r="H51" s="46" t="s">
        <v>566</v>
      </c>
      <c r="I51" s="52" t="s">
        <v>642</v>
      </c>
      <c r="K51" s="47" t="s">
        <v>491</v>
      </c>
      <c r="L51" s="49" t="s">
        <v>566</v>
      </c>
    </row>
    <row r="52" spans="8:12" ht="24" x14ac:dyDescent="0.2">
      <c r="H52" s="46" t="s">
        <v>567</v>
      </c>
      <c r="I52" s="52" t="s">
        <v>643</v>
      </c>
      <c r="K52" s="47" t="s">
        <v>492</v>
      </c>
      <c r="L52" s="49" t="s">
        <v>567</v>
      </c>
    </row>
    <row r="53" spans="8:12" ht="24" x14ac:dyDescent="0.2">
      <c r="H53" s="46" t="s">
        <v>568</v>
      </c>
      <c r="I53" s="52" t="s">
        <v>644</v>
      </c>
      <c r="K53" s="47" t="s">
        <v>493</v>
      </c>
      <c r="L53" s="49" t="s">
        <v>568</v>
      </c>
    </row>
    <row r="54" spans="8:12" ht="24" x14ac:dyDescent="0.2">
      <c r="H54" s="46" t="s">
        <v>569</v>
      </c>
      <c r="I54" s="52" t="s">
        <v>645</v>
      </c>
      <c r="K54" s="47" t="s">
        <v>494</v>
      </c>
      <c r="L54" s="49" t="s">
        <v>569</v>
      </c>
    </row>
    <row r="55" spans="8:12" ht="24" x14ac:dyDescent="0.2">
      <c r="H55" s="46" t="s">
        <v>570</v>
      </c>
      <c r="I55" s="52" t="s">
        <v>646</v>
      </c>
      <c r="K55" s="47" t="s">
        <v>495</v>
      </c>
      <c r="L55" s="49" t="s">
        <v>570</v>
      </c>
    </row>
    <row r="56" spans="8:12" x14ac:dyDescent="0.2">
      <c r="H56" s="46" t="s">
        <v>571</v>
      </c>
      <c r="I56" s="52" t="s">
        <v>647</v>
      </c>
      <c r="K56" s="47" t="s">
        <v>496</v>
      </c>
      <c r="L56" s="49" t="s">
        <v>571</v>
      </c>
    </row>
    <row r="57" spans="8:12" x14ac:dyDescent="0.2">
      <c r="H57" s="46" t="s">
        <v>572</v>
      </c>
      <c r="I57" s="52" t="s">
        <v>648</v>
      </c>
      <c r="K57" s="47" t="s">
        <v>497</v>
      </c>
      <c r="L57" s="49" t="s">
        <v>572</v>
      </c>
    </row>
    <row r="58" spans="8:12" x14ac:dyDescent="0.2">
      <c r="H58" s="46" t="s">
        <v>573</v>
      </c>
      <c r="I58" s="52" t="s">
        <v>649</v>
      </c>
      <c r="K58" s="47" t="s">
        <v>498</v>
      </c>
      <c r="L58" s="49" t="s">
        <v>573</v>
      </c>
    </row>
    <row r="59" spans="8:12" x14ac:dyDescent="0.2">
      <c r="H59" s="46" t="s">
        <v>574</v>
      </c>
      <c r="I59" s="52" t="s">
        <v>650</v>
      </c>
      <c r="K59" s="47" t="s">
        <v>499</v>
      </c>
      <c r="L59" s="49" t="s">
        <v>574</v>
      </c>
    </row>
    <row r="60" spans="8:12" x14ac:dyDescent="0.2">
      <c r="H60" s="46" t="s">
        <v>575</v>
      </c>
      <c r="I60" s="52" t="s">
        <v>651</v>
      </c>
      <c r="K60" s="47" t="s">
        <v>500</v>
      </c>
      <c r="L60" s="49" t="s">
        <v>575</v>
      </c>
    </row>
    <row r="61" spans="8:12" ht="24" x14ac:dyDescent="0.2">
      <c r="H61" s="46" t="s">
        <v>576</v>
      </c>
      <c r="I61" s="52" t="s">
        <v>652</v>
      </c>
      <c r="K61" s="47" t="s">
        <v>501</v>
      </c>
      <c r="L61" s="49" t="s">
        <v>576</v>
      </c>
    </row>
    <row r="62" spans="8:12" x14ac:dyDescent="0.2">
      <c r="H62" s="46" t="s">
        <v>577</v>
      </c>
      <c r="I62" s="52" t="s">
        <v>653</v>
      </c>
      <c r="K62" s="47" t="s">
        <v>502</v>
      </c>
      <c r="L62" s="49" t="s">
        <v>577</v>
      </c>
    </row>
    <row r="63" spans="8:12" ht="24" x14ac:dyDescent="0.2">
      <c r="H63" s="46" t="s">
        <v>578</v>
      </c>
      <c r="I63" s="52" t="s">
        <v>654</v>
      </c>
      <c r="K63" s="47" t="s">
        <v>503</v>
      </c>
      <c r="L63" s="49" t="s">
        <v>578</v>
      </c>
    </row>
    <row r="64" spans="8:12" x14ac:dyDescent="0.2">
      <c r="H64" s="46" t="s">
        <v>579</v>
      </c>
      <c r="I64" s="52" t="s">
        <v>655</v>
      </c>
      <c r="K64" s="47" t="s">
        <v>504</v>
      </c>
      <c r="L64" s="49" t="s">
        <v>579</v>
      </c>
    </row>
    <row r="65" spans="8:12" ht="24" x14ac:dyDescent="0.2">
      <c r="H65" s="46" t="s">
        <v>580</v>
      </c>
      <c r="I65" s="52" t="s">
        <v>656</v>
      </c>
      <c r="K65" s="47" t="s">
        <v>505</v>
      </c>
      <c r="L65" s="49" t="s">
        <v>580</v>
      </c>
    </row>
    <row r="66" spans="8:12" ht="24" x14ac:dyDescent="0.2">
      <c r="H66" s="46" t="s">
        <v>581</v>
      </c>
      <c r="I66" s="52" t="s">
        <v>657</v>
      </c>
      <c r="K66" s="47" t="s">
        <v>506</v>
      </c>
      <c r="L66" s="49" t="s">
        <v>581</v>
      </c>
    </row>
    <row r="67" spans="8:12" ht="24" x14ac:dyDescent="0.2">
      <c r="H67" s="46" t="s">
        <v>582</v>
      </c>
      <c r="I67" s="52" t="s">
        <v>658</v>
      </c>
      <c r="K67" s="47" t="s">
        <v>507</v>
      </c>
      <c r="L67" s="49" t="s">
        <v>582</v>
      </c>
    </row>
    <row r="68" spans="8:12" ht="24" x14ac:dyDescent="0.2">
      <c r="H68" s="46" t="s">
        <v>583</v>
      </c>
      <c r="I68" s="52" t="s">
        <v>659</v>
      </c>
      <c r="K68" s="47" t="s">
        <v>508</v>
      </c>
      <c r="L68" s="49" t="s">
        <v>583</v>
      </c>
    </row>
    <row r="69" spans="8:12" ht="24" x14ac:dyDescent="0.2">
      <c r="H69" s="46" t="s">
        <v>584</v>
      </c>
      <c r="I69" s="52" t="s">
        <v>660</v>
      </c>
      <c r="K69" s="47" t="s">
        <v>509</v>
      </c>
      <c r="L69" s="49" t="s">
        <v>584</v>
      </c>
    </row>
    <row r="70" spans="8:12" x14ac:dyDescent="0.2">
      <c r="H70" s="46" t="s">
        <v>585</v>
      </c>
      <c r="I70" s="52" t="s">
        <v>661</v>
      </c>
      <c r="K70" s="47" t="s">
        <v>510</v>
      </c>
      <c r="L70" s="49" t="s">
        <v>585</v>
      </c>
    </row>
    <row r="71" spans="8:12" x14ac:dyDescent="0.2">
      <c r="H71" s="46" t="s">
        <v>586</v>
      </c>
      <c r="I71" s="52" t="s">
        <v>662</v>
      </c>
      <c r="K71" s="47" t="s">
        <v>511</v>
      </c>
      <c r="L71" s="49" t="s">
        <v>586</v>
      </c>
    </row>
    <row r="72" spans="8:12" x14ac:dyDescent="0.2">
      <c r="H72" s="46" t="s">
        <v>587</v>
      </c>
      <c r="I72" s="52" t="s">
        <v>650</v>
      </c>
      <c r="K72" s="47" t="s">
        <v>512</v>
      </c>
      <c r="L72" s="49" t="s">
        <v>587</v>
      </c>
    </row>
    <row r="73" spans="8:12" x14ac:dyDescent="0.2">
      <c r="H73" s="46" t="s">
        <v>588</v>
      </c>
      <c r="I73" s="52" t="s">
        <v>663</v>
      </c>
      <c r="K73" s="47" t="s">
        <v>513</v>
      </c>
      <c r="L73" s="49" t="s">
        <v>588</v>
      </c>
    </row>
    <row r="74" spans="8:12" ht="24" x14ac:dyDescent="0.2">
      <c r="H74" s="46" t="s">
        <v>589</v>
      </c>
      <c r="I74" s="52" t="s">
        <v>664</v>
      </c>
      <c r="K74" s="47" t="s">
        <v>514</v>
      </c>
      <c r="L74" s="49" t="s">
        <v>589</v>
      </c>
    </row>
    <row r="75" spans="8:12" ht="24" x14ac:dyDescent="0.2">
      <c r="H75" s="46" t="s">
        <v>590</v>
      </c>
      <c r="I75" s="52" t="s">
        <v>665</v>
      </c>
      <c r="K75" s="47" t="s">
        <v>515</v>
      </c>
      <c r="L75" s="49" t="s">
        <v>590</v>
      </c>
    </row>
    <row r="76" spans="8:12" x14ac:dyDescent="0.2">
      <c r="H76" s="46" t="s">
        <v>591</v>
      </c>
      <c r="I76" s="52" t="s">
        <v>651</v>
      </c>
      <c r="K76" s="47" t="s">
        <v>516</v>
      </c>
      <c r="L76" s="49" t="s">
        <v>591</v>
      </c>
    </row>
    <row r="77" spans="8:12" ht="24" x14ac:dyDescent="0.2">
      <c r="H77" s="46" t="s">
        <v>592</v>
      </c>
      <c r="I77" s="52" t="s">
        <v>652</v>
      </c>
      <c r="K77" s="47" t="s">
        <v>517</v>
      </c>
      <c r="L77" s="49" t="s">
        <v>592</v>
      </c>
    </row>
    <row r="78" spans="8:12" ht="24" x14ac:dyDescent="0.2">
      <c r="H78" s="46" t="s">
        <v>593</v>
      </c>
      <c r="I78" s="52" t="s">
        <v>666</v>
      </c>
      <c r="K78" s="47" t="s">
        <v>518</v>
      </c>
      <c r="L78" s="49" t="s">
        <v>593</v>
      </c>
    </row>
    <row r="79" spans="8:12" x14ac:dyDescent="0.2">
      <c r="H79" s="46" t="s">
        <v>594</v>
      </c>
      <c r="I79" s="52" t="s">
        <v>653</v>
      </c>
      <c r="K79" s="47" t="s">
        <v>519</v>
      </c>
      <c r="L79" s="49" t="s">
        <v>594</v>
      </c>
    </row>
    <row r="80" spans="8:12" x14ac:dyDescent="0.2">
      <c r="H80" s="46" t="s">
        <v>595</v>
      </c>
      <c r="I80" s="52" t="s">
        <v>667</v>
      </c>
      <c r="K80" s="47" t="s">
        <v>520</v>
      </c>
      <c r="L80" s="49" t="s">
        <v>595</v>
      </c>
    </row>
    <row r="81" spans="8:12" ht="24" x14ac:dyDescent="0.2">
      <c r="H81" s="46" t="s">
        <v>596</v>
      </c>
      <c r="I81" s="52" t="s">
        <v>668</v>
      </c>
      <c r="K81" s="47" t="s">
        <v>521</v>
      </c>
      <c r="L81" s="49" t="s">
        <v>596</v>
      </c>
    </row>
    <row r="82" spans="8:12" ht="24" x14ac:dyDescent="0.2">
      <c r="H82" s="46" t="s">
        <v>597</v>
      </c>
      <c r="I82" s="52" t="s">
        <v>669</v>
      </c>
      <c r="K82" s="47" t="s">
        <v>522</v>
      </c>
      <c r="L82" s="49" t="s">
        <v>597</v>
      </c>
    </row>
    <row r="83" spans="8:12" ht="24" x14ac:dyDescent="0.2">
      <c r="H83" s="46" t="s">
        <v>598</v>
      </c>
      <c r="I83" s="52" t="s">
        <v>654</v>
      </c>
      <c r="K83" s="47" t="s">
        <v>523</v>
      </c>
      <c r="L83" s="49" t="s">
        <v>598</v>
      </c>
    </row>
    <row r="84" spans="8:12" ht="24" x14ac:dyDescent="0.2">
      <c r="H84" s="46" t="s">
        <v>599</v>
      </c>
      <c r="I84" s="52" t="s">
        <v>670</v>
      </c>
      <c r="K84" s="47" t="s">
        <v>524</v>
      </c>
      <c r="L84" s="49" t="s">
        <v>599</v>
      </c>
    </row>
    <row r="85" spans="8:12" ht="24" x14ac:dyDescent="0.2">
      <c r="H85" s="46" t="s">
        <v>600</v>
      </c>
      <c r="I85" s="52" t="s">
        <v>671</v>
      </c>
      <c r="K85" s="47" t="s">
        <v>525</v>
      </c>
      <c r="L85" s="49" t="s">
        <v>600</v>
      </c>
    </row>
    <row r="86" spans="8:12" ht="24" x14ac:dyDescent="0.2">
      <c r="H86" s="46" t="s">
        <v>601</v>
      </c>
      <c r="I86" s="52" t="s">
        <v>672</v>
      </c>
      <c r="K86" s="47" t="s">
        <v>526</v>
      </c>
      <c r="L86" s="49" t="s">
        <v>601</v>
      </c>
    </row>
    <row r="87" spans="8:12" x14ac:dyDescent="0.2">
      <c r="H87" s="46" t="s">
        <v>602</v>
      </c>
      <c r="I87" s="52" t="s">
        <v>673</v>
      </c>
      <c r="K87" s="47" t="s">
        <v>527</v>
      </c>
      <c r="L87" s="49" t="s">
        <v>602</v>
      </c>
    </row>
    <row r="88" spans="8:12" ht="36" x14ac:dyDescent="0.2">
      <c r="H88" s="46" t="s">
        <v>603</v>
      </c>
      <c r="I88" s="52" t="s">
        <v>674</v>
      </c>
      <c r="K88" s="47" t="s">
        <v>528</v>
      </c>
      <c r="L88" s="49" t="s">
        <v>603</v>
      </c>
    </row>
    <row r="89" spans="8:12" ht="24" x14ac:dyDescent="0.2">
      <c r="H89" s="46" t="s">
        <v>604</v>
      </c>
      <c r="I89" s="52" t="s">
        <v>675</v>
      </c>
      <c r="K89" s="47" t="s">
        <v>529</v>
      </c>
      <c r="L89" s="49" t="s">
        <v>604</v>
      </c>
    </row>
    <row r="90" spans="8:12" x14ac:dyDescent="0.2">
      <c r="H90" s="46" t="s">
        <v>605</v>
      </c>
      <c r="I90" s="52" t="s">
        <v>676</v>
      </c>
      <c r="K90" s="47" t="s">
        <v>530</v>
      </c>
      <c r="L90" s="49" t="s">
        <v>605</v>
      </c>
    </row>
    <row r="91" spans="8:12" ht="24" x14ac:dyDescent="0.2">
      <c r="H91" s="46" t="s">
        <v>606</v>
      </c>
      <c r="I91" s="52" t="s">
        <v>677</v>
      </c>
      <c r="K91" s="47" t="s">
        <v>531</v>
      </c>
      <c r="L91" s="49" t="s">
        <v>606</v>
      </c>
    </row>
    <row r="92" spans="8:12" x14ac:dyDescent="0.2">
      <c r="H92" s="46" t="s">
        <v>607</v>
      </c>
      <c r="I92" s="52" t="s">
        <v>678</v>
      </c>
      <c r="K92" s="47" t="s">
        <v>532</v>
      </c>
      <c r="L92" s="49" t="s">
        <v>607</v>
      </c>
    </row>
    <row r="93" spans="8:12" ht="24" x14ac:dyDescent="0.2">
      <c r="H93" s="46" t="s">
        <v>608</v>
      </c>
      <c r="I93" s="52" t="s">
        <v>679</v>
      </c>
      <c r="K93" s="47" t="s">
        <v>533</v>
      </c>
      <c r="L93" s="49" t="s">
        <v>608</v>
      </c>
    </row>
    <row r="94" spans="8:12" x14ac:dyDescent="0.2">
      <c r="H94" s="46" t="s">
        <v>609</v>
      </c>
      <c r="I94" s="52" t="s">
        <v>680</v>
      </c>
      <c r="K94" s="47" t="s">
        <v>534</v>
      </c>
      <c r="L94" s="49" t="s">
        <v>609</v>
      </c>
    </row>
    <row r="95" spans="8:12" x14ac:dyDescent="0.2">
      <c r="H95" s="46" t="s">
        <v>610</v>
      </c>
      <c r="I95" s="52" t="s">
        <v>681</v>
      </c>
      <c r="K95" s="47" t="s">
        <v>535</v>
      </c>
      <c r="L95" s="49" t="s">
        <v>610</v>
      </c>
    </row>
    <row r="96" spans="8:12" ht="24" x14ac:dyDescent="0.2">
      <c r="H96" s="46" t="s">
        <v>611</v>
      </c>
      <c r="I96" s="52" t="s">
        <v>682</v>
      </c>
      <c r="K96" s="47" t="s">
        <v>536</v>
      </c>
      <c r="L96" s="49" t="s">
        <v>611</v>
      </c>
    </row>
    <row r="97" spans="8:12" x14ac:dyDescent="0.2">
      <c r="H97" s="46" t="s">
        <v>612</v>
      </c>
      <c r="I97" s="52" t="s">
        <v>683</v>
      </c>
      <c r="K97" s="47" t="s">
        <v>537</v>
      </c>
      <c r="L97" s="49" t="s">
        <v>612</v>
      </c>
    </row>
    <row r="98" spans="8:12" x14ac:dyDescent="0.2">
      <c r="H98" s="46" t="s">
        <v>613</v>
      </c>
      <c r="I98" s="52" t="s">
        <v>684</v>
      </c>
      <c r="K98" s="47" t="s">
        <v>538</v>
      </c>
      <c r="L98" s="49" t="s">
        <v>613</v>
      </c>
    </row>
    <row r="99" spans="8:12" x14ac:dyDescent="0.2">
      <c r="H99" s="47" t="s">
        <v>614</v>
      </c>
      <c r="I99" s="52" t="s">
        <v>617</v>
      </c>
      <c r="K99" s="47" t="s">
        <v>687</v>
      </c>
      <c r="L99" s="50" t="s">
        <v>614</v>
      </c>
    </row>
    <row r="100" spans="8:12" x14ac:dyDescent="0.2">
      <c r="H100" s="47" t="s">
        <v>615</v>
      </c>
      <c r="I100" s="52" t="s">
        <v>685</v>
      </c>
      <c r="K100" s="47" t="s">
        <v>539</v>
      </c>
      <c r="L100" s="50" t="s">
        <v>615</v>
      </c>
    </row>
    <row r="101" spans="8:12" x14ac:dyDescent="0.2">
      <c r="H101" s="48" t="s">
        <v>616</v>
      </c>
      <c r="I101" s="53" t="s">
        <v>686</v>
      </c>
      <c r="K101" s="48" t="s">
        <v>540</v>
      </c>
      <c r="L101" s="51" t="s">
        <v>616</v>
      </c>
    </row>
  </sheetData>
  <dataValidations count="1">
    <dataValidation type="list" allowBlank="1" showInputMessage="1" showErrorMessage="1" sqref="J4" xr:uid="{E1E94D48-5DD0-48E6-87A5-68ED13C86418}">
      <formula1>"Y,N"</formula1>
    </dataValidation>
  </dataValidations>
  <pageMargins left="0.7" right="0.7" top="0.75" bottom="0.75" header="0.3" footer="0.3"/>
  <pageSetup orientation="portrait" r:id="rId1"/>
  <legacyDrawing r:id="rId2"/>
  <tableParts count="9">
    <tablePart r:id="rId3"/>
    <tablePart r:id="rId4"/>
    <tablePart r:id="rId5"/>
    <tablePart r:id="rId6"/>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C2E6-406D-42D2-80DD-DE9939AD91A4}">
  <dimension ref="B2:K19"/>
  <sheetViews>
    <sheetView zoomScaleNormal="100" workbookViewId="0">
      <selection activeCell="C19" sqref="C19"/>
    </sheetView>
  </sheetViews>
  <sheetFormatPr defaultColWidth="8.7109375" defaultRowHeight="12" x14ac:dyDescent="0.2"/>
  <cols>
    <col min="1" max="1" width="8.7109375" style="1"/>
    <col min="2" max="2" width="20.140625" style="1" customWidth="1"/>
    <col min="3" max="3" width="25.85546875" style="1" bestFit="1" customWidth="1"/>
    <col min="4" max="4" width="14" style="1" bestFit="1" customWidth="1"/>
    <col min="5" max="5" width="11.28515625" style="1" customWidth="1"/>
    <col min="6" max="6" width="11.85546875" style="1" customWidth="1"/>
    <col min="7" max="7" width="16.85546875" style="1" bestFit="1" customWidth="1"/>
    <col min="8" max="8" width="14.85546875" style="1" bestFit="1" customWidth="1"/>
    <col min="9" max="9" width="17.42578125" style="1" customWidth="1"/>
    <col min="10" max="10" width="7" style="1" customWidth="1"/>
    <col min="11" max="11" width="16.85546875" style="1" bestFit="1" customWidth="1"/>
    <col min="12" max="12" width="12.5703125" style="1" bestFit="1" customWidth="1"/>
    <col min="13" max="13" width="8.7109375" style="1"/>
    <col min="14" max="14" width="11.7109375" style="1" customWidth="1"/>
    <col min="15" max="16384" width="8.7109375" style="1"/>
  </cols>
  <sheetData>
    <row r="2" spans="2:11" x14ac:dyDescent="0.2">
      <c r="B2" s="5" t="s">
        <v>133</v>
      </c>
    </row>
    <row r="3" spans="2:11" ht="15" customHeight="1" x14ac:dyDescent="0.2">
      <c r="B3" s="1" t="s">
        <v>0</v>
      </c>
      <c r="C3" s="1" t="s">
        <v>1</v>
      </c>
      <c r="D3" s="1" t="s">
        <v>32</v>
      </c>
      <c r="E3" s="1" t="s">
        <v>33</v>
      </c>
      <c r="F3" s="1" t="s">
        <v>34</v>
      </c>
      <c r="G3" s="1" t="s">
        <v>31</v>
      </c>
      <c r="H3" s="1" t="s">
        <v>84</v>
      </c>
      <c r="I3" s="1" t="s">
        <v>35</v>
      </c>
      <c r="J3" s="1" t="s">
        <v>29</v>
      </c>
      <c r="K3" s="10" t="s">
        <v>24</v>
      </c>
    </row>
    <row r="4" spans="2:11" ht="15" customHeight="1" x14ac:dyDescent="0.2">
      <c r="B4" s="1" t="s">
        <v>134</v>
      </c>
      <c r="C4" s="1" t="s">
        <v>44</v>
      </c>
      <c r="I4" s="1">
        <v>999</v>
      </c>
      <c r="J4" s="11" t="s">
        <v>30</v>
      </c>
      <c r="K4" s="1" t="s">
        <v>127</v>
      </c>
    </row>
    <row r="5" spans="2:11" ht="15.6" customHeight="1" x14ac:dyDescent="0.2"/>
    <row r="7" spans="2:11" x14ac:dyDescent="0.2">
      <c r="B7" s="3" t="s">
        <v>137</v>
      </c>
    </row>
    <row r="8" spans="2:11" x14ac:dyDescent="0.2">
      <c r="B8" s="1" t="s">
        <v>22</v>
      </c>
      <c r="C8" s="1" t="s">
        <v>41</v>
      </c>
      <c r="D8" s="1" t="s">
        <v>43</v>
      </c>
      <c r="E8" s="1" t="s">
        <v>131</v>
      </c>
      <c r="F8" s="1" t="s">
        <v>130</v>
      </c>
      <c r="G8" s="1" t="s">
        <v>138</v>
      </c>
      <c r="H8" s="1" t="s">
        <v>54</v>
      </c>
      <c r="I8" s="1" t="s">
        <v>55</v>
      </c>
    </row>
    <row r="9" spans="2:11" x14ac:dyDescent="0.2">
      <c r="B9" s="1">
        <v>1234567</v>
      </c>
      <c r="C9" s="1">
        <v>1067</v>
      </c>
      <c r="D9" s="1" t="s">
        <v>142</v>
      </c>
    </row>
    <row r="12" spans="2:11" x14ac:dyDescent="0.2">
      <c r="B12" s="3" t="s">
        <v>136</v>
      </c>
    </row>
    <row r="13" spans="2:11" x14ac:dyDescent="0.2">
      <c r="B13" s="1" t="s">
        <v>27</v>
      </c>
      <c r="C13" s="10" t="s">
        <v>26</v>
      </c>
    </row>
    <row r="14" spans="2:11" x14ac:dyDescent="0.2">
      <c r="B14" s="1" t="str">
        <f ca="1">CONCATENATE("BIRORECEIPT","_",TEXT(TODAY(),"YYYYMMDD"),".txt")</f>
        <v>BIRORECEIPT_20180706.txt</v>
      </c>
      <c r="C14" s="1">
        <v>0</v>
      </c>
      <c r="D14" s="14"/>
    </row>
    <row r="15" spans="2:11" x14ac:dyDescent="0.2">
      <c r="I15" s="6"/>
    </row>
    <row r="17" spans="2:4" x14ac:dyDescent="0.2">
      <c r="B17" s="3" t="s">
        <v>135</v>
      </c>
    </row>
    <row r="18" spans="2:4" x14ac:dyDescent="0.2">
      <c r="B18" s="1" t="s">
        <v>4</v>
      </c>
      <c r="C18" s="1" t="s">
        <v>5</v>
      </c>
      <c r="D18" s="1" t="s">
        <v>6</v>
      </c>
    </row>
    <row r="19" spans="2:4" x14ac:dyDescent="0.2">
      <c r="C19" s="1" t="str">
        <f ca="1">(IL_Biro_det_out_com[CustomerName] &amp; "|" &amp; TEXT(TODAY(),"yyyymmdd") &amp; "|" &amp;IL_Biro_det_out_com[PolicyNo]  &amp; "|BIROANGK|" &amp; REPT("0",15-LEN(IL_Biro_det_out_com[Amount])) &amp; IL_Biro_det_out_com[Amount])</f>
        <v>XXXXXXXXXXXXXXX|20180706|1234567|BIROANGK|000000000001067</v>
      </c>
    </row>
  </sheetData>
  <dataValidations count="1">
    <dataValidation type="list" allowBlank="1" showInputMessage="1" showErrorMessage="1" sqref="J4" xr:uid="{CE8A224D-6F65-4637-BF4A-8F076EE1C708}">
      <formula1>"Y,N"</formula1>
    </dataValidation>
  </dataValidations>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C9491-610C-47FE-B1BF-25391268BD45}">
  <dimension ref="A1:R49"/>
  <sheetViews>
    <sheetView topLeftCell="A31" workbookViewId="0">
      <selection activeCell="C38" sqref="C38"/>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434</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433</v>
      </c>
      <c r="C4" s="1" t="s">
        <v>343</v>
      </c>
      <c r="D4" s="1"/>
      <c r="E4" s="1" t="s">
        <v>45</v>
      </c>
      <c r="F4" s="1" t="s">
        <v>47</v>
      </c>
      <c r="G4" s="1" t="s">
        <v>105</v>
      </c>
      <c r="H4" s="1" t="b">
        <v>1</v>
      </c>
      <c r="I4" s="1" t="s">
        <v>176</v>
      </c>
      <c r="J4" s="1">
        <v>999</v>
      </c>
      <c r="K4" s="11" t="s">
        <v>30</v>
      </c>
      <c r="L4" s="1" t="s">
        <v>176</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432</v>
      </c>
      <c r="C7" s="1"/>
      <c r="D7" s="1"/>
      <c r="E7" s="1"/>
      <c r="F7" s="1"/>
      <c r="G7" s="1"/>
    </row>
    <row r="8" spans="1:18" x14ac:dyDescent="0.25">
      <c r="A8" s="1"/>
      <c r="B8" s="1" t="s">
        <v>2</v>
      </c>
      <c r="C8" s="1"/>
    </row>
    <row r="9" spans="1:18" x14ac:dyDescent="0.25">
      <c r="A9" s="1"/>
      <c r="B9" s="25" t="s">
        <v>431</v>
      </c>
      <c r="C9" s="1"/>
    </row>
    <row r="10" spans="1:18" x14ac:dyDescent="0.25">
      <c r="A10" s="1"/>
      <c r="B10" s="1"/>
      <c r="C10" s="1"/>
      <c r="D10" s="1"/>
      <c r="E10" s="1"/>
      <c r="F10" s="1"/>
      <c r="G10" s="1"/>
      <c r="J10" s="1"/>
      <c r="K10" s="1"/>
    </row>
    <row r="11" spans="1:18" x14ac:dyDescent="0.25">
      <c r="A11" s="1"/>
      <c r="B11" s="4" t="s">
        <v>430</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429</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428</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9" t="s">
        <v>427</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426</v>
      </c>
      <c r="C19" s="1"/>
      <c r="D19" s="1"/>
      <c r="E19" s="1"/>
      <c r="F19" s="1"/>
      <c r="G19" s="1"/>
      <c r="J19" s="1"/>
      <c r="K19" s="1"/>
    </row>
    <row r="20" spans="1:18" x14ac:dyDescent="0.25">
      <c r="A20" s="1"/>
      <c r="B20" s="1" t="s">
        <v>425</v>
      </c>
      <c r="C20" s="1" t="s">
        <v>22</v>
      </c>
      <c r="D20" s="1" t="s">
        <v>424</v>
      </c>
      <c r="E20" s="1" t="s">
        <v>41</v>
      </c>
      <c r="G20" s="1"/>
      <c r="H20" s="1"/>
    </row>
    <row r="21" spans="1:18" x14ac:dyDescent="0.25">
      <c r="A21" s="1"/>
      <c r="B21" s="1" t="str">
        <f>MID(BSN_DD_det_in[Col1],91,3)</f>
        <v xml:space="preserve">   </v>
      </c>
      <c r="C21" s="1" t="str">
        <f>MID(BSN_DD_det_in[Col1],29,20)</f>
        <v xml:space="preserve">95043982            </v>
      </c>
      <c r="D21" s="1" t="str">
        <f>MID(BSN_DD_det_in[Col1],98,16)</f>
        <v>0310129862754793</v>
      </c>
      <c r="E21" s="1" t="str">
        <f>MID(BSN_DD_det_in[Col1],68,8)</f>
        <v>00021585</v>
      </c>
      <c r="G21" s="1"/>
      <c r="H21" s="1"/>
    </row>
    <row r="22" spans="1:18" x14ac:dyDescent="0.25">
      <c r="A22" s="1"/>
      <c r="B22" s="1"/>
      <c r="C22" s="1"/>
      <c r="D22" s="1"/>
      <c r="E22" s="1"/>
      <c r="F22" s="1"/>
      <c r="G22" s="1"/>
      <c r="J22" s="1"/>
      <c r="K22" s="1"/>
    </row>
    <row r="23" spans="1:18" x14ac:dyDescent="0.25">
      <c r="A23" s="1"/>
      <c r="B23" s="4" t="s">
        <v>423</v>
      </c>
      <c r="C23" s="1"/>
      <c r="D23" s="1"/>
      <c r="E23" s="1"/>
      <c r="F23" s="1"/>
      <c r="G23" s="1"/>
      <c r="H23" s="1"/>
      <c r="I23" s="1"/>
      <c r="J23" s="1"/>
      <c r="K23" s="1"/>
    </row>
    <row r="24" spans="1:18" x14ac:dyDescent="0.25">
      <c r="B24" s="1" t="s">
        <v>263</v>
      </c>
      <c r="C24" s="1" t="s">
        <v>262</v>
      </c>
      <c r="D24" s="1" t="s">
        <v>261</v>
      </c>
      <c r="E24" s="1" t="s">
        <v>260</v>
      </c>
      <c r="F24" s="1" t="s">
        <v>259</v>
      </c>
    </row>
    <row r="25" spans="1:18" x14ac:dyDescent="0.25">
      <c r="B25" s="1" t="str">
        <f>MID(BSN_DD_hdr_in[Col1],3,4)</f>
        <v>0196</v>
      </c>
      <c r="C25" s="1" t="str">
        <f>MID(BSN_DD_hdr_in[Col1],7,10)</f>
        <v>0020180316</v>
      </c>
      <c r="D25" s="1" t="str">
        <f>MID(BSN_DD_hdr_in[Col1],17,10)</f>
        <v>2975500000</v>
      </c>
      <c r="E25" s="1" t="str">
        <f>MID(BSN_DD_hdr_in[Col1],27,8)</f>
        <v>00141004</v>
      </c>
      <c r="F25" s="1" t="str">
        <f>MID(BSN_DD_hdr_in[Col1],35,20)</f>
        <v xml:space="preserve">1000068913          </v>
      </c>
    </row>
    <row r="27" spans="1:18" x14ac:dyDescent="0.25">
      <c r="B27" s="4" t="s">
        <v>422</v>
      </c>
      <c r="C27" s="1"/>
      <c r="D27" s="1"/>
      <c r="E27" s="1"/>
      <c r="F27" s="1"/>
      <c r="H27" s="1"/>
      <c r="I27" s="1"/>
      <c r="J27" s="1"/>
      <c r="K27" s="1"/>
      <c r="L27" s="1"/>
      <c r="N27" s="1"/>
      <c r="O27" s="1"/>
      <c r="P27" s="1"/>
      <c r="Q27" s="1"/>
      <c r="R27" s="1"/>
    </row>
    <row r="28" spans="1:18" x14ac:dyDescent="0.25">
      <c r="B28" s="1" t="s">
        <v>25</v>
      </c>
      <c r="C28" s="1" t="s">
        <v>52</v>
      </c>
      <c r="D28" s="1" t="s">
        <v>227</v>
      </c>
      <c r="E28" s="1" t="s">
        <v>226</v>
      </c>
      <c r="F28" s="1" t="s">
        <v>257</v>
      </c>
      <c r="G28" s="1" t="s">
        <v>256</v>
      </c>
      <c r="H28" s="1" t="s">
        <v>154</v>
      </c>
      <c r="I28" s="1" t="s">
        <v>180</v>
      </c>
      <c r="K28" s="1"/>
      <c r="L28" s="1"/>
      <c r="M28" s="1"/>
      <c r="N28" s="1"/>
      <c r="O28" s="1"/>
    </row>
    <row r="29" spans="1:18" x14ac:dyDescent="0.25">
      <c r="B29" s="1" t="str">
        <f>MID(BSN_DD_ftr_in[Col1],35,5)</f>
        <v>52700</v>
      </c>
      <c r="C29" s="1" t="str">
        <f>MID(BSN_DD_ftr_in[Col1],40,11)</f>
        <v>00000071479</v>
      </c>
      <c r="D29" s="1" t="str">
        <f>MID(BSN_DD_ftr_in[Col1],19,5)</f>
        <v>75599</v>
      </c>
      <c r="E29" s="1" t="str">
        <f>MID(BSN_DD_ftr_in[Col1],24,11)</f>
        <v>99999000004</v>
      </c>
      <c r="F29" s="1" t="str">
        <f>MID(BSN_DD_ftr_in[Col1],3,5)</f>
        <v>01960</v>
      </c>
      <c r="G29" s="1" t="str">
        <f>MID(BSN_DD_ftr_in[Col1],8,11)</f>
        <v>02018031629</v>
      </c>
      <c r="H29" s="1" t="str">
        <f>MID(BSN_DD_ftr_in[Col1],51,15)</f>
        <v>230000000571612</v>
      </c>
      <c r="I29" s="1" t="str">
        <f>MID(BSN_DD_ftr_in[Col1],70,8)</f>
        <v xml:space="preserve">        </v>
      </c>
      <c r="K29" s="1"/>
      <c r="L29" s="1"/>
      <c r="M29" s="1"/>
      <c r="N29" s="1"/>
      <c r="O29" s="1"/>
    </row>
    <row r="30" spans="1:18" x14ac:dyDescent="0.25">
      <c r="H30" s="1"/>
      <c r="I30" s="1"/>
      <c r="J30" s="1"/>
      <c r="K30" s="1"/>
      <c r="L30" s="1"/>
      <c r="N30" s="1"/>
      <c r="O30" s="1"/>
      <c r="P30" s="1"/>
      <c r="Q30" s="1"/>
      <c r="R30" s="1"/>
    </row>
    <row r="32" spans="1:18" x14ac:dyDescent="0.25">
      <c r="A32" s="1"/>
      <c r="B32" s="3" t="s">
        <v>421</v>
      </c>
      <c r="C32" s="1"/>
      <c r="D32" s="1"/>
      <c r="E32" s="1"/>
      <c r="F32" s="1"/>
      <c r="G32" s="1"/>
    </row>
    <row r="33" spans="1:9" x14ac:dyDescent="0.25">
      <c r="A33" s="1"/>
      <c r="B33" s="1" t="s">
        <v>413</v>
      </c>
      <c r="C33" s="1" t="s">
        <v>38</v>
      </c>
      <c r="D33" s="1" t="s">
        <v>412</v>
      </c>
      <c r="E33" s="1" t="s">
        <v>383</v>
      </c>
      <c r="F33" s="1" t="s">
        <v>393</v>
      </c>
      <c r="G33" s="1" t="s">
        <v>420</v>
      </c>
      <c r="H33" s="1" t="s">
        <v>419</v>
      </c>
      <c r="I33" s="39" t="s">
        <v>154</v>
      </c>
    </row>
    <row r="34" spans="1:9" x14ac:dyDescent="0.25">
      <c r="A34" s="1"/>
      <c r="B34" s="13">
        <v>12323</v>
      </c>
      <c r="C34" s="17" t="str">
        <f ca="1">TEXT(TODAY(),"YYYYMMDD")</f>
        <v>20180706</v>
      </c>
      <c r="D34" s="13">
        <v>12345</v>
      </c>
      <c r="E34" s="13">
        <v>12323212</v>
      </c>
      <c r="F34" s="17"/>
      <c r="G34" s="17"/>
      <c r="H34" s="17"/>
      <c r="I34" s="17">
        <f>BSN_DD_det_out_com[PayorBankAcctNo]</f>
        <v>12323212</v>
      </c>
    </row>
    <row r="35" spans="1:9" x14ac:dyDescent="0.25">
      <c r="A35" s="1"/>
      <c r="B35" s="1"/>
      <c r="C35" s="1"/>
      <c r="D35" s="1"/>
      <c r="E35" s="1"/>
      <c r="F35" s="1"/>
      <c r="G35" s="1"/>
      <c r="H35" s="1"/>
      <c r="I35" s="1"/>
    </row>
    <row r="36" spans="1:9" x14ac:dyDescent="0.25">
      <c r="A36" s="1"/>
      <c r="B36" s="3" t="s">
        <v>418</v>
      </c>
      <c r="C36" s="1"/>
      <c r="D36" s="1"/>
      <c r="E36" s="1"/>
      <c r="F36" s="1"/>
      <c r="G36" s="1"/>
      <c r="H36" s="1"/>
      <c r="I36" s="1"/>
    </row>
    <row r="37" spans="1:9" x14ac:dyDescent="0.25">
      <c r="A37" s="1"/>
      <c r="B37" s="1" t="s">
        <v>413</v>
      </c>
      <c r="C37" s="1" t="s">
        <v>38</v>
      </c>
      <c r="D37" s="10" t="s">
        <v>412</v>
      </c>
      <c r="E37" s="1" t="s">
        <v>417</v>
      </c>
    </row>
    <row r="38" spans="1:9" x14ac:dyDescent="0.25">
      <c r="A38" s="1"/>
      <c r="B38" s="28" t="s">
        <v>416</v>
      </c>
      <c r="C38" s="17" t="str">
        <f ca="1">TEXT(TODAY(),"YYYYMMDD")</f>
        <v>20180706</v>
      </c>
      <c r="D38" s="17" t="s">
        <v>411</v>
      </c>
      <c r="E38" s="27" t="s">
        <v>415</v>
      </c>
    </row>
    <row r="39" spans="1:9" x14ac:dyDescent="0.25">
      <c r="A39" s="1"/>
      <c r="B39" s="1"/>
      <c r="C39" s="1"/>
      <c r="D39" s="1"/>
      <c r="E39" s="1"/>
      <c r="F39" s="1"/>
      <c r="G39" s="1"/>
      <c r="H39" s="1"/>
      <c r="I39" s="1"/>
    </row>
    <row r="40" spans="1:9" x14ac:dyDescent="0.25">
      <c r="A40" s="1"/>
      <c r="B40" s="3" t="s">
        <v>414</v>
      </c>
      <c r="C40" s="1"/>
      <c r="D40" s="1"/>
      <c r="E40" s="1"/>
      <c r="F40" s="1"/>
      <c r="G40" s="1"/>
      <c r="H40" s="1"/>
      <c r="I40" s="1"/>
    </row>
    <row r="41" spans="1:9" x14ac:dyDescent="0.25">
      <c r="A41" s="1"/>
      <c r="B41" s="1" t="s">
        <v>25</v>
      </c>
      <c r="C41" s="1" t="s">
        <v>413</v>
      </c>
      <c r="D41" s="1" t="s">
        <v>154</v>
      </c>
      <c r="E41" s="1" t="s">
        <v>412</v>
      </c>
      <c r="F41" s="1" t="s">
        <v>52</v>
      </c>
      <c r="G41" s="1" t="s">
        <v>38</v>
      </c>
      <c r="H41" s="39" t="s">
        <v>458</v>
      </c>
      <c r="I41" s="39" t="s">
        <v>457</v>
      </c>
    </row>
    <row r="42" spans="1:9" x14ac:dyDescent="0.25">
      <c r="A42" s="1"/>
      <c r="B42" s="1">
        <v>10</v>
      </c>
      <c r="C42" s="1">
        <v>123456</v>
      </c>
      <c r="D42" s="17">
        <v>1222</v>
      </c>
      <c r="E42" s="17" t="s">
        <v>411</v>
      </c>
      <c r="F42" s="17">
        <v>12222</v>
      </c>
      <c r="G42" s="17" t="str">
        <f ca="1">TEXT(TODAY(),"YYYYMMDD")</f>
        <v>20180706</v>
      </c>
      <c r="H42" s="17" t="str">
        <f>TEXT(INT((BSN_DD_ftr_out_com[[#Totals],[Sum]])),"0000000000000")</f>
        <v>0000000135678</v>
      </c>
      <c r="I42" s="17" t="str">
        <f>(RIGHT((TEXT(BSN_DD_ftr_out_com[[#Totals],[Sum]]-INT(BSN_DD_ftr_out_com[[#Totals],[Sum]]),"0.00")),2))</f>
        <v>00</v>
      </c>
    </row>
    <row r="43" spans="1:9" x14ac:dyDescent="0.25">
      <c r="A43" s="1"/>
      <c r="B43" s="1">
        <f>(BSN_DD_ftr_out_com[Count]+1)</f>
        <v>11</v>
      </c>
      <c r="C43" s="1"/>
      <c r="D43" s="1">
        <f>(SUM(BSN_DD_ftr_out_com[HashTotal],BSN_DD_det_out_com[HashTotal]))</f>
        <v>12324434</v>
      </c>
      <c r="E43" s="1"/>
      <c r="F43" s="1">
        <f>(SUM(BSN_DD_ftr_out_com[Sum],MBB_CC_det_out_com[Amount]))</f>
        <v>135678</v>
      </c>
      <c r="G43" s="1"/>
      <c r="H43" s="39"/>
      <c r="I43" s="39"/>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410</v>
      </c>
      <c r="C46" s="1"/>
      <c r="D46" s="1"/>
      <c r="E46" s="1"/>
    </row>
    <row r="47" spans="1:9" x14ac:dyDescent="0.25">
      <c r="A47" s="1"/>
      <c r="B47" s="1" t="s">
        <v>4</v>
      </c>
      <c r="C47" s="1" t="s">
        <v>5</v>
      </c>
      <c r="D47" s="1" t="s">
        <v>6</v>
      </c>
      <c r="E47" s="1"/>
    </row>
    <row r="48" spans="1:9" x14ac:dyDescent="0.25">
      <c r="A48" s="1"/>
      <c r="B48" s="1" t="str">
        <f ca="1">CONCATENATE(BSN_DD_hdr_out_com[OriCode],REPT(" ",8-LEN(BSN_DD_hdr_out_com[OriCode])),TEXT(TODAY(),"YYYYMMDD"),BSN_DD_hdr_out_com[TransCode],"0000000",BSN_DD_hdr_out_com[OriAcct],REPT(" ",20-LEN(BSN_DD_hdr_out_com[OriAcct])),REPT(" ",76))</f>
        <v xml:space="preserve">1234567820180706ABCDE0000000142542626262                                                                                    </v>
      </c>
      <c r="C48" s="1" t="str">
        <f ca="1">CONCATENATE(BSN_DD_det_out_com[OriCode],REPT(" ",8-LEN(BSN_DD_det_out_com[OriCode])),BSN_DD_det_out_com[Date],BSN_DD_det_out_com[TransCode],REPT("&amp;",22),BSN_DD_det_out_com[PayorBankAcctNo],REPT(" ",16-LEN(BSN_DD_det_out_com[PayorBankAcctNo])),BSN_DD_det_out_com[BranchCode],"    ","&amp;&amp;&amp;&amp;&amp;&amp;&amp;&amp;",REPT(" ",24),BSN_DD_det_out_com[NewCustId],BSN_DD_det_out_com[OldCustId]," ")</f>
        <v xml:space="preserve">12323   2018070612345&amp;&amp;&amp;&amp;&amp;&amp;&amp;&amp;&amp;&amp;&amp;&amp;&amp;&amp;&amp;&amp;&amp;&amp;&amp;&amp;&amp;&amp;12323212            &amp;&amp;&amp;&amp;&amp;&amp;&amp;&amp;                         </v>
      </c>
      <c r="D48" s="1" t="str">
        <f ca="1">CONCATENATE(BSN_DD_ftr_out_com[OriCode],REPT(" ",8-LEN(BSN_DD_ftr_out_com[OriCode])),TEXT(TODAY(),"YYYYMMDD"),BSN_DD_ftr_out_com[TransCode],"9999999",BSN_DD_ftr_out_com[[#Totals],[Sum]],REPT("0",9-LEN(BSN_DD_ftr_out_com[Count])),BSN_DD_ftr_out_com[[#Totals],[HashTotal]],REPT(" ",64))</f>
        <v xml:space="preserve">123456  20180706ABCDE9999999135678000000012324434                                                                </v>
      </c>
      <c r="E48" s="1"/>
    </row>
    <row r="49" spans="1:9" x14ac:dyDescent="0.25">
      <c r="A49" s="1"/>
      <c r="B49" s="1"/>
      <c r="C49" s="1"/>
      <c r="D49" s="1"/>
      <c r="E49" s="1"/>
      <c r="F49" s="1"/>
      <c r="G49" s="1"/>
      <c r="H49" s="1"/>
      <c r="I49" s="1"/>
    </row>
  </sheetData>
  <dataValidations disablePrompts="1" count="1">
    <dataValidation type="list" allowBlank="1" showInputMessage="1" showErrorMessage="1" sqref="K4" xr:uid="{6A204717-D9F2-4E86-8B10-2EE57E72DE86}">
      <formula1>"Y,N"</formula1>
    </dataValidation>
  </dataValidations>
  <pageMargins left="0.7" right="0.7" top="0.75" bottom="0.75" header="0.3" footer="0.3"/>
  <legacyDrawing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1CF2C-AC8E-401C-8674-BCBAD46D89BC}">
  <dimension ref="A1:R49"/>
  <sheetViews>
    <sheetView topLeftCell="A31" workbookViewId="0">
      <selection activeCell="C48" sqref="C48"/>
    </sheetView>
  </sheetViews>
  <sheetFormatPr defaultRowHeight="15" x14ac:dyDescent="0.25"/>
  <cols>
    <col min="2" max="2" width="21.85546875" bestFit="1" customWidth="1"/>
    <col min="3" max="3" width="29.140625" customWidth="1"/>
    <col min="4" max="4" width="28.140625" customWidth="1"/>
    <col min="5" max="5" width="21.1406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437</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438</v>
      </c>
      <c r="C4" s="1" t="s">
        <v>380</v>
      </c>
      <c r="D4" s="1"/>
      <c r="E4" s="1" t="s">
        <v>45</v>
      </c>
      <c r="F4" s="1" t="s">
        <v>47</v>
      </c>
      <c r="G4" s="1" t="s">
        <v>105</v>
      </c>
      <c r="H4" s="1" t="b">
        <v>1</v>
      </c>
      <c r="I4" s="1" t="s">
        <v>176</v>
      </c>
      <c r="J4" s="1">
        <v>999</v>
      </c>
      <c r="K4" s="11" t="s">
        <v>30</v>
      </c>
      <c r="L4" s="1" t="s">
        <v>176</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439</v>
      </c>
      <c r="C7" s="1"/>
      <c r="D7" s="1"/>
      <c r="E7" s="1"/>
      <c r="F7" s="1"/>
      <c r="G7" s="1"/>
    </row>
    <row r="8" spans="1:18" x14ac:dyDescent="0.25">
      <c r="A8" s="1"/>
      <c r="B8" s="1" t="s">
        <v>2</v>
      </c>
      <c r="C8" s="1"/>
    </row>
    <row r="9" spans="1:18" x14ac:dyDescent="0.25">
      <c r="A9" s="1"/>
      <c r="B9" s="25" t="s">
        <v>409</v>
      </c>
      <c r="C9" s="1"/>
    </row>
    <row r="10" spans="1:18" x14ac:dyDescent="0.25">
      <c r="A10" s="1"/>
      <c r="B10" s="1"/>
      <c r="C10" s="1"/>
      <c r="D10" s="1"/>
      <c r="E10" s="1"/>
      <c r="F10" s="1"/>
      <c r="G10" s="1"/>
      <c r="J10" s="1"/>
      <c r="K10" s="1"/>
    </row>
    <row r="11" spans="1:18" x14ac:dyDescent="0.25">
      <c r="A11" s="1"/>
      <c r="B11" s="4" t="s">
        <v>440</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408</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441</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32"/>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442</v>
      </c>
      <c r="C19" s="1"/>
      <c r="D19" s="1"/>
      <c r="E19" s="1"/>
      <c r="F19" s="1"/>
      <c r="G19" s="1"/>
      <c r="J19" s="1"/>
      <c r="K19" s="1"/>
    </row>
    <row r="20" spans="1:18" x14ac:dyDescent="0.25">
      <c r="A20" s="1"/>
      <c r="B20" s="1" t="s">
        <v>38</v>
      </c>
      <c r="C20" s="1" t="s">
        <v>407</v>
      </c>
      <c r="D20" s="1" t="s">
        <v>22</v>
      </c>
      <c r="E20" s="1" t="s">
        <v>41</v>
      </c>
      <c r="H20" s="1"/>
      <c r="I20" s="1"/>
    </row>
    <row r="21" spans="1:18" x14ac:dyDescent="0.25">
      <c r="A21" s="1"/>
      <c r="B21" s="1" t="str">
        <f>MID(BIMB_DD_det_in[Col1],1,8)</f>
        <v>12032018</v>
      </c>
      <c r="C21" s="1" t="str">
        <f>MID(BIMB_DD_det_in[Col1],9,10)</f>
        <v>B100000887</v>
      </c>
      <c r="D21" s="1" t="str">
        <f>MID(BIMB_DD_det_in[Col1],29,8)</f>
        <v>95000914</v>
      </c>
      <c r="E21" s="1" t="str">
        <f>MID(BIMB_DD_det_in[Col1],69,11)</f>
        <v>00002077904</v>
      </c>
      <c r="H21" s="1"/>
      <c r="I21" s="1"/>
    </row>
    <row r="22" spans="1:18" x14ac:dyDescent="0.25">
      <c r="A22" s="1"/>
      <c r="B22" s="1"/>
      <c r="C22" s="1"/>
      <c r="D22" s="1"/>
      <c r="E22" s="1"/>
      <c r="F22" s="1"/>
      <c r="G22" s="1"/>
      <c r="J22" s="1"/>
      <c r="K22" s="1"/>
    </row>
    <row r="23" spans="1:18" x14ac:dyDescent="0.25">
      <c r="A23" s="1"/>
      <c r="B23" s="4" t="s">
        <v>443</v>
      </c>
      <c r="C23" s="1"/>
      <c r="D23" s="1"/>
      <c r="E23" s="1"/>
      <c r="F23" s="1"/>
      <c r="G23" s="1"/>
      <c r="H23" s="1"/>
      <c r="I23" s="1"/>
      <c r="J23" s="1"/>
      <c r="K23" s="1"/>
    </row>
    <row r="24" spans="1:18" x14ac:dyDescent="0.25">
      <c r="B24" s="1" t="s">
        <v>406</v>
      </c>
      <c r="C24" s="1" t="s">
        <v>38</v>
      </c>
      <c r="D24" s="1" t="s">
        <v>39</v>
      </c>
      <c r="E24" s="1" t="s">
        <v>41</v>
      </c>
    </row>
    <row r="25" spans="1:18" x14ac:dyDescent="0.25">
      <c r="B25" s="1" t="str">
        <f>MID(BIMB_DD_hdr_in[Col1],1,4)</f>
        <v xml:space="preserve">887 </v>
      </c>
      <c r="C25" s="1" t="str">
        <f>MID(BIMB_DD_hdr_in[Col1],5,8)</f>
        <v>12032018</v>
      </c>
      <c r="D25" s="1" t="str">
        <f>MID(BIMB_DD_hdr_in[Col1],13,11)</f>
        <v>00000013062</v>
      </c>
      <c r="E25" s="1" t="str">
        <f>MID(BIMB_DD_hdr_in[Col1],24,9)</f>
        <v>223551124</v>
      </c>
    </row>
    <row r="27" spans="1:18" x14ac:dyDescent="0.25">
      <c r="B27" s="4" t="s">
        <v>445</v>
      </c>
      <c r="C27" s="1"/>
      <c r="D27" s="1"/>
      <c r="E27" s="1"/>
      <c r="F27" s="1"/>
      <c r="H27" s="1"/>
      <c r="I27" s="1"/>
      <c r="J27" s="1"/>
      <c r="K27" s="1"/>
      <c r="L27" s="1"/>
      <c r="N27" s="1"/>
      <c r="O27" s="1"/>
      <c r="P27" s="1"/>
      <c r="Q27" s="1"/>
      <c r="R27" s="1"/>
    </row>
    <row r="28" spans="1:18" x14ac:dyDescent="0.25">
      <c r="B28" s="1" t="s">
        <v>25</v>
      </c>
      <c r="C28" s="1" t="s">
        <v>52</v>
      </c>
      <c r="D28" s="1" t="s">
        <v>227</v>
      </c>
      <c r="E28" s="1" t="s">
        <v>226</v>
      </c>
      <c r="F28" s="1" t="s">
        <v>257</v>
      </c>
      <c r="G28" s="1" t="s">
        <v>256</v>
      </c>
      <c r="H28" s="1" t="s">
        <v>154</v>
      </c>
      <c r="I28" s="1" t="s">
        <v>180</v>
      </c>
      <c r="K28" s="1"/>
      <c r="L28" s="1"/>
      <c r="M28" s="1"/>
      <c r="N28" s="1"/>
      <c r="O28" s="1"/>
    </row>
    <row r="29" spans="1:18" x14ac:dyDescent="0.25">
      <c r="B29" s="1" t="str">
        <f>MID(BIMB_DD_ftr_in[Col1],35,5)</f>
        <v/>
      </c>
      <c r="C29" s="1" t="str">
        <f>MID(BIMB_DD_ftr_in[Col1],40,11)</f>
        <v/>
      </c>
      <c r="D29" s="1" t="str">
        <f>MID(BIMB_DD_ftr_in[Col1],19,5)</f>
        <v/>
      </c>
      <c r="E29" s="1" t="str">
        <f>MID(BIMB_DD_ftr_in[Col1],24,11)</f>
        <v/>
      </c>
      <c r="F29" s="1" t="str">
        <f>MID(BIMB_DD_ftr_in[Col1],3,5)</f>
        <v/>
      </c>
      <c r="G29" s="1" t="str">
        <f>MID(BIMB_DD_ftr_in[Col1],8,11)</f>
        <v/>
      </c>
      <c r="H29" s="1" t="str">
        <f>MID(BIMB_DD_ftr_in[Col1],51,15)</f>
        <v/>
      </c>
      <c r="I29" s="1" t="str">
        <f>MID(BIMB_DD_ftr_in[Col1],70,8)</f>
        <v/>
      </c>
      <c r="K29" s="1"/>
      <c r="L29" s="1"/>
      <c r="M29" s="1"/>
      <c r="N29" s="1"/>
      <c r="O29" s="1"/>
    </row>
    <row r="30" spans="1:18" x14ac:dyDescent="0.25">
      <c r="H30" s="1"/>
      <c r="I30" s="1"/>
      <c r="J30" s="1"/>
      <c r="K30" s="1"/>
      <c r="L30" s="1"/>
      <c r="N30" s="1"/>
      <c r="O30" s="1"/>
      <c r="P30" s="1"/>
      <c r="Q30" s="1"/>
      <c r="R30" s="1"/>
    </row>
    <row r="32" spans="1:18" x14ac:dyDescent="0.25">
      <c r="A32" s="1"/>
      <c r="B32" s="3" t="s">
        <v>444</v>
      </c>
      <c r="C32" s="1"/>
      <c r="D32" s="1"/>
      <c r="E32" s="1"/>
      <c r="F32" s="1"/>
      <c r="G32" s="1"/>
    </row>
    <row r="33" spans="1:9" x14ac:dyDescent="0.25">
      <c r="A33" s="1"/>
      <c r="B33" s="1" t="s">
        <v>372</v>
      </c>
      <c r="C33" s="1" t="s">
        <v>41</v>
      </c>
      <c r="D33" s="1" t="s">
        <v>22</v>
      </c>
      <c r="E33" s="1" t="s">
        <v>463</v>
      </c>
      <c r="F33" s="39" t="s">
        <v>456</v>
      </c>
      <c r="G33" s="39" t="s">
        <v>457</v>
      </c>
    </row>
    <row r="34" spans="1:9" x14ac:dyDescent="0.25">
      <c r="A34" s="1"/>
      <c r="B34" s="13">
        <v>213232133</v>
      </c>
      <c r="C34" s="12">
        <v>454.23</v>
      </c>
      <c r="D34" s="13">
        <v>1232323</v>
      </c>
      <c r="E34" s="13"/>
      <c r="F34" s="17" t="str">
        <f>TEXT(INT((BIMB_DD_det_out_com[Amount])),"0000000")</f>
        <v>0000454</v>
      </c>
      <c r="G34" s="17" t="str">
        <f>(RIGHT((TEXT(BIMB_DD_det_out_com[Amount]-INT(BIMB_DD_det_out_com[Amount]),"0.00")),2))</f>
        <v>23</v>
      </c>
    </row>
    <row r="35" spans="1:9" x14ac:dyDescent="0.25">
      <c r="A35" s="1"/>
      <c r="B35" s="1"/>
      <c r="C35" s="1"/>
      <c r="D35" s="1"/>
      <c r="E35" s="1"/>
      <c r="F35" s="1"/>
      <c r="G35" s="1"/>
      <c r="H35" s="1"/>
      <c r="I35" s="1"/>
    </row>
    <row r="36" spans="1:9" x14ac:dyDescent="0.25">
      <c r="A36" s="1"/>
      <c r="B36" s="3" t="s">
        <v>455</v>
      </c>
      <c r="C36" s="1"/>
      <c r="D36" s="1"/>
      <c r="E36" s="1"/>
      <c r="F36" s="1"/>
      <c r="G36" s="1"/>
      <c r="H36" s="1"/>
      <c r="I36" s="1"/>
    </row>
    <row r="37" spans="1:9" x14ac:dyDescent="0.25">
      <c r="A37" s="1"/>
      <c r="B37" s="1" t="s">
        <v>38</v>
      </c>
      <c r="C37" s="1" t="s">
        <v>39</v>
      </c>
      <c r="D37" s="10" t="s">
        <v>41</v>
      </c>
      <c r="E37" s="1" t="s">
        <v>251</v>
      </c>
      <c r="F37" s="1" t="s">
        <v>0</v>
      </c>
    </row>
    <row r="38" spans="1:9" x14ac:dyDescent="0.25">
      <c r="A38" s="1"/>
      <c r="B38" s="28" t="s">
        <v>213</v>
      </c>
      <c r="C38" s="25" t="s">
        <v>248</v>
      </c>
      <c r="D38" s="17">
        <v>1919</v>
      </c>
      <c r="E38" s="30" t="s">
        <v>247</v>
      </c>
      <c r="F38" s="17" t="s">
        <v>405</v>
      </c>
      <c r="I38" s="38"/>
    </row>
    <row r="39" spans="1:9" x14ac:dyDescent="0.25">
      <c r="A39" s="1"/>
      <c r="B39" s="1"/>
      <c r="C39" s="1"/>
      <c r="D39" s="1"/>
      <c r="E39" s="1"/>
      <c r="F39" s="1"/>
      <c r="G39" s="1"/>
      <c r="H39" s="1"/>
      <c r="I39" s="1"/>
    </row>
    <row r="40" spans="1:9" x14ac:dyDescent="0.25">
      <c r="A40" s="1"/>
      <c r="B40" s="3" t="s">
        <v>435</v>
      </c>
      <c r="C40" s="1"/>
      <c r="D40" s="1"/>
      <c r="E40" s="1"/>
      <c r="F40" s="1"/>
      <c r="G40" s="1"/>
      <c r="H40" s="1"/>
      <c r="I40" s="1"/>
    </row>
    <row r="41" spans="1:9" x14ac:dyDescent="0.25">
      <c r="A41" s="1"/>
      <c r="B41" s="1" t="s">
        <v>25</v>
      </c>
      <c r="C41" s="1" t="s">
        <v>52</v>
      </c>
      <c r="D41" s="1" t="s">
        <v>154</v>
      </c>
      <c r="E41" s="39" t="s">
        <v>456</v>
      </c>
      <c r="F41" s="39" t="s">
        <v>457</v>
      </c>
    </row>
    <row r="42" spans="1:9" x14ac:dyDescent="0.25">
      <c r="A42" s="1"/>
      <c r="B42" s="1">
        <v>10</v>
      </c>
      <c r="C42" s="1">
        <v>11.25</v>
      </c>
      <c r="D42" s="17">
        <v>1222.22</v>
      </c>
      <c r="E42" t="str">
        <f>TEXT(INT((BIMB_DD_ftr_out_com[[#Totals],[Sum]])),"000000000000000000")</f>
        <v>000000000000000465</v>
      </c>
      <c r="F42" t="str">
        <f>(RIGHT((TEXT(BIMB_DD_ftr_out_com[[#Totals],[Sum]]-INT(BIMB_DD_ftr_out_com[[#Totals],[Sum]]),"0.00")),2))</f>
        <v>48</v>
      </c>
    </row>
    <row r="43" spans="1:9" x14ac:dyDescent="0.25">
      <c r="A43" s="1"/>
      <c r="B43" s="39">
        <f>(BIMB_DD_ftr_out_com[Count]+1)</f>
        <v>11</v>
      </c>
      <c r="C43" s="12">
        <f>(SUM(BIMB_DD_ftr_out_com[Sum],BIMB_DD_det_out_com[Amount]))</f>
        <v>465.48</v>
      </c>
      <c r="D43" s="39"/>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436</v>
      </c>
      <c r="C46" s="1"/>
      <c r="D46" s="1"/>
      <c r="E46" s="1"/>
    </row>
    <row r="47" spans="1:9" x14ac:dyDescent="0.25">
      <c r="A47" s="1"/>
      <c r="B47" s="1" t="s">
        <v>4</v>
      </c>
      <c r="C47" s="1" t="s">
        <v>5</v>
      </c>
      <c r="D47" s="1" t="s">
        <v>6</v>
      </c>
      <c r="E47" s="1"/>
    </row>
    <row r="48" spans="1:9" x14ac:dyDescent="0.25">
      <c r="A48" s="1"/>
      <c r="B48" s="1" t="str">
        <f ca="1">CONCATENATE("887 ",TEXT(TODAY(),"DDMMYYYY"),REPT("0",11-LEN(BIMB_DD_hdr_out_com[CardNumber])),BIMB_DD_hdr_out_com[CardNumber],REPT("0",9-LEN(BIMB_DD_hdr_out_com[Amount])),BIMB_DD_hdr_out_com[Amount],BIMB_DD_hdr_out_com[Type],BIMB_DD_hdr_out_com[Name])</f>
        <v>887 0607201803991921710000001919PRBDEBITHHSSGGSGSg</v>
      </c>
      <c r="C48" s="1" t="str">
        <f>CONCATENATE("DT",BIMB_DD_det_out_com[BillType],REPT(" ",20-LEN(BIMB_DD_det_out_com[BillType])),REPT("0",16-LEN(BIMB_DD_det_out_com[Amount])),BIMB_DD_det_out_com[Amount],REPT(" ",40),BIMB_DD_det_out_com[PolicyNo], REPT("0",15-LEN(BIMB_DD_det_out_com[RejectRecordCount])),BIMB_DD_det_out_com[RejectRecordCount])</f>
        <v>DT213232133           0000000000454.23                                        1232323000000000000000</v>
      </c>
      <c r="D48" s="1" t="str">
        <f>CONCATENATE("FT","0001","PBB","       ",REPT("0",10-LEN(BIMB_DD_ftr_out_com[Count])),BIMB_DD_ftr_out_com[Count],BIMB_DD_ftr_out_com[AmountInt],BIMB_DD_ftr_out_com[AmountDec],REPT("0",15-LEN(BIMB_DD_ftr_out_com[HashTotal])),BIMB_DD_ftr_out_com[HashTotal])</f>
        <v>FT0001PBB       000000001000000000000000046548000000001222.22</v>
      </c>
      <c r="E48" s="1"/>
    </row>
    <row r="49" spans="1:9" x14ac:dyDescent="0.25">
      <c r="A49" s="1"/>
      <c r="B49" s="1"/>
      <c r="C49" s="1"/>
      <c r="D49" s="1"/>
      <c r="E49" s="1"/>
      <c r="F49" s="1"/>
      <c r="G49" s="1"/>
      <c r="H49" s="1"/>
      <c r="I49" s="1"/>
    </row>
  </sheetData>
  <dataValidations disablePrompts="1" count="1">
    <dataValidation type="list" allowBlank="1" showInputMessage="1" showErrorMessage="1" sqref="K4" xr:uid="{C62C879A-94BF-4B19-B333-AB231687F8B1}">
      <formula1>"Y,N"</formula1>
    </dataValidation>
  </dataValidations>
  <pageMargins left="0.7" right="0.7" top="0.75" bottom="0.75" header="0.3" footer="0.3"/>
  <pageSetup paperSize="9" orientation="portrait" horizontalDpi="4294967293" verticalDpi="4294967293"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5782A-5355-4F46-A9ED-1A2E22CB9634}">
  <dimension ref="A1:R49"/>
  <sheetViews>
    <sheetView workbookViewId="0">
      <selection activeCell="D43" sqref="D43"/>
    </sheetView>
  </sheetViews>
  <sheetFormatPr defaultRowHeight="15" x14ac:dyDescent="0.25"/>
  <cols>
    <col min="2" max="2" width="21.85546875" bestFit="1" customWidth="1"/>
    <col min="3" max="3" width="29.140625" customWidth="1"/>
    <col min="4" max="4" width="28.140625" customWidth="1"/>
    <col min="5" max="5" width="16.5703125" customWidth="1"/>
    <col min="6" max="6" width="16.5703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274</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273</v>
      </c>
      <c r="C4" s="1" t="s">
        <v>272</v>
      </c>
      <c r="D4" s="1"/>
      <c r="E4" s="1" t="s">
        <v>45</v>
      </c>
      <c r="F4" s="1" t="s">
        <v>47</v>
      </c>
      <c r="G4" s="1" t="s">
        <v>105</v>
      </c>
      <c r="H4" s="1" t="b">
        <v>1</v>
      </c>
      <c r="I4" s="1" t="s">
        <v>176</v>
      </c>
      <c r="J4" s="1">
        <v>999</v>
      </c>
      <c r="K4" s="11" t="s">
        <v>30</v>
      </c>
      <c r="L4" s="1" t="s">
        <v>176</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271</v>
      </c>
      <c r="C7" s="1"/>
      <c r="D7" s="1"/>
      <c r="E7" s="1"/>
      <c r="F7" s="1"/>
      <c r="G7" s="1"/>
    </row>
    <row r="8" spans="1:18" x14ac:dyDescent="0.25">
      <c r="A8" s="1"/>
      <c r="B8" s="1" t="s">
        <v>2</v>
      </c>
      <c r="C8" s="1"/>
    </row>
    <row r="9" spans="1:18" x14ac:dyDescent="0.25">
      <c r="A9" s="1"/>
      <c r="B9" s="25" t="s">
        <v>270</v>
      </c>
      <c r="C9" s="1"/>
    </row>
    <row r="10" spans="1:18" x14ac:dyDescent="0.25">
      <c r="A10" s="1"/>
      <c r="B10" s="1"/>
      <c r="C10" s="1"/>
      <c r="D10" s="1"/>
      <c r="E10" s="1"/>
      <c r="F10" s="1"/>
      <c r="G10" s="1"/>
      <c r="J10" s="1"/>
      <c r="K10" s="1"/>
    </row>
    <row r="11" spans="1:18" x14ac:dyDescent="0.25">
      <c r="A11" s="1"/>
      <c r="B11" s="4" t="s">
        <v>269</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268</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267</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32" t="s">
        <v>266</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265</v>
      </c>
      <c r="C19" s="1"/>
      <c r="D19" s="1"/>
      <c r="E19" s="1"/>
      <c r="F19" s="1"/>
      <c r="G19" s="1"/>
      <c r="J19" s="1"/>
      <c r="K19" s="1"/>
    </row>
    <row r="20" spans="1:18" x14ac:dyDescent="0.25">
      <c r="A20" s="1"/>
      <c r="B20" s="1" t="s">
        <v>383</v>
      </c>
      <c r="C20" s="1" t="s">
        <v>41</v>
      </c>
      <c r="D20" s="1" t="s">
        <v>22</v>
      </c>
      <c r="E20" s="1" t="s">
        <v>54</v>
      </c>
      <c r="H20" s="1"/>
      <c r="I20" s="1"/>
    </row>
    <row r="21" spans="1:18" x14ac:dyDescent="0.25">
      <c r="A21" s="1"/>
      <c r="B21" s="1" t="str">
        <f>MID(PBB_DD_det_in[Col1],3,20)</f>
        <v xml:space="preserve">4467717911          </v>
      </c>
      <c r="C21" s="1" t="str">
        <f>MID(PBB_DD_det_in[Col1],23,16)</f>
        <v>0000000000020394</v>
      </c>
      <c r="D21" s="1" t="str">
        <f>MID(PBB_DD_det_in[Col1],47,20)</f>
        <v xml:space="preserve">95001114            </v>
      </c>
      <c r="E21" s="1" t="str">
        <f>MID(PBB_DD_det_in[Col1],67,2)</f>
        <v>02</v>
      </c>
      <c r="H21" s="1"/>
      <c r="I21" s="1"/>
    </row>
    <row r="22" spans="1:18" x14ac:dyDescent="0.25">
      <c r="A22" s="1"/>
      <c r="B22" s="1"/>
      <c r="C22" s="1"/>
      <c r="D22" s="1"/>
      <c r="E22" s="1"/>
      <c r="F22" s="1"/>
      <c r="G22" s="1"/>
      <c r="J22" s="1"/>
      <c r="K22" s="1"/>
    </row>
    <row r="23" spans="1:18" x14ac:dyDescent="0.25">
      <c r="A23" s="1"/>
      <c r="B23" s="4" t="s">
        <v>264</v>
      </c>
      <c r="C23" s="1"/>
      <c r="D23" s="1"/>
      <c r="E23" s="1"/>
      <c r="F23" s="1"/>
      <c r="G23" s="1"/>
      <c r="H23" s="1"/>
      <c r="I23" s="1"/>
      <c r="J23" s="1"/>
      <c r="K23" s="1"/>
    </row>
    <row r="24" spans="1:18" x14ac:dyDescent="0.25">
      <c r="B24" s="1" t="s">
        <v>263</v>
      </c>
      <c r="C24" s="1" t="s">
        <v>262</v>
      </c>
      <c r="D24" s="1" t="s">
        <v>261</v>
      </c>
      <c r="E24" s="1" t="s">
        <v>260</v>
      </c>
      <c r="F24" s="1" t="s">
        <v>259</v>
      </c>
      <c r="G24" s="1" t="s">
        <v>38</v>
      </c>
    </row>
    <row r="25" spans="1:18" x14ac:dyDescent="0.25">
      <c r="B25" s="1" t="str">
        <f>MID(PBB_DD_hdr_in[Col1],3,4)</f>
        <v>0001</v>
      </c>
      <c r="C25" s="1" t="str">
        <f>MID(PBB_DD_hdr_in[Col1],7,10)</f>
        <v xml:space="preserve">PBB       </v>
      </c>
      <c r="D25" s="1" t="str">
        <f>MID(PBB_DD_hdr_in[Col1],17,10)</f>
        <v>3991921710</v>
      </c>
      <c r="E25" s="1" t="str">
        <f>MID(PBB_DD_hdr_in[Col1],27,8)</f>
        <v>20180228</v>
      </c>
      <c r="F25" s="1" t="str">
        <f>MID(PBB_DD_hdr_in[Col1],35,20)</f>
        <v xml:space="preserve">PRBDEBIT            </v>
      </c>
      <c r="G25" s="1" t="str">
        <f>MID(PBB_DD_hdr_in[Col1],55,8)</f>
        <v>20180228</v>
      </c>
    </row>
    <row r="27" spans="1:18" x14ac:dyDescent="0.25">
      <c r="B27" s="4" t="s">
        <v>258</v>
      </c>
      <c r="C27" s="1"/>
      <c r="D27" s="1"/>
      <c r="E27" s="1"/>
      <c r="F27" s="1"/>
      <c r="H27" s="1"/>
      <c r="I27" s="1"/>
      <c r="J27" s="1"/>
      <c r="K27" s="1"/>
      <c r="L27" s="1"/>
      <c r="N27" s="1"/>
      <c r="O27" s="1"/>
      <c r="P27" s="1"/>
      <c r="Q27" s="1"/>
      <c r="R27" s="1"/>
    </row>
    <row r="28" spans="1:18" x14ac:dyDescent="0.25">
      <c r="B28" s="1" t="s">
        <v>25</v>
      </c>
      <c r="C28" s="1" t="s">
        <v>52</v>
      </c>
      <c r="D28" s="1" t="s">
        <v>227</v>
      </c>
      <c r="E28" s="1" t="s">
        <v>226</v>
      </c>
      <c r="F28" s="1" t="s">
        <v>257</v>
      </c>
      <c r="G28" s="1" t="s">
        <v>256</v>
      </c>
      <c r="H28" s="1" t="s">
        <v>154</v>
      </c>
      <c r="I28" s="1" t="s">
        <v>180</v>
      </c>
      <c r="K28" s="1"/>
      <c r="L28" s="1"/>
      <c r="M28" s="1"/>
      <c r="N28" s="1"/>
      <c r="O28" s="1"/>
    </row>
    <row r="29" spans="1:18" x14ac:dyDescent="0.25">
      <c r="B29" s="1" t="str">
        <f>MID(PBB_DD_ftr_in[Col1],35,5)</f>
        <v>00607</v>
      </c>
      <c r="C29" s="1" t="str">
        <f>MID(PBB_DD_ftr_in[Col1],40,11)</f>
        <v>00010102535</v>
      </c>
      <c r="D29" s="1" t="str">
        <f>MID(PBB_DD_ftr_in[Col1],19,5)</f>
        <v>00482</v>
      </c>
      <c r="E29" s="1" t="str">
        <f>MID(PBB_DD_ftr_in[Col1],24,11)</f>
        <v>00007747276</v>
      </c>
      <c r="F29" s="1" t="str">
        <f>MID(PBB_DD_ftr_in[Col1],3,5)</f>
        <v>00125</v>
      </c>
      <c r="G29" s="1" t="str">
        <f>MID(PBB_DD_ftr_in[Col1],8,11)</f>
        <v>00002355259</v>
      </c>
      <c r="H29" s="1" t="str">
        <f>MID(PBB_DD_ftr_in[Col1],51,15)</f>
        <v>000000003018147</v>
      </c>
      <c r="I29" s="1" t="str">
        <f>MID(PBB_DD_ftr_in[Col1],70,8)</f>
        <v xml:space="preserve">        </v>
      </c>
      <c r="K29" s="1"/>
      <c r="L29" s="1"/>
      <c r="M29" s="1"/>
      <c r="N29" s="1"/>
      <c r="O29" s="1"/>
    </row>
    <row r="30" spans="1:18" x14ac:dyDescent="0.25">
      <c r="H30" s="1"/>
      <c r="I30" s="1"/>
      <c r="J30" s="1"/>
      <c r="K30" s="1"/>
      <c r="L30" s="1"/>
      <c r="N30" s="1"/>
      <c r="O30" s="1"/>
      <c r="P30" s="1"/>
      <c r="Q30" s="1"/>
      <c r="R30" s="1"/>
    </row>
    <row r="32" spans="1:18" x14ac:dyDescent="0.25">
      <c r="A32" s="1"/>
      <c r="B32" s="3" t="s">
        <v>255</v>
      </c>
      <c r="C32" s="1"/>
      <c r="D32" s="1"/>
      <c r="E32" s="1"/>
      <c r="F32" s="1"/>
      <c r="G32" s="1"/>
    </row>
    <row r="33" spans="1:9" x14ac:dyDescent="0.25">
      <c r="A33" s="1"/>
      <c r="B33" s="1" t="s">
        <v>383</v>
      </c>
      <c r="C33" s="1" t="s">
        <v>41</v>
      </c>
      <c r="D33" s="1" t="s">
        <v>22</v>
      </c>
      <c r="E33" s="1" t="s">
        <v>154</v>
      </c>
      <c r="F33" s="16" t="s">
        <v>456</v>
      </c>
      <c r="G33" s="39" t="s">
        <v>457</v>
      </c>
    </row>
    <row r="34" spans="1:9" x14ac:dyDescent="0.25">
      <c r="A34" s="1"/>
      <c r="B34" s="13">
        <v>23434343243</v>
      </c>
      <c r="C34" s="12">
        <v>3243</v>
      </c>
      <c r="D34" s="13" t="str">
        <f>IL_DD!J14</f>
        <v>12233222</v>
      </c>
      <c r="E34" s="13"/>
      <c r="F34" s="17" t="str">
        <f>TEXT(INT((PBB_DD_det_out_com[Amount])),"000000000000000000")</f>
        <v>000000000000003243</v>
      </c>
      <c r="G34" s="17" t="str">
        <f>(RIGHT((TEXT(PBB_DD_det_out_com[Amount]-INT(PBB_DD_det_out_com[Amount]),"0.00")),2))</f>
        <v>00</v>
      </c>
    </row>
    <row r="35" spans="1:9" x14ac:dyDescent="0.25">
      <c r="A35" s="1"/>
      <c r="B35" s="1"/>
      <c r="C35" s="1"/>
      <c r="D35" s="1"/>
      <c r="E35" s="1"/>
      <c r="F35" s="1"/>
      <c r="G35" s="1"/>
      <c r="H35" s="1"/>
      <c r="I35" s="1"/>
    </row>
    <row r="36" spans="1:9" x14ac:dyDescent="0.25">
      <c r="A36" s="1"/>
      <c r="B36" s="3" t="s">
        <v>254</v>
      </c>
      <c r="C36" s="1"/>
      <c r="D36" s="1"/>
      <c r="E36" s="1"/>
      <c r="F36" s="1"/>
      <c r="G36" s="1"/>
      <c r="H36" s="1"/>
      <c r="I36" s="1"/>
    </row>
    <row r="37" spans="1:9" x14ac:dyDescent="0.25">
      <c r="A37" s="1"/>
      <c r="B37" s="1" t="s">
        <v>253</v>
      </c>
      <c r="C37" s="1" t="s">
        <v>252</v>
      </c>
      <c r="D37" s="10" t="s">
        <v>223</v>
      </c>
      <c r="E37" s="1" t="s">
        <v>251</v>
      </c>
      <c r="F37" s="1" t="s">
        <v>250</v>
      </c>
    </row>
    <row r="38" spans="1:9" x14ac:dyDescent="0.25">
      <c r="A38" s="1"/>
      <c r="B38" s="28" t="s">
        <v>249</v>
      </c>
      <c r="C38" s="25" t="s">
        <v>248</v>
      </c>
      <c r="D38" s="17" t="s">
        <v>246</v>
      </c>
      <c r="E38" s="30" t="s">
        <v>247</v>
      </c>
      <c r="F38" s="17" t="s">
        <v>246</v>
      </c>
    </row>
    <row r="39" spans="1:9" x14ac:dyDescent="0.25">
      <c r="A39" s="1"/>
      <c r="B39" s="1"/>
      <c r="C39" s="1"/>
      <c r="D39" s="1"/>
      <c r="E39" s="1"/>
      <c r="F39" s="1"/>
      <c r="G39" s="1"/>
      <c r="H39" s="1"/>
      <c r="I39" s="1"/>
    </row>
    <row r="40" spans="1:9" x14ac:dyDescent="0.25">
      <c r="A40" s="1"/>
      <c r="B40" s="3" t="s">
        <v>245</v>
      </c>
      <c r="C40" s="1"/>
      <c r="D40" s="1"/>
      <c r="E40" s="1"/>
      <c r="F40" s="1"/>
      <c r="G40" s="1"/>
      <c r="H40" s="1"/>
      <c r="I40" s="1"/>
    </row>
    <row r="41" spans="1:9" x14ac:dyDescent="0.25">
      <c r="A41" s="1"/>
      <c r="B41" s="1" t="s">
        <v>25</v>
      </c>
      <c r="C41" s="1" t="s">
        <v>52</v>
      </c>
      <c r="D41" s="1" t="s">
        <v>154</v>
      </c>
      <c r="E41" s="39" t="s">
        <v>456</v>
      </c>
      <c r="F41" s="39" t="s">
        <v>457</v>
      </c>
    </row>
    <row r="42" spans="1:9" x14ac:dyDescent="0.25">
      <c r="A42" s="1"/>
      <c r="B42" s="1">
        <v>10</v>
      </c>
      <c r="C42" s="1">
        <v>11.25</v>
      </c>
      <c r="D42" s="17">
        <v>1222</v>
      </c>
      <c r="E42" s="17" t="str">
        <f>TEXT(INT((PBB_DD_ftr_out_com[[#Totals],[Sum]])),"000000000000000000")</f>
        <v>000000000000003254</v>
      </c>
      <c r="F42" s="17" t="str">
        <f>(RIGHT((TEXT(PBB_DD_ftr_out_com[[#Totals],[Sum]]-INT(PBB_DD_ftr_out_com[[#Totals],[Sum]]),"0.00")),2))</f>
        <v>25</v>
      </c>
    </row>
    <row r="43" spans="1:9" x14ac:dyDescent="0.25">
      <c r="A43" s="1"/>
      <c r="B43" s="1">
        <f>(PBB_DD_ftr_out_com[Count]+1)</f>
        <v>11</v>
      </c>
      <c r="C43" s="1">
        <f>(SUM(PBB_DD_ftr_out_com[Sum],PBB_DD_det_out_com[Amount]))</f>
        <v>3254.25</v>
      </c>
      <c r="D43" s="1">
        <f>(SUM(PBB_DD_ftr_out_com[HashTotal],BSN_DD_det_out_com[PayorBankAcctNo]))</f>
        <v>12324434</v>
      </c>
      <c r="E43" s="39"/>
      <c r="F43" s="39"/>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3" t="s">
        <v>244</v>
      </c>
      <c r="C46" s="1"/>
      <c r="D46" s="1"/>
      <c r="E46" s="1"/>
    </row>
    <row r="47" spans="1:9" x14ac:dyDescent="0.25">
      <c r="A47" s="1"/>
      <c r="B47" s="1" t="s">
        <v>4</v>
      </c>
      <c r="C47" s="1" t="s">
        <v>5</v>
      </c>
      <c r="D47" s="1" t="s">
        <v>6</v>
      </c>
      <c r="E47" s="1"/>
    </row>
    <row r="48" spans="1:9" x14ac:dyDescent="0.25">
      <c r="A48" s="1"/>
      <c r="B48" s="1" t="str">
        <f>CONCATENATE("FH",PBB_DD_hdr_out_com[SegmentNumber],PBB_DD_hdr_out_com[OriAccount],REPT(" ",10-LEN(PBB_DD_hdr_out_com[OriAccount])),"PBB       ",PBB_DD_hdr_out_com[SystemDate],PBB_DD_hdr_out_com[Type],REPT(" ",20-LEN(PBB_DD_hdr_out_com[Type])),PBB_DD_hdr_out_com[SystemDate2],REPT(" ",138))</f>
        <v xml:space="preserve">FH00013991921710PBB       YYYYMMDDPRBDEBIT            YYYYMMDD                                                                                                                                          </v>
      </c>
      <c r="C48" s="1" t="str">
        <f>CONCATENATE("DT",PBB_DD_det_out_com[PayorBankAcctNo],REPT(" ",20-LEN(PBB_DD_det_out_com[PayorBankAcctNo])),REPT("0",16-LEN(PBB_DD_det_out_com[Amount])),PBB_DD_det_out_com[Amount],REPT(" ",40),PBB_DD_det_out_com[PolicyNo], REPT(" ",20-LEN(PBB_DD_det_out_com[PolicyNo])),REPT("0",15-LEN(PBB_DD_det_out_com[HashTotal])),PBB_DD_det_out_com[HashTotal],REPT(" ",87))</f>
        <v xml:space="preserve">DT23434343243         0000000000003243                                        12233222            000000000000000                                                                                       </v>
      </c>
      <c r="D48" s="1" t="str">
        <f>CONCATENATE("FT","0001","PBB","       ",REPT("0",10-LEN(PBB_DD_ftr_out_com[Count])),PBB_DD_ftr_out_com[Count],PBB_DD_ftr_out_com[AmountInt],PBB_DD_ftr_out_com[AmountDec],REPT("0",15-LEN(PBB_DD_ftr_out_com[[#Totals],[HashTotal]])),PBB_DD_ftr_out_com[[#Totals],[HashTotal]],REPT(" ",139))</f>
        <v xml:space="preserve">FT0001PBB       000000001000000000000000325425000000012324434                                                                                                                                           </v>
      </c>
      <c r="E48" s="1"/>
    </row>
    <row r="49" spans="1:9" x14ac:dyDescent="0.25">
      <c r="A49" s="1"/>
      <c r="B49" s="1"/>
      <c r="C49" s="1"/>
      <c r="D49" s="1"/>
      <c r="E49" s="1"/>
      <c r="F49" s="1"/>
      <c r="G49" s="1"/>
      <c r="H49" s="1"/>
      <c r="I49" s="1"/>
    </row>
  </sheetData>
  <dataValidations disablePrompts="1" count="1">
    <dataValidation type="list" allowBlank="1" showInputMessage="1" showErrorMessage="1" sqref="K4" xr:uid="{B224AC40-9A63-4ED3-ACCA-0956E2B8807B}">
      <formula1>"Y,N"</formula1>
    </dataValidation>
  </dataValidations>
  <pageMargins left="0.7" right="0.7" top="0.75" bottom="0.75" header="0.3" footer="0.3"/>
  <legacyDrawing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A5E1-6D86-434F-9903-F337C84FE15B}">
  <dimension ref="A1:R53"/>
  <sheetViews>
    <sheetView workbookViewId="0">
      <selection activeCell="D49" sqref="D49"/>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19.85546875" customWidth="1"/>
    <col min="9" max="9" width="17.85546875" customWidth="1"/>
    <col min="10" max="10" width="12" customWidth="1"/>
    <col min="11" max="11" width="13.140625" bestFit="1" customWidth="1"/>
    <col min="12" max="12" width="12.140625" bestFit="1" customWidth="1"/>
    <col min="13" max="13" width="11"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243</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242</v>
      </c>
      <c r="C4" s="1" t="s">
        <v>241</v>
      </c>
      <c r="D4" s="1"/>
      <c r="E4" s="1" t="s">
        <v>45</v>
      </c>
      <c r="F4" s="1" t="s">
        <v>47</v>
      </c>
      <c r="G4" s="1" t="s">
        <v>105</v>
      </c>
      <c r="H4" s="1" t="b">
        <v>1</v>
      </c>
      <c r="I4" s="1" t="s">
        <v>176</v>
      </c>
      <c r="J4" s="1">
        <v>999</v>
      </c>
      <c r="K4" s="11" t="s">
        <v>30</v>
      </c>
      <c r="L4" s="1" t="s">
        <v>176</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240</v>
      </c>
      <c r="C7" s="1"/>
      <c r="D7" s="1"/>
      <c r="E7" s="1"/>
      <c r="F7" s="1"/>
      <c r="G7" s="1"/>
    </row>
    <row r="8" spans="1:18" x14ac:dyDescent="0.25">
      <c r="A8" s="1"/>
      <c r="B8" s="1" t="s">
        <v>2</v>
      </c>
      <c r="C8" s="1"/>
    </row>
    <row r="9" spans="1:18" x14ac:dyDescent="0.25">
      <c r="A9" s="1"/>
      <c r="B9" s="25" t="s">
        <v>239</v>
      </c>
      <c r="C9" s="1"/>
    </row>
    <row r="10" spans="1:18" x14ac:dyDescent="0.25">
      <c r="A10" s="1"/>
      <c r="B10" s="1"/>
      <c r="C10" s="1"/>
      <c r="D10" s="1"/>
      <c r="E10" s="1"/>
      <c r="F10" s="1"/>
      <c r="G10" s="1"/>
      <c r="J10" s="1"/>
      <c r="K10" s="1"/>
    </row>
    <row r="11" spans="1:18" x14ac:dyDescent="0.25">
      <c r="A11" s="1"/>
      <c r="B11" s="4" t="s">
        <v>238</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1" t="s">
        <v>237</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236</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9" t="s">
        <v>235</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234</v>
      </c>
      <c r="C19" s="1"/>
      <c r="D19" s="1"/>
      <c r="E19" s="1"/>
      <c r="F19" s="1"/>
      <c r="G19" s="1"/>
      <c r="J19" s="1"/>
      <c r="K19" s="1"/>
    </row>
    <row r="20" spans="1:18" x14ac:dyDescent="0.25">
      <c r="A20" s="1"/>
      <c r="B20" s="1" t="s">
        <v>383</v>
      </c>
      <c r="C20" s="1" t="s">
        <v>43</v>
      </c>
      <c r="D20" s="1" t="s">
        <v>161</v>
      </c>
      <c r="E20" s="1" t="s">
        <v>41</v>
      </c>
      <c r="F20" s="1" t="s">
        <v>22</v>
      </c>
      <c r="G20" s="1" t="s">
        <v>55</v>
      </c>
      <c r="J20" s="1"/>
      <c r="K20" s="1"/>
    </row>
    <row r="21" spans="1:18" x14ac:dyDescent="0.25">
      <c r="A21" s="1"/>
      <c r="B21" s="1" t="str">
        <f>MID(RHB_DD_det_in[Col1],21,14)</f>
        <v>10801600529552</v>
      </c>
      <c r="C21" s="1" t="str">
        <f>MID(RHB_DD_det_in[Col1],51,35)</f>
        <v>ADIBATUN NAILAH BINTI MOHAMAD SHITH</v>
      </c>
      <c r="D21" s="1" t="str">
        <f>MID(RHB_DD_det_in[Col1],86,12)</f>
        <v>650531085440</v>
      </c>
      <c r="E21" s="1" t="str">
        <f>MID(RHB_DD_det_in[Col1],98,15)</f>
        <v>000000000012000</v>
      </c>
      <c r="F21" s="1" t="str">
        <f>MID(RHB_DD_det_in[Col1],113,10)</f>
        <v xml:space="preserve">95534607  </v>
      </c>
      <c r="G21" s="1" t="str">
        <f>MID(RHB_DD_det_in[Col1],133,10)</f>
        <v xml:space="preserve">RJP15     </v>
      </c>
      <c r="J21" s="1"/>
      <c r="K21" s="1"/>
    </row>
    <row r="22" spans="1:18" x14ac:dyDescent="0.25">
      <c r="A22" s="1"/>
      <c r="B22" s="1"/>
      <c r="C22" s="1"/>
      <c r="D22" s="1"/>
      <c r="E22" s="1"/>
      <c r="F22" s="1"/>
      <c r="G22" s="1"/>
      <c r="J22" s="1"/>
      <c r="K22" s="1"/>
    </row>
    <row r="23" spans="1:18" x14ac:dyDescent="0.25">
      <c r="A23" s="1"/>
      <c r="B23" s="4" t="s">
        <v>233</v>
      </c>
      <c r="C23" s="1"/>
      <c r="D23" s="1"/>
      <c r="E23" s="1"/>
      <c r="F23" s="1"/>
      <c r="G23" s="1"/>
      <c r="H23" s="1"/>
      <c r="I23" s="1"/>
      <c r="J23" s="1"/>
      <c r="K23" s="1"/>
    </row>
    <row r="24" spans="1:18" x14ac:dyDescent="0.25">
      <c r="B24" s="1" t="s">
        <v>38</v>
      </c>
      <c r="C24" s="1" t="s">
        <v>217</v>
      </c>
      <c r="D24" s="1" t="s">
        <v>216</v>
      </c>
      <c r="E24" s="1" t="s">
        <v>215</v>
      </c>
      <c r="F24" s="1" t="s">
        <v>232</v>
      </c>
      <c r="G24" s="1" t="s">
        <v>231</v>
      </c>
      <c r="H24" s="1" t="s">
        <v>224</v>
      </c>
    </row>
    <row r="25" spans="1:18" x14ac:dyDescent="0.25">
      <c r="B25" s="1" t="str">
        <f>MID(RHB_DD_hdr_in[Col1],1,8)</f>
        <v>31102017</v>
      </c>
      <c r="C25" s="1" t="str">
        <f>MID(RHB_DD_hdr_in[Col1],9,5)</f>
        <v>00038</v>
      </c>
      <c r="D25" s="1" t="str">
        <f>MID(RHB_DD_hdr_in[Col1],14,3)</f>
        <v>061</v>
      </c>
      <c r="E25" s="1" t="str">
        <f>MID(RHB_DD_hdr_in[Col1],21,14)</f>
        <v>26413300017675</v>
      </c>
      <c r="F25" s="1" t="str">
        <f>MID(RHB_DD_hdr_in[Col1],86,12)</f>
        <v xml:space="preserve">740651-H    </v>
      </c>
      <c r="G25" s="1" t="str">
        <f>MID(RHB_DD_hdr_in[Col1],98,1)</f>
        <v>D</v>
      </c>
      <c r="H25" s="1" t="str">
        <f>MID(RHB_DD_hdr_in[Col1],99,1)</f>
        <v xml:space="preserve"> </v>
      </c>
    </row>
    <row r="27" spans="1:18" x14ac:dyDescent="0.25">
      <c r="B27" s="4" t="s">
        <v>230</v>
      </c>
      <c r="C27" s="1"/>
      <c r="D27" s="1"/>
      <c r="E27" s="1"/>
      <c r="F27" s="1"/>
      <c r="H27" s="1"/>
      <c r="I27" s="1"/>
      <c r="J27" s="1"/>
      <c r="K27" s="1"/>
      <c r="L27" s="1"/>
      <c r="N27" s="1"/>
      <c r="O27" s="1"/>
      <c r="P27" s="1"/>
      <c r="Q27" s="1"/>
      <c r="R27" s="1"/>
    </row>
    <row r="28" spans="1:18" x14ac:dyDescent="0.25">
      <c r="B28" s="1" t="s">
        <v>25</v>
      </c>
      <c r="C28" s="1" t="s">
        <v>52</v>
      </c>
      <c r="D28" s="1" t="s">
        <v>186</v>
      </c>
      <c r="E28" s="1" t="s">
        <v>154</v>
      </c>
      <c r="F28" s="1" t="s">
        <v>229</v>
      </c>
      <c r="G28" s="1" t="s">
        <v>228</v>
      </c>
      <c r="H28" s="1" t="s">
        <v>227</v>
      </c>
      <c r="I28" s="1" t="s">
        <v>226</v>
      </c>
      <c r="K28" s="1"/>
      <c r="L28" s="1"/>
      <c r="M28" s="1"/>
      <c r="N28" s="1"/>
      <c r="O28" s="1"/>
    </row>
    <row r="29" spans="1:18" x14ac:dyDescent="0.25">
      <c r="B29" s="1" t="str">
        <f>MID(RHB_DD_ftr_in[Col1],66,12)</f>
        <v>000000000608</v>
      </c>
      <c r="C29" s="1" t="str">
        <f>MID(RHB_DD_ftr_in[Col1],51,15)</f>
        <v>000000009441385</v>
      </c>
      <c r="D29" s="1" t="str">
        <f>MID(RHB_DD_ftr_in[Col1],21,14)</f>
        <v>26413300017675</v>
      </c>
      <c r="E29" s="1" t="str">
        <f>MID(RHB_DD_ftr_in[Col1],78,16)</f>
        <v>0041475900855936</v>
      </c>
      <c r="F29" s="1" t="str">
        <f>MID(RHB_DD_ftr_in[Col1],109,12)</f>
        <v>000000000168</v>
      </c>
      <c r="G29" s="1" t="str">
        <f>MID(RHB_DD_ftr_in[Col1],121,15)</f>
        <v>000000002431561</v>
      </c>
      <c r="H29" s="1" t="str">
        <f>MID(RHB_DD_ftr_in[Col1],136,12)</f>
        <v>000000000440</v>
      </c>
      <c r="I29" s="1" t="str">
        <f>MID(RHB_DD_ftr_in[Col1],148,15)</f>
        <v>000000007009824</v>
      </c>
      <c r="K29" s="1"/>
      <c r="L29" s="1"/>
      <c r="M29" s="1"/>
      <c r="N29" s="1"/>
      <c r="O29" s="1"/>
    </row>
    <row r="30" spans="1:18" x14ac:dyDescent="0.25">
      <c r="H30" s="1"/>
      <c r="I30" s="1"/>
      <c r="J30" s="1"/>
      <c r="K30" s="1"/>
      <c r="L30" s="1"/>
      <c r="N30" s="1"/>
      <c r="O30" s="1"/>
      <c r="P30" s="1"/>
      <c r="Q30" s="1"/>
      <c r="R30" s="1"/>
    </row>
    <row r="32" spans="1:18" x14ac:dyDescent="0.25">
      <c r="A32" s="1"/>
      <c r="B32" s="3" t="s">
        <v>225</v>
      </c>
      <c r="C32" s="1"/>
      <c r="D32" s="1"/>
      <c r="E32" s="1"/>
      <c r="F32" s="1"/>
      <c r="G32" s="1"/>
    </row>
    <row r="33" spans="1:12" x14ac:dyDescent="0.25">
      <c r="A33" s="1"/>
      <c r="B33" s="1" t="s">
        <v>217</v>
      </c>
      <c r="C33" s="1" t="s">
        <v>216</v>
      </c>
      <c r="D33" s="1" t="s">
        <v>383</v>
      </c>
      <c r="E33" s="1" t="s">
        <v>43</v>
      </c>
      <c r="F33" s="1" t="s">
        <v>22</v>
      </c>
      <c r="G33" s="1" t="s">
        <v>41</v>
      </c>
      <c r="H33" s="1" t="s">
        <v>223</v>
      </c>
      <c r="I33" s="1" t="s">
        <v>55</v>
      </c>
      <c r="J33" s="39" t="s">
        <v>456</v>
      </c>
      <c r="K33" s="39" t="s">
        <v>457</v>
      </c>
      <c r="L33" s="39" t="s">
        <v>154</v>
      </c>
    </row>
    <row r="34" spans="1:12" x14ac:dyDescent="0.25">
      <c r="A34" s="1"/>
      <c r="B34" s="1">
        <v>12345</v>
      </c>
      <c r="C34" s="1">
        <v>123</v>
      </c>
      <c r="D34" s="13">
        <v>12312332323</v>
      </c>
      <c r="E34" s="13" t="s">
        <v>404</v>
      </c>
      <c r="F34" s="13">
        <v>12345678</v>
      </c>
      <c r="G34" s="12">
        <v>1232.22</v>
      </c>
      <c r="H34" s="17" t="s">
        <v>213</v>
      </c>
      <c r="I34" s="37"/>
      <c r="J34" s="37" t="str">
        <f>TEXT(INT((RHB_DD_det_out_com[Amount])),"000000000000000")</f>
        <v>000000000001232</v>
      </c>
      <c r="K34" s="37" t="str">
        <f>(RIGHT((TEXT(RHB_DD_det_out_com[Amount]-INT(RHB_DD_det_out_com[Amount]),"0.00")),2))</f>
        <v>22</v>
      </c>
      <c r="L34" s="37">
        <f>RIGHT(RHB_DD_det_out_com[PayorBankAcctNo],8)*(RIGHT(CONCATENATE(RHB_DD_det_out_com[AmountInt],RHB_DD_det_out_com[AmountDec]),8))</f>
        <v>1519613504706</v>
      </c>
    </row>
    <row r="35" spans="1:12" x14ac:dyDescent="0.25">
      <c r="A35" s="1"/>
      <c r="B35" s="1"/>
      <c r="C35" s="1"/>
      <c r="D35" s="1"/>
      <c r="E35" s="1"/>
      <c r="F35" s="1"/>
      <c r="G35" s="1"/>
      <c r="H35" s="1"/>
      <c r="I35" s="1"/>
    </row>
    <row r="36" spans="1:12" x14ac:dyDescent="0.25">
      <c r="A36" s="1"/>
      <c r="B36" s="3" t="s">
        <v>222</v>
      </c>
      <c r="C36" s="1"/>
      <c r="D36" s="1"/>
      <c r="E36" s="1"/>
      <c r="F36" s="1"/>
      <c r="G36" s="1"/>
      <c r="H36" s="1"/>
      <c r="I36" s="1"/>
    </row>
    <row r="37" spans="1:12" x14ac:dyDescent="0.25">
      <c r="A37" s="1"/>
      <c r="B37" s="1" t="s">
        <v>38</v>
      </c>
      <c r="C37" s="1" t="s">
        <v>217</v>
      </c>
      <c r="D37" s="10" t="s">
        <v>216</v>
      </c>
      <c r="E37" s="1" t="s">
        <v>215</v>
      </c>
      <c r="F37" s="1" t="s">
        <v>0</v>
      </c>
      <c r="G37" s="1" t="s">
        <v>221</v>
      </c>
    </row>
    <row r="38" spans="1:12" x14ac:dyDescent="0.25">
      <c r="A38" s="1"/>
      <c r="B38" s="31" t="s">
        <v>213</v>
      </c>
      <c r="C38" s="25">
        <v>12345</v>
      </c>
      <c r="D38" s="25" t="s">
        <v>403</v>
      </c>
      <c r="E38" s="17">
        <v>132132132</v>
      </c>
      <c r="F38" s="17" t="s">
        <v>220</v>
      </c>
      <c r="G38" s="30" t="s">
        <v>219</v>
      </c>
    </row>
    <row r="39" spans="1:12" x14ac:dyDescent="0.25">
      <c r="A39" s="1"/>
      <c r="B39" s="17"/>
      <c r="C39" s="1"/>
      <c r="D39" s="1"/>
      <c r="E39" s="17"/>
      <c r="F39" s="17"/>
      <c r="G39" s="17"/>
      <c r="H39" s="1"/>
      <c r="I39" s="1"/>
    </row>
    <row r="40" spans="1:12" x14ac:dyDescent="0.25">
      <c r="A40" s="1"/>
      <c r="B40" s="3" t="s">
        <v>218</v>
      </c>
      <c r="C40" s="1"/>
      <c r="D40" s="1"/>
      <c r="E40" s="1"/>
      <c r="F40" s="1"/>
      <c r="G40" s="1"/>
      <c r="H40" s="1"/>
      <c r="I40" s="1"/>
    </row>
    <row r="41" spans="1:12" x14ac:dyDescent="0.25">
      <c r="A41" s="1"/>
      <c r="B41" s="1" t="s">
        <v>25</v>
      </c>
      <c r="C41" s="1" t="s">
        <v>52</v>
      </c>
      <c r="D41" s="1" t="s">
        <v>38</v>
      </c>
      <c r="E41" s="1" t="s">
        <v>217</v>
      </c>
      <c r="F41" s="1" t="s">
        <v>216</v>
      </c>
      <c r="G41" s="1" t="s">
        <v>215</v>
      </c>
      <c r="H41" s="1" t="s">
        <v>214</v>
      </c>
      <c r="I41" s="39" t="s">
        <v>456</v>
      </c>
      <c r="J41" s="39" t="s">
        <v>457</v>
      </c>
      <c r="K41" s="39" t="s">
        <v>459</v>
      </c>
    </row>
    <row r="42" spans="1:12" x14ac:dyDescent="0.25">
      <c r="A42" s="1"/>
      <c r="B42" s="1">
        <v>10</v>
      </c>
      <c r="C42" s="1">
        <v>1</v>
      </c>
      <c r="D42" s="17" t="s">
        <v>213</v>
      </c>
      <c r="E42" s="17">
        <v>12355</v>
      </c>
      <c r="F42" s="17">
        <v>122</v>
      </c>
      <c r="G42" s="36" t="s">
        <v>402</v>
      </c>
      <c r="H42" s="17">
        <v>0</v>
      </c>
      <c r="I42" s="17" t="str">
        <f>TEXT(INT((RHB_DD_ftr_out_com[[#Totals],[Sum]])),"0000000000000")</f>
        <v>0000000001233</v>
      </c>
      <c r="J42" s="17" t="str">
        <f>(RIGHT((TEXT(RHB_DD_ftr_out_com[[#Totals],[Sum]]-INT(RHB_DD_ftr_out_com[[#Totals],[Sum]]),"0.00")),2))</f>
        <v>22</v>
      </c>
      <c r="K42" s="17"/>
    </row>
    <row r="43" spans="1:12" x14ac:dyDescent="0.25">
      <c r="A43" s="1"/>
      <c r="B43" s="39">
        <f>(RHB_DD_ftr_out_com[Count]+1)</f>
        <v>11</v>
      </c>
      <c r="C43" s="39">
        <f>(SUM(RHB_DD_ftr_out_com[Sum],RHB_DD_det_out_com[Amount]))</f>
        <v>1233.22</v>
      </c>
      <c r="D43" s="39"/>
      <c r="E43" s="39"/>
      <c r="F43" s="39"/>
      <c r="G43" s="39"/>
      <c r="H43" s="37">
        <f>(SUM(RHB_DD_ftr_out_com[Hashtotal],RHB_DD_det_out_com[HashTotal]))</f>
        <v>1519613504706</v>
      </c>
      <c r="I43" s="39"/>
      <c r="J43" s="39"/>
      <c r="K43" s="39"/>
    </row>
    <row r="44" spans="1:12" x14ac:dyDescent="0.25">
      <c r="A44" s="1"/>
      <c r="B44" s="1"/>
      <c r="C44" s="1"/>
      <c r="D44" s="1"/>
      <c r="E44" s="1"/>
      <c r="F44" s="1"/>
      <c r="G44" s="1"/>
      <c r="H44" s="1"/>
      <c r="I44" s="1"/>
    </row>
    <row r="45" spans="1:12" x14ac:dyDescent="0.25">
      <c r="A45" s="1"/>
      <c r="B45" s="1"/>
      <c r="C45" s="1"/>
      <c r="D45" s="1"/>
      <c r="E45" s="1"/>
      <c r="F45" s="1"/>
      <c r="G45" s="1"/>
      <c r="H45" s="1"/>
      <c r="I45" s="1"/>
    </row>
    <row r="46" spans="1:12" x14ac:dyDescent="0.25">
      <c r="A46" s="1"/>
      <c r="B46" s="3" t="s">
        <v>212</v>
      </c>
      <c r="C46" s="1"/>
      <c r="D46" s="1"/>
      <c r="E46" s="1"/>
    </row>
    <row r="47" spans="1:12" x14ac:dyDescent="0.25">
      <c r="A47" s="1"/>
      <c r="B47" s="1" t="s">
        <v>4</v>
      </c>
      <c r="C47" s="1" t="s">
        <v>5</v>
      </c>
      <c r="D47" s="1" t="s">
        <v>6</v>
      </c>
      <c r="E47" s="1"/>
    </row>
    <row r="48" spans="1:12" x14ac:dyDescent="0.25">
      <c r="A48" s="1"/>
      <c r="B48" s="1" t="str">
        <f>CONCATENATE(B38,C38,D38,"001","0",E38,REPT(" ",20-LEN(E38)),F38,REPT(" ",35-LEN(F38)),G38,REPT(" ",239))</f>
        <v xml:space="preserve">DDMMYYYY123450100010132132132           asdsdsd                            740651-H                                                                                                                                                                                                                                               </v>
      </c>
      <c r="C48" s="1" t="str">
        <f>CONCATENATE(RHB_DD_det_out_com[SystemDate],RHB_DD_det_out_com[BillingCode],RHB_DD_det_out_com[Branch],"002","1",RHB_DD_det_out_com[PayorBankAcctNo],REPT(" ",14-LEN(RHB_DD_det_out_com[PayorBankAcctNo])),"                ",RHB_DD_det_out_com[CustomerName],REPT(" ",35-LEN(RHB_DD_det_out_com[CustomerName])),RHB_DD_det_out_com[PayorBankAcctNo],REPT(" ",12-LEN(RHB_DD_det_out_com[PayorBankAcctNo])),REPT("0",15-LEN(RHB_DD_det_out_com[Amount])),RHB_DD_det_out_com[Amount],RHB_DD_det_out_com[PolicyNo],REPT(" ",268))</f>
        <v xml:space="preserve">DDMMYYYY12345123002112312332323                   afasdsad                           12312332323 000000001232.2212345678                                                                                                                                                                                                                                                                            </v>
      </c>
      <c r="D48" s="1" t="str">
        <f>CONCATENATE(RHB_DD_ftr_out_com[Date],RHB_DD_ftr_out_com[BillingCode],REPT(" ",10-LEN(RHB_DD_ftr_out_com[BillingCode])),RHB_DD_ftr_out_com[Branch],REPT(" ",8-LEN(RHB_DD_ftr_out_com[Branch])), RHB_DD_ftr_out_com[TapNumber],"9",RHB_DD_ftr_out_com[CompanyAccount],REPT(" ",20-LEN(RHB_DD_ftr_out_com[CompanyAccount]))," ",RHB_DD_ftr_out_com[AmountInt],RHB_DD_ftr_out_com[AmountDec],REPT("0",12-LEN(RHB_DD_ftr_out_com[Count])),REPT("0",16-LEN(RHB_DD_ftr_out_com[Hashtotal])),RHB_DD_ftr_out_com[[#Totals],[Hashtotal]],REPT("0",15),REPT(" ",292))</f>
        <v xml:space="preserve">DDMMYYYY12355     122     91234567890123        00000000012332200000000000000000000000001519613504706000000000000000                                                                                                                                                                                                                                                                                                    </v>
      </c>
      <c r="E48" s="1"/>
    </row>
    <row r="49" spans="1:9" x14ac:dyDescent="0.25">
      <c r="A49" s="1"/>
      <c r="B49" s="1"/>
      <c r="C49" s="1"/>
      <c r="D49" s="1"/>
      <c r="E49" s="1"/>
      <c r="F49" s="1"/>
      <c r="G49" s="1"/>
      <c r="H49" s="1"/>
      <c r="I49" s="1"/>
    </row>
    <row r="53" spans="1:9" x14ac:dyDescent="0.25">
      <c r="C53" t="s">
        <v>211</v>
      </c>
    </row>
  </sheetData>
  <dataValidations disablePrompts="1" count="1">
    <dataValidation type="list" allowBlank="1" showInputMessage="1" showErrorMessage="1" sqref="K4" xr:uid="{500052C3-AA48-46CF-8F90-53B3D1B5A804}">
      <formula1>"Y,N"</formula1>
    </dataValidation>
  </dataValidations>
  <pageMargins left="0.7" right="0.7" top="0.75" bottom="0.75" header="0.3" footer="0.3"/>
  <pageSetup paperSize="9" orientation="portrait" horizontalDpi="4294967293" verticalDpi="4294967293"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7388-88CF-4767-A565-A66364B1F9A4}">
  <dimension ref="A1:R49"/>
  <sheetViews>
    <sheetView topLeftCell="A26" workbookViewId="0">
      <selection activeCell="G41" sqref="G41"/>
    </sheetView>
  </sheetViews>
  <sheetFormatPr defaultRowHeight="15" x14ac:dyDescent="0.25"/>
  <cols>
    <col min="2" max="2" width="21.85546875" bestFit="1" customWidth="1"/>
    <col min="3" max="3" width="29.140625" customWidth="1"/>
    <col min="4" max="4" width="28.140625" customWidth="1"/>
    <col min="5" max="5" width="16.5703125" customWidth="1"/>
    <col min="6" max="6" width="13.42578125" bestFit="1" customWidth="1"/>
    <col min="7" max="7" width="11.85546875" bestFit="1" customWidth="1"/>
    <col min="8" max="8" width="9.5703125" customWidth="1"/>
    <col min="9" max="9" width="11" bestFit="1" customWidth="1"/>
    <col min="10" max="10" width="12" customWidth="1"/>
    <col min="11" max="11" width="13.140625" bestFit="1" customWidth="1"/>
    <col min="12" max="12" width="8.5703125" bestFit="1" customWidth="1"/>
    <col min="14" max="14" width="14.85546875" bestFit="1" customWidth="1"/>
  </cols>
  <sheetData>
    <row r="1" spans="1:18" x14ac:dyDescent="0.25">
      <c r="A1" s="1"/>
      <c r="B1" s="1"/>
      <c r="C1" s="1"/>
      <c r="D1" s="1"/>
      <c r="E1" s="1"/>
      <c r="F1" s="1"/>
      <c r="G1" s="1"/>
      <c r="H1" s="1"/>
      <c r="I1" s="1"/>
      <c r="J1" s="1"/>
      <c r="K1" s="1"/>
    </row>
    <row r="2" spans="1:18" x14ac:dyDescent="0.25">
      <c r="A2" s="1"/>
      <c r="B2" s="2" t="s">
        <v>210</v>
      </c>
      <c r="C2" s="1"/>
      <c r="D2" s="1"/>
      <c r="E2" s="1"/>
      <c r="F2" s="1"/>
      <c r="G2" s="1"/>
      <c r="H2" s="1"/>
      <c r="I2" s="1"/>
      <c r="J2" s="1"/>
      <c r="K2" s="1"/>
    </row>
    <row r="3" spans="1:18" x14ac:dyDescent="0.25">
      <c r="A3" s="1"/>
      <c r="B3" s="1" t="s">
        <v>0</v>
      </c>
      <c r="C3" s="1" t="s">
        <v>28</v>
      </c>
      <c r="D3" s="1" t="s">
        <v>1</v>
      </c>
      <c r="E3" s="1" t="s">
        <v>32</v>
      </c>
      <c r="F3" s="1" t="s">
        <v>33</v>
      </c>
      <c r="G3" s="1" t="s">
        <v>34</v>
      </c>
      <c r="H3" s="1" t="s">
        <v>31</v>
      </c>
      <c r="I3" s="1" t="s">
        <v>85</v>
      </c>
      <c r="J3" s="1" t="s">
        <v>36</v>
      </c>
      <c r="K3" s="1" t="s">
        <v>29</v>
      </c>
      <c r="L3" s="15" t="s">
        <v>24</v>
      </c>
      <c r="M3" s="1"/>
      <c r="N3" s="1"/>
    </row>
    <row r="4" spans="1:18" x14ac:dyDescent="0.25">
      <c r="A4" s="1"/>
      <c r="B4" s="1" t="s">
        <v>209</v>
      </c>
      <c r="C4" s="1" t="s">
        <v>104</v>
      </c>
      <c r="D4" s="1"/>
      <c r="E4" s="1" t="s">
        <v>45</v>
      </c>
      <c r="F4" s="1" t="s">
        <v>47</v>
      </c>
      <c r="G4" s="1" t="s">
        <v>105</v>
      </c>
      <c r="H4" s="1" t="b">
        <v>1</v>
      </c>
      <c r="I4" s="1" t="s">
        <v>176</v>
      </c>
      <c r="J4" s="1">
        <v>999</v>
      </c>
      <c r="K4" s="11" t="s">
        <v>30</v>
      </c>
      <c r="L4" s="1" t="s">
        <v>176</v>
      </c>
      <c r="M4" s="1"/>
      <c r="N4" s="1"/>
    </row>
    <row r="5" spans="1:18" x14ac:dyDescent="0.25">
      <c r="A5" s="1"/>
      <c r="B5" s="1"/>
      <c r="C5" s="1"/>
      <c r="D5" s="1"/>
      <c r="E5" s="1"/>
      <c r="F5" s="1"/>
      <c r="G5" s="1"/>
      <c r="H5" s="1"/>
      <c r="I5" s="1"/>
      <c r="J5" s="1"/>
      <c r="K5" s="1"/>
    </row>
    <row r="6" spans="1:18" x14ac:dyDescent="0.25">
      <c r="A6" s="1"/>
      <c r="B6" s="1"/>
      <c r="C6" s="1"/>
      <c r="D6" s="1"/>
      <c r="E6" s="1"/>
      <c r="F6" s="1"/>
      <c r="G6" s="1"/>
      <c r="H6" s="1"/>
      <c r="I6" s="1"/>
      <c r="J6" s="1"/>
      <c r="K6" s="1"/>
    </row>
    <row r="7" spans="1:18" x14ac:dyDescent="0.25">
      <c r="A7" s="1"/>
      <c r="B7" s="4" t="s">
        <v>208</v>
      </c>
      <c r="C7" s="1"/>
      <c r="D7" s="1"/>
      <c r="E7" s="1"/>
      <c r="F7" s="1"/>
      <c r="G7" s="1"/>
    </row>
    <row r="8" spans="1:18" x14ac:dyDescent="0.25">
      <c r="A8" s="1"/>
      <c r="B8" s="1" t="s">
        <v>2</v>
      </c>
      <c r="C8" s="1"/>
    </row>
    <row r="9" spans="1:18" x14ac:dyDescent="0.25">
      <c r="A9" s="1"/>
      <c r="B9" s="29" t="s">
        <v>401</v>
      </c>
      <c r="C9" s="1"/>
    </row>
    <row r="10" spans="1:18" x14ac:dyDescent="0.25">
      <c r="A10" s="1"/>
      <c r="B10" s="1"/>
      <c r="C10" s="1"/>
      <c r="D10" s="1"/>
      <c r="E10" s="1"/>
      <c r="F10" s="1"/>
      <c r="G10" s="1"/>
      <c r="J10" s="1"/>
      <c r="K10" s="1"/>
    </row>
    <row r="11" spans="1:18" x14ac:dyDescent="0.25">
      <c r="A11" s="1"/>
      <c r="B11" s="4" t="s">
        <v>207</v>
      </c>
      <c r="C11" s="1"/>
      <c r="D11" s="1"/>
      <c r="E11" s="1"/>
      <c r="F11" s="1"/>
      <c r="G11" s="1"/>
      <c r="J11" s="1"/>
      <c r="K11" s="1"/>
      <c r="N11" s="1"/>
      <c r="O11" s="1"/>
      <c r="P11" s="1"/>
      <c r="Q11" s="1"/>
      <c r="R11" s="1"/>
    </row>
    <row r="12" spans="1:18" x14ac:dyDescent="0.25">
      <c r="A12" s="1"/>
      <c r="B12" s="1" t="s">
        <v>2</v>
      </c>
      <c r="C12" s="1"/>
      <c r="F12" s="1"/>
      <c r="G12" s="1"/>
      <c r="J12" s="1"/>
      <c r="K12" s="1"/>
      <c r="L12" s="1"/>
      <c r="M12" s="1"/>
      <c r="N12" s="1"/>
    </row>
    <row r="13" spans="1:18" x14ac:dyDescent="0.25">
      <c r="A13" s="1"/>
      <c r="B13" s="25" t="s">
        <v>400</v>
      </c>
      <c r="C13" s="1"/>
      <c r="F13" s="1"/>
      <c r="G13" s="1"/>
      <c r="J13" s="1"/>
      <c r="K13" s="1"/>
      <c r="L13" s="1"/>
      <c r="M13" s="1"/>
      <c r="N13" s="1"/>
    </row>
    <row r="14" spans="1:18" x14ac:dyDescent="0.25">
      <c r="A14" s="1"/>
      <c r="B14" s="1"/>
      <c r="C14" s="1"/>
      <c r="D14" s="1"/>
      <c r="E14" s="1"/>
      <c r="F14" s="1"/>
      <c r="G14" s="1"/>
      <c r="J14" s="1"/>
      <c r="K14" s="1"/>
      <c r="N14" s="1"/>
      <c r="O14" s="1"/>
      <c r="P14" s="1"/>
      <c r="Q14" s="1"/>
      <c r="R14" s="1"/>
    </row>
    <row r="15" spans="1:18" x14ac:dyDescent="0.25">
      <c r="A15" s="1"/>
      <c r="B15" s="4" t="s">
        <v>206</v>
      </c>
      <c r="C15" s="1"/>
      <c r="D15" s="1"/>
      <c r="E15" s="1"/>
      <c r="F15" s="1"/>
      <c r="G15" s="1"/>
      <c r="J15" s="1"/>
      <c r="K15" s="1"/>
      <c r="N15" s="1"/>
      <c r="O15" s="1"/>
      <c r="P15" s="1"/>
      <c r="Q15" s="1"/>
      <c r="R15" s="1"/>
    </row>
    <row r="16" spans="1:18" x14ac:dyDescent="0.25">
      <c r="A16" s="1"/>
      <c r="B16" s="1" t="s">
        <v>2</v>
      </c>
      <c r="C16" s="1"/>
      <c r="F16" s="1"/>
      <c r="G16" s="1"/>
      <c r="J16" s="1"/>
      <c r="K16" s="1"/>
      <c r="L16" s="1"/>
      <c r="M16" s="1"/>
      <c r="N16" s="1"/>
    </row>
    <row r="17" spans="1:18" x14ac:dyDescent="0.25">
      <c r="A17" s="1"/>
      <c r="B17" s="29" t="s">
        <v>399</v>
      </c>
      <c r="C17" s="1"/>
      <c r="F17" s="1"/>
      <c r="G17" s="1"/>
      <c r="J17" s="1"/>
      <c r="K17" s="1"/>
      <c r="L17" s="1"/>
      <c r="M17" s="1"/>
      <c r="N17" s="1"/>
    </row>
    <row r="18" spans="1:18" x14ac:dyDescent="0.25">
      <c r="A18" s="1"/>
      <c r="B18" s="1"/>
      <c r="C18" s="1"/>
      <c r="D18" s="1"/>
      <c r="E18" s="1"/>
      <c r="F18" s="1"/>
      <c r="G18" s="1"/>
      <c r="J18" s="1"/>
      <c r="K18" s="1"/>
      <c r="N18" s="1"/>
      <c r="O18" s="1"/>
      <c r="P18" s="1"/>
      <c r="Q18" s="1"/>
      <c r="R18" s="1"/>
    </row>
    <row r="19" spans="1:18" x14ac:dyDescent="0.25">
      <c r="A19" s="1"/>
      <c r="B19" s="4" t="s">
        <v>205</v>
      </c>
      <c r="C19" s="1"/>
      <c r="D19" s="1"/>
      <c r="E19" s="1"/>
      <c r="F19" s="1"/>
      <c r="G19" s="1"/>
      <c r="J19" s="1"/>
      <c r="K19" s="1"/>
    </row>
    <row r="20" spans="1:18" x14ac:dyDescent="0.25">
      <c r="A20" s="1"/>
      <c r="B20" s="1" t="s">
        <v>398</v>
      </c>
      <c r="C20" s="1" t="s">
        <v>180</v>
      </c>
      <c r="D20" s="1" t="s">
        <v>145</v>
      </c>
      <c r="E20" s="1" t="s">
        <v>393</v>
      </c>
      <c r="F20" s="1" t="s">
        <v>383</v>
      </c>
      <c r="G20" s="1" t="s">
        <v>43</v>
      </c>
      <c r="H20" s="1" t="s">
        <v>41</v>
      </c>
      <c r="I20" s="1" t="s">
        <v>22</v>
      </c>
      <c r="J20" s="1" t="s">
        <v>392</v>
      </c>
      <c r="K20" s="1" t="s">
        <v>397</v>
      </c>
      <c r="L20" s="1" t="s">
        <v>396</v>
      </c>
    </row>
    <row r="21" spans="1:18" x14ac:dyDescent="0.25">
      <c r="A21" s="1"/>
      <c r="B21" s="1" t="str">
        <f>MID(SCB_DD_det_in[Col1],2,8)</f>
        <v xml:space="preserve">        </v>
      </c>
      <c r="C21" s="1" t="str">
        <f>MID(SCB_DD_det_in[Col1],10,20)</f>
        <v xml:space="preserve">OIGMY20318A00275    </v>
      </c>
      <c r="D21" s="1" t="str">
        <f>MID(SCB_DD_det_in[Col1],30,6)</f>
        <v>000002</v>
      </c>
      <c r="E21" s="1" t="str">
        <f>MID(SCB_DD_det_in[Col1],42,5)</f>
        <v xml:space="preserve">000  </v>
      </c>
      <c r="F21" s="1" t="str">
        <f>MID(SCB_DD_det_in[Col1],47,35)</f>
        <v xml:space="preserve">14171020002821                     </v>
      </c>
      <c r="G21" s="1" t="str">
        <f>MID(SCB_DD_det_in[Col1],82,100)</f>
        <v xml:space="preserve">LUQMAN BIN HAJI ABDU                                                                                </v>
      </c>
      <c r="H21" s="1" t="str">
        <f>MID(SCB_DD_det_in[Col1],182,24)</f>
        <v>000000000000000112590000</v>
      </c>
      <c r="I21" s="1" t="str">
        <f>MID(SCB_DD_det_in[Col1],206,20)</f>
        <v xml:space="preserve">95001195            </v>
      </c>
      <c r="J21" s="1" t="str">
        <f>MID(SCB_DD_det_in[Col1],226,8)</f>
        <v>10012018</v>
      </c>
      <c r="K21" s="1" t="str">
        <f>MID(SCB_DD_det_in[Col1],330,8)</f>
        <v>10012018</v>
      </c>
      <c r="L21" s="1" t="str">
        <f>MID(SCB_DD_det_in[Col1],338,30)</f>
        <v xml:space="preserve">Withdrawal Limit exceeded     </v>
      </c>
    </row>
    <row r="22" spans="1:18" x14ac:dyDescent="0.25">
      <c r="A22" s="1"/>
      <c r="B22" s="1"/>
      <c r="C22" s="1"/>
      <c r="D22" s="1"/>
      <c r="E22" s="1"/>
      <c r="F22" s="1"/>
      <c r="G22" s="1"/>
      <c r="J22" s="1"/>
      <c r="K22" s="1"/>
    </row>
    <row r="23" spans="1:18" x14ac:dyDescent="0.25">
      <c r="A23" s="1"/>
      <c r="B23" s="4" t="s">
        <v>204</v>
      </c>
      <c r="C23" s="1"/>
      <c r="D23" s="1"/>
      <c r="E23" s="1"/>
      <c r="F23" s="1"/>
      <c r="G23" s="1"/>
      <c r="H23" s="1"/>
      <c r="I23" s="1"/>
      <c r="J23" s="1"/>
      <c r="K23" s="1"/>
    </row>
    <row r="24" spans="1:18" x14ac:dyDescent="0.25">
      <c r="B24" s="1" t="s">
        <v>395</v>
      </c>
      <c r="C24" s="1" t="s">
        <v>394</v>
      </c>
    </row>
    <row r="25" spans="1:18" x14ac:dyDescent="0.25">
      <c r="B25" s="1" t="str">
        <f>MID(SCB_DD_hdr_in[Col1],2,8)</f>
        <v>10012018</v>
      </c>
      <c r="C25" s="1" t="str">
        <f>MID(SCB_DD_hdr_in[Col1],10,8)</f>
        <v>10012018</v>
      </c>
    </row>
    <row r="27" spans="1:18" x14ac:dyDescent="0.25">
      <c r="B27" s="4" t="s">
        <v>203</v>
      </c>
      <c r="C27" s="1"/>
      <c r="D27" s="1"/>
      <c r="E27" s="1"/>
      <c r="F27" s="1"/>
      <c r="H27" s="1"/>
      <c r="I27" s="1"/>
      <c r="J27" s="1"/>
      <c r="K27" s="1"/>
      <c r="L27" s="1"/>
      <c r="N27" s="1"/>
      <c r="O27" s="1"/>
      <c r="P27" s="1"/>
      <c r="Q27" s="1"/>
      <c r="R27" s="1"/>
    </row>
    <row r="28" spans="1:18" x14ac:dyDescent="0.25">
      <c r="B28" s="1" t="s">
        <v>25</v>
      </c>
      <c r="C28" s="1"/>
      <c r="D28" s="1"/>
      <c r="E28" s="1"/>
      <c r="F28" s="1"/>
      <c r="G28" s="1"/>
      <c r="I28" s="1"/>
      <c r="J28" s="1"/>
      <c r="K28" s="1"/>
      <c r="L28" s="1"/>
      <c r="M28" s="1"/>
    </row>
    <row r="29" spans="1:18" x14ac:dyDescent="0.25">
      <c r="B29" s="1" t="str">
        <f>MID(SCB_DD_ftr_in[Col1],2,6)</f>
        <v>002076</v>
      </c>
      <c r="C29" s="1"/>
      <c r="D29" s="1"/>
      <c r="E29" s="1"/>
      <c r="F29" s="1"/>
      <c r="G29" s="1"/>
      <c r="I29" s="1"/>
      <c r="J29" s="1"/>
      <c r="K29" s="1"/>
      <c r="L29" s="1"/>
      <c r="M29" s="1"/>
    </row>
    <row r="30" spans="1:18" x14ac:dyDescent="0.25">
      <c r="H30" s="1"/>
      <c r="I30" s="1"/>
      <c r="J30" s="1"/>
      <c r="K30" s="1"/>
      <c r="L30" s="1"/>
      <c r="N30" s="1"/>
      <c r="O30" s="1"/>
      <c r="P30" s="1"/>
      <c r="Q30" s="1"/>
      <c r="R30" s="1"/>
    </row>
    <row r="32" spans="1:18" x14ac:dyDescent="0.25">
      <c r="A32" s="1"/>
      <c r="B32" s="3" t="s">
        <v>201</v>
      </c>
      <c r="C32" s="1"/>
      <c r="D32" s="1"/>
      <c r="E32" s="1"/>
      <c r="F32" s="1"/>
      <c r="G32" s="1"/>
    </row>
    <row r="33" spans="1:11" x14ac:dyDescent="0.25">
      <c r="A33" s="1"/>
      <c r="B33" s="1" t="s">
        <v>393</v>
      </c>
      <c r="C33" s="1" t="s">
        <v>383</v>
      </c>
      <c r="D33" s="1" t="s">
        <v>43</v>
      </c>
      <c r="E33" s="1" t="s">
        <v>22</v>
      </c>
      <c r="F33" s="1" t="s">
        <v>41</v>
      </c>
      <c r="G33" s="1" t="s">
        <v>392</v>
      </c>
      <c r="H33" s="1" t="s">
        <v>145</v>
      </c>
      <c r="I33" s="1" t="s">
        <v>391</v>
      </c>
      <c r="J33" s="39" t="s">
        <v>456</v>
      </c>
      <c r="K33" s="39" t="s">
        <v>457</v>
      </c>
    </row>
    <row r="34" spans="1:11" x14ac:dyDescent="0.25">
      <c r="A34" s="1"/>
      <c r="B34" s="1">
        <v>1232323</v>
      </c>
      <c r="C34" s="1">
        <v>282828222</v>
      </c>
      <c r="D34" s="25" t="s">
        <v>390</v>
      </c>
      <c r="E34" s="13">
        <v>21321</v>
      </c>
      <c r="F34" s="1">
        <v>1233</v>
      </c>
      <c r="G34" s="1" t="s">
        <v>246</v>
      </c>
      <c r="H34" s="1">
        <v>123456</v>
      </c>
      <c r="I34" s="17"/>
      <c r="J34" s="17" t="str">
        <f>TEXT(INT((SCB_DD_det_out_com[Amount])),"000000000000")</f>
        <v>000000001233</v>
      </c>
      <c r="K34" s="17" t="str">
        <f>(RIGHT((TEXT(SCB_DD_det_out_com[Amount]-INT(SCB_DD_det_out_com[Amount]),"0.00")),2))</f>
        <v>00</v>
      </c>
    </row>
    <row r="35" spans="1:11" x14ac:dyDescent="0.25">
      <c r="A35" s="1"/>
      <c r="B35" s="1"/>
      <c r="C35" s="1"/>
      <c r="D35" s="1"/>
      <c r="E35" s="1"/>
      <c r="F35" s="1"/>
      <c r="G35" s="1"/>
      <c r="H35" s="1"/>
      <c r="I35" s="1"/>
    </row>
    <row r="36" spans="1:11" x14ac:dyDescent="0.25">
      <c r="A36" s="1"/>
      <c r="B36" s="3" t="s">
        <v>200</v>
      </c>
      <c r="C36" s="1"/>
      <c r="D36" s="1"/>
      <c r="E36" s="1"/>
      <c r="F36" s="1"/>
      <c r="G36" s="1"/>
      <c r="H36" s="1"/>
      <c r="I36" s="1"/>
    </row>
    <row r="37" spans="1:11" x14ac:dyDescent="0.25">
      <c r="A37" s="1"/>
      <c r="B37" s="1" t="s">
        <v>389</v>
      </c>
      <c r="C37" s="1" t="s">
        <v>388</v>
      </c>
    </row>
    <row r="38" spans="1:11" x14ac:dyDescent="0.25">
      <c r="A38" s="1"/>
      <c r="B38" s="35">
        <v>242324</v>
      </c>
      <c r="C38" s="1">
        <v>12</v>
      </c>
    </row>
    <row r="39" spans="1:11" x14ac:dyDescent="0.25">
      <c r="A39" s="1"/>
      <c r="B39" s="1"/>
      <c r="C39" s="1"/>
      <c r="D39" s="1"/>
      <c r="E39" s="1"/>
      <c r="F39" s="1"/>
      <c r="G39" s="1"/>
      <c r="H39" s="1"/>
      <c r="I39" s="1"/>
    </row>
    <row r="40" spans="1:11" x14ac:dyDescent="0.25">
      <c r="A40" s="1"/>
      <c r="B40" s="3" t="s">
        <v>199</v>
      </c>
      <c r="C40" s="1"/>
      <c r="D40" s="1"/>
      <c r="E40" s="1"/>
      <c r="F40" s="1"/>
      <c r="G40" s="1"/>
      <c r="H40" s="1"/>
      <c r="I40" s="1"/>
    </row>
    <row r="41" spans="1:11" x14ac:dyDescent="0.25">
      <c r="A41" s="1"/>
      <c r="B41" s="1" t="s">
        <v>25</v>
      </c>
      <c r="C41" s="1" t="s">
        <v>52</v>
      </c>
      <c r="D41" s="39" t="s">
        <v>456</v>
      </c>
      <c r="E41" s="39" t="s">
        <v>457</v>
      </c>
    </row>
    <row r="42" spans="1:11" x14ac:dyDescent="0.25">
      <c r="A42" s="1"/>
      <c r="B42" s="1">
        <v>10</v>
      </c>
      <c r="C42" s="1">
        <v>11.25</v>
      </c>
      <c r="D42" s="17" t="str">
        <f>TEXT(INT((SCB_DD_ftr_out_com[[#Totals],[Sum]])),"000000000000")</f>
        <v>000000001244</v>
      </c>
      <c r="E42" s="17" t="str">
        <f>(RIGHT((TEXT(SCB_DD_ftr_out_com[[#Totals],[Sum]]-INT(SCB_DD_ftr_out_com[[#Totals],[Sum]]),"0.00")),2))</f>
        <v>25</v>
      </c>
    </row>
    <row r="43" spans="1:11" x14ac:dyDescent="0.25">
      <c r="A43" s="1"/>
      <c r="B43" s="1">
        <f>(SCB_DD_ftr_out_com[Count]+1)</f>
        <v>11</v>
      </c>
      <c r="C43" s="1">
        <f>(SUM(SCB_DD_ftr_out_com[Sum],SCB_DD_det_out_com[Amount]))</f>
        <v>1244.25</v>
      </c>
      <c r="D43" s="39"/>
      <c r="E43" s="39"/>
    </row>
    <row r="44" spans="1:11" x14ac:dyDescent="0.25">
      <c r="A44" s="1"/>
      <c r="B44" s="1"/>
      <c r="C44" s="1"/>
      <c r="D44" s="1"/>
      <c r="E44" s="1"/>
      <c r="F44" s="1"/>
      <c r="G44" s="1"/>
      <c r="H44" s="1"/>
      <c r="I44" s="1"/>
    </row>
    <row r="45" spans="1:11" x14ac:dyDescent="0.25">
      <c r="A45" s="1"/>
      <c r="B45" s="1"/>
      <c r="C45" s="1"/>
      <c r="D45" s="1"/>
      <c r="E45" s="1"/>
      <c r="F45" s="1"/>
      <c r="G45" s="1"/>
      <c r="H45" s="1"/>
      <c r="I45" s="1"/>
    </row>
    <row r="46" spans="1:11" x14ac:dyDescent="0.25">
      <c r="A46" s="1"/>
      <c r="B46" s="3" t="s">
        <v>198</v>
      </c>
      <c r="C46" s="1"/>
      <c r="D46" s="1"/>
      <c r="E46" s="1"/>
    </row>
    <row r="47" spans="1:11" x14ac:dyDescent="0.25">
      <c r="A47" s="1"/>
      <c r="B47" s="1" t="s">
        <v>4</v>
      </c>
      <c r="C47" s="1" t="s">
        <v>5</v>
      </c>
      <c r="D47" s="1" t="s">
        <v>6</v>
      </c>
      <c r="E47" s="1"/>
    </row>
    <row r="48" spans="1:11" x14ac:dyDescent="0.25">
      <c r="A48" s="1"/>
      <c r="B48" s="1" t="str">
        <f>CONCATENATE("H","312157158304                       ","37274   ","00000000",REPT("0",20-LEN(SCB_DD_hdr_out_com[EBSWBatch])),REPT("0",10-LEN(SCB_DD_hdr_out_com[CWSBatch])),SCB_DD_hdr_out_com[EBSWBatch],SCB_DD_hdr_out_com[CWSBatch],"000014")</f>
        <v>H312157158304                       37274   00000000000000000000000000000024232412000014</v>
      </c>
      <c r="C48" s="1" t="str">
        <f>CONCATENATE("D",SCB_DD_det_out_com[Achcod],SCB_DD_det_out_com[BranchCode],SCB_DD_det_out_com[PayorBankAcctNo],REPT(" ",35-LEN(SCB_DD_det_out_com[PayorBankAcctNo])),SCB_DD_det_out_com[CustomerName],REPT(" ",20-LEN(SCB_DD_det_out_com[CustomerName])),SCB_DD_det_out_com[PolicyNo],REPT(" ",20-LEN(SCB_DD_det_out_com[PolicyNo])),REPT("0",15-LEN(SCB_DD_det_out_com[Amount])),SCB_DD_det_out_com[Amount],SCB_DD_det_out_com[ValueDate],REPT(" ",20),SCB_DD_det_out_com[SeqNumber])</f>
        <v>D1232323282828222                          Kalai               21321               000000000001233YYYYMMDD                    123456</v>
      </c>
      <c r="D48" s="1" t="str">
        <f>CONCATENATE("T",REPT("0",5-LEN(SCB_DD_ftr_out_com[Count])),SCB_DD_ftr_out_com[AmountInt],SCB_DD_ftr_out_com[AmountDec])</f>
        <v>T00000000000124425</v>
      </c>
      <c r="E48" s="1"/>
    </row>
    <row r="49" spans="1:9" x14ac:dyDescent="0.25">
      <c r="A49" s="1"/>
      <c r="B49" s="1"/>
      <c r="C49" s="1"/>
      <c r="D49" s="1"/>
      <c r="E49" s="1"/>
      <c r="F49" s="1"/>
      <c r="G49" s="1"/>
      <c r="H49" s="1"/>
      <c r="I49" s="1"/>
    </row>
  </sheetData>
  <dataValidations disablePrompts="1" count="1">
    <dataValidation type="list" allowBlank="1" showInputMessage="1" showErrorMessage="1" sqref="K4" xr:uid="{37FF7AD4-E4BB-4D2F-B7A8-9F02AF75644B}">
      <formula1>"Y,N"</formula1>
    </dataValidation>
  </dataValidations>
  <pageMargins left="0.7" right="0.7" top="0.75" bottom="0.75" header="0.3" footer="0.3"/>
  <pageSetup paperSize="9" orientation="portrait" horizontalDpi="4294967293" verticalDpi="4294967293" r:id="rId1"/>
  <tableParts count="11">
    <tablePart r:id="rId2"/>
    <tablePart r:id="rId3"/>
    <tablePart r:id="rId4"/>
    <tablePart r:id="rId5"/>
    <tablePart r:id="rId6"/>
    <tablePart r:id="rId7"/>
    <tablePart r:id="rId8"/>
    <tablePart r:id="rId9"/>
    <tablePart r:id="rId10"/>
    <tablePart r:id="rId1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P X + D T H j 8 j e O o A A A A + A A A A B I A H A B D b 2 5 m a W c v U G F j a 2 F n Z S 5 4 b W w g o h g A K K A U A A A A A A A A A A A A A A A A A A A A A A A A A A A A h Y / R C o I w G I V f R X b v N p d C y O + 8 6 C r I C I L o d s y l I 5 3 h Z v P d u u i R e o W E s r r r 8 h y + A 9 9 5 3 O 6 Q j 2 0 T X F V v d W c y F G G K A m V k V 2 p T Z W h w p 3 C J c g 4 7 I c + i U s E E G 5 u O V m e o d u 6 S E u K 9 x 3 6 B u 7 4 i j N K I H I v N X t a q F a E 2 1 g k j F f q s y v 8 r x O H w k u E M J w l O a E R x H D M g c w 2 F N l + E T c a Y A v k p Y T U 0 b u g V V y Z c b 4 H M E c j 7 B X 8 C U E s D B B Q A A g A I A D 1 / g 0 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f 4 N M K I p H u A 4 A A A A R A A A A E w A c A E Z v c m 1 1 b G F z L 1 N l Y 3 R p b 2 4 x L m 0 g o h g A K K A U A A A A A A A A A A A A A A A A A A A A A A A A A A A A K 0 5 N L s n M z 1 M I h t C G 1 g B Q S w E C L Q A U A A I A C A A 9 f 4 N M e P y N 4 6 g A A A D 4 A A A A E g A A A A A A A A A A A A A A A A A A A A A A Q 2 9 u Z m l n L 1 B h Y 2 t h Z 2 U u e G 1 s U E s B A i 0 A F A A C A A g A P X + D T A / K 6 a u k A A A A 6 Q A A A B M A A A A A A A A A A A A A A A A A 9 A A A A F t D b 2 5 0 Z W 5 0 X 1 R 5 c G V z X S 5 4 b W x Q S w E C L Q A U A A I A C A A 9 f 4 N M 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D 1 Q v x i S b a U u D X 8 f K b K b L R A A A A A A C A A A A A A A D Z g A A w A A A A B A A A A C b 2 P p M F F R f 0 S 8 L W x s a 4 r z r A A A A A A S A A A C g A A A A E A A A A K D r 5 J i s b q r q b J m e T c B t Y Y 5 Q A A A A J A j G X C F 8 u o l + G 8 7 9 c U A W y 4 4 8 l 2 J 1 p Y J g K W l 1 3 2 g K n 7 o M F h z 4 M M r V B k n I 1 I 3 / c K U p U h x d 6 S m P k U G X a x w O U / z D k v P i f F f A 4 G y a 3 Z I y p r 2 p O 9 c U A A A A e 2 D h j C T G T 2 N z d r K L 9 Y z n X + R w u 8 8 = < / D a t a M a s h u p > 
</file>

<file path=customXml/itemProps1.xml><?xml version="1.0" encoding="utf-8"?>
<ds:datastoreItem xmlns:ds="http://schemas.openxmlformats.org/officeDocument/2006/customXml" ds:itemID="{25DB0102-5D80-4296-B5D8-D5197D07C7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IL_DD</vt:lpstr>
      <vt:lpstr>IL_EBank</vt:lpstr>
      <vt:lpstr>IL_CC</vt:lpstr>
      <vt:lpstr>IL_Biro</vt:lpstr>
      <vt:lpstr>BSN_DD</vt:lpstr>
      <vt:lpstr>BIMB_DD</vt:lpstr>
      <vt:lpstr>PBB_DD</vt:lpstr>
      <vt:lpstr>RHB_DD</vt:lpstr>
      <vt:lpstr>SCB_DD</vt:lpstr>
      <vt:lpstr>CIMB_DD</vt:lpstr>
      <vt:lpstr>MBB_DD</vt:lpstr>
      <vt:lpstr>BIMB_EBank</vt:lpstr>
      <vt:lpstr>Rakyat_EBank</vt:lpstr>
      <vt:lpstr>Affin_EBank</vt:lpstr>
      <vt:lpstr>BSN_EBank</vt:lpstr>
      <vt:lpstr>CIMB_EBank</vt:lpstr>
      <vt:lpstr>MBB_EBank</vt:lpstr>
      <vt:lpstr>MBB_CC</vt:lpstr>
      <vt:lpstr>CIMB_CC</vt:lpstr>
      <vt:lpstr>SCB_CC</vt:lpstr>
      <vt:lpstr>Biro_DD</vt:lpstr>
      <vt:lpstr>RoutingRule</vt:lpstr>
      <vt:lpstr>CCTestResult</vt:lpstr>
      <vt:lpstr>EBankTestResult</vt:lpstr>
      <vt:lpstr>DDTestResult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Sajal Gupta</dc:creator>
  <cp:lastModifiedBy>Kalaiyappan PL</cp:lastModifiedBy>
  <dcterms:created xsi:type="dcterms:W3CDTF">2018-03-20T14:21:00Z</dcterms:created>
  <dcterms:modified xsi:type="dcterms:W3CDTF">2018-07-06T07:03:14Z</dcterms:modified>
</cp:coreProperties>
</file>