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home\agnelson\git\adder\trunk\tests\analytic\"/>
    </mc:Choice>
  </mc:AlternateContent>
  <bookViews>
    <workbookView xWindow="0" yWindow="0" windowWidth="14370" windowHeight="11670" firstSheet="9" activeTab="10"/>
  </bookViews>
  <sheets>
    <sheet name="Material Q" sheetId="9" r:id="rId1"/>
    <sheet name="Single Iso, Single decay" sheetId="1" r:id="rId2"/>
    <sheet name="Single Iso, Multi decay" sheetId="2" r:id="rId3"/>
    <sheet name="Single Iso, Multi decay (2)" sheetId="10" r:id="rId4"/>
    <sheet name="Single Iso, Single FP" sheetId="3" r:id="rId5"/>
    <sheet name="Multi-Iso, Single FP" sheetId="4" r:id="rId6"/>
    <sheet name="Actinide Burn" sheetId="5" r:id="rId7"/>
    <sheet name="Non-Actinide Burn" sheetId="6" r:id="rId8"/>
    <sheet name="Non-Actinide Decay and Burn" sheetId="7" r:id="rId9"/>
    <sheet name="CRAM Burn" sheetId="8" r:id="rId10"/>
    <sheet name="ex-core decay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1" l="1"/>
  <c r="C17" i="11" s="1"/>
  <c r="D17" i="11" s="1"/>
  <c r="E17" i="11" s="1"/>
  <c r="B4" i="11"/>
  <c r="B2" i="11"/>
  <c r="C18" i="11" l="1"/>
  <c r="D18" i="11" s="1"/>
  <c r="E18" i="11" s="1"/>
  <c r="C16" i="11"/>
  <c r="D16" i="11" s="1"/>
  <c r="E16" i="11" s="1"/>
  <c r="C19" i="11"/>
  <c r="D19" i="11" s="1"/>
  <c r="E19" i="11" s="1"/>
  <c r="J8" i="10"/>
  <c r="F29" i="10" s="1"/>
  <c r="J9" i="10"/>
  <c r="F30" i="10" s="1"/>
  <c r="J10" i="10"/>
  <c r="J11" i="10"/>
  <c r="J12" i="10"/>
  <c r="J13" i="10"/>
  <c r="F34" i="10" s="1"/>
  <c r="J7" i="10"/>
  <c r="F28" i="10" s="1"/>
  <c r="H8" i="10"/>
  <c r="D29" i="10" s="1"/>
  <c r="H9" i="10"/>
  <c r="D30" i="10" s="1"/>
  <c r="H10" i="10"/>
  <c r="H11" i="10"/>
  <c r="H12" i="10"/>
  <c r="H13" i="10"/>
  <c r="D34" i="10" s="1"/>
  <c r="H7" i="10"/>
  <c r="D28" i="10" s="1"/>
  <c r="G8" i="10"/>
  <c r="G9" i="10"/>
  <c r="C30" i="10" s="1"/>
  <c r="G10" i="10"/>
  <c r="G11" i="10"/>
  <c r="C32" i="10" s="1"/>
  <c r="G12" i="10"/>
  <c r="G13" i="10"/>
  <c r="C34" i="10" s="1"/>
  <c r="G7" i="10"/>
  <c r="C28" i="10" s="1"/>
  <c r="F8" i="10"/>
  <c r="F21" i="10" s="1"/>
  <c r="F9" i="10"/>
  <c r="F10" i="10"/>
  <c r="F11" i="10"/>
  <c r="F12" i="10"/>
  <c r="F25" i="10" s="1"/>
  <c r="F13" i="10"/>
  <c r="F7" i="10"/>
  <c r="F20" i="10" s="1"/>
  <c r="E8" i="10"/>
  <c r="E21" i="10" s="1"/>
  <c r="E9" i="10"/>
  <c r="E22" i="10" s="1"/>
  <c r="E10" i="10"/>
  <c r="E11" i="10"/>
  <c r="E12" i="10"/>
  <c r="E13" i="10"/>
  <c r="E7" i="10"/>
  <c r="E20" i="10" s="1"/>
  <c r="D8" i="10"/>
  <c r="D21" i="10" s="1"/>
  <c r="D9" i="10"/>
  <c r="D22" i="10" s="1"/>
  <c r="D10" i="10"/>
  <c r="D11" i="10"/>
  <c r="D12" i="10"/>
  <c r="D13" i="10"/>
  <c r="D26" i="10" s="1"/>
  <c r="D7" i="10"/>
  <c r="D20" i="10" s="1"/>
  <c r="D31" i="10"/>
  <c r="F31" i="10"/>
  <c r="D32" i="10"/>
  <c r="F32" i="10"/>
  <c r="D33" i="10"/>
  <c r="F33" i="10"/>
  <c r="C29" i="10"/>
  <c r="C31" i="10"/>
  <c r="C33" i="10"/>
  <c r="F22" i="10"/>
  <c r="D23" i="10"/>
  <c r="E23" i="10"/>
  <c r="F23" i="10"/>
  <c r="D24" i="10"/>
  <c r="E24" i="10"/>
  <c r="F24" i="10"/>
  <c r="D25" i="10"/>
  <c r="E25" i="10"/>
  <c r="E26" i="10"/>
  <c r="F26" i="10"/>
  <c r="C21" i="10"/>
  <c r="C22" i="10"/>
  <c r="C23" i="10"/>
  <c r="C24" i="10"/>
  <c r="C25" i="10"/>
  <c r="C26" i="10"/>
  <c r="C20" i="10"/>
  <c r="D4" i="10"/>
  <c r="I3" i="10" s="1"/>
  <c r="D4" i="2"/>
  <c r="F3" i="2"/>
  <c r="G3" i="10" l="1"/>
  <c r="J3" i="10"/>
  <c r="C9" i="10"/>
  <c r="C13" i="10"/>
  <c r="F3" i="10"/>
  <c r="C8" i="10"/>
  <c r="C11" i="10"/>
  <c r="D3" i="10"/>
  <c r="E3" i="10"/>
  <c r="I9" i="10"/>
  <c r="E30" i="10" s="1"/>
  <c r="I12" i="10"/>
  <c r="E33" i="10" s="1"/>
  <c r="I13" i="10"/>
  <c r="E34" i="10" s="1"/>
  <c r="I8" i="10"/>
  <c r="E29" i="10" s="1"/>
  <c r="I11" i="10"/>
  <c r="E32" i="10" s="1"/>
  <c r="H3" i="10"/>
  <c r="C7" i="10"/>
  <c r="C10" i="10"/>
  <c r="C12" i="10"/>
  <c r="I7" i="10"/>
  <c r="E28" i="10" s="1"/>
  <c r="I10" i="10"/>
  <c r="E31" i="10" s="1"/>
  <c r="J3" i="2"/>
  <c r="H3" i="2"/>
  <c r="G3" i="2"/>
  <c r="C8" i="2"/>
  <c r="E3" i="2"/>
  <c r="D8" i="2"/>
  <c r="D3" i="2"/>
  <c r="I3" i="2"/>
  <c r="D9" i="2"/>
  <c r="C9" i="2"/>
  <c r="D4" i="1"/>
  <c r="G6" i="9"/>
  <c r="C4" i="9"/>
  <c r="C3" i="9"/>
  <c r="C2" i="9"/>
  <c r="G3" i="9"/>
  <c r="G4" i="9"/>
  <c r="G2" i="9"/>
  <c r="B4" i="9"/>
  <c r="B3" i="9"/>
  <c r="G5" i="9" l="1"/>
  <c r="B13" i="7"/>
  <c r="B12" i="7"/>
  <c r="B11" i="7"/>
  <c r="B10" i="7"/>
  <c r="B9" i="7"/>
  <c r="B8" i="7"/>
  <c r="B7" i="7"/>
  <c r="G3" i="7"/>
  <c r="F3" i="7"/>
  <c r="E3" i="7"/>
  <c r="D3" i="7"/>
  <c r="G2" i="7"/>
  <c r="F2" i="7"/>
  <c r="E2" i="7"/>
  <c r="C2" i="7"/>
  <c r="I20" i="6"/>
  <c r="I21" i="6"/>
  <c r="I22" i="6"/>
  <c r="I23" i="6"/>
  <c r="I24" i="6"/>
  <c r="I25" i="6"/>
  <c r="I19" i="6"/>
  <c r="H20" i="6"/>
  <c r="H21" i="6"/>
  <c r="H22" i="6"/>
  <c r="H23" i="6"/>
  <c r="H24" i="6"/>
  <c r="H25" i="6"/>
  <c r="H19" i="6"/>
  <c r="E20" i="6"/>
  <c r="F20" i="6"/>
  <c r="G20" i="6"/>
  <c r="E21" i="6"/>
  <c r="F21" i="6"/>
  <c r="G21" i="6"/>
  <c r="E22" i="6"/>
  <c r="F22" i="6"/>
  <c r="G22" i="6"/>
  <c r="E23" i="6"/>
  <c r="F23" i="6"/>
  <c r="G23" i="6"/>
  <c r="E24" i="6"/>
  <c r="F24" i="6"/>
  <c r="G24" i="6"/>
  <c r="E25" i="6"/>
  <c r="F25" i="6"/>
  <c r="G25" i="6"/>
  <c r="F19" i="6"/>
  <c r="G19" i="6"/>
  <c r="E19" i="6"/>
  <c r="D19" i="6"/>
  <c r="D20" i="6"/>
  <c r="D21" i="6"/>
  <c r="D22" i="6"/>
  <c r="D23" i="6"/>
  <c r="D24" i="6"/>
  <c r="D25" i="6"/>
  <c r="C20" i="6"/>
  <c r="C21" i="6"/>
  <c r="C22" i="6"/>
  <c r="C23" i="6"/>
  <c r="C24" i="6"/>
  <c r="C25" i="6"/>
  <c r="C19" i="6"/>
  <c r="I8" i="6"/>
  <c r="I9" i="6"/>
  <c r="I10" i="6"/>
  <c r="I11" i="6"/>
  <c r="I12" i="6"/>
  <c r="I13" i="6"/>
  <c r="I7" i="6"/>
  <c r="H8" i="6"/>
  <c r="H9" i="6"/>
  <c r="H10" i="6"/>
  <c r="H11" i="6"/>
  <c r="H12" i="6"/>
  <c r="H13" i="6"/>
  <c r="H7" i="6"/>
  <c r="F2" i="6"/>
  <c r="B13" i="6"/>
  <c r="B12" i="6"/>
  <c r="B11" i="6"/>
  <c r="B10" i="6"/>
  <c r="B9" i="6"/>
  <c r="B8" i="6"/>
  <c r="B7" i="6"/>
  <c r="G3" i="6"/>
  <c r="F3" i="6"/>
  <c r="E3" i="6"/>
  <c r="D3" i="6"/>
  <c r="C3" i="6"/>
  <c r="C4" i="6" s="1"/>
  <c r="G2" i="6"/>
  <c r="E2" i="6"/>
  <c r="C2" i="6"/>
  <c r="C3" i="7" l="1"/>
  <c r="G5" i="7" s="1"/>
  <c r="G10" i="6"/>
  <c r="F5" i="6"/>
  <c r="F11" i="6" s="1"/>
  <c r="G5" i="6"/>
  <c r="C7" i="6"/>
  <c r="C9" i="6"/>
  <c r="C11" i="6"/>
  <c r="C12" i="6"/>
  <c r="C13" i="6"/>
  <c r="C8" i="6"/>
  <c r="G9" i="6"/>
  <c r="E5" i="6"/>
  <c r="E8" i="6" s="1"/>
  <c r="G8" i="6"/>
  <c r="G7" i="6"/>
  <c r="C10" i="6"/>
  <c r="G13" i="6"/>
  <c r="G12" i="6"/>
  <c r="D5" i="6"/>
  <c r="D11" i="6" s="1"/>
  <c r="G11" i="6"/>
  <c r="G22" i="5"/>
  <c r="H22" i="5"/>
  <c r="G23" i="5"/>
  <c r="H23" i="5"/>
  <c r="G24" i="5"/>
  <c r="H24" i="5"/>
  <c r="G25" i="5"/>
  <c r="H25" i="5"/>
  <c r="G26" i="5"/>
  <c r="H26" i="5"/>
  <c r="G27" i="5"/>
  <c r="H27" i="5"/>
  <c r="H21" i="5"/>
  <c r="G21" i="5"/>
  <c r="F22" i="5"/>
  <c r="F23" i="5"/>
  <c r="F24" i="5"/>
  <c r="F25" i="5"/>
  <c r="F26" i="5"/>
  <c r="F27" i="5"/>
  <c r="F21" i="5"/>
  <c r="D21" i="5"/>
  <c r="E21" i="5"/>
  <c r="D22" i="5"/>
  <c r="E22" i="5"/>
  <c r="D23" i="5"/>
  <c r="E23" i="5"/>
  <c r="D24" i="5"/>
  <c r="E24" i="5"/>
  <c r="D25" i="5"/>
  <c r="E25" i="5"/>
  <c r="D26" i="5"/>
  <c r="E26" i="5"/>
  <c r="D27" i="5"/>
  <c r="E27" i="5"/>
  <c r="C22" i="5"/>
  <c r="C23" i="5"/>
  <c r="C24" i="5"/>
  <c r="C25" i="5"/>
  <c r="C26" i="5"/>
  <c r="C27" i="5"/>
  <c r="C21" i="5"/>
  <c r="H13" i="5"/>
  <c r="D8" i="5"/>
  <c r="E8" i="5"/>
  <c r="F8" i="5"/>
  <c r="G8" i="5"/>
  <c r="H8" i="5"/>
  <c r="D9" i="5"/>
  <c r="E9" i="5"/>
  <c r="F9" i="5"/>
  <c r="G9" i="5"/>
  <c r="H9" i="5"/>
  <c r="D10" i="5"/>
  <c r="E10" i="5"/>
  <c r="F10" i="5"/>
  <c r="G10" i="5"/>
  <c r="H10" i="5"/>
  <c r="D11" i="5"/>
  <c r="E11" i="5"/>
  <c r="F11" i="5"/>
  <c r="G11" i="5"/>
  <c r="H11" i="5"/>
  <c r="D12" i="5"/>
  <c r="E12" i="5"/>
  <c r="F12" i="5"/>
  <c r="G12" i="5"/>
  <c r="H12" i="5"/>
  <c r="D13" i="5"/>
  <c r="E13" i="5"/>
  <c r="F13" i="5"/>
  <c r="G13" i="5"/>
  <c r="E7" i="5"/>
  <c r="F7" i="5"/>
  <c r="G7" i="5"/>
  <c r="H7" i="5"/>
  <c r="D7" i="5"/>
  <c r="C8" i="5"/>
  <c r="C9" i="5"/>
  <c r="C10" i="5"/>
  <c r="C11" i="5"/>
  <c r="C12" i="5"/>
  <c r="C13" i="5"/>
  <c r="C7" i="5"/>
  <c r="E5" i="5"/>
  <c r="F5" i="5"/>
  <c r="G5" i="5"/>
  <c r="H5" i="5"/>
  <c r="D5" i="5"/>
  <c r="C4" i="5"/>
  <c r="H3" i="5"/>
  <c r="G3" i="5"/>
  <c r="F3" i="5"/>
  <c r="E3" i="5"/>
  <c r="G2" i="5"/>
  <c r="E2" i="5"/>
  <c r="D2" i="5"/>
  <c r="C2" i="5"/>
  <c r="B13" i="5"/>
  <c r="B12" i="5"/>
  <c r="B11" i="5"/>
  <c r="B10" i="5"/>
  <c r="B9" i="5"/>
  <c r="B8" i="5"/>
  <c r="B7" i="5"/>
  <c r="D3" i="5"/>
  <c r="D8" i="3"/>
  <c r="C8" i="3"/>
  <c r="C8" i="4"/>
  <c r="C9" i="4"/>
  <c r="C10" i="4"/>
  <c r="C11" i="4"/>
  <c r="C12" i="4"/>
  <c r="C13" i="4"/>
  <c r="C7" i="4"/>
  <c r="E5" i="4"/>
  <c r="F5" i="4"/>
  <c r="G5" i="4"/>
  <c r="H5" i="4"/>
  <c r="I5" i="4"/>
  <c r="J5" i="4"/>
  <c r="K5" i="4"/>
  <c r="D5" i="4"/>
  <c r="D2" i="4"/>
  <c r="E2" i="4"/>
  <c r="F2" i="4"/>
  <c r="G2" i="4"/>
  <c r="H2" i="4"/>
  <c r="I2" i="4"/>
  <c r="J2" i="4"/>
  <c r="K2" i="4"/>
  <c r="C2" i="4"/>
  <c r="K4" i="4"/>
  <c r="J4" i="4"/>
  <c r="I4" i="4"/>
  <c r="H4" i="4"/>
  <c r="G4" i="4"/>
  <c r="F4" i="4"/>
  <c r="E4" i="4"/>
  <c r="D4" i="4"/>
  <c r="B1" i="4"/>
  <c r="B13" i="4"/>
  <c r="B12" i="4"/>
  <c r="B11" i="4"/>
  <c r="B10" i="4"/>
  <c r="B9" i="4"/>
  <c r="B8" i="4"/>
  <c r="B7" i="4"/>
  <c r="D9" i="3"/>
  <c r="D10" i="3"/>
  <c r="D11" i="3"/>
  <c r="D12" i="3"/>
  <c r="D13" i="3"/>
  <c r="D14" i="3"/>
  <c r="B2" i="3"/>
  <c r="B5" i="3" s="1"/>
  <c r="B9" i="3"/>
  <c r="B10" i="3"/>
  <c r="B11" i="3"/>
  <c r="B12" i="3"/>
  <c r="B13" i="3"/>
  <c r="B14" i="3"/>
  <c r="B8" i="3"/>
  <c r="B1" i="3"/>
  <c r="J8" i="2"/>
  <c r="J14" i="2"/>
  <c r="J13" i="2"/>
  <c r="J12" i="2"/>
  <c r="J11" i="2"/>
  <c r="J10" i="2"/>
  <c r="J9" i="2"/>
  <c r="E9" i="2"/>
  <c r="F9" i="2"/>
  <c r="G9" i="2"/>
  <c r="H9" i="2"/>
  <c r="E10" i="2"/>
  <c r="F10" i="2"/>
  <c r="G10" i="2"/>
  <c r="H10" i="2"/>
  <c r="E11" i="2"/>
  <c r="F11" i="2"/>
  <c r="G11" i="2"/>
  <c r="H11" i="2"/>
  <c r="E12" i="2"/>
  <c r="F12" i="2"/>
  <c r="G12" i="2"/>
  <c r="H12" i="2"/>
  <c r="E13" i="2"/>
  <c r="F13" i="2"/>
  <c r="G13" i="2"/>
  <c r="H13" i="2"/>
  <c r="E14" i="2"/>
  <c r="F14" i="2"/>
  <c r="G14" i="2"/>
  <c r="H14" i="2"/>
  <c r="E8" i="2"/>
  <c r="F8" i="2"/>
  <c r="G8" i="2"/>
  <c r="H8" i="2"/>
  <c r="D10" i="2"/>
  <c r="D11" i="2"/>
  <c r="D12" i="2"/>
  <c r="D13" i="2"/>
  <c r="D14" i="2"/>
  <c r="J6" i="2"/>
  <c r="E6" i="2"/>
  <c r="F6" i="2"/>
  <c r="G6" i="2"/>
  <c r="H6" i="2"/>
  <c r="D6" i="2"/>
  <c r="C13" i="1"/>
  <c r="D13" i="1"/>
  <c r="B4" i="1"/>
  <c r="D9" i="1" s="1"/>
  <c r="E5" i="7" l="1"/>
  <c r="H5" i="7"/>
  <c r="D5" i="7"/>
  <c r="C4" i="7"/>
  <c r="F5" i="7"/>
  <c r="F7" i="6"/>
  <c r="F12" i="6"/>
  <c r="F10" i="6"/>
  <c r="F8" i="6"/>
  <c r="F9" i="6"/>
  <c r="F13" i="6"/>
  <c r="E12" i="6"/>
  <c r="E10" i="6"/>
  <c r="D8" i="6"/>
  <c r="D10" i="6"/>
  <c r="D13" i="6"/>
  <c r="D12" i="6"/>
  <c r="D9" i="6"/>
  <c r="E9" i="6"/>
  <c r="E11" i="6"/>
  <c r="E13" i="6"/>
  <c r="E7" i="6"/>
  <c r="D7" i="6"/>
  <c r="C3" i="5"/>
  <c r="E13" i="4"/>
  <c r="J10" i="4"/>
  <c r="F13" i="4"/>
  <c r="G11" i="4"/>
  <c r="D10" i="4"/>
  <c r="E12" i="4"/>
  <c r="K10" i="4"/>
  <c r="D9" i="4"/>
  <c r="J9" i="4"/>
  <c r="K11" i="4"/>
  <c r="I8" i="4"/>
  <c r="I9" i="4"/>
  <c r="H7" i="4"/>
  <c r="H8" i="4"/>
  <c r="G13" i="4"/>
  <c r="G7" i="4"/>
  <c r="J11" i="4"/>
  <c r="G8" i="4"/>
  <c r="J12" i="4"/>
  <c r="F8" i="4"/>
  <c r="D7" i="4"/>
  <c r="I12" i="4"/>
  <c r="G10" i="4"/>
  <c r="F10" i="4"/>
  <c r="H9" i="4"/>
  <c r="G9" i="4"/>
  <c r="E8" i="4"/>
  <c r="I13" i="4"/>
  <c r="D12" i="4"/>
  <c r="H13" i="4"/>
  <c r="G12" i="4"/>
  <c r="F11" i="4"/>
  <c r="E10" i="4"/>
  <c r="K8" i="4"/>
  <c r="J7" i="4"/>
  <c r="D8" i="4"/>
  <c r="I10" i="4"/>
  <c r="F7" i="4"/>
  <c r="K13" i="4"/>
  <c r="H10" i="4"/>
  <c r="J13" i="4"/>
  <c r="H11" i="4"/>
  <c r="F9" i="4"/>
  <c r="H12" i="4"/>
  <c r="K7" i="4"/>
  <c r="D11" i="4"/>
  <c r="F12" i="4"/>
  <c r="E11" i="4"/>
  <c r="K9" i="4"/>
  <c r="J8" i="4"/>
  <c r="I7" i="4"/>
  <c r="K12" i="4"/>
  <c r="I11" i="4"/>
  <c r="E7" i="4"/>
  <c r="D13" i="4"/>
  <c r="E9" i="4"/>
  <c r="C9" i="3"/>
  <c r="C11" i="3"/>
  <c r="C12" i="3"/>
  <c r="C13" i="3"/>
  <c r="C10" i="3"/>
  <c r="C14" i="3"/>
  <c r="I11" i="2"/>
  <c r="C14" i="2"/>
  <c r="I12" i="2"/>
  <c r="C13" i="2"/>
  <c r="I14" i="2"/>
  <c r="I9" i="2"/>
  <c r="C12" i="2"/>
  <c r="I10" i="2"/>
  <c r="C11" i="2"/>
  <c r="I13" i="2"/>
  <c r="C10" i="2"/>
  <c r="I8" i="2"/>
  <c r="C9" i="1"/>
  <c r="C10" i="1"/>
  <c r="D8" i="1"/>
  <c r="C8" i="1"/>
  <c r="D10" i="1"/>
  <c r="C7" i="1"/>
  <c r="D7" i="1"/>
  <c r="D12" i="1"/>
  <c r="D11" i="1"/>
  <c r="C12" i="1"/>
  <c r="C11" i="1"/>
</calcChain>
</file>

<file path=xl/sharedStrings.xml><?xml version="1.0" encoding="utf-8"?>
<sst xmlns="http://schemas.openxmlformats.org/spreadsheetml/2006/main" count="246" uniqueCount="131">
  <si>
    <t>T1/2</t>
  </si>
  <si>
    <t>N1_0</t>
  </si>
  <si>
    <t>N2_0</t>
  </si>
  <si>
    <t>hr</t>
  </si>
  <si>
    <t>a/cc</t>
  </si>
  <si>
    <t>lambda</t>
  </si>
  <si>
    <t>1/hr</t>
  </si>
  <si>
    <t>N1 [atoms/cm3]</t>
  </si>
  <si>
    <r>
      <t>N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[atoms/cm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</si>
  <si>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[atoms/cm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</si>
  <si>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t>time [hr]</t>
  </si>
  <si>
    <t>time [days]</t>
  </si>
  <si>
    <r>
      <t>N</t>
    </r>
    <r>
      <rPr>
        <vertAlign val="subscript"/>
        <sz val="11"/>
        <color theme="1"/>
        <rFont val="Calibri"/>
        <family val="2"/>
        <scheme val="minor"/>
      </rPr>
      <t>child,1</t>
    </r>
    <r>
      <rPr>
        <sz val="11"/>
        <color theme="1"/>
        <rFont val="Calibri"/>
        <family val="2"/>
        <scheme val="minor"/>
      </rPr>
      <t xml:space="preserve"> [atoms/cm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</si>
  <si>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t>tot_lambda</t>
  </si>
  <si>
    <r>
      <t>N</t>
    </r>
    <r>
      <rPr>
        <vertAlign val="subscript"/>
        <sz val="11"/>
        <color theme="1"/>
        <rFont val="Calibri"/>
        <family val="2"/>
        <scheme val="minor"/>
      </rPr>
      <t>child,2</t>
    </r>
    <r>
      <rPr>
        <sz val="11"/>
        <color theme="1"/>
        <rFont val="Calibri"/>
        <family val="2"/>
        <scheme val="minor"/>
      </rPr>
      <t xml:space="preserve"> [atoms/cm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</si>
  <si>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N</t>
    </r>
    <r>
      <rPr>
        <vertAlign val="subscript"/>
        <sz val="11"/>
        <color theme="1"/>
        <rFont val="Calibri"/>
        <family val="2"/>
        <scheme val="minor"/>
      </rPr>
      <t>child,3</t>
    </r>
    <r>
      <rPr>
        <sz val="11"/>
        <color theme="1"/>
        <rFont val="Calibri"/>
        <family val="2"/>
        <scheme val="minor"/>
      </rPr>
      <t xml:space="preserve"> [atoms/cm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</si>
  <si>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N</t>
    </r>
    <r>
      <rPr>
        <vertAlign val="subscript"/>
        <sz val="11"/>
        <color theme="1"/>
        <rFont val="Calibri"/>
        <family val="2"/>
        <scheme val="minor"/>
      </rPr>
      <t>child,4</t>
    </r>
    <r>
      <rPr>
        <sz val="11"/>
        <color theme="1"/>
        <rFont val="Calibri"/>
        <family val="2"/>
        <scheme val="minor"/>
      </rPr>
      <t xml:space="preserve"> [atoms/cm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</si>
  <si>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N</t>
    </r>
    <r>
      <rPr>
        <vertAlign val="subscript"/>
        <sz val="11"/>
        <color theme="1"/>
        <rFont val="Calibri"/>
        <family val="2"/>
        <scheme val="minor"/>
      </rPr>
      <t>child,5</t>
    </r>
    <r>
      <rPr>
        <sz val="11"/>
        <color theme="1"/>
        <rFont val="Calibri"/>
        <family val="2"/>
        <scheme val="minor"/>
      </rPr>
      <t xml:space="preserve"> [atoms/cm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</si>
  <si>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N</t>
    </r>
    <r>
      <rPr>
        <vertAlign val="subscript"/>
        <sz val="11"/>
        <color theme="1"/>
        <rFont val="Calibri"/>
        <family val="2"/>
        <scheme val="minor"/>
      </rPr>
      <t>child,6</t>
    </r>
    <r>
      <rPr>
        <sz val="11"/>
        <color theme="1"/>
        <rFont val="Calibri"/>
        <family val="2"/>
        <scheme val="minor"/>
      </rPr>
      <t xml:space="preserve"> [atoms/cm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</si>
  <si>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t>1/s</t>
  </si>
  <si>
    <t>lambdas [1/hr]</t>
  </si>
  <si>
    <t>lambdas [1/s]</t>
  </si>
  <si>
    <t>Xe135_m1</t>
  </si>
  <si>
    <t>Cs135</t>
  </si>
  <si>
    <t>Cs135_m1</t>
  </si>
  <si>
    <t>135I</t>
  </si>
  <si>
    <t>135I_m1</t>
  </si>
  <si>
    <t>131Te</t>
  </si>
  <si>
    <t>135Xe</t>
  </si>
  <si>
    <r>
      <t>N</t>
    </r>
    <r>
      <rPr>
        <vertAlign val="subscript"/>
        <sz val="11"/>
        <color theme="1"/>
        <rFont val="Calibri"/>
        <family val="2"/>
        <scheme val="minor"/>
      </rPr>
      <t>child,7</t>
    </r>
    <r>
      <rPr>
        <sz val="11"/>
        <color theme="1"/>
        <rFont val="Calibri"/>
        <family val="2"/>
        <scheme val="minor"/>
      </rPr>
      <t xml:space="preserve"> [atoms/cm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</si>
  <si>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t>4He</t>
  </si>
  <si>
    <t>Nchild,1 [atoms/cm3]</t>
  </si>
  <si>
    <t>Nchild,2 [atoms/cm3]</t>
  </si>
  <si>
    <t>Nchild,3 [atoms/cm3]</t>
  </si>
  <si>
    <t>Nchild,4 [atoms/cm3]</t>
  </si>
  <si>
    <t>Nchild,5 [atoms/cm3]</t>
  </si>
  <si>
    <t>Nchild,6 [atoms/cm3]</t>
  </si>
  <si>
    <t>Nchild,7 [atoms/cm3]</t>
  </si>
  <si>
    <t>phi_xs</t>
  </si>
  <si>
    <t>phi</t>
  </si>
  <si>
    <t>xs</t>
  </si>
  <si>
    <t>cm^2</t>
  </si>
  <si>
    <t>yield</t>
  </si>
  <si>
    <t>n/cm2-s</t>
  </si>
  <si>
    <t>time [sec]</t>
  </si>
  <si>
    <t>xs [cm2]</t>
  </si>
  <si>
    <t>Th232</t>
  </si>
  <si>
    <t>U233</t>
  </si>
  <si>
    <t>U235</t>
  </si>
  <si>
    <t>U238</t>
  </si>
  <si>
    <t>Pu239</t>
  </si>
  <si>
    <t>Pu241</t>
  </si>
  <si>
    <t>Cm245</t>
  </si>
  <si>
    <t>Cf252</t>
  </si>
  <si>
    <t>yields</t>
  </si>
  <si>
    <t>N_I(0)</t>
  </si>
  <si>
    <t>Xe135</t>
  </si>
  <si>
    <r>
      <t>N</t>
    </r>
    <r>
      <rPr>
        <vertAlign val="subscript"/>
        <sz val="11"/>
        <color theme="1"/>
        <rFont val="Calibri"/>
        <family val="2"/>
        <scheme val="minor"/>
      </rPr>
      <t>child</t>
    </r>
    <r>
      <rPr>
        <sz val="11"/>
        <color theme="1"/>
        <rFont val="Calibri"/>
        <family val="2"/>
        <scheme val="minor"/>
      </rPr>
      <t xml:space="preserve"> [atoms/cm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</si>
  <si>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N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[atoms/cm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</si>
  <si>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N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[atoms/cm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</si>
  <si>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N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[atoms/cm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</si>
  <si>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N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[atoms/cm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</si>
  <si>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N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[atoms/cm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</si>
  <si>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N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[atoms/cm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</si>
  <si>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t>Pu238</t>
  </si>
  <si>
    <t>Pu236</t>
  </si>
  <si>
    <t>Pu237</t>
  </si>
  <si>
    <t>Pu237_m1</t>
  </si>
  <si>
    <t>Pu239_m1</t>
  </si>
  <si>
    <t>xs_ratio</t>
  </si>
  <si>
    <r>
      <t>N</t>
    </r>
    <r>
      <rPr>
        <vertAlign val="subscript"/>
        <sz val="11"/>
        <color theme="1"/>
        <rFont val="Calibri"/>
        <family val="2"/>
        <scheme val="minor"/>
      </rPr>
      <t>parent</t>
    </r>
    <r>
      <rPr>
        <sz val="11"/>
        <color theme="1"/>
        <rFont val="Calibri"/>
        <family val="2"/>
        <scheme val="minor"/>
      </rPr>
      <t xml:space="preserve"> [atoms/cm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</si>
  <si>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t># reorder</t>
  </si>
  <si>
    <t>Xe134</t>
  </si>
  <si>
    <t>Te132</t>
  </si>
  <si>
    <t>I135</t>
  </si>
  <si>
    <t>Xe136</t>
  </si>
  <si>
    <t>H1</t>
  </si>
  <si>
    <t>He4</t>
  </si>
  <si>
    <t># Reorder</t>
  </si>
  <si>
    <r>
      <t>N</t>
    </r>
    <r>
      <rPr>
        <vertAlign val="subscript"/>
        <sz val="11"/>
        <color theme="1"/>
        <rFont val="Calibri"/>
        <family val="2"/>
        <scheme val="minor"/>
      </rPr>
      <t>Xe136</t>
    </r>
    <r>
      <rPr>
        <sz val="11"/>
        <color theme="1"/>
        <rFont val="Calibri"/>
        <family val="2"/>
        <scheme val="minor"/>
      </rPr>
      <t xml:space="preserve"> [atoms/cm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</si>
  <si>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N</t>
    </r>
    <r>
      <rPr>
        <vertAlign val="subscript"/>
        <sz val="11"/>
        <color theme="1"/>
        <rFont val="Calibri"/>
        <family val="2"/>
        <scheme val="minor"/>
      </rPr>
      <t>Xe135</t>
    </r>
    <r>
      <rPr>
        <sz val="11"/>
        <color theme="1"/>
        <rFont val="Calibri"/>
        <family val="2"/>
        <scheme val="minor"/>
      </rPr>
      <t xml:space="preserve"> [atoms/cm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</si>
  <si>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N</t>
    </r>
    <r>
      <rPr>
        <vertAlign val="subscript"/>
        <sz val="11"/>
        <color theme="1"/>
        <rFont val="Calibri"/>
        <family val="2"/>
        <scheme val="minor"/>
      </rPr>
      <t>Xe134</t>
    </r>
    <r>
      <rPr>
        <sz val="11"/>
        <color theme="1"/>
        <rFont val="Calibri"/>
        <family val="2"/>
        <scheme val="minor"/>
      </rPr>
      <t xml:space="preserve"> [atoms/cm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</si>
  <si>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N</t>
    </r>
    <r>
      <rPr>
        <vertAlign val="subscript"/>
        <sz val="11"/>
        <color theme="1"/>
        <rFont val="Calibri"/>
        <family val="2"/>
        <scheme val="minor"/>
      </rPr>
      <t>I135</t>
    </r>
    <r>
      <rPr>
        <sz val="11"/>
        <color theme="1"/>
        <rFont val="Calibri"/>
        <family val="2"/>
        <scheme val="minor"/>
      </rPr>
      <t xml:space="preserve"> [atoms/cm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</si>
  <si>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N</t>
    </r>
    <r>
      <rPr>
        <vertAlign val="subscript"/>
        <sz val="11"/>
        <color theme="1"/>
        <rFont val="Calibri"/>
        <family val="2"/>
        <scheme val="minor"/>
      </rPr>
      <t>I134</t>
    </r>
    <r>
      <rPr>
        <sz val="11"/>
        <color theme="1"/>
        <rFont val="Calibri"/>
        <family val="2"/>
        <scheme val="minor"/>
      </rPr>
      <t xml:space="preserve"> [atoms/cm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</si>
  <si>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N</t>
    </r>
    <r>
      <rPr>
        <vertAlign val="subscript"/>
        <sz val="11"/>
        <color theme="1"/>
        <rFont val="Calibri"/>
        <family val="2"/>
        <scheme val="minor"/>
      </rPr>
      <t>Te132</t>
    </r>
    <r>
      <rPr>
        <sz val="11"/>
        <color theme="1"/>
        <rFont val="Calibri"/>
        <family val="2"/>
        <scheme val="minor"/>
      </rPr>
      <t xml:space="preserve"> [atoms/cm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</si>
  <si>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N</t>
    </r>
    <r>
      <rPr>
        <vertAlign val="subscript"/>
        <sz val="11"/>
        <color theme="1"/>
        <rFont val="Calibri"/>
        <family val="2"/>
        <scheme val="minor"/>
      </rPr>
      <t>He4</t>
    </r>
    <r>
      <rPr>
        <sz val="11"/>
        <color theme="1"/>
        <rFont val="Calibri"/>
        <family val="2"/>
        <scheme val="minor"/>
      </rPr>
      <t xml:space="preserve"> [atoms/cm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</si>
  <si>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N</t>
    </r>
    <r>
      <rPr>
        <vertAlign val="subscript"/>
        <sz val="11"/>
        <color theme="1"/>
        <rFont val="Calibri"/>
        <family val="2"/>
        <scheme val="minor"/>
      </rPr>
      <t>H1</t>
    </r>
    <r>
      <rPr>
        <sz val="11"/>
        <color theme="1"/>
        <rFont val="Calibri"/>
        <family val="2"/>
        <scheme val="minor"/>
      </rPr>
      <t xml:space="preserve"> [atoms/cm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</si>
  <si>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N</t>
    </r>
    <r>
      <rPr>
        <vertAlign val="subscript"/>
        <sz val="11"/>
        <color theme="1"/>
        <rFont val="Calibri"/>
        <family val="2"/>
        <scheme val="minor"/>
      </rPr>
      <t xml:space="preserve">Pu237 </t>
    </r>
    <r>
      <rPr>
        <sz val="11"/>
        <color theme="1"/>
        <rFont val="Calibri"/>
        <family val="2"/>
        <scheme val="minor"/>
      </rPr>
      <t>[atoms/cm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</si>
  <si>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N</t>
    </r>
    <r>
      <rPr>
        <vertAlign val="subscript"/>
        <sz val="11"/>
        <color theme="1"/>
        <rFont val="Calibri"/>
        <family val="2"/>
        <scheme val="minor"/>
      </rPr>
      <t xml:space="preserve">PU238 </t>
    </r>
    <r>
      <rPr>
        <sz val="11"/>
        <color theme="1"/>
        <rFont val="Calibri"/>
        <family val="2"/>
        <scheme val="minor"/>
      </rPr>
      <t>[atoms/cm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</si>
  <si>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N</t>
    </r>
    <r>
      <rPr>
        <vertAlign val="subscript"/>
        <sz val="11"/>
        <color theme="1"/>
        <rFont val="Calibri"/>
        <family val="2"/>
        <scheme val="minor"/>
      </rPr>
      <t xml:space="preserve">Pu239 </t>
    </r>
    <r>
      <rPr>
        <sz val="11"/>
        <color theme="1"/>
        <rFont val="Calibri"/>
        <family val="2"/>
        <scheme val="minor"/>
      </rPr>
      <t>[atoms/cm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</si>
  <si>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N</t>
    </r>
    <r>
      <rPr>
        <vertAlign val="subscript"/>
        <sz val="11"/>
        <color theme="1"/>
        <rFont val="Calibri"/>
        <family val="2"/>
        <scheme val="minor"/>
      </rPr>
      <t xml:space="preserve">Np238 </t>
    </r>
    <r>
      <rPr>
        <sz val="11"/>
        <color theme="1"/>
        <rFont val="Calibri"/>
        <family val="2"/>
        <scheme val="minor"/>
      </rPr>
      <t>[atoms/cm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</si>
  <si>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N</t>
    </r>
    <r>
      <rPr>
        <vertAlign val="subscript"/>
        <sz val="11"/>
        <color theme="1"/>
        <rFont val="Calibri"/>
        <family val="2"/>
        <scheme val="minor"/>
      </rPr>
      <t xml:space="preserve">Np237 </t>
    </r>
    <r>
      <rPr>
        <sz val="11"/>
        <color theme="1"/>
        <rFont val="Calibri"/>
        <family val="2"/>
        <scheme val="minor"/>
      </rPr>
      <t>[atoms/cm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</si>
  <si>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N</t>
    </r>
    <r>
      <rPr>
        <vertAlign val="subscript"/>
        <sz val="11"/>
        <color theme="1"/>
        <rFont val="Calibri"/>
        <family val="2"/>
        <scheme val="minor"/>
      </rPr>
      <t xml:space="preserve">H1 </t>
    </r>
    <r>
      <rPr>
        <sz val="11"/>
        <color theme="1"/>
        <rFont val="Calibri"/>
        <family val="2"/>
        <scheme val="minor"/>
      </rPr>
      <t>[atoms/cm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</si>
  <si>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N</t>
    </r>
    <r>
      <rPr>
        <vertAlign val="subscript"/>
        <sz val="11"/>
        <color theme="1"/>
        <rFont val="Calibri"/>
        <family val="2"/>
        <scheme val="minor"/>
      </rPr>
      <t xml:space="preserve">H2 </t>
    </r>
    <r>
      <rPr>
        <sz val="11"/>
        <color theme="1"/>
        <rFont val="Calibri"/>
        <family val="2"/>
        <scheme val="minor"/>
      </rPr>
      <t>[atoms/cm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</si>
  <si>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N</t>
    </r>
    <r>
      <rPr>
        <vertAlign val="subscript"/>
        <sz val="11"/>
        <color theme="1"/>
        <rFont val="Calibri"/>
        <family val="2"/>
        <scheme val="minor"/>
      </rPr>
      <t xml:space="preserve">H3 </t>
    </r>
    <r>
      <rPr>
        <sz val="11"/>
        <color theme="1"/>
        <rFont val="Calibri"/>
        <family val="2"/>
        <scheme val="minor"/>
      </rPr>
      <t>[atoms/cm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</si>
  <si>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N</t>
    </r>
    <r>
      <rPr>
        <vertAlign val="subscript"/>
        <sz val="11"/>
        <color theme="1"/>
        <rFont val="Calibri"/>
        <family val="2"/>
        <scheme val="minor"/>
      </rPr>
      <t xml:space="preserve">He4 </t>
    </r>
    <r>
      <rPr>
        <sz val="11"/>
        <color theme="1"/>
        <rFont val="Calibri"/>
        <family val="2"/>
        <scheme val="minor"/>
      </rPr>
      <t>[atoms/cm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</si>
  <si>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N</t>
    </r>
    <r>
      <rPr>
        <vertAlign val="subscript"/>
        <sz val="11"/>
        <color theme="1"/>
        <rFont val="Calibri"/>
        <family val="2"/>
        <scheme val="minor"/>
      </rPr>
      <t xml:space="preserve">U235 </t>
    </r>
    <r>
      <rPr>
        <sz val="11"/>
        <color theme="1"/>
        <rFont val="Calibri"/>
        <family val="2"/>
        <scheme val="minor"/>
      </rPr>
      <t>[atoms/cm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</si>
  <si>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N</t>
    </r>
    <r>
      <rPr>
        <vertAlign val="subscript"/>
        <sz val="11"/>
        <color theme="1"/>
        <rFont val="Calibri"/>
        <family val="2"/>
        <scheme val="minor"/>
      </rPr>
      <t xml:space="preserve">Np236 </t>
    </r>
    <r>
      <rPr>
        <sz val="11"/>
        <color theme="1"/>
        <rFont val="Calibri"/>
        <family val="2"/>
        <scheme val="minor"/>
      </rPr>
      <t>[atoms/cm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</si>
  <si>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t>From Python</t>
  </si>
  <si>
    <t>Isotope</t>
  </si>
  <si>
    <t>Q</t>
  </si>
  <si>
    <t>N</t>
  </si>
  <si>
    <t>sig_f</t>
  </si>
  <si>
    <t>V_mat</t>
  </si>
  <si>
    <t>1H</t>
  </si>
  <si>
    <t>235U</t>
  </si>
  <si>
    <t>238U</t>
  </si>
  <si>
    <t>Mult</t>
  </si>
  <si>
    <t>Qmat</t>
  </si>
  <si>
    <t>MeV/s</t>
  </si>
  <si>
    <t>FR</t>
  </si>
  <si>
    <t>BRs</t>
  </si>
  <si>
    <t>dt</t>
  </si>
  <si>
    <t>d</t>
  </si>
  <si>
    <t>cm2</t>
  </si>
  <si>
    <t>1/d</t>
  </si>
  <si>
    <t>flux</t>
  </si>
  <si>
    <t>flux_d</t>
  </si>
  <si>
    <t>n/cm2-d</t>
  </si>
  <si>
    <t>Material</t>
  </si>
  <si>
    <t>Step 1 Flux</t>
  </si>
  <si>
    <t>Step 1 Decay</t>
  </si>
  <si>
    <t>Step 2 Flux</t>
  </si>
  <si>
    <t>Step 2 Decay</t>
  </si>
  <si>
    <t>Step 3 Flux</t>
  </si>
  <si>
    <t>Step 3 Decay</t>
  </si>
  <si>
    <t>235U Concentrations</t>
  </si>
  <si>
    <t>0 days</t>
  </si>
  <si>
    <t>1 days</t>
  </si>
  <si>
    <t>2 days</t>
  </si>
  <si>
    <t>3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</si>
</sst>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64" formatCode="0.000000000000000E+00"/>
    <numFmt numFmtId="165" formatCode="0.000000E+00"/>
    <numFmt numFmtId="166" formatCode="0.000000000000E+00"/>
    <numFmt numFmtId="167" formatCode="0.00000000000"/>
    <numFmt numFmtId="168" formatCode="0.000000000000000"/>
    <numFmt numFmtId="169" formatCode="0.0000000000000000"/>
    <numFmt numFmtId="170" formatCode="0.00000000E+00"/>
    <numFmt numFmtId="171" formatCode="0.0000000E+00"/>
    <numFmt numFmtId="175" formatCode="0.000000000"/>
    <numFmt numFmtId="192" formatCode="0.00000000000000E+00"/>
  </numFmts>
  <fonts count="3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0" fontId="0" fillId="0" borderId="0" xfId="0" applyAlignment="1">
      <alignment horizontal="center"/>
    </xf>
    <xf numFmtId="171" fontId="0" fillId="0" borderId="0" xfId="0" applyNumberFormat="1"/>
    <xf numFmtId="175" fontId="0" fillId="0" borderId="0" xfId="0" applyNumberFormat="1"/>
    <xf numFmtId="19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314325</xdr:colOff>
      <xdr:row>18</xdr:row>
      <xdr:rowOff>161924</xdr:rowOff>
    </xdr:from>
    <xdr:ext cx="4019550" cy="1819275"/>
    <xdr:sp macro="" textlink="">
      <xdr:nvSpPr>
        <xdr:cNvPr id="2" name="TextBox 1"/>
        <xdr:cNvSpPr txBox="1"/>
      </xdr:nvSpPr>
      <xdr:spPr>
        <a:xfrm>
          <a:off x="314325" y="3638549"/>
          <a:ext cx="4019550" cy="18192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</xdr:col>
      <xdr:colOff>0</xdr:colOff>
      <xdr:row>17</xdr:row>
      <xdr:rowOff>190499</xdr:rowOff>
    </xdr:from>
    <xdr:to>
      <xdr:col>3</xdr:col>
      <xdr:colOff>1219200</xdr:colOff>
      <xdr:row>29</xdr:row>
      <xdr:rowOff>161924</xdr:rowOff>
    </xdr:to>
    <xdr:sp macro="" textlink="">
      <xdr:nvSpPr>
        <xdr:cNvPr id="7169" name="Text Box 1"/>
        <xdr:cNvSpPr txBox="1">
          <a:spLocks noChangeArrowheads="1"/>
        </xdr:cNvSpPr>
      </xdr:nvSpPr>
      <xdr:spPr bwMode="auto">
        <a:xfrm>
          <a:off x="609600" y="3476624"/>
          <a:ext cx="4152900" cy="2257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        xss = 0.1 * np.ones(3)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+mn-lt"/>
              <a:cs typeface="Calibri"/>
            </a:rPr>
            <a:t>        targets = [["Xe136"], ["Xe134"], ["Te132"], ["I135"]]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+mn-lt"/>
              <a:cs typeface="Calibri"/>
            </a:rPr>
            <a:t>        delta_ts = np.ones(6)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+mn-lt"/>
              <a:cs typeface="Calibri"/>
            </a:rPr>
            <a:t>        iso_list = ["H1", "He4", "Te132", "I134", "I135", "Xe134", "Xe135",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+mn-lt"/>
              <a:cs typeface="Calibri"/>
            </a:rPr>
            <a:t>                    "Xe136"]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+mn-lt"/>
              <a:cs typeface="Calibri"/>
            </a:rPr>
            <a:t>        i_src = 6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+mn-lt"/>
              <a:cs typeface="Calibri"/>
            </a:rPr>
            <a:t>        # Set the initial conditions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+mn-lt"/>
              <a:cs typeface="Calibri"/>
            </a:rPr>
            <a:t>        ref_Ns = 1.E24 / 4. * np.ones(len(iso_list))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+mn-lt"/>
              <a:cs typeface="Calibri"/>
            </a:rPr>
            <a:t>        # Set Te132, I134 and secondaries to none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+mn-lt"/>
              <a:cs typeface="Calibri"/>
            </a:rPr>
            <a:t>        ref_Ns[:4] = 0.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+mn-lt"/>
              <a:cs typeface="Calibri"/>
            </a:rPr>
            <a:t>        ref_lambda = 1.E-8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+mn-lt"/>
              <a:cs typeface="Calibri"/>
            </a:rPr>
            <a:t>        num_xs = 4.</a:t>
          </a:r>
        </a:p>
        <a:p>
          <a:pPr algn="l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+mn-lt"/>
            <a:cs typeface="Calibri"/>
          </a:endParaRP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+mn-lt"/>
              <a:cs typeface="Calibri"/>
            </a:rPr>
            <a:t>        ref_Ns_t = np.zeros((len(ref_Ns), len(delta_ts) + 1))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+mn-lt"/>
              <a:cs typeface="Calibri"/>
            </a:rPr>
            <a:t>        ref_Ns_t[:, 0] = ref_Ns[:]</a:t>
          </a:r>
        </a:p>
        <a:p>
          <a:pPr algn="l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+mn-lt"/>
            <a:cs typeface="Calibri"/>
          </a:endParaRP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+mn-lt"/>
              <a:cs typeface="Calibri"/>
            </a:rPr>
            <a:t>        # And deplete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+mn-lt"/>
              <a:cs typeface="Calibri"/>
            </a:rPr>
            <a:t>        xs_flx = np.dot(xss * 1.E-24, mat.flux)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+mn-lt"/>
              <a:cs typeface="Calibri"/>
            </a:rPr>
            <a:t>        for idx, dt in enumerate(delta_ts):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+mn-lt"/>
              <a:cs typeface="Calibri"/>
            </a:rPr>
            <a:t>            # Compute the reference number densities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+mn-lt"/>
              <a:cs typeface="Calibri"/>
            </a:rPr>
            <a:t>            exp_dk = np.exp(-ref_lambda * dt * 86400.)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+mn-lt"/>
              <a:cs typeface="Calibri"/>
            </a:rPr>
            <a:t>            exp_flux = np.exp(-num_xs * xs_flx * dt * 86400.)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+mn-lt"/>
              <a:cs typeface="Calibri"/>
            </a:rPr>
            <a:t>            dk_flx_ratio = xs_flx * ref_Ns[i_src] / \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+mn-lt"/>
              <a:cs typeface="Calibri"/>
            </a:rPr>
            <a:t>                (ref_lambda - num_xs * xs_flx)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+mn-lt"/>
              <a:cs typeface="Calibri"/>
            </a:rPr>
            <a:t>            dk_rr = ref_lambda / (num_xs * xs_flx)</a:t>
          </a:r>
        </a:p>
        <a:p>
          <a:pPr algn="l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+mn-lt"/>
            <a:cs typeface="Calibri"/>
          </a:endParaRP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+mn-lt"/>
              <a:cs typeface="Calibri"/>
            </a:rPr>
            <a:t>            ref_Ns[[2, 4, 7]] += ref_Ns[i_src] * (1. - exp_flux) / num_xs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+mn-lt"/>
              <a:cs typeface="Calibri"/>
            </a:rPr>
            <a:t>            ref_Ns[3] += ref_Ns[5] + dk_flx_ratio * (dk_rr - 1.) - \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+mn-lt"/>
              <a:cs typeface="Calibri"/>
            </a:rPr>
            <a:t>                ref_Ns[5] * exp_dk + dk_flx_ratio * \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+mn-lt"/>
              <a:cs typeface="Calibri"/>
            </a:rPr>
            <a:t>                (-dk_rr * exp_flux + exp_dk)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+mn-lt"/>
              <a:cs typeface="Calibri"/>
            </a:rPr>
            <a:t>            ref_Ns[5] = ref_Ns[5] * exp_dk + dk_flx_ratio * (exp_flux - exp_dk)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+mn-lt"/>
              <a:cs typeface="Calibri"/>
            </a:rPr>
            <a:t>            ref_Ns[[0, 1]] += ref_Ns[i_src] * (1. - exp_flux) / num_xs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+mn-lt"/>
              <a:cs typeface="Calibri"/>
            </a:rPr>
            <a:t>            ref_Ns[i_src] *= exp_flux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31</xdr:row>
      <xdr:rowOff>114300</xdr:rowOff>
    </xdr:from>
    <xdr:to>
      <xdr:col>2</xdr:col>
      <xdr:colOff>1304925</xdr:colOff>
      <xdr:row>73</xdr:row>
      <xdr:rowOff>171450</xdr:rowOff>
    </xdr:to>
    <xdr:sp macro="" textlink="">
      <xdr:nvSpPr>
        <xdr:cNvPr id="2" name="TextBox 1"/>
        <xdr:cNvSpPr txBox="1"/>
      </xdr:nvSpPr>
      <xdr:spPr>
        <a:xfrm>
          <a:off x="314325" y="6067425"/>
          <a:ext cx="3067050" cy="805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flux = np.array([0.2, 0.3, 0.5]) * 1.407416667E+19</a:t>
          </a:r>
        </a:p>
        <a:p>
          <a:r>
            <a:rPr lang="en-US" sz="1100"/>
            <a:t>targets = ["Pu239", "Np238", "U235", "Pu237", "Np237", "Np236"]</a:t>
          </a:r>
        </a:p>
        <a:p>
          <a:r>
            <a:rPr lang="en-US" sz="1100"/>
            <a:t>    types = ["(n,gamma)", "(n,p)", "(n,a)", "(n,2n)", "(n,d)", "(n,t)"]</a:t>
          </a:r>
        </a:p>
        <a:p>
          <a:r>
            <a:rPr lang="en-US" sz="1100"/>
            <a:t>    xss = 0.1 * np.ones(3)</a:t>
          </a:r>
        </a:p>
        <a:p>
          <a:r>
            <a:rPr lang="en-US" sz="1100"/>
            <a:t>iso_list = ["H1", "H2", "H3", "He4", "U235", "Np236", "Np237",</a:t>
          </a:r>
        </a:p>
        <a:p>
          <a:r>
            <a:rPr lang="en-US" sz="1100"/>
            <a:t>                    "Np238", "Pu237", "Pu238", "Pu239"]</a:t>
          </a:r>
        </a:p>
        <a:p>
          <a:r>
            <a:rPr lang="en-US" sz="1100"/>
            <a:t>        i_src = 9</a:t>
          </a:r>
        </a:p>
        <a:p>
          <a:r>
            <a:rPr lang="en-US" sz="1100"/>
            <a:t>        i_targets = [4, 5, 6, 7, 8, 10]</a:t>
          </a:r>
        </a:p>
        <a:p>
          <a:r>
            <a:rPr lang="en-US" sz="1100"/>
            <a:t>        secondary_map = {8: 0, 4: 3, 6: 1, 7: 2}</a:t>
          </a:r>
        </a:p>
        <a:p>
          <a:r>
            <a:rPr lang="en-US" sz="1100"/>
            <a:t>        # Set the initial conditions</a:t>
          </a:r>
        </a:p>
        <a:p>
          <a:r>
            <a:rPr lang="en-US" sz="1100"/>
            <a:t>        ref_Ns = np.zeros(len(iso_list))</a:t>
          </a:r>
        </a:p>
        <a:p>
          <a:r>
            <a:rPr lang="en-US" sz="1100"/>
            <a:t>        # all targets start at 1.</a:t>
          </a:r>
        </a:p>
        <a:p>
          <a:r>
            <a:rPr lang="en-US" sz="1100"/>
            <a:t>        ref_Ns[i_targets] = 1.</a:t>
          </a:r>
        </a:p>
        <a:p>
          <a:r>
            <a:rPr lang="en-US" sz="1100"/>
            <a:t>        # except for Np236</a:t>
          </a:r>
        </a:p>
        <a:p>
          <a:r>
            <a:rPr lang="en-US" sz="1100"/>
            <a:t>        ref_Ns[5] = 0.</a:t>
          </a:r>
        </a:p>
        <a:p>
          <a:r>
            <a:rPr lang="en-US" sz="1100"/>
            <a:t>        # And add in the starting nuclide, Pu239</a:t>
          </a:r>
        </a:p>
        <a:p>
          <a:r>
            <a:rPr lang="en-US" sz="1100"/>
            <a:t>        ref_Ns[i_src] = 1.</a:t>
          </a:r>
        </a:p>
        <a:p>
          <a:r>
            <a:rPr lang="en-US" sz="1100"/>
            <a:t>        ref_Ns *= 1.E24 / 6.</a:t>
          </a:r>
        </a:p>
        <a:p>
          <a:endParaRPr lang="en-US" sz="1100"/>
        </a:p>
        <a:p>
          <a:r>
            <a:rPr lang="en-US" sz="1100"/>
            <a:t>        ref_soln = np.zeros((len(iso_list), 1 + len(delta_ts)))</a:t>
          </a:r>
        </a:p>
        <a:p>
          <a:r>
            <a:rPr lang="en-US" sz="1100"/>
            <a:t>        ref_soln[:, 0] = ref_Ns[:]</a:t>
          </a:r>
        </a:p>
        <a:p>
          <a:r>
            <a:rPr lang="en-US" sz="1100"/>
            <a:t>        # And deplete</a:t>
          </a:r>
        </a:p>
        <a:p>
          <a:r>
            <a:rPr lang="en-US" sz="1100"/>
            <a:t>        for idx, dt in enumerate(delta_ts):</a:t>
          </a:r>
        </a:p>
        <a:p>
          <a:r>
            <a:rPr lang="en-US" sz="1100"/>
            <a:t>            # Compute the reference number densities</a:t>
          </a:r>
        </a:p>
        <a:p>
          <a:r>
            <a:rPr lang="en-US" sz="1100"/>
            <a:t>            src_delta = \</a:t>
          </a:r>
        </a:p>
        <a:p>
          <a:r>
            <a:rPr lang="en-US" sz="1100"/>
            <a:t>                np.exp(-6. * np.dot(xss * 1.E-24, mat.flux) * dt * 86400.)</a:t>
          </a:r>
        </a:p>
        <a:p>
          <a:r>
            <a:rPr lang="en-US" sz="1100"/>
            <a:t>            for i in i_targets:</a:t>
          </a:r>
        </a:p>
        <a:p>
          <a:r>
            <a:rPr lang="en-US" sz="1100"/>
            <a:t>                ref_Ns[i] += (1. / 6.) * ref_Ns[i_src] * \</a:t>
          </a:r>
        </a:p>
        <a:p>
          <a:r>
            <a:rPr lang="en-US" sz="1100"/>
            <a:t>                    (1. - src_delta)</a:t>
          </a:r>
        </a:p>
        <a:p>
          <a:r>
            <a:rPr lang="en-US" sz="1100"/>
            <a:t>                if i in secondary_map:</a:t>
          </a:r>
        </a:p>
        <a:p>
          <a:r>
            <a:rPr lang="en-US" sz="1100"/>
            <a:t>                    ref_Ns[secondary_map[i]] += (1. / 6.) * ref_Ns[i_src] * \</a:t>
          </a:r>
        </a:p>
        <a:p>
          <a:r>
            <a:rPr lang="en-US" sz="1100"/>
            <a:t>                        (1. - src_delta)</a:t>
          </a:r>
        </a:p>
        <a:p>
          <a:r>
            <a:rPr lang="en-US" sz="1100"/>
            <a:t>            ref_Ns[i_src] *= src_delta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G6" sqref="G6"/>
    </sheetView>
  </sheetViews>
  <sheetFormatPr defaultRowHeight="15" x14ac:dyDescent="0.25"/>
  <cols>
    <col min="7" max="7" width="22" bestFit="1" customWidth="1"/>
  </cols>
  <sheetData>
    <row r="1" spans="1:8" x14ac:dyDescent="0.25">
      <c r="A1" t="s">
        <v>99</v>
      </c>
      <c r="B1" t="s">
        <v>100</v>
      </c>
      <c r="C1" t="s">
        <v>101</v>
      </c>
      <c r="D1" t="s">
        <v>102</v>
      </c>
      <c r="E1" t="s">
        <v>39</v>
      </c>
      <c r="F1" t="s">
        <v>103</v>
      </c>
      <c r="G1" t="s">
        <v>107</v>
      </c>
    </row>
    <row r="2" spans="1:8" x14ac:dyDescent="0.25">
      <c r="A2" t="s">
        <v>104</v>
      </c>
      <c r="B2">
        <v>0</v>
      </c>
      <c r="C2">
        <f>2*0.4</f>
        <v>0.8</v>
      </c>
      <c r="D2">
        <v>0</v>
      </c>
      <c r="E2">
        <v>1</v>
      </c>
      <c r="F2">
        <v>1</v>
      </c>
      <c r="G2">
        <f>B2*C2*D2*E2*F2</f>
        <v>0</v>
      </c>
    </row>
    <row r="3" spans="1:8" x14ac:dyDescent="0.25">
      <c r="A3" t="s">
        <v>105</v>
      </c>
      <c r="B3">
        <f>0.00129927*92*92*SQRT(235)+33.12</f>
        <v>201.70114397138732</v>
      </c>
      <c r="C3">
        <f>2*0.5</f>
        <v>1</v>
      </c>
      <c r="D3">
        <v>10</v>
      </c>
      <c r="E3">
        <v>1</v>
      </c>
      <c r="F3">
        <v>1</v>
      </c>
      <c r="G3">
        <f t="shared" ref="G3:G4" si="0">B3*C3*D3*E3*F3</f>
        <v>2017.0114397138732</v>
      </c>
    </row>
    <row r="4" spans="1:8" x14ac:dyDescent="0.25">
      <c r="A4" t="s">
        <v>106</v>
      </c>
      <c r="B4">
        <f>0.00129927*92*92*SQRT(238)+33.12</f>
        <v>202.77378137194566</v>
      </c>
      <c r="C4">
        <f>2*0.1</f>
        <v>0.2</v>
      </c>
      <c r="D4">
        <v>1</v>
      </c>
      <c r="E4">
        <v>1</v>
      </c>
      <c r="F4">
        <v>1</v>
      </c>
      <c r="G4">
        <f t="shared" si="0"/>
        <v>40.554756274389135</v>
      </c>
    </row>
    <row r="5" spans="1:8" x14ac:dyDescent="0.25">
      <c r="F5" t="s">
        <v>108</v>
      </c>
      <c r="G5" s="7">
        <f>SUM(G2:G4)</f>
        <v>2057.5661959882623</v>
      </c>
      <c r="H5" t="s">
        <v>109</v>
      </c>
    </row>
    <row r="6" spans="1:8" x14ac:dyDescent="0.25">
      <c r="F6" t="s">
        <v>110</v>
      </c>
      <c r="G6" s="5">
        <f>C2*D2*E2+C3*D3*E3+C4*D4*E4</f>
        <v>10.199999999999999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4" sqref="B4"/>
    </sheetView>
  </sheetViews>
  <sheetFormatPr defaultRowHeight="15" x14ac:dyDescent="0.25"/>
  <cols>
    <col min="2" max="2" width="11" bestFit="1" customWidth="1"/>
    <col min="3" max="6" width="22" bestFit="1" customWidth="1"/>
  </cols>
  <sheetData>
    <row r="1" spans="1:7" x14ac:dyDescent="0.25">
      <c r="A1" t="s">
        <v>0</v>
      </c>
      <c r="B1">
        <v>6</v>
      </c>
      <c r="C1" t="s">
        <v>3</v>
      </c>
    </row>
    <row r="2" spans="1:7" x14ac:dyDescent="0.25">
      <c r="A2" t="s">
        <v>1</v>
      </c>
      <c r="B2" s="1">
        <v>9.9999999999999998E+23</v>
      </c>
      <c r="C2" t="s">
        <v>4</v>
      </c>
    </row>
    <row r="3" spans="1:7" x14ac:dyDescent="0.25">
      <c r="A3" t="s">
        <v>2</v>
      </c>
      <c r="B3">
        <v>0</v>
      </c>
      <c r="C3" t="s">
        <v>4</v>
      </c>
    </row>
    <row r="4" spans="1:7" x14ac:dyDescent="0.25">
      <c r="A4" t="s">
        <v>5</v>
      </c>
      <c r="B4">
        <f>LN(2)/B1</f>
        <v>0.11552453009332421</v>
      </c>
      <c r="C4" t="s">
        <v>6</v>
      </c>
      <c r="D4">
        <f>B4/3600</f>
        <v>3.2090147248145615E-5</v>
      </c>
    </row>
    <row r="6" spans="1:7" ht="18.75" x14ac:dyDescent="0.35">
      <c r="A6" t="s">
        <v>11</v>
      </c>
      <c r="B6" t="s">
        <v>10</v>
      </c>
      <c r="C6" t="s">
        <v>8</v>
      </c>
      <c r="D6" t="s">
        <v>9</v>
      </c>
    </row>
    <row r="7" spans="1:7" x14ac:dyDescent="0.25">
      <c r="A7">
        <v>0</v>
      </c>
      <c r="B7">
        <v>0</v>
      </c>
      <c r="C7" s="2">
        <f>$B$2*EXP(-$B$4*B7)</f>
        <v>9.9999999999999998E+23</v>
      </c>
      <c r="D7" s="2">
        <f>$B$2*(1-EXP(-$B$4*B7))</f>
        <v>0</v>
      </c>
      <c r="F7" s="2"/>
      <c r="G7" s="2"/>
    </row>
    <row r="8" spans="1:7" x14ac:dyDescent="0.25">
      <c r="A8">
        <v>1</v>
      </c>
      <c r="B8">
        <v>24</v>
      </c>
      <c r="C8" s="2">
        <f t="shared" ref="C8:C13" si="0">$B$2*EXP(-$B$4*B8)</f>
        <v>6.2499999999999999E+22</v>
      </c>
      <c r="D8" s="2">
        <f t="shared" ref="D8:D13" si="1">$B$2*(1-EXP(-$B$4*B8))</f>
        <v>9.3750000000000002E+23</v>
      </c>
      <c r="F8" s="2"/>
      <c r="G8" s="2"/>
    </row>
    <row r="9" spans="1:7" x14ac:dyDescent="0.25">
      <c r="A9">
        <v>2</v>
      </c>
      <c r="B9">
        <v>48</v>
      </c>
      <c r="C9" s="2">
        <f t="shared" si="0"/>
        <v>3.906250000000001E+21</v>
      </c>
      <c r="D9" s="2">
        <f t="shared" si="1"/>
        <v>9.9609374999999994E+23</v>
      </c>
      <c r="F9" s="2"/>
      <c r="G9" s="2"/>
    </row>
    <row r="10" spans="1:7" x14ac:dyDescent="0.25">
      <c r="A10">
        <v>3</v>
      </c>
      <c r="B10">
        <v>72</v>
      </c>
      <c r="C10" s="2">
        <f t="shared" si="0"/>
        <v>2.4414062500000016E+20</v>
      </c>
      <c r="D10" s="2">
        <f t="shared" si="1"/>
        <v>9.9975585937499996E+23</v>
      </c>
      <c r="F10" s="2"/>
      <c r="G10" s="2"/>
    </row>
    <row r="11" spans="1:7" x14ac:dyDescent="0.25">
      <c r="A11">
        <v>4</v>
      </c>
      <c r="B11">
        <v>96</v>
      </c>
      <c r="C11" s="2">
        <f t="shared" si="0"/>
        <v>1.5258789062500006E+19</v>
      </c>
      <c r="D11" s="2">
        <f t="shared" si="1"/>
        <v>9.9998474121093743E+23</v>
      </c>
      <c r="F11" s="2"/>
      <c r="G11" s="2"/>
    </row>
    <row r="12" spans="1:7" x14ac:dyDescent="0.25">
      <c r="A12">
        <v>5</v>
      </c>
      <c r="B12">
        <v>120</v>
      </c>
      <c r="C12" s="2">
        <f t="shared" si="0"/>
        <v>9.5367431640625165E+17</v>
      </c>
      <c r="D12" s="2">
        <f t="shared" si="1"/>
        <v>9.9999904632568352E+23</v>
      </c>
      <c r="F12" s="2"/>
      <c r="G12" s="2"/>
    </row>
    <row r="13" spans="1:7" x14ac:dyDescent="0.25">
      <c r="A13">
        <v>6</v>
      </c>
      <c r="B13">
        <v>144</v>
      </c>
      <c r="C13" s="2">
        <f t="shared" si="0"/>
        <v>5.960464477539072E+16</v>
      </c>
      <c r="D13" s="2">
        <f t="shared" si="1"/>
        <v>9.9999994039535519E+23</v>
      </c>
      <c r="E13" s="2"/>
      <c r="F13" s="2"/>
    </row>
    <row r="14" spans="1:7" x14ac:dyDescent="0.25">
      <c r="B14" s="2"/>
      <c r="C14" s="2"/>
      <c r="E14" s="2"/>
      <c r="F14" s="2"/>
    </row>
    <row r="15" spans="1:7" x14ac:dyDescent="0.25">
      <c r="B15" s="2"/>
      <c r="C15" s="2"/>
      <c r="E15" s="2"/>
      <c r="F15" s="2"/>
    </row>
    <row r="16" spans="1:7" x14ac:dyDescent="0.25">
      <c r="B16" s="2"/>
      <c r="C16" s="2"/>
      <c r="E16" s="2"/>
      <c r="F16" s="2"/>
    </row>
    <row r="17" spans="2:6" x14ac:dyDescent="0.25">
      <c r="B17" s="2"/>
      <c r="C17" s="2"/>
      <c r="E17" s="2"/>
      <c r="F17" s="2"/>
    </row>
    <row r="18" spans="2:6" x14ac:dyDescent="0.25">
      <c r="B18" s="2"/>
      <c r="C18" s="2"/>
      <c r="E18" s="2"/>
      <c r="F18" s="2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opLeftCell="B1" workbookViewId="0">
      <selection activeCell="D21" sqref="D21"/>
    </sheetView>
  </sheetViews>
  <sheetFormatPr defaultRowHeight="15" x14ac:dyDescent="0.25"/>
  <cols>
    <col min="1" max="1" width="22" bestFit="1" customWidth="1"/>
    <col min="2" max="2" width="11" bestFit="1" customWidth="1"/>
    <col min="3" max="8" width="22" bestFit="1" customWidth="1"/>
    <col min="9" max="9" width="22" customWidth="1"/>
    <col min="10" max="10" width="22" bestFit="1" customWidth="1"/>
  </cols>
  <sheetData>
    <row r="1" spans="1:10" x14ac:dyDescent="0.25">
      <c r="A1" t="s">
        <v>0</v>
      </c>
      <c r="B1">
        <v>6</v>
      </c>
      <c r="C1" t="s">
        <v>3</v>
      </c>
    </row>
    <row r="2" spans="1:10" x14ac:dyDescent="0.25">
      <c r="A2" t="s">
        <v>1</v>
      </c>
      <c r="B2" s="1">
        <v>9.9999999999999998E+23</v>
      </c>
      <c r="C2" t="s">
        <v>4</v>
      </c>
      <c r="D2" t="s">
        <v>111</v>
      </c>
    </row>
    <row r="3" spans="1:10" x14ac:dyDescent="0.25">
      <c r="A3" t="s">
        <v>2</v>
      </c>
      <c r="B3">
        <v>0</v>
      </c>
      <c r="C3" t="s">
        <v>4</v>
      </c>
      <c r="D3" s="6">
        <f>D6/$D$4</f>
        <v>0.28571450830177891</v>
      </c>
      <c r="E3" s="6">
        <f t="shared" ref="E3:J3" si="0">E6/$D$4</f>
        <v>0.23809516389940705</v>
      </c>
      <c r="F3" s="6">
        <f t="shared" si="0"/>
        <v>0.1904761311195256</v>
      </c>
      <c r="G3" s="6">
        <f t="shared" si="0"/>
        <v>0.14285709833964422</v>
      </c>
      <c r="H3" s="6">
        <f t="shared" si="0"/>
        <v>9.5238065559762802E-2</v>
      </c>
      <c r="I3" s="6">
        <f t="shared" si="0"/>
        <v>0</v>
      </c>
      <c r="J3" s="6">
        <f t="shared" si="0"/>
        <v>4.7619032779881401E-2</v>
      </c>
    </row>
    <row r="4" spans="1:10" x14ac:dyDescent="0.25">
      <c r="C4" t="s">
        <v>13</v>
      </c>
      <c r="D4" s="8">
        <f>SUM(D6:J6)</f>
        <v>0.115524396</v>
      </c>
      <c r="E4" t="s">
        <v>6</v>
      </c>
    </row>
    <row r="5" spans="1:10" x14ac:dyDescent="0.25">
      <c r="C5" t="s">
        <v>21</v>
      </c>
      <c r="D5" s="1">
        <v>9.1686099999999996E-6</v>
      </c>
      <c r="E5" s="1">
        <v>7.6405000000000008E-6</v>
      </c>
      <c r="F5" s="1">
        <v>6.1124000000000001E-6</v>
      </c>
      <c r="G5" s="1">
        <v>4.5843000000000003E-6</v>
      </c>
      <c r="H5" s="1">
        <v>3.0562000000000001E-6</v>
      </c>
      <c r="I5" s="1"/>
      <c r="J5" s="1">
        <v>1.5281E-6</v>
      </c>
    </row>
    <row r="6" spans="1:10" x14ac:dyDescent="0.25">
      <c r="C6" t="s">
        <v>20</v>
      </c>
      <c r="D6" s="1">
        <f>D5*3600</f>
        <v>3.3006995999999997E-2</v>
      </c>
      <c r="E6" s="1">
        <f t="shared" ref="E6:H6" si="1">E5*3600</f>
        <v>2.7505800000000004E-2</v>
      </c>
      <c r="F6" s="1">
        <f t="shared" si="1"/>
        <v>2.2004639999999999E-2</v>
      </c>
      <c r="G6" s="1">
        <f t="shared" si="1"/>
        <v>1.6503480000000001E-2</v>
      </c>
      <c r="H6" s="1">
        <f t="shared" si="1"/>
        <v>1.1002319999999999E-2</v>
      </c>
      <c r="I6" s="1"/>
      <c r="J6" s="1">
        <f>J5*3600</f>
        <v>5.5011599999999997E-3</v>
      </c>
    </row>
    <row r="7" spans="1:10" ht="18.75" x14ac:dyDescent="0.35">
      <c r="A7" t="s">
        <v>11</v>
      </c>
      <c r="B7" t="s">
        <v>10</v>
      </c>
      <c r="C7" t="s">
        <v>8</v>
      </c>
      <c r="D7" t="s">
        <v>12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29</v>
      </c>
    </row>
    <row r="8" spans="1:10" x14ac:dyDescent="0.25">
      <c r="A8">
        <v>0</v>
      </c>
      <c r="B8">
        <v>0</v>
      </c>
      <c r="C8" s="2">
        <f>$B$2*EXP(-$D$4*B8)</f>
        <v>9.9999999999999998E+23</v>
      </c>
      <c r="D8" s="2">
        <f>$B$2*D$6/$D$4*(1-EXP(-$D$4*$B8))</f>
        <v>0</v>
      </c>
      <c r="E8" s="2">
        <f t="shared" ref="E8:J14" si="2">$B$2*E$6/$D$4*(1-EXP(-$D$4*$B8))</f>
        <v>0</v>
      </c>
      <c r="F8" s="2">
        <f t="shared" si="2"/>
        <v>0</v>
      </c>
      <c r="G8" s="2">
        <f t="shared" si="2"/>
        <v>0</v>
      </c>
      <c r="H8" s="2">
        <f t="shared" si="2"/>
        <v>0</v>
      </c>
      <c r="I8" s="2">
        <f>H8</f>
        <v>0</v>
      </c>
      <c r="J8" s="2">
        <f>$B$2*J$6/$D$4*(1-EXP(-$D$4*$B8))</f>
        <v>0</v>
      </c>
    </row>
    <row r="9" spans="1:10" x14ac:dyDescent="0.25">
      <c r="A9">
        <v>1</v>
      </c>
      <c r="B9">
        <v>24</v>
      </c>
      <c r="C9" s="2">
        <f>$B$2*EXP(-$D$4*B9)</f>
        <v>6.2500201140309964E+22</v>
      </c>
      <c r="D9" s="2">
        <f>$B$2*D$6/$D$4*(1-EXP(-$D$4*$B9))</f>
        <v>2.6785729406421297E+23</v>
      </c>
      <c r="E9" s="2">
        <f t="shared" si="2"/>
        <v>2.2321416826515905E+23</v>
      </c>
      <c r="F9" s="2">
        <f t="shared" si="2"/>
        <v>1.7857133461212722E+23</v>
      </c>
      <c r="G9" s="2">
        <f t="shared" si="2"/>
        <v>1.339285009590954E+23</v>
      </c>
      <c r="H9" s="2">
        <f t="shared" si="2"/>
        <v>8.9285667306063612E+22</v>
      </c>
      <c r="I9" s="2">
        <f t="shared" ref="I9:I14" si="3">H9</f>
        <v>8.9285667306063612E+22</v>
      </c>
      <c r="J9" s="2">
        <f t="shared" si="2"/>
        <v>4.4642833653031806E+22</v>
      </c>
    </row>
    <row r="10" spans="1:10" x14ac:dyDescent="0.25">
      <c r="A10">
        <v>2</v>
      </c>
      <c r="B10">
        <v>48</v>
      </c>
      <c r="C10" s="2">
        <f t="shared" ref="C10:C14" si="4">$B$2*EXP(-$D$4*B10)</f>
        <v>3.9062751425792033E+21</v>
      </c>
      <c r="D10" s="2">
        <f t="shared" ref="D10:D14" si="5">$B$2*D$6/$D$4*(1-EXP(-$D$4*$B10))</f>
        <v>2.8459842882012543E+23</v>
      </c>
      <c r="E10" s="2">
        <f t="shared" si="2"/>
        <v>2.3716509867909849E+23</v>
      </c>
      <c r="F10" s="2">
        <f t="shared" si="2"/>
        <v>1.8973207894327876E+23</v>
      </c>
      <c r="G10" s="2">
        <f t="shared" si="2"/>
        <v>1.4229905920745906E+23</v>
      </c>
      <c r="H10" s="2">
        <f t="shared" si="2"/>
        <v>9.486603947163938E+22</v>
      </c>
      <c r="I10" s="2">
        <f t="shared" si="3"/>
        <v>9.486603947163938E+22</v>
      </c>
      <c r="J10" s="2">
        <f t="shared" si="2"/>
        <v>4.743301973581969E+22</v>
      </c>
    </row>
    <row r="11" spans="1:10" x14ac:dyDescent="0.25">
      <c r="A11">
        <v>3</v>
      </c>
      <c r="B11">
        <v>72</v>
      </c>
      <c r="C11" s="2">
        <f t="shared" si="4"/>
        <v>2.4414298212059323E+20</v>
      </c>
      <c r="D11" s="2">
        <f t="shared" si="5"/>
        <v>2.85644753109687E+23</v>
      </c>
      <c r="E11" s="2">
        <f t="shared" si="2"/>
        <v>2.3803703463606418E+23</v>
      </c>
      <c r="F11" s="2">
        <f t="shared" si="2"/>
        <v>1.9042962770885131E+23</v>
      </c>
      <c r="G11" s="2">
        <f t="shared" si="2"/>
        <v>1.4282222078163847E+23</v>
      </c>
      <c r="H11" s="2">
        <f t="shared" si="2"/>
        <v>9.5214813854425655E+22</v>
      </c>
      <c r="I11" s="2">
        <f t="shared" si="3"/>
        <v>9.5214813854425655E+22</v>
      </c>
      <c r="J11" s="2">
        <f t="shared" si="2"/>
        <v>4.7607406927212827E+22</v>
      </c>
    </row>
    <row r="12" spans="1:10" x14ac:dyDescent="0.25">
      <c r="A12">
        <v>4</v>
      </c>
      <c r="B12">
        <v>96</v>
      </c>
      <c r="C12" s="2">
        <f t="shared" si="4"/>
        <v>1.5258985489532178E+19</v>
      </c>
      <c r="D12" s="2">
        <f t="shared" si="5"/>
        <v>2.8571014858824261E+23</v>
      </c>
      <c r="E12" s="2">
        <f t="shared" si="2"/>
        <v>2.3809153080875599E+23</v>
      </c>
      <c r="F12" s="2">
        <f t="shared" si="2"/>
        <v>1.9047322464700478E+23</v>
      </c>
      <c r="G12" s="2">
        <f t="shared" si="2"/>
        <v>1.4285491848525357E+23</v>
      </c>
      <c r="H12" s="2">
        <f t="shared" si="2"/>
        <v>9.5236612323502388E+22</v>
      </c>
      <c r="I12" s="2">
        <f t="shared" si="3"/>
        <v>9.5236612323502388E+22</v>
      </c>
      <c r="J12" s="2">
        <f t="shared" si="2"/>
        <v>4.7618306161751194E+22</v>
      </c>
    </row>
    <row r="13" spans="1:10" x14ac:dyDescent="0.25">
      <c r="A13">
        <v>5</v>
      </c>
      <c r="B13">
        <v>120</v>
      </c>
      <c r="C13" s="2">
        <f t="shared" si="4"/>
        <v>9.5368966229283392E+17</v>
      </c>
      <c r="D13" s="2">
        <f t="shared" si="5"/>
        <v>2.85714235818806E+23</v>
      </c>
      <c r="E13" s="2">
        <f t="shared" si="2"/>
        <v>2.3809493683051062E+23</v>
      </c>
      <c r="F13" s="2">
        <f t="shared" si="2"/>
        <v>1.9047594946440845E+23</v>
      </c>
      <c r="G13" s="2">
        <f t="shared" si="2"/>
        <v>1.4285696209830635E+23</v>
      </c>
      <c r="H13" s="2">
        <f t="shared" si="2"/>
        <v>9.5237974732204226E+22</v>
      </c>
      <c r="I13" s="2">
        <f t="shared" si="3"/>
        <v>9.5237974732204226E+22</v>
      </c>
      <c r="J13" s="2">
        <f t="shared" si="2"/>
        <v>4.7618987366102113E+22</v>
      </c>
    </row>
    <row r="14" spans="1:10" x14ac:dyDescent="0.25">
      <c r="A14">
        <v>6</v>
      </c>
      <c r="B14">
        <v>144</v>
      </c>
      <c r="C14" s="2">
        <f t="shared" si="4"/>
        <v>5.9605795718736304E+16</v>
      </c>
      <c r="D14" s="2">
        <f t="shared" si="5"/>
        <v>2.8571449127153831E+23</v>
      </c>
      <c r="E14" s="2">
        <f t="shared" si="2"/>
        <v>2.3809514970755536E+23</v>
      </c>
      <c r="F14" s="2">
        <f t="shared" si="2"/>
        <v>1.9047611976604424E+23</v>
      </c>
      <c r="G14" s="2">
        <f t="shared" si="2"/>
        <v>1.4285708982453318E+23</v>
      </c>
      <c r="H14" s="2">
        <f t="shared" si="2"/>
        <v>9.5238059883022122E+22</v>
      </c>
      <c r="I14" s="2">
        <f t="shared" si="3"/>
        <v>9.5238059883022122E+22</v>
      </c>
      <c r="J14" s="2">
        <f t="shared" si="2"/>
        <v>4.7619029941511061E+22</v>
      </c>
    </row>
    <row r="15" spans="1:10" x14ac:dyDescent="0.25">
      <c r="B15" s="2"/>
      <c r="C15" s="2"/>
      <c r="E15" s="2"/>
      <c r="F15" s="2"/>
    </row>
    <row r="16" spans="1:10" x14ac:dyDescent="0.25">
      <c r="B16" s="2"/>
      <c r="C16" s="2" t="s">
        <v>22</v>
      </c>
      <c r="D16" t="s">
        <v>23</v>
      </c>
      <c r="E16" s="2" t="s">
        <v>24</v>
      </c>
      <c r="F16" s="2" t="s">
        <v>25</v>
      </c>
      <c r="G16" s="2" t="s">
        <v>26</v>
      </c>
      <c r="H16" s="2" t="s">
        <v>27</v>
      </c>
      <c r="I16" s="2" t="s">
        <v>30</v>
      </c>
      <c r="J16" s="2" t="s">
        <v>28</v>
      </c>
    </row>
    <row r="17" spans="1:9" x14ac:dyDescent="0.25">
      <c r="B17" s="2"/>
      <c r="C17" s="2"/>
      <c r="E17" s="2"/>
      <c r="F17" s="2"/>
    </row>
    <row r="18" spans="1:9" x14ac:dyDescent="0.25">
      <c r="B18" s="2"/>
      <c r="C18" s="2"/>
      <c r="E18" s="2"/>
      <c r="F18" s="2"/>
    </row>
    <row r="19" spans="1:9" x14ac:dyDescent="0.25">
      <c r="B19" s="2"/>
      <c r="C19" s="2"/>
      <c r="E19" s="2"/>
      <c r="F19" s="2"/>
    </row>
    <row r="20" spans="1:9" x14ac:dyDescent="0.25">
      <c r="A20" t="s">
        <v>11</v>
      </c>
      <c r="B20" t="s">
        <v>10</v>
      </c>
      <c r="C20" t="s">
        <v>7</v>
      </c>
      <c r="D20" t="s">
        <v>31</v>
      </c>
      <c r="E20" t="s">
        <v>32</v>
      </c>
      <c r="F20" t="s">
        <v>33</v>
      </c>
    </row>
    <row r="21" spans="1:9" x14ac:dyDescent="0.25">
      <c r="A21">
        <v>0</v>
      </c>
      <c r="B21">
        <v>0</v>
      </c>
      <c r="C21" s="2">
        <v>9.9999999999999998E+23</v>
      </c>
      <c r="D21" s="2">
        <v>0</v>
      </c>
      <c r="E21" s="2">
        <v>0</v>
      </c>
      <c r="F21" s="2">
        <v>0</v>
      </c>
    </row>
    <row r="22" spans="1:9" x14ac:dyDescent="0.25">
      <c r="A22">
        <v>1</v>
      </c>
      <c r="B22">
        <v>24</v>
      </c>
      <c r="C22" s="2">
        <v>6.2500201140309964E+22</v>
      </c>
      <c r="D22" s="2">
        <v>2.6785729406421297E+23</v>
      </c>
      <c r="E22" s="2">
        <v>2.2321416826515905E+23</v>
      </c>
      <c r="F22" s="2">
        <v>1.7857133461212722E+23</v>
      </c>
    </row>
    <row r="23" spans="1:9" x14ac:dyDescent="0.25">
      <c r="A23">
        <v>2</v>
      </c>
      <c r="B23">
        <v>48</v>
      </c>
      <c r="C23" s="2">
        <v>3.9062751425792033E+21</v>
      </c>
      <c r="D23" s="2">
        <v>2.8459842882012543E+23</v>
      </c>
      <c r="E23" s="2">
        <v>2.3716509867909849E+23</v>
      </c>
      <c r="F23" s="2">
        <v>1.8973207894327876E+23</v>
      </c>
    </row>
    <row r="24" spans="1:9" x14ac:dyDescent="0.25">
      <c r="A24">
        <v>3</v>
      </c>
      <c r="B24">
        <v>72</v>
      </c>
      <c r="C24" s="2">
        <v>2.4414298212059323E+20</v>
      </c>
      <c r="D24" s="2">
        <v>2.85644753109687E+23</v>
      </c>
      <c r="E24" s="2">
        <v>2.3803703463606418E+23</v>
      </c>
      <c r="F24" s="2">
        <v>1.9042962770885131E+23</v>
      </c>
    </row>
    <row r="25" spans="1:9" x14ac:dyDescent="0.25">
      <c r="A25">
        <v>4</v>
      </c>
      <c r="B25">
        <v>96</v>
      </c>
      <c r="C25" s="2">
        <v>1.5258985489532178E+19</v>
      </c>
      <c r="D25" s="2">
        <v>2.8571014858824261E+23</v>
      </c>
      <c r="E25" s="2">
        <v>2.3809153080875599E+23</v>
      </c>
      <c r="F25" s="2">
        <v>1.9047322464700478E+23</v>
      </c>
    </row>
    <row r="26" spans="1:9" x14ac:dyDescent="0.25">
      <c r="A26">
        <v>5</v>
      </c>
      <c r="B26">
        <v>120</v>
      </c>
      <c r="C26" s="2">
        <v>9.5368966229283392E+17</v>
      </c>
      <c r="D26" s="2">
        <v>2.85714235818806E+23</v>
      </c>
      <c r="E26" s="2">
        <v>2.3809493683051062E+23</v>
      </c>
      <c r="F26" s="2">
        <v>1.9047594946440845E+23</v>
      </c>
    </row>
    <row r="27" spans="1:9" x14ac:dyDescent="0.25">
      <c r="A27">
        <v>6</v>
      </c>
      <c r="B27">
        <v>144</v>
      </c>
      <c r="C27" s="2">
        <v>5.9605795718736304E+16</v>
      </c>
      <c r="D27" s="2">
        <v>2.8571449127153831E+23</v>
      </c>
      <c r="E27" s="2">
        <v>2.3809514970755536E+23</v>
      </c>
      <c r="F27" s="2">
        <v>1.9047611976604424E+23</v>
      </c>
    </row>
    <row r="28" spans="1:9" x14ac:dyDescent="0.25">
      <c r="A28" t="s">
        <v>11</v>
      </c>
      <c r="B28" t="s">
        <v>10</v>
      </c>
      <c r="C28" t="s">
        <v>34</v>
      </c>
      <c r="D28" t="s">
        <v>35</v>
      </c>
      <c r="E28" t="s">
        <v>36</v>
      </c>
      <c r="F28" t="s">
        <v>37</v>
      </c>
    </row>
    <row r="29" spans="1:9" x14ac:dyDescent="0.25">
      <c r="A29">
        <v>0</v>
      </c>
      <c r="B29">
        <v>0</v>
      </c>
      <c r="C29" s="2">
        <v>0</v>
      </c>
      <c r="D29" s="2">
        <v>0</v>
      </c>
      <c r="E29" s="2">
        <v>0</v>
      </c>
      <c r="F29" s="2">
        <v>0</v>
      </c>
      <c r="G29" s="2"/>
      <c r="H29" s="2"/>
      <c r="I29" s="2"/>
    </row>
    <row r="30" spans="1:9" x14ac:dyDescent="0.25">
      <c r="A30">
        <v>1</v>
      </c>
      <c r="B30">
        <v>24</v>
      </c>
      <c r="C30" s="2">
        <v>1.339285009590954E+23</v>
      </c>
      <c r="D30" s="2">
        <v>8.9285667306063612E+22</v>
      </c>
      <c r="E30" s="2">
        <v>8.9285667306063612E+22</v>
      </c>
      <c r="F30" s="2">
        <v>4.4642833653031806E+22</v>
      </c>
      <c r="G30" s="2"/>
      <c r="H30" s="2"/>
      <c r="I30" s="2"/>
    </row>
    <row r="31" spans="1:9" x14ac:dyDescent="0.25">
      <c r="A31">
        <v>2</v>
      </c>
      <c r="B31">
        <v>48</v>
      </c>
      <c r="C31" s="2">
        <v>1.4229905920745906E+23</v>
      </c>
      <c r="D31" s="2">
        <v>9.486603947163938E+22</v>
      </c>
      <c r="E31" s="2">
        <v>9.486603947163938E+22</v>
      </c>
      <c r="F31" s="2">
        <v>4.743301973581969E+22</v>
      </c>
      <c r="G31" s="2"/>
      <c r="H31" s="2"/>
      <c r="I31" s="2"/>
    </row>
    <row r="32" spans="1:9" x14ac:dyDescent="0.25">
      <c r="A32">
        <v>3</v>
      </c>
      <c r="B32">
        <v>72</v>
      </c>
      <c r="C32" s="2">
        <v>1.4282222078163847E+23</v>
      </c>
      <c r="D32" s="2">
        <v>9.5214813854425655E+22</v>
      </c>
      <c r="E32" s="2">
        <v>9.5214813854425655E+22</v>
      </c>
      <c r="F32" s="2">
        <v>4.7607406927212827E+22</v>
      </c>
      <c r="G32" s="2"/>
      <c r="H32" s="2"/>
      <c r="I32" s="2"/>
    </row>
    <row r="33" spans="1:9" x14ac:dyDescent="0.25">
      <c r="A33">
        <v>4</v>
      </c>
      <c r="B33">
        <v>96</v>
      </c>
      <c r="C33" s="2">
        <v>1.4285491848525357E+23</v>
      </c>
      <c r="D33" s="2">
        <v>9.5236612323502388E+22</v>
      </c>
      <c r="E33" s="2">
        <v>9.5236612323502388E+22</v>
      </c>
      <c r="F33" s="2">
        <v>4.7618306161751194E+22</v>
      </c>
      <c r="G33" s="2"/>
      <c r="H33" s="2"/>
      <c r="I33" s="2"/>
    </row>
    <row r="34" spans="1:9" x14ac:dyDescent="0.25">
      <c r="A34">
        <v>5</v>
      </c>
      <c r="B34">
        <v>120</v>
      </c>
      <c r="C34" s="2">
        <v>1.4285696209830635E+23</v>
      </c>
      <c r="D34" s="2">
        <v>9.5237974732204226E+22</v>
      </c>
      <c r="E34" s="2">
        <v>9.5237974732204226E+22</v>
      </c>
      <c r="F34" s="2">
        <v>4.7618987366102113E+22</v>
      </c>
      <c r="G34" s="2"/>
      <c r="H34" s="2"/>
      <c r="I34" s="2"/>
    </row>
    <row r="35" spans="1:9" x14ac:dyDescent="0.25">
      <c r="A35">
        <v>6</v>
      </c>
      <c r="B35">
        <v>144</v>
      </c>
      <c r="C35" s="2">
        <v>1.4285708982453318E+23</v>
      </c>
      <c r="D35" s="2">
        <v>9.5238059883022122E+22</v>
      </c>
      <c r="E35" s="2">
        <v>9.5238059883022122E+22</v>
      </c>
      <c r="F35" s="2">
        <v>4.7619029941511061E+22</v>
      </c>
      <c r="G35" s="2"/>
      <c r="H35" s="2"/>
      <c r="I35" s="2"/>
    </row>
    <row r="36" spans="1:9" x14ac:dyDescent="0.25">
      <c r="C36" s="2"/>
      <c r="D36" s="2"/>
      <c r="E36" s="2"/>
      <c r="F36" s="2"/>
      <c r="G36" s="2"/>
      <c r="H36" s="2"/>
      <c r="I36" s="2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activeCell="C28" sqref="C28:F34"/>
    </sheetView>
  </sheetViews>
  <sheetFormatPr defaultRowHeight="15" x14ac:dyDescent="0.25"/>
  <cols>
    <col min="1" max="1" width="22" bestFit="1" customWidth="1"/>
    <col min="2" max="2" width="11" bestFit="1" customWidth="1"/>
    <col min="3" max="8" width="22" bestFit="1" customWidth="1"/>
    <col min="9" max="9" width="22" customWidth="1"/>
    <col min="10" max="10" width="22" bestFit="1" customWidth="1"/>
  </cols>
  <sheetData>
    <row r="1" spans="1:10" x14ac:dyDescent="0.25">
      <c r="A1" t="s">
        <v>0</v>
      </c>
      <c r="B1">
        <v>6</v>
      </c>
      <c r="C1" t="s">
        <v>3</v>
      </c>
    </row>
    <row r="2" spans="1:10" x14ac:dyDescent="0.25">
      <c r="A2" t="s">
        <v>1</v>
      </c>
      <c r="B2" s="1">
        <v>9.9999999999999998E+23</v>
      </c>
      <c r="C2" t="s">
        <v>4</v>
      </c>
    </row>
    <row r="3" spans="1:10" x14ac:dyDescent="0.25">
      <c r="A3" t="s">
        <v>2</v>
      </c>
      <c r="B3">
        <v>0</v>
      </c>
      <c r="C3" t="s">
        <v>4</v>
      </c>
      <c r="D3" s="6">
        <f t="shared" ref="D3:J3" si="0">D5/$D$4</f>
        <v>0.21640425613334455</v>
      </c>
      <c r="E3" s="6">
        <f t="shared" si="0"/>
        <v>0.6492127684000335</v>
      </c>
      <c r="F3" s="6">
        <f t="shared" si="0"/>
        <v>1.298425536800067</v>
      </c>
      <c r="G3" s="6">
        <f t="shared" si="0"/>
        <v>1.7312340490667564</v>
      </c>
      <c r="H3" s="6">
        <f t="shared" si="0"/>
        <v>2.1640425613334453</v>
      </c>
      <c r="I3" s="6">
        <f t="shared" si="0"/>
        <v>0</v>
      </c>
      <c r="J3" s="6">
        <f t="shared" si="0"/>
        <v>2.596851073600134</v>
      </c>
    </row>
    <row r="4" spans="1:10" x14ac:dyDescent="0.25">
      <c r="C4" t="s">
        <v>13</v>
      </c>
      <c r="D4" s="8">
        <f>LN(2)/B1</f>
        <v>0.11552453009332421</v>
      </c>
      <c r="E4" t="s">
        <v>6</v>
      </c>
      <c r="I4" s="1"/>
    </row>
    <row r="5" spans="1:10" x14ac:dyDescent="0.25">
      <c r="B5" s="1"/>
      <c r="C5" t="s">
        <v>111</v>
      </c>
      <c r="D5" s="1">
        <v>2.5000000000000001E-2</v>
      </c>
      <c r="E5" s="1">
        <v>7.4999999999999997E-2</v>
      </c>
      <c r="F5" s="1">
        <v>0.15</v>
      </c>
      <c r="G5" s="1">
        <v>0.2</v>
      </c>
      <c r="H5" s="1">
        <v>0.25</v>
      </c>
      <c r="I5" s="1"/>
      <c r="J5" s="1">
        <v>0.3</v>
      </c>
    </row>
    <row r="6" spans="1:10" ht="18.75" x14ac:dyDescent="0.35">
      <c r="A6" t="s">
        <v>11</v>
      </c>
      <c r="B6" t="s">
        <v>10</v>
      </c>
      <c r="C6" t="s">
        <v>8</v>
      </c>
      <c r="D6" t="s">
        <v>12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29</v>
      </c>
    </row>
    <row r="7" spans="1:10" x14ac:dyDescent="0.25">
      <c r="A7">
        <v>0</v>
      </c>
      <c r="B7">
        <v>0</v>
      </c>
      <c r="C7" s="2">
        <f>$B$2*EXP(-$D$4*B7)</f>
        <v>9.9999999999999998E+23</v>
      </c>
      <c r="D7" s="2">
        <f>$B$2*D$5*(1-EXP(-$D$4*$B7))</f>
        <v>0</v>
      </c>
      <c r="E7" s="2">
        <f>$B$2*E$5*(1-EXP(-$D$4*$B7))</f>
        <v>0</v>
      </c>
      <c r="F7" s="2">
        <f>$B$2*F$5*(1-EXP(-$D$4*$B7))</f>
        <v>0</v>
      </c>
      <c r="G7" s="2">
        <f>$B$2*G$5*(1-EXP(-$D$4*$B7))</f>
        <v>0</v>
      </c>
      <c r="H7" s="2">
        <f>$B$2*H$5*(1-EXP(-$D$4*$B7))</f>
        <v>0</v>
      </c>
      <c r="I7" s="2">
        <f>H7</f>
        <v>0</v>
      </c>
      <c r="J7" s="2">
        <f>$B$2*J$5*(1-EXP(-$D$4*$B7))</f>
        <v>0</v>
      </c>
    </row>
    <row r="8" spans="1:10" x14ac:dyDescent="0.25">
      <c r="A8">
        <v>1</v>
      </c>
      <c r="B8">
        <v>24</v>
      </c>
      <c r="C8" s="2">
        <f>$B$2*EXP(-$D$4*B8)</f>
        <v>6.2499999999999999E+22</v>
      </c>
      <c r="D8" s="2">
        <f t="shared" ref="D8:H13" si="1">$B$2*D$5*(1-EXP(-$D$4*$B8))</f>
        <v>2.3437500000000004E+22</v>
      </c>
      <c r="E8" s="2">
        <f t="shared" si="1"/>
        <v>7.0312499999999995E+22</v>
      </c>
      <c r="F8" s="2">
        <f t="shared" si="1"/>
        <v>1.4062499999999999E+23</v>
      </c>
      <c r="G8" s="2">
        <f t="shared" si="1"/>
        <v>1.8750000000000003E+23</v>
      </c>
      <c r="H8" s="2">
        <f t="shared" si="1"/>
        <v>2.34375E+23</v>
      </c>
      <c r="I8" s="2">
        <f t="shared" ref="I8:I13" si="2">H8</f>
        <v>2.34375E+23</v>
      </c>
      <c r="J8" s="2">
        <f t="shared" ref="J8:J13" si="3">$B$2*J$5*(1-EXP(-$D$4*$B8))</f>
        <v>2.8124999999999998E+23</v>
      </c>
    </row>
    <row r="9" spans="1:10" x14ac:dyDescent="0.25">
      <c r="A9">
        <v>2</v>
      </c>
      <c r="B9">
        <v>48</v>
      </c>
      <c r="C9" s="2">
        <f t="shared" ref="C9:C13" si="4">$B$2*EXP(-$D$4*B9)</f>
        <v>3.906250000000001E+21</v>
      </c>
      <c r="D9" s="2">
        <f t="shared" si="1"/>
        <v>2.4902343750000002E+22</v>
      </c>
      <c r="E9" s="2">
        <f t="shared" si="1"/>
        <v>7.4707031249999997E+22</v>
      </c>
      <c r="F9" s="2">
        <f t="shared" si="1"/>
        <v>1.4941406249999999E+23</v>
      </c>
      <c r="G9" s="2">
        <f t="shared" si="1"/>
        <v>1.9921875000000002E+23</v>
      </c>
      <c r="H9" s="2">
        <f t="shared" si="1"/>
        <v>2.4902343749999999E+23</v>
      </c>
      <c r="I9" s="2">
        <f t="shared" si="2"/>
        <v>2.4902343749999999E+23</v>
      </c>
      <c r="J9" s="2">
        <f t="shared" si="3"/>
        <v>2.9882812499999999E+23</v>
      </c>
    </row>
    <row r="10" spans="1:10" x14ac:dyDescent="0.25">
      <c r="A10">
        <v>3</v>
      </c>
      <c r="B10">
        <v>72</v>
      </c>
      <c r="C10" s="2">
        <f t="shared" si="4"/>
        <v>2.4414062500000016E+20</v>
      </c>
      <c r="D10" s="2">
        <f t="shared" si="1"/>
        <v>2.4993896484375001E+22</v>
      </c>
      <c r="E10" s="2">
        <f t="shared" si="1"/>
        <v>7.4981689453124994E+22</v>
      </c>
      <c r="F10" s="2">
        <f t="shared" si="1"/>
        <v>1.4996337890624999E+23</v>
      </c>
      <c r="G10" s="2">
        <f t="shared" si="1"/>
        <v>1.9995117187500001E+23</v>
      </c>
      <c r="H10" s="2">
        <f t="shared" si="1"/>
        <v>2.4993896484374999E+23</v>
      </c>
      <c r="I10" s="2">
        <f t="shared" si="2"/>
        <v>2.4993896484374999E+23</v>
      </c>
      <c r="J10" s="2">
        <f t="shared" si="3"/>
        <v>2.9992675781249998E+23</v>
      </c>
    </row>
    <row r="11" spans="1:10" x14ac:dyDescent="0.25">
      <c r="A11">
        <v>4</v>
      </c>
      <c r="B11">
        <v>96</v>
      </c>
      <c r="C11" s="2">
        <f t="shared" si="4"/>
        <v>1.5258789062500006E+19</v>
      </c>
      <c r="D11" s="2">
        <f t="shared" si="1"/>
        <v>2.4999618530273441E+22</v>
      </c>
      <c r="E11" s="2">
        <f t="shared" si="1"/>
        <v>7.4998855590820306E+22</v>
      </c>
      <c r="F11" s="2">
        <f t="shared" si="1"/>
        <v>1.4999771118164061E+23</v>
      </c>
      <c r="G11" s="2">
        <f t="shared" si="1"/>
        <v>1.9999694824218753E+23</v>
      </c>
      <c r="H11" s="2">
        <f t="shared" si="1"/>
        <v>2.4999618530273436E+23</v>
      </c>
      <c r="I11" s="2">
        <f t="shared" si="2"/>
        <v>2.4999618530273436E+23</v>
      </c>
      <c r="J11" s="2">
        <f t="shared" si="3"/>
        <v>2.9999542236328122E+23</v>
      </c>
    </row>
    <row r="12" spans="1:10" x14ac:dyDescent="0.25">
      <c r="A12">
        <v>5</v>
      </c>
      <c r="B12">
        <v>120</v>
      </c>
      <c r="C12" s="2">
        <f t="shared" si="4"/>
        <v>9.5367431640625165E+17</v>
      </c>
      <c r="D12" s="2">
        <f t="shared" si="1"/>
        <v>2.4999976158142092E+22</v>
      </c>
      <c r="E12" s="2">
        <f t="shared" si="1"/>
        <v>7.4999928474426264E+22</v>
      </c>
      <c r="F12" s="2">
        <f t="shared" si="1"/>
        <v>1.4999985694885253E+23</v>
      </c>
      <c r="G12" s="2">
        <f t="shared" si="1"/>
        <v>1.9999980926513674E+23</v>
      </c>
      <c r="H12" s="2">
        <f t="shared" si="1"/>
        <v>2.4999976158142088E+23</v>
      </c>
      <c r="I12" s="2">
        <f t="shared" si="2"/>
        <v>2.4999976158142088E+23</v>
      </c>
      <c r="J12" s="2">
        <f t="shared" si="3"/>
        <v>2.9999971389770506E+23</v>
      </c>
    </row>
    <row r="13" spans="1:10" x14ac:dyDescent="0.25">
      <c r="A13">
        <v>6</v>
      </c>
      <c r="B13">
        <v>144</v>
      </c>
      <c r="C13" s="2">
        <f t="shared" si="4"/>
        <v>5.960464477539072E+16</v>
      </c>
      <c r="D13" s="2">
        <f t="shared" si="1"/>
        <v>2.4999998509883882E+22</v>
      </c>
      <c r="E13" s="2">
        <f t="shared" si="1"/>
        <v>7.4999995529651634E+22</v>
      </c>
      <c r="F13" s="2">
        <f t="shared" si="1"/>
        <v>1.4999999105930327E+23</v>
      </c>
      <c r="G13" s="2">
        <f t="shared" si="1"/>
        <v>1.9999998807907106E+23</v>
      </c>
      <c r="H13" s="2">
        <f t="shared" si="1"/>
        <v>2.499999850988388E+23</v>
      </c>
      <c r="I13" s="2">
        <f t="shared" si="2"/>
        <v>2.499999850988388E+23</v>
      </c>
      <c r="J13" s="2">
        <f t="shared" si="3"/>
        <v>2.9999998211860654E+23</v>
      </c>
    </row>
    <row r="14" spans="1:10" x14ac:dyDescent="0.25">
      <c r="B14" s="2"/>
      <c r="C14" s="2"/>
      <c r="E14" s="2"/>
      <c r="F14" s="2"/>
    </row>
    <row r="15" spans="1:10" x14ac:dyDescent="0.25">
      <c r="B15" s="2"/>
      <c r="C15" s="2" t="s">
        <v>22</v>
      </c>
      <c r="D15" t="s">
        <v>23</v>
      </c>
      <c r="E15" s="2" t="s">
        <v>24</v>
      </c>
      <c r="F15" s="2" t="s">
        <v>25</v>
      </c>
      <c r="G15" s="2" t="s">
        <v>26</v>
      </c>
      <c r="H15" s="2" t="s">
        <v>27</v>
      </c>
      <c r="I15" s="2" t="s">
        <v>30</v>
      </c>
      <c r="J15" s="2" t="s">
        <v>28</v>
      </c>
    </row>
    <row r="16" spans="1:10" x14ac:dyDescent="0.25">
      <c r="B16" s="2"/>
      <c r="C16" s="2"/>
      <c r="E16" s="2"/>
      <c r="F16" s="2"/>
    </row>
    <row r="17" spans="1:9" x14ac:dyDescent="0.25">
      <c r="B17" s="2"/>
      <c r="C17" s="2"/>
      <c r="E17" s="2"/>
      <c r="F17" s="2"/>
    </row>
    <row r="18" spans="1:9" x14ac:dyDescent="0.25">
      <c r="B18" s="2"/>
      <c r="C18" s="2"/>
      <c r="E18" s="2"/>
      <c r="F18" s="2"/>
    </row>
    <row r="19" spans="1:9" x14ac:dyDescent="0.25">
      <c r="A19" t="s">
        <v>11</v>
      </c>
      <c r="B19" t="s">
        <v>10</v>
      </c>
      <c r="C19" t="s">
        <v>7</v>
      </c>
      <c r="D19" t="s">
        <v>31</v>
      </c>
      <c r="E19" t="s">
        <v>32</v>
      </c>
      <c r="F19" t="s">
        <v>33</v>
      </c>
    </row>
    <row r="20" spans="1:9" x14ac:dyDescent="0.25">
      <c r="A20">
        <v>0</v>
      </c>
      <c r="B20">
        <v>0</v>
      </c>
      <c r="C20" s="2">
        <f>C7</f>
        <v>9.9999999999999998E+23</v>
      </c>
      <c r="D20" s="2">
        <f t="shared" ref="D20:F20" si="5">D7</f>
        <v>0</v>
      </c>
      <c r="E20" s="2">
        <f t="shared" si="5"/>
        <v>0</v>
      </c>
      <c r="F20" s="2">
        <f t="shared" si="5"/>
        <v>0</v>
      </c>
    </row>
    <row r="21" spans="1:9" x14ac:dyDescent="0.25">
      <c r="A21">
        <v>1</v>
      </c>
      <c r="B21">
        <v>24</v>
      </c>
      <c r="C21" s="2">
        <f t="shared" ref="C21:F26" si="6">C8</f>
        <v>6.2499999999999999E+22</v>
      </c>
      <c r="D21" s="2">
        <f t="shared" si="6"/>
        <v>2.3437500000000004E+22</v>
      </c>
      <c r="E21" s="2">
        <f t="shared" si="6"/>
        <v>7.0312499999999995E+22</v>
      </c>
      <c r="F21" s="2">
        <f t="shared" si="6"/>
        <v>1.4062499999999999E+23</v>
      </c>
    </row>
    <row r="22" spans="1:9" x14ac:dyDescent="0.25">
      <c r="A22">
        <v>2</v>
      </c>
      <c r="B22">
        <v>48</v>
      </c>
      <c r="C22" s="2">
        <f t="shared" si="6"/>
        <v>3.906250000000001E+21</v>
      </c>
      <c r="D22" s="2">
        <f t="shared" si="6"/>
        <v>2.4902343750000002E+22</v>
      </c>
      <c r="E22" s="2">
        <f t="shared" si="6"/>
        <v>7.4707031249999997E+22</v>
      </c>
      <c r="F22" s="2">
        <f t="shared" si="6"/>
        <v>1.4941406249999999E+23</v>
      </c>
    </row>
    <row r="23" spans="1:9" x14ac:dyDescent="0.25">
      <c r="A23">
        <v>3</v>
      </c>
      <c r="B23">
        <v>72</v>
      </c>
      <c r="C23" s="2">
        <f t="shared" si="6"/>
        <v>2.4414062500000016E+20</v>
      </c>
      <c r="D23" s="2">
        <f t="shared" si="6"/>
        <v>2.4993896484375001E+22</v>
      </c>
      <c r="E23" s="2">
        <f t="shared" si="6"/>
        <v>7.4981689453124994E+22</v>
      </c>
      <c r="F23" s="2">
        <f t="shared" si="6"/>
        <v>1.4996337890624999E+23</v>
      </c>
    </row>
    <row r="24" spans="1:9" x14ac:dyDescent="0.25">
      <c r="A24">
        <v>4</v>
      </c>
      <c r="B24">
        <v>96</v>
      </c>
      <c r="C24" s="2">
        <f t="shared" si="6"/>
        <v>1.5258789062500006E+19</v>
      </c>
      <c r="D24" s="2">
        <f t="shared" si="6"/>
        <v>2.4999618530273441E+22</v>
      </c>
      <c r="E24" s="2">
        <f t="shared" si="6"/>
        <v>7.4998855590820306E+22</v>
      </c>
      <c r="F24" s="2">
        <f t="shared" si="6"/>
        <v>1.4999771118164061E+23</v>
      </c>
    </row>
    <row r="25" spans="1:9" x14ac:dyDescent="0.25">
      <c r="A25">
        <v>5</v>
      </c>
      <c r="B25">
        <v>120</v>
      </c>
      <c r="C25" s="2">
        <f t="shared" si="6"/>
        <v>9.5367431640625165E+17</v>
      </c>
      <c r="D25" s="2">
        <f t="shared" si="6"/>
        <v>2.4999976158142092E+22</v>
      </c>
      <c r="E25" s="2">
        <f t="shared" si="6"/>
        <v>7.4999928474426264E+22</v>
      </c>
      <c r="F25" s="2">
        <f t="shared" si="6"/>
        <v>1.4999985694885253E+23</v>
      </c>
    </row>
    <row r="26" spans="1:9" x14ac:dyDescent="0.25">
      <c r="A26">
        <v>6</v>
      </c>
      <c r="B26">
        <v>144</v>
      </c>
      <c r="C26" s="2">
        <f t="shared" si="6"/>
        <v>5.960464477539072E+16</v>
      </c>
      <c r="D26" s="2">
        <f t="shared" si="6"/>
        <v>2.4999998509883882E+22</v>
      </c>
      <c r="E26" s="2">
        <f t="shared" si="6"/>
        <v>7.4999995529651634E+22</v>
      </c>
      <c r="F26" s="2">
        <f t="shared" si="6"/>
        <v>1.4999999105930327E+23</v>
      </c>
    </row>
    <row r="27" spans="1:9" x14ac:dyDescent="0.25">
      <c r="A27" t="s">
        <v>11</v>
      </c>
      <c r="B27" t="s">
        <v>10</v>
      </c>
      <c r="C27" t="s">
        <v>34</v>
      </c>
      <c r="D27" t="s">
        <v>35</v>
      </c>
      <c r="E27" t="s">
        <v>36</v>
      </c>
      <c r="F27" t="s">
        <v>37</v>
      </c>
    </row>
    <row r="28" spans="1:9" x14ac:dyDescent="0.25">
      <c r="A28">
        <v>0</v>
      </c>
      <c r="B28">
        <v>0</v>
      </c>
      <c r="C28" s="2">
        <f>G7</f>
        <v>0</v>
      </c>
      <c r="D28" s="2">
        <f t="shared" ref="D28:F34" si="7">H7</f>
        <v>0</v>
      </c>
      <c r="E28" s="2">
        <f t="shared" si="7"/>
        <v>0</v>
      </c>
      <c r="F28" s="2">
        <f t="shared" si="7"/>
        <v>0</v>
      </c>
      <c r="G28" s="2"/>
      <c r="H28" s="2"/>
      <c r="I28" s="2"/>
    </row>
    <row r="29" spans="1:9" x14ac:dyDescent="0.25">
      <c r="A29">
        <v>1</v>
      </c>
      <c r="B29">
        <v>24</v>
      </c>
      <c r="C29" s="2">
        <f t="shared" ref="C29:C34" si="8">G8</f>
        <v>1.8750000000000003E+23</v>
      </c>
      <c r="D29" s="2">
        <f t="shared" si="7"/>
        <v>2.34375E+23</v>
      </c>
      <c r="E29" s="2">
        <f t="shared" si="7"/>
        <v>2.34375E+23</v>
      </c>
      <c r="F29" s="2">
        <f t="shared" si="7"/>
        <v>2.8124999999999998E+23</v>
      </c>
      <c r="G29" s="2"/>
      <c r="H29" s="2"/>
      <c r="I29" s="2"/>
    </row>
    <row r="30" spans="1:9" x14ac:dyDescent="0.25">
      <c r="A30">
        <v>2</v>
      </c>
      <c r="B30">
        <v>48</v>
      </c>
      <c r="C30" s="2">
        <f t="shared" si="8"/>
        <v>1.9921875000000002E+23</v>
      </c>
      <c r="D30" s="2">
        <f t="shared" si="7"/>
        <v>2.4902343749999999E+23</v>
      </c>
      <c r="E30" s="2">
        <f t="shared" si="7"/>
        <v>2.4902343749999999E+23</v>
      </c>
      <c r="F30" s="2">
        <f t="shared" si="7"/>
        <v>2.9882812499999999E+23</v>
      </c>
      <c r="G30" s="2"/>
      <c r="H30" s="2"/>
      <c r="I30" s="2"/>
    </row>
    <row r="31" spans="1:9" x14ac:dyDescent="0.25">
      <c r="A31">
        <v>3</v>
      </c>
      <c r="B31">
        <v>72</v>
      </c>
      <c r="C31" s="2">
        <f t="shared" si="8"/>
        <v>1.9995117187500001E+23</v>
      </c>
      <c r="D31" s="2">
        <f t="shared" si="7"/>
        <v>2.4993896484374999E+23</v>
      </c>
      <c r="E31" s="2">
        <f t="shared" si="7"/>
        <v>2.4993896484374999E+23</v>
      </c>
      <c r="F31" s="2">
        <f t="shared" si="7"/>
        <v>2.9992675781249998E+23</v>
      </c>
      <c r="G31" s="2"/>
      <c r="H31" s="2"/>
      <c r="I31" s="2"/>
    </row>
    <row r="32" spans="1:9" x14ac:dyDescent="0.25">
      <c r="A32">
        <v>4</v>
      </c>
      <c r="B32">
        <v>96</v>
      </c>
      <c r="C32" s="2">
        <f t="shared" si="8"/>
        <v>1.9999694824218753E+23</v>
      </c>
      <c r="D32" s="2">
        <f t="shared" si="7"/>
        <v>2.4999618530273436E+23</v>
      </c>
      <c r="E32" s="2">
        <f t="shared" si="7"/>
        <v>2.4999618530273436E+23</v>
      </c>
      <c r="F32" s="2">
        <f t="shared" si="7"/>
        <v>2.9999542236328122E+23</v>
      </c>
      <c r="G32" s="2"/>
      <c r="H32" s="2"/>
      <c r="I32" s="2"/>
    </row>
    <row r="33" spans="1:9" x14ac:dyDescent="0.25">
      <c r="A33">
        <v>5</v>
      </c>
      <c r="B33">
        <v>120</v>
      </c>
      <c r="C33" s="2">
        <f t="shared" si="8"/>
        <v>1.9999980926513674E+23</v>
      </c>
      <c r="D33" s="2">
        <f t="shared" si="7"/>
        <v>2.4999976158142088E+23</v>
      </c>
      <c r="E33" s="2">
        <f t="shared" si="7"/>
        <v>2.4999976158142088E+23</v>
      </c>
      <c r="F33" s="2">
        <f t="shared" si="7"/>
        <v>2.9999971389770506E+23</v>
      </c>
      <c r="G33" s="2"/>
      <c r="H33" s="2"/>
      <c r="I33" s="2"/>
    </row>
    <row r="34" spans="1:9" x14ac:dyDescent="0.25">
      <c r="A34">
        <v>6</v>
      </c>
      <c r="B34">
        <v>144</v>
      </c>
      <c r="C34" s="2">
        <f t="shared" si="8"/>
        <v>1.9999998807907106E+23</v>
      </c>
      <c r="D34" s="2">
        <f t="shared" si="7"/>
        <v>2.499999850988388E+23</v>
      </c>
      <c r="E34" s="2">
        <f t="shared" si="7"/>
        <v>2.499999850988388E+23</v>
      </c>
      <c r="F34" s="2">
        <f t="shared" si="7"/>
        <v>2.9999998211860654E+23</v>
      </c>
      <c r="G34" s="2"/>
      <c r="H34" s="2"/>
      <c r="I34" s="2"/>
    </row>
    <row r="35" spans="1:9" x14ac:dyDescent="0.25">
      <c r="C35" s="2"/>
      <c r="D35" s="2"/>
      <c r="E35" s="2"/>
      <c r="F35" s="2"/>
      <c r="G35" s="2"/>
      <c r="H35" s="2"/>
      <c r="I35" s="2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20" sqref="D20"/>
    </sheetView>
  </sheetViews>
  <sheetFormatPr defaultRowHeight="15" x14ac:dyDescent="0.25"/>
  <cols>
    <col min="2" max="6" width="22" bestFit="1" customWidth="1"/>
  </cols>
  <sheetData>
    <row r="1" spans="1:7" x14ac:dyDescent="0.25">
      <c r="A1" t="s">
        <v>39</v>
      </c>
      <c r="B1" s="3">
        <f>10000000000000000000 * (1.83423 + 6.54654 + 5.69335)</f>
        <v>1.407412E+20</v>
      </c>
      <c r="C1" t="s">
        <v>43</v>
      </c>
    </row>
    <row r="2" spans="1:7" x14ac:dyDescent="0.25">
      <c r="A2" t="s">
        <v>40</v>
      </c>
      <c r="B2" s="1">
        <f>0.1*1E-24</f>
        <v>9.9999999999999992E-26</v>
      </c>
      <c r="C2" t="s">
        <v>41</v>
      </c>
    </row>
    <row r="3" spans="1:7" x14ac:dyDescent="0.25">
      <c r="A3" t="s">
        <v>1</v>
      </c>
      <c r="B3" s="1">
        <v>4.9999999999999999E+23</v>
      </c>
      <c r="C3" t="s">
        <v>4</v>
      </c>
    </row>
    <row r="4" spans="1:7" x14ac:dyDescent="0.25">
      <c r="A4" t="s">
        <v>2</v>
      </c>
      <c r="B4" s="1">
        <v>4.9999999999999999E+23</v>
      </c>
      <c r="C4" t="s">
        <v>4</v>
      </c>
    </row>
    <row r="5" spans="1:7" x14ac:dyDescent="0.25">
      <c r="A5" t="s">
        <v>38</v>
      </c>
      <c r="B5" s="4">
        <f>B1*B2</f>
        <v>1.4074119999999999E-5</v>
      </c>
      <c r="C5" t="s">
        <v>19</v>
      </c>
      <c r="D5" s="1"/>
    </row>
    <row r="6" spans="1:7" x14ac:dyDescent="0.25">
      <c r="A6" t="s">
        <v>42</v>
      </c>
      <c r="B6" s="1">
        <v>2</v>
      </c>
    </row>
    <row r="7" spans="1:7" ht="18.75" x14ac:dyDescent="0.35">
      <c r="A7" t="s">
        <v>11</v>
      </c>
      <c r="B7" t="s">
        <v>44</v>
      </c>
      <c r="C7" t="s">
        <v>8</v>
      </c>
      <c r="D7" t="s">
        <v>57</v>
      </c>
    </row>
    <row r="8" spans="1:7" x14ac:dyDescent="0.25">
      <c r="A8">
        <v>0</v>
      </c>
      <c r="B8">
        <f>A8*86400</f>
        <v>0</v>
      </c>
      <c r="C8" s="2">
        <f>$B$3*EXP(-$B$5*B8)</f>
        <v>4.9999999999999999E+23</v>
      </c>
      <c r="D8" s="2">
        <f>$B$4+$B$6*$B$3*(1-EXP(-$B$5*B8))</f>
        <v>4.9999999999999999E+23</v>
      </c>
      <c r="F8" s="2"/>
      <c r="G8" s="2"/>
    </row>
    <row r="9" spans="1:7" x14ac:dyDescent="0.25">
      <c r="A9">
        <v>1</v>
      </c>
      <c r="B9">
        <f t="shared" ref="B9:B14" si="0">A9*86400</f>
        <v>86400</v>
      </c>
      <c r="C9" s="2">
        <f>$B$3*EXP(-$B$5*B9)</f>
        <v>1.4820613820953637E+23</v>
      </c>
      <c r="D9" s="2">
        <f t="shared" ref="D9:D14" si="1">$B$4+$B$6*$B$3*(1-EXP(-$B$5*B9))</f>
        <v>1.2035877235809272E+24</v>
      </c>
      <c r="F9" s="2"/>
      <c r="G9" s="2"/>
    </row>
    <row r="10" spans="1:7" x14ac:dyDescent="0.25">
      <c r="A10">
        <v>2</v>
      </c>
      <c r="B10">
        <f t="shared" si="0"/>
        <v>172800</v>
      </c>
      <c r="C10" s="2">
        <f t="shared" ref="C10:C14" si="2">$B$3*EXP(-$B$5*B10)</f>
        <v>4.3930118805968403E+22</v>
      </c>
      <c r="D10" s="2">
        <f t="shared" si="1"/>
        <v>1.4121397623880631E+24</v>
      </c>
      <c r="F10" s="2"/>
      <c r="G10" s="2"/>
    </row>
    <row r="11" spans="1:7" x14ac:dyDescent="0.25">
      <c r="A11">
        <v>3</v>
      </c>
      <c r="B11">
        <f t="shared" si="0"/>
        <v>259200</v>
      </c>
      <c r="C11" s="2">
        <f t="shared" si="2"/>
        <v>1.3021426518637412E+22</v>
      </c>
      <c r="D11" s="2">
        <f t="shared" si="1"/>
        <v>1.4739571469627252E+24</v>
      </c>
      <c r="F11" s="2"/>
      <c r="G11" s="2"/>
    </row>
    <row r="12" spans="1:7" x14ac:dyDescent="0.25">
      <c r="A12">
        <v>4</v>
      </c>
      <c r="B12">
        <f t="shared" si="0"/>
        <v>345600</v>
      </c>
      <c r="C12" s="2">
        <f t="shared" si="2"/>
        <v>3.8597106766129974E+21</v>
      </c>
      <c r="D12" s="2">
        <f t="shared" si="1"/>
        <v>1.4922805786467739E+24</v>
      </c>
      <c r="F12" s="2"/>
      <c r="G12" s="2"/>
    </row>
    <row r="13" spans="1:7" x14ac:dyDescent="0.25">
      <c r="A13">
        <v>5</v>
      </c>
      <c r="B13">
        <f t="shared" si="0"/>
        <v>432000</v>
      </c>
      <c r="C13" s="2">
        <f t="shared" si="2"/>
        <v>1.1440656279738581E+21</v>
      </c>
      <c r="D13" s="2">
        <f t="shared" si="1"/>
        <v>1.4977118687440524E+24</v>
      </c>
      <c r="F13" s="2"/>
      <c r="G13" s="2"/>
    </row>
    <row r="14" spans="1:7" x14ac:dyDescent="0.25">
      <c r="A14">
        <v>6</v>
      </c>
      <c r="B14">
        <f t="shared" si="0"/>
        <v>518400</v>
      </c>
      <c r="C14" s="2">
        <f t="shared" si="2"/>
        <v>3.391150971605473E+20</v>
      </c>
      <c r="D14" s="2">
        <f t="shared" si="1"/>
        <v>1.4993217698056787E+24</v>
      </c>
      <c r="E14" s="2"/>
      <c r="F14" s="2"/>
    </row>
    <row r="15" spans="1:7" x14ac:dyDescent="0.25">
      <c r="B15" s="2"/>
      <c r="C15" s="2"/>
      <c r="E15" s="2"/>
      <c r="F15" s="2"/>
    </row>
    <row r="16" spans="1:7" x14ac:dyDescent="0.25">
      <c r="B16" s="2"/>
      <c r="C16" s="2"/>
      <c r="E16" s="2"/>
      <c r="F16" s="2"/>
    </row>
    <row r="17" spans="2:6" x14ac:dyDescent="0.25">
      <c r="B17" s="2"/>
      <c r="C17" s="2"/>
      <c r="E17" s="2"/>
      <c r="F17" s="2"/>
    </row>
    <row r="18" spans="2:6" x14ac:dyDescent="0.25">
      <c r="B18" s="2"/>
      <c r="C18" s="2"/>
      <c r="E18" s="2"/>
      <c r="F18" s="2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D22" sqref="D22"/>
    </sheetView>
  </sheetViews>
  <sheetFormatPr defaultRowHeight="15" x14ac:dyDescent="0.25"/>
  <cols>
    <col min="2" max="3" width="22" bestFit="1" customWidth="1"/>
    <col min="4" max="10" width="22" customWidth="1"/>
    <col min="11" max="13" width="22" bestFit="1" customWidth="1"/>
  </cols>
  <sheetData>
    <row r="1" spans="1:15" x14ac:dyDescent="0.25">
      <c r="A1" t="s">
        <v>39</v>
      </c>
      <c r="B1" s="1">
        <f>1000000000000000000 * (1.83423 + 6.54654 + 5.69335)</f>
        <v>1.407412E+19</v>
      </c>
      <c r="C1" t="s">
        <v>43</v>
      </c>
    </row>
    <row r="2" spans="1:15" x14ac:dyDescent="0.25">
      <c r="B2" s="1" t="s">
        <v>55</v>
      </c>
      <c r="C2" s="1">
        <f>1E+24/9</f>
        <v>1.1111111111111111E+23</v>
      </c>
      <c r="D2" s="1">
        <f t="shared" ref="D2:K2" si="0">1E+24/9</f>
        <v>1.1111111111111111E+23</v>
      </c>
      <c r="E2" s="1">
        <f t="shared" si="0"/>
        <v>1.1111111111111111E+23</v>
      </c>
      <c r="F2" s="1">
        <f t="shared" si="0"/>
        <v>1.1111111111111111E+23</v>
      </c>
      <c r="G2" s="1">
        <f t="shared" si="0"/>
        <v>1.1111111111111111E+23</v>
      </c>
      <c r="H2" s="1">
        <f t="shared" si="0"/>
        <v>1.1111111111111111E+23</v>
      </c>
      <c r="I2" s="1">
        <f t="shared" si="0"/>
        <v>1.1111111111111111E+23</v>
      </c>
      <c r="J2" s="1">
        <f t="shared" si="0"/>
        <v>1.1111111111111111E+23</v>
      </c>
      <c r="K2" s="1">
        <f t="shared" si="0"/>
        <v>1.1111111111111111E+23</v>
      </c>
      <c r="L2" s="1"/>
    </row>
    <row r="3" spans="1:15" x14ac:dyDescent="0.25">
      <c r="B3" s="1" t="s">
        <v>54</v>
      </c>
      <c r="C3" s="1"/>
      <c r="D3">
        <v>2</v>
      </c>
      <c r="E3">
        <v>1.9</v>
      </c>
      <c r="F3">
        <v>1.8</v>
      </c>
      <c r="G3">
        <v>1.7</v>
      </c>
      <c r="H3">
        <v>1.6</v>
      </c>
      <c r="I3">
        <v>1.5</v>
      </c>
      <c r="J3">
        <v>1.4</v>
      </c>
      <c r="K3">
        <v>1.3</v>
      </c>
    </row>
    <row r="4" spans="1:15" x14ac:dyDescent="0.25">
      <c r="B4" s="1" t="s">
        <v>45</v>
      </c>
      <c r="C4" s="1"/>
      <c r="D4">
        <f>1E-24 * 0.1</f>
        <v>9.9999999999999992E-26</v>
      </c>
      <c r="E4">
        <f>1E-24*1.9048</f>
        <v>1.9047999999999997E-24</v>
      </c>
      <c r="F4">
        <f>1E-24*0.35419</f>
        <v>3.5418999999999998E-25</v>
      </c>
      <c r="G4">
        <f>1E-24*2.7751</f>
        <v>2.7750999999999998E-24</v>
      </c>
      <c r="H4">
        <f>1E-24*0.039382</f>
        <v>3.9382E-26</v>
      </c>
      <c r="I4">
        <f>1E-24*0.7</f>
        <v>6.9999999999999995E-25</v>
      </c>
      <c r="J4">
        <f>1E-24*0.8</f>
        <v>7.9999999999999994E-25</v>
      </c>
      <c r="K4">
        <f>1E-24*0.9</f>
        <v>9.0000000000000002E-25</v>
      </c>
    </row>
    <row r="5" spans="1:15" x14ac:dyDescent="0.25">
      <c r="B5" s="1" t="s">
        <v>38</v>
      </c>
      <c r="C5" s="1"/>
      <c r="D5" s="1">
        <f>$B$1*D4</f>
        <v>1.407412E-6</v>
      </c>
      <c r="E5" s="1">
        <f t="shared" ref="E5:K5" si="1">$B$1*E4</f>
        <v>2.6808383775999998E-5</v>
      </c>
      <c r="F5" s="1">
        <f t="shared" si="1"/>
        <v>4.9849125627999997E-6</v>
      </c>
      <c r="G5" s="1">
        <f t="shared" si="1"/>
        <v>3.9057090411999999E-5</v>
      </c>
      <c r="H5" s="1">
        <f t="shared" si="1"/>
        <v>5.5426699383999998E-7</v>
      </c>
      <c r="I5" s="1">
        <f t="shared" si="1"/>
        <v>9.8518839999999992E-6</v>
      </c>
      <c r="J5" s="1">
        <f t="shared" si="1"/>
        <v>1.1259296E-5</v>
      </c>
      <c r="K5" s="1">
        <f t="shared" si="1"/>
        <v>1.2666708E-5</v>
      </c>
    </row>
    <row r="6" spans="1:15" ht="18.75" x14ac:dyDescent="0.35">
      <c r="A6" t="s">
        <v>11</v>
      </c>
      <c r="B6" t="s">
        <v>44</v>
      </c>
      <c r="C6" t="s">
        <v>57</v>
      </c>
      <c r="D6" t="s">
        <v>8</v>
      </c>
      <c r="E6" t="s">
        <v>9</v>
      </c>
      <c r="F6" t="s">
        <v>60</v>
      </c>
      <c r="G6" t="s">
        <v>61</v>
      </c>
      <c r="H6" t="s">
        <v>62</v>
      </c>
      <c r="I6" t="s">
        <v>63</v>
      </c>
      <c r="J6" t="s">
        <v>59</v>
      </c>
      <c r="K6" t="s">
        <v>58</v>
      </c>
    </row>
    <row r="7" spans="1:15" x14ac:dyDescent="0.25">
      <c r="A7">
        <v>0</v>
      </c>
      <c r="B7">
        <f>A7*86400</f>
        <v>0</v>
      </c>
      <c r="C7" s="2">
        <f>$C$2+$D$2*(1-EXP(-$D$5*$B7))*$D$3+$E$2*$E$3*(1-EXP(-$E$5*$B7))+$F$2*$F$3*(1-EXP(-$F$5*$B7))+$G$2*$G$3*(1-EXP(-$G$5*$B7))+$H$2*$H$3*(1-EXP(-$H$5*$B7))+$I$2*$I$3*(1-EXP(-$I$5*$B7))+$J$2*$J$3*(1-EXP(-$J$5*$B7))+$K$2*$K$3*(1-EXP(-$K$5*$B7))</f>
        <v>1.1111111111111111E+23</v>
      </c>
      <c r="D7" s="2">
        <f t="shared" ref="D7:K13" si="2">D$2*EXP(-$B$1*D$4*$B7)</f>
        <v>1.1111111111111111E+23</v>
      </c>
      <c r="E7" s="2">
        <f t="shared" si="2"/>
        <v>1.1111111111111111E+23</v>
      </c>
      <c r="F7" s="2">
        <f t="shared" si="2"/>
        <v>1.1111111111111111E+23</v>
      </c>
      <c r="G7" s="2">
        <f t="shared" si="2"/>
        <v>1.1111111111111111E+23</v>
      </c>
      <c r="H7" s="2">
        <f t="shared" si="2"/>
        <v>1.1111111111111111E+23</v>
      </c>
      <c r="I7" s="2">
        <f t="shared" si="2"/>
        <v>1.1111111111111111E+23</v>
      </c>
      <c r="J7" s="2">
        <f t="shared" si="2"/>
        <v>1.1111111111111111E+23</v>
      </c>
      <c r="K7" s="2">
        <f t="shared" si="2"/>
        <v>1.1111111111111111E+23</v>
      </c>
      <c r="N7" s="2"/>
      <c r="O7" s="2"/>
    </row>
    <row r="8" spans="1:15" x14ac:dyDescent="0.25">
      <c r="A8">
        <v>1</v>
      </c>
      <c r="B8">
        <f t="shared" ref="B8:B13" si="3">A8*86400</f>
        <v>86400</v>
      </c>
      <c r="C8" s="2">
        <f t="shared" ref="C8:C13" si="4">$C$2+$D$2*(1-EXP(-$D$5*$B8))*$D$3+$E$2*$E$3*(1-EXP(-$E$5*$B8))+$F$2*$F$3*(1-EXP(-$F$5*$B8))+$G$2*$G$3*(1-EXP(-$G$5*$B8))+$H$2*$H$3*(1-EXP(-$H$5*$B8))+$I$2*$I$3*(1-EXP(-$I$5*$B8))+$J$2*$J$3*(1-EXP(-$J$5*$B8))+$K$2*$K$3*(1-EXP(-$K$5*$B8))</f>
        <v>8.7592744056690607E+23</v>
      </c>
      <c r="D8" s="2">
        <f t="shared" si="2"/>
        <v>9.8389127478224263E+22</v>
      </c>
      <c r="E8" s="2">
        <f t="shared" si="2"/>
        <v>1.0960373324558979E+22</v>
      </c>
      <c r="F8" s="2">
        <f t="shared" si="2"/>
        <v>7.2228467595933286E+22</v>
      </c>
      <c r="G8" s="2">
        <f t="shared" si="2"/>
        <v>3.803790577937046E+21</v>
      </c>
      <c r="H8" s="2">
        <f t="shared" si="2"/>
        <v>1.059155452244678E+23</v>
      </c>
      <c r="I8" s="2">
        <f t="shared" si="2"/>
        <v>4.7433461764864805E+22</v>
      </c>
      <c r="J8" s="2">
        <f t="shared" si="2"/>
        <v>4.2002432246850838E+22</v>
      </c>
      <c r="K8" s="2">
        <f t="shared" si="2"/>
        <v>3.7193243946577964E+22</v>
      </c>
      <c r="N8" s="2"/>
      <c r="O8" s="2"/>
    </row>
    <row r="9" spans="1:15" x14ac:dyDescent="0.25">
      <c r="A9">
        <v>2</v>
      </c>
      <c r="B9">
        <f t="shared" si="3"/>
        <v>172800</v>
      </c>
      <c r="C9" s="2">
        <f t="shared" si="4"/>
        <v>1.0864112028375576E+24</v>
      </c>
      <c r="D9" s="2">
        <f t="shared" si="2"/>
        <v>8.7123783653336373E+22</v>
      </c>
      <c r="E9" s="2">
        <f t="shared" si="2"/>
        <v>1.0811680507233362E+21</v>
      </c>
      <c r="F9" s="2">
        <f t="shared" si="2"/>
        <v>4.6952563781311071E+22</v>
      </c>
      <c r="G9" s="2">
        <f t="shared" si="2"/>
        <v>1.302194048472238E+20</v>
      </c>
      <c r="H9" s="2">
        <f t="shared" si="2"/>
        <v>1.0096292448176655E+23</v>
      </c>
      <c r="I9" s="2">
        <f t="shared" si="2"/>
        <v>2.0249399654990022E+22</v>
      </c>
      <c r="J9" s="2">
        <f t="shared" si="2"/>
        <v>1.5877838831861658E+22</v>
      </c>
      <c r="K9" s="2">
        <f t="shared" si="2"/>
        <v>1.2450036557426926E+22</v>
      </c>
      <c r="N9" s="2"/>
      <c r="O9" s="2"/>
    </row>
    <row r="10" spans="1:15" x14ac:dyDescent="0.25">
      <c r="A10">
        <v>3</v>
      </c>
      <c r="B10">
        <f t="shared" si="3"/>
        <v>259200</v>
      </c>
      <c r="C10" s="2">
        <f t="shared" si="4"/>
        <v>1.1875571502454886E+24</v>
      </c>
      <c r="D10" s="2">
        <f t="shared" si="2"/>
        <v>7.7148297506280104E+22</v>
      </c>
      <c r="E10" s="2">
        <f t="shared" si="2"/>
        <v>1.0665004916262134E+20</v>
      </c>
      <c r="F10" s="2">
        <f t="shared" si="2"/>
        <v>3.0521805584619754E+22</v>
      </c>
      <c r="G10" s="2">
        <f t="shared" si="2"/>
        <v>4.4579461070019502E+18</v>
      </c>
      <c r="H10" s="2">
        <f t="shared" si="2"/>
        <v>9.6241888745487663E+22</v>
      </c>
      <c r="I10" s="2">
        <f t="shared" si="2"/>
        <v>8.6444921186679259E+21</v>
      </c>
      <c r="J10" s="2">
        <f t="shared" si="2"/>
        <v>6.0021706478551805E+21</v>
      </c>
      <c r="K10" s="2">
        <f t="shared" si="2"/>
        <v>4.1675152214177402E+21</v>
      </c>
      <c r="N10" s="2"/>
      <c r="O10" s="2"/>
    </row>
    <row r="11" spans="1:15" x14ac:dyDescent="0.25">
      <c r="A11">
        <v>4</v>
      </c>
      <c r="B11">
        <f t="shared" si="3"/>
        <v>345600</v>
      </c>
      <c r="C11" s="2">
        <f t="shared" si="4"/>
        <v>1.248101800348671E+24</v>
      </c>
      <c r="D11" s="2">
        <f t="shared" si="2"/>
        <v>6.831498310266029E+22</v>
      </c>
      <c r="E11" s="2">
        <f t="shared" si="2"/>
        <v>1.0520319185144087E+19</v>
      </c>
      <c r="F11" s="2">
        <f t="shared" si="2"/>
        <v>1.9840889210742753E+22</v>
      </c>
      <c r="G11" s="2">
        <f t="shared" si="2"/>
        <v>1.5261384058888656E+17</v>
      </c>
      <c r="H11" s="2">
        <f t="shared" si="2"/>
        <v>9.1741609079198081E+22</v>
      </c>
      <c r="I11" s="2">
        <f t="shared" si="2"/>
        <v>3.6903436774875909E+21</v>
      </c>
      <c r="J11" s="2">
        <f t="shared" si="2"/>
        <v>2.2689518937351659E+21</v>
      </c>
      <c r="K11" s="2">
        <f t="shared" si="2"/>
        <v>1.3950306925314019E+21</v>
      </c>
      <c r="N11" s="2"/>
      <c r="O11" s="2"/>
    </row>
    <row r="12" spans="1:15" x14ac:dyDescent="0.25">
      <c r="A12">
        <v>5</v>
      </c>
      <c r="B12">
        <f t="shared" si="3"/>
        <v>432000</v>
      </c>
      <c r="C12" s="2">
        <f t="shared" si="4"/>
        <v>1.2894800205217736E+24</v>
      </c>
      <c r="D12" s="2">
        <f t="shared" si="2"/>
        <v>6.0493064230443413E+22</v>
      </c>
      <c r="E12" s="2">
        <f t="shared" si="2"/>
        <v>1.0377596318642945E+18</v>
      </c>
      <c r="F12" s="2">
        <f t="shared" si="2"/>
        <v>1.2897693210893716E+22</v>
      </c>
      <c r="G12" s="2">
        <f t="shared" si="2"/>
        <v>5224599800053134</v>
      </c>
      <c r="H12" s="2">
        <f t="shared" si="2"/>
        <v>8.7451762908539256E+22</v>
      </c>
      <c r="I12" s="2">
        <f t="shared" si="2"/>
        <v>1.5754119815278638E+21</v>
      </c>
      <c r="J12" s="2">
        <f t="shared" si="2"/>
        <v>8.577134836917772E+20</v>
      </c>
      <c r="K12" s="2">
        <f t="shared" si="2"/>
        <v>4.6697145174255632E+20</v>
      </c>
      <c r="N12" s="2"/>
      <c r="O12" s="2"/>
    </row>
    <row r="13" spans="1:15" x14ac:dyDescent="0.25">
      <c r="A13">
        <v>6</v>
      </c>
      <c r="B13">
        <f t="shared" si="3"/>
        <v>518400</v>
      </c>
      <c r="C13" s="2">
        <f t="shared" si="4"/>
        <v>1.3205065300990628E+24</v>
      </c>
      <c r="D13" s="2">
        <f t="shared" si="2"/>
        <v>5.3566738273057555E+22</v>
      </c>
      <c r="E13" s="2">
        <f t="shared" si="2"/>
        <v>1.0236809687750594E+17</v>
      </c>
      <c r="F13" s="2">
        <f t="shared" si="2"/>
        <v>8.3842255453079313E+21</v>
      </c>
      <c r="G13" s="2">
        <f t="shared" si="2"/>
        <v>178859551436404.59</v>
      </c>
      <c r="H13" s="2">
        <f t="shared" si="2"/>
        <v>8.3362510343689411E+22</v>
      </c>
      <c r="I13" s="2">
        <f t="shared" si="2"/>
        <v>6.7254519590740689E+20</v>
      </c>
      <c r="J13" s="2">
        <f t="shared" si="2"/>
        <v>3.2423447237376842E+20</v>
      </c>
      <c r="K13" s="2">
        <f t="shared" si="2"/>
        <v>1.5631364808673703E+20</v>
      </c>
      <c r="M13" s="2"/>
      <c r="N13" s="2"/>
    </row>
    <row r="14" spans="1:1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M14" s="2"/>
      <c r="N14" s="2"/>
    </row>
    <row r="15" spans="1:1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M15" s="2"/>
      <c r="N15" s="2"/>
    </row>
    <row r="16" spans="1:15" x14ac:dyDescent="0.25">
      <c r="B16" s="2"/>
      <c r="C16" s="2" t="s">
        <v>56</v>
      </c>
      <c r="D16" s="2" t="s">
        <v>46</v>
      </c>
      <c r="E16" s="2" t="s">
        <v>47</v>
      </c>
      <c r="F16" s="2" t="s">
        <v>48</v>
      </c>
      <c r="G16" s="2" t="s">
        <v>49</v>
      </c>
      <c r="H16" s="2" t="s">
        <v>50</v>
      </c>
      <c r="I16" s="2" t="s">
        <v>51</v>
      </c>
      <c r="J16" s="2" t="s">
        <v>52</v>
      </c>
      <c r="K16" s="2" t="s">
        <v>53</v>
      </c>
      <c r="M16" s="2"/>
      <c r="N16" s="2"/>
    </row>
    <row r="17" spans="2:14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M17" s="2"/>
      <c r="N17" s="2"/>
    </row>
    <row r="19" spans="2:14" x14ac:dyDescent="0.25">
      <c r="D19" s="1"/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workbookViewId="0">
      <selection activeCell="C30" sqref="C30"/>
    </sheetView>
  </sheetViews>
  <sheetFormatPr defaultRowHeight="15" x14ac:dyDescent="0.25"/>
  <cols>
    <col min="2" max="3" width="22" bestFit="1" customWidth="1"/>
    <col min="4" max="10" width="22" customWidth="1"/>
    <col min="11" max="13" width="22" bestFit="1" customWidth="1"/>
  </cols>
  <sheetData>
    <row r="1" spans="1:15" x14ac:dyDescent="0.25">
      <c r="A1" t="s">
        <v>39</v>
      </c>
      <c r="B1" s="1">
        <v>1.4074166670000001E+19</v>
      </c>
      <c r="C1" t="s">
        <v>43</v>
      </c>
    </row>
    <row r="2" spans="1:15" x14ac:dyDescent="0.25">
      <c r="B2" s="1" t="s">
        <v>55</v>
      </c>
      <c r="C2" s="1">
        <f>1E+24/4</f>
        <v>2.5E+23</v>
      </c>
      <c r="D2" s="1">
        <f>1E+24/4</f>
        <v>2.5E+23</v>
      </c>
      <c r="E2" s="1">
        <f>1E+24/4</f>
        <v>2.5E+23</v>
      </c>
      <c r="F2" s="1">
        <v>0</v>
      </c>
      <c r="G2" s="1">
        <f>1E+24/4</f>
        <v>2.5E+23</v>
      </c>
      <c r="H2" s="1">
        <v>0</v>
      </c>
      <c r="I2" s="1"/>
      <c r="J2" s="1"/>
      <c r="K2" s="1"/>
      <c r="L2" s="1"/>
    </row>
    <row r="3" spans="1:15" x14ac:dyDescent="0.25">
      <c r="B3" s="1" t="s">
        <v>45</v>
      </c>
      <c r="C3" s="1">
        <f>SUM(D3:H3)</f>
        <v>4.9999999999999996E-25</v>
      </c>
      <c r="D3">
        <f>1E-24 * 0.1</f>
        <v>9.9999999999999992E-26</v>
      </c>
      <c r="E3">
        <f>1E-24 * 0.1</f>
        <v>9.9999999999999992E-26</v>
      </c>
      <c r="F3">
        <f>1E-24 * 0.1</f>
        <v>9.9999999999999992E-26</v>
      </c>
      <c r="G3">
        <f>1E-24 * 0.1</f>
        <v>9.9999999999999992E-26</v>
      </c>
      <c r="H3">
        <f>1E-24 * 0.1</f>
        <v>9.9999999999999992E-26</v>
      </c>
    </row>
    <row r="4" spans="1:15" x14ac:dyDescent="0.25">
      <c r="B4" s="1" t="s">
        <v>38</v>
      </c>
      <c r="C4" s="1">
        <f>C3*B1</f>
        <v>7.0370833350000001E-6</v>
      </c>
      <c r="D4" s="1"/>
      <c r="E4" s="1"/>
      <c r="F4" s="1"/>
      <c r="G4" s="1"/>
      <c r="H4" s="1"/>
      <c r="I4" s="1"/>
      <c r="J4" s="1"/>
      <c r="K4" s="1"/>
    </row>
    <row r="5" spans="1:15" x14ac:dyDescent="0.25">
      <c r="B5" s="1" t="s">
        <v>69</v>
      </c>
      <c r="C5" s="1"/>
      <c r="D5" s="1">
        <f>D3/$C$3</f>
        <v>0.2</v>
      </c>
      <c r="E5" s="1">
        <f t="shared" ref="E5:H5" si="0">E3/$C$3</f>
        <v>0.2</v>
      </c>
      <c r="F5" s="1">
        <f t="shared" si="0"/>
        <v>0.2</v>
      </c>
      <c r="G5" s="1">
        <f t="shared" si="0"/>
        <v>0.2</v>
      </c>
      <c r="H5" s="1">
        <f t="shared" si="0"/>
        <v>0.2</v>
      </c>
      <c r="I5" s="1"/>
      <c r="J5" s="1"/>
      <c r="K5" s="1"/>
    </row>
    <row r="6" spans="1:15" ht="18.75" x14ac:dyDescent="0.35">
      <c r="A6" t="s">
        <v>11</v>
      </c>
      <c r="B6" t="s">
        <v>44</v>
      </c>
      <c r="C6" t="s">
        <v>70</v>
      </c>
      <c r="D6" t="s">
        <v>8</v>
      </c>
      <c r="E6" t="s">
        <v>9</v>
      </c>
      <c r="F6" t="s">
        <v>60</v>
      </c>
      <c r="G6" t="s">
        <v>61</v>
      </c>
      <c r="H6" t="s">
        <v>62</v>
      </c>
    </row>
    <row r="7" spans="1:15" x14ac:dyDescent="0.25">
      <c r="A7">
        <v>0</v>
      </c>
      <c r="B7">
        <f>A7*86400</f>
        <v>0</v>
      </c>
      <c r="C7" s="2">
        <f>$C$2*EXP(-$C$4*B7)</f>
        <v>2.5E+23</v>
      </c>
      <c r="D7" s="2">
        <f>D$2+D$5*$C$2*(1-EXP(-$C$4*$B7))</f>
        <v>2.5E+23</v>
      </c>
      <c r="E7" s="2">
        <f t="shared" ref="E7:H13" si="1">E$2+E$5*$C$2*(1-EXP(-$C$4*$B7))</f>
        <v>2.5E+23</v>
      </c>
      <c r="F7" s="2">
        <f t="shared" si="1"/>
        <v>0</v>
      </c>
      <c r="G7" s="2">
        <f t="shared" si="1"/>
        <v>2.5E+23</v>
      </c>
      <c r="H7" s="2">
        <f t="shared" si="1"/>
        <v>0</v>
      </c>
      <c r="I7" s="2"/>
      <c r="J7" s="2"/>
      <c r="K7" s="2"/>
      <c r="N7" s="2"/>
      <c r="O7" s="2"/>
    </row>
    <row r="8" spans="1:15" x14ac:dyDescent="0.25">
      <c r="A8">
        <v>1</v>
      </c>
      <c r="B8">
        <f t="shared" ref="B8:B13" si="2">A8*86400</f>
        <v>86400</v>
      </c>
      <c r="C8" s="2">
        <f t="shared" ref="C8:C13" si="3">$C$2*EXP(-$C$4*B8)</f>
        <v>1.361091201026352E+23</v>
      </c>
      <c r="D8" s="2">
        <f t="shared" ref="D8:D13" si="4">D$2+D$5*$C$2*(1-EXP(-$C$4*$B8))</f>
        <v>2.7277817597947297E+23</v>
      </c>
      <c r="E8" s="2">
        <f t="shared" si="1"/>
        <v>2.7277817597947297E+23</v>
      </c>
      <c r="F8" s="2">
        <f t="shared" si="1"/>
        <v>2.2778175979472961E+22</v>
      </c>
      <c r="G8" s="2">
        <f t="shared" si="1"/>
        <v>2.7277817597947297E+23</v>
      </c>
      <c r="H8" s="2">
        <f t="shared" si="1"/>
        <v>2.2778175979472961E+22</v>
      </c>
      <c r="I8" s="2"/>
      <c r="J8" s="2"/>
      <c r="K8" s="2"/>
      <c r="N8" s="2"/>
      <c r="O8" s="2"/>
    </row>
    <row r="9" spans="1:15" x14ac:dyDescent="0.25">
      <c r="A9">
        <v>2</v>
      </c>
      <c r="B9">
        <f t="shared" si="2"/>
        <v>172800</v>
      </c>
      <c r="C9" s="2">
        <f t="shared" si="3"/>
        <v>7.4102770300454301E+22</v>
      </c>
      <c r="D9" s="2">
        <f t="shared" si="4"/>
        <v>2.8517944593990913E+23</v>
      </c>
      <c r="E9" s="2">
        <f t="shared" si="1"/>
        <v>2.8517944593990913E+23</v>
      </c>
      <c r="F9" s="2">
        <f t="shared" si="1"/>
        <v>3.517944593990914E+22</v>
      </c>
      <c r="G9" s="2">
        <f t="shared" si="1"/>
        <v>2.8517944593990913E+23</v>
      </c>
      <c r="H9" s="2">
        <f t="shared" si="1"/>
        <v>3.517944593990914E+22</v>
      </c>
      <c r="I9" s="2"/>
      <c r="J9" s="2"/>
      <c r="K9" s="2"/>
      <c r="N9" s="2"/>
      <c r="O9" s="2"/>
    </row>
    <row r="10" spans="1:15" x14ac:dyDescent="0.25">
      <c r="A10">
        <v>3</v>
      </c>
      <c r="B10">
        <f t="shared" si="2"/>
        <v>259200</v>
      </c>
      <c r="C10" s="2">
        <f t="shared" si="3"/>
        <v>4.03442514510501E+22</v>
      </c>
      <c r="D10" s="2">
        <f t="shared" si="4"/>
        <v>2.9193114970978998E+23</v>
      </c>
      <c r="E10" s="2">
        <f t="shared" si="1"/>
        <v>2.9193114970978998E+23</v>
      </c>
      <c r="F10" s="2">
        <f t="shared" si="1"/>
        <v>4.1931149709789989E+22</v>
      </c>
      <c r="G10" s="2">
        <f t="shared" si="1"/>
        <v>2.9193114970978998E+23</v>
      </c>
      <c r="H10" s="2">
        <f t="shared" si="1"/>
        <v>4.1931149709789989E+22</v>
      </c>
      <c r="I10" s="2"/>
      <c r="J10" s="2"/>
      <c r="K10" s="2"/>
      <c r="N10" s="2"/>
      <c r="O10" s="2"/>
    </row>
    <row r="11" spans="1:15" x14ac:dyDescent="0.25">
      <c r="A11">
        <v>4</v>
      </c>
      <c r="B11">
        <f t="shared" si="2"/>
        <v>345600</v>
      </c>
      <c r="C11" s="2">
        <f t="shared" si="3"/>
        <v>2.1964882264807566E+22</v>
      </c>
      <c r="D11" s="2">
        <f t="shared" si="4"/>
        <v>2.9560702354703847E+23</v>
      </c>
      <c r="E11" s="2">
        <f t="shared" si="1"/>
        <v>2.9560702354703847E+23</v>
      </c>
      <c r="F11" s="2">
        <f t="shared" si="1"/>
        <v>4.5607023547038491E+22</v>
      </c>
      <c r="G11" s="2">
        <f t="shared" si="1"/>
        <v>2.9560702354703847E+23</v>
      </c>
      <c r="H11" s="2">
        <f t="shared" si="1"/>
        <v>4.5607023547038491E+22</v>
      </c>
      <c r="I11" s="2"/>
      <c r="J11" s="2"/>
      <c r="K11" s="2"/>
      <c r="N11" s="2"/>
      <c r="O11" s="2"/>
    </row>
    <row r="12" spans="1:15" x14ac:dyDescent="0.25">
      <c r="A12">
        <v>5</v>
      </c>
      <c r="B12">
        <f t="shared" si="2"/>
        <v>432000</v>
      </c>
      <c r="C12" s="2">
        <f t="shared" si="3"/>
        <v>1.1958483192883739E+22</v>
      </c>
      <c r="D12" s="2">
        <f t="shared" si="4"/>
        <v>2.9760830336142324E+23</v>
      </c>
      <c r="E12" s="2">
        <f t="shared" si="1"/>
        <v>2.9760830336142324E+23</v>
      </c>
      <c r="F12" s="2">
        <f t="shared" si="1"/>
        <v>4.7608303361423254E+22</v>
      </c>
      <c r="G12" s="2">
        <f t="shared" si="1"/>
        <v>2.9760830336142324E+23</v>
      </c>
      <c r="H12" s="2">
        <f t="shared" si="1"/>
        <v>4.7608303361423254E+22</v>
      </c>
      <c r="I12" s="2"/>
      <c r="J12" s="2"/>
      <c r="K12" s="2"/>
      <c r="N12" s="2"/>
      <c r="O12" s="2"/>
    </row>
    <row r="13" spans="1:15" x14ac:dyDescent="0.25">
      <c r="A13">
        <v>6</v>
      </c>
      <c r="B13">
        <f t="shared" si="2"/>
        <v>518400</v>
      </c>
      <c r="C13" s="2">
        <f t="shared" si="3"/>
        <v>6.510634500582231E+21</v>
      </c>
      <c r="D13" s="2">
        <f t="shared" si="4"/>
        <v>2.9869787309988355E+23</v>
      </c>
      <c r="E13" s="2">
        <f t="shared" si="1"/>
        <v>2.9869787309988355E+23</v>
      </c>
      <c r="F13" s="2">
        <f t="shared" si="1"/>
        <v>4.8697873099883555E+22</v>
      </c>
      <c r="G13" s="2">
        <f t="shared" si="1"/>
        <v>2.9869787309988355E+23</v>
      </c>
      <c r="H13" s="2">
        <f>H$2+H$5*$C$2*(1-EXP(-$C$4*$B13))</f>
        <v>4.8697873099883555E+22</v>
      </c>
      <c r="I13" s="2"/>
      <c r="J13" s="2"/>
      <c r="K13" s="2"/>
      <c r="M13" s="2"/>
      <c r="N13" s="2"/>
    </row>
    <row r="14" spans="1:1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M14" s="2"/>
      <c r="N14" s="2"/>
    </row>
    <row r="15" spans="1:1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M15" s="2"/>
      <c r="N15" s="2"/>
    </row>
    <row r="16" spans="1:15" x14ac:dyDescent="0.25">
      <c r="B16" s="2"/>
      <c r="C16" s="2" t="s">
        <v>64</v>
      </c>
      <c r="D16" s="2" t="s">
        <v>65</v>
      </c>
      <c r="E16" s="2" t="s">
        <v>66</v>
      </c>
      <c r="F16" s="2" t="s">
        <v>67</v>
      </c>
      <c r="G16" s="2" t="s">
        <v>50</v>
      </c>
      <c r="H16" s="2" t="s">
        <v>68</v>
      </c>
      <c r="I16" s="2"/>
      <c r="J16" s="2"/>
      <c r="K16" s="2"/>
      <c r="M16" s="2"/>
      <c r="N16" s="2"/>
    </row>
    <row r="17" spans="2:14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M17" s="2"/>
      <c r="N17" s="2"/>
    </row>
    <row r="19" spans="2:14" x14ac:dyDescent="0.25">
      <c r="D19" s="1"/>
    </row>
    <row r="20" spans="2:14" x14ac:dyDescent="0.25">
      <c r="C20" t="s">
        <v>71</v>
      </c>
    </row>
    <row r="21" spans="2:14" x14ac:dyDescent="0.25">
      <c r="C21" s="2">
        <f>D7</f>
        <v>2.5E+23</v>
      </c>
      <c r="D21" s="2">
        <f t="shared" ref="D21:E21" si="5">E7</f>
        <v>2.5E+23</v>
      </c>
      <c r="E21" s="2">
        <f t="shared" si="5"/>
        <v>0</v>
      </c>
      <c r="F21" s="2">
        <f>C7</f>
        <v>2.5E+23</v>
      </c>
      <c r="G21" s="2">
        <f>G7</f>
        <v>2.5E+23</v>
      </c>
      <c r="H21" s="2">
        <f>H7</f>
        <v>0</v>
      </c>
    </row>
    <row r="22" spans="2:14" x14ac:dyDescent="0.25">
      <c r="C22" s="2">
        <f t="shared" ref="C22:E27" si="6">D8</f>
        <v>2.7277817597947297E+23</v>
      </c>
      <c r="D22" s="2">
        <f t="shared" si="6"/>
        <v>2.7277817597947297E+23</v>
      </c>
      <c r="E22" s="2">
        <f t="shared" si="6"/>
        <v>2.2778175979472961E+22</v>
      </c>
      <c r="F22" s="2">
        <f t="shared" ref="F22:F27" si="7">C8</f>
        <v>1.361091201026352E+23</v>
      </c>
      <c r="G22" s="2">
        <f t="shared" ref="G22:H22" si="8">G8</f>
        <v>2.7277817597947297E+23</v>
      </c>
      <c r="H22" s="2">
        <f t="shared" si="8"/>
        <v>2.2778175979472961E+22</v>
      </c>
    </row>
    <row r="23" spans="2:14" x14ac:dyDescent="0.25">
      <c r="C23" s="2">
        <f t="shared" si="6"/>
        <v>2.8517944593990913E+23</v>
      </c>
      <c r="D23" s="2">
        <f t="shared" si="6"/>
        <v>2.8517944593990913E+23</v>
      </c>
      <c r="E23" s="2">
        <f t="shared" si="6"/>
        <v>3.517944593990914E+22</v>
      </c>
      <c r="F23" s="2">
        <f t="shared" si="7"/>
        <v>7.4102770300454301E+22</v>
      </c>
      <c r="G23" s="2">
        <f t="shared" ref="G23:H23" si="9">G9</f>
        <v>2.8517944593990913E+23</v>
      </c>
      <c r="H23" s="2">
        <f t="shared" si="9"/>
        <v>3.517944593990914E+22</v>
      </c>
    </row>
    <row r="24" spans="2:14" x14ac:dyDescent="0.25">
      <c r="C24" s="2">
        <f t="shared" si="6"/>
        <v>2.9193114970978998E+23</v>
      </c>
      <c r="D24" s="2">
        <f t="shared" si="6"/>
        <v>2.9193114970978998E+23</v>
      </c>
      <c r="E24" s="2">
        <f t="shared" si="6"/>
        <v>4.1931149709789989E+22</v>
      </c>
      <c r="F24" s="2">
        <f t="shared" si="7"/>
        <v>4.03442514510501E+22</v>
      </c>
      <c r="G24" s="2">
        <f t="shared" ref="G24:H24" si="10">G10</f>
        <v>2.9193114970978998E+23</v>
      </c>
      <c r="H24" s="2">
        <f t="shared" si="10"/>
        <v>4.1931149709789989E+22</v>
      </c>
    </row>
    <row r="25" spans="2:14" x14ac:dyDescent="0.25">
      <c r="C25" s="2">
        <f t="shared" si="6"/>
        <v>2.9560702354703847E+23</v>
      </c>
      <c r="D25" s="2">
        <f t="shared" si="6"/>
        <v>2.9560702354703847E+23</v>
      </c>
      <c r="E25" s="2">
        <f t="shared" si="6"/>
        <v>4.5607023547038491E+22</v>
      </c>
      <c r="F25" s="2">
        <f t="shared" si="7"/>
        <v>2.1964882264807566E+22</v>
      </c>
      <c r="G25" s="2">
        <f t="shared" ref="G25:H25" si="11">G11</f>
        <v>2.9560702354703847E+23</v>
      </c>
      <c r="H25" s="2">
        <f t="shared" si="11"/>
        <v>4.5607023547038491E+22</v>
      </c>
    </row>
    <row r="26" spans="2:14" x14ac:dyDescent="0.25">
      <c r="C26" s="2">
        <f t="shared" si="6"/>
        <v>2.9760830336142324E+23</v>
      </c>
      <c r="D26" s="2">
        <f t="shared" si="6"/>
        <v>2.9760830336142324E+23</v>
      </c>
      <c r="E26" s="2">
        <f t="shared" si="6"/>
        <v>4.7608303361423254E+22</v>
      </c>
      <c r="F26" s="2">
        <f t="shared" si="7"/>
        <v>1.1958483192883739E+22</v>
      </c>
      <c r="G26" s="2">
        <f t="shared" ref="G26:H26" si="12">G12</f>
        <v>2.9760830336142324E+23</v>
      </c>
      <c r="H26" s="2">
        <f t="shared" si="12"/>
        <v>4.7608303361423254E+22</v>
      </c>
    </row>
    <row r="27" spans="2:14" x14ac:dyDescent="0.25">
      <c r="C27" s="2">
        <f t="shared" si="6"/>
        <v>2.9869787309988355E+23</v>
      </c>
      <c r="D27" s="2">
        <f t="shared" si="6"/>
        <v>2.9869787309988355E+23</v>
      </c>
      <c r="E27" s="2">
        <f t="shared" si="6"/>
        <v>4.8697873099883555E+22</v>
      </c>
      <c r="F27" s="2">
        <f t="shared" si="7"/>
        <v>6.510634500582231E+21</v>
      </c>
      <c r="G27" s="2">
        <f t="shared" ref="G27:H27" si="13">G13</f>
        <v>2.9869787309988355E+23</v>
      </c>
      <c r="H27" s="2">
        <f t="shared" si="13"/>
        <v>4.8697873099883555E+22</v>
      </c>
    </row>
    <row r="28" spans="2:14" x14ac:dyDescent="0.25">
      <c r="C28" s="2"/>
    </row>
    <row r="29" spans="2:14" x14ac:dyDescent="0.25">
      <c r="C29" s="2"/>
    </row>
    <row r="30" spans="2:14" x14ac:dyDescent="0.25">
      <c r="C30" s="1"/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workbookViewId="0">
      <selection activeCell="C7" sqref="C7"/>
    </sheetView>
  </sheetViews>
  <sheetFormatPr defaultRowHeight="15" x14ac:dyDescent="0.25"/>
  <cols>
    <col min="2" max="3" width="22" bestFit="1" customWidth="1"/>
    <col min="4" max="10" width="22" customWidth="1"/>
    <col min="11" max="13" width="22" bestFit="1" customWidth="1"/>
  </cols>
  <sheetData>
    <row r="1" spans="1:15" x14ac:dyDescent="0.25">
      <c r="A1" t="s">
        <v>39</v>
      </c>
      <c r="B1" s="1">
        <v>1.4074166670000001E+19</v>
      </c>
      <c r="C1" t="s">
        <v>43</v>
      </c>
    </row>
    <row r="2" spans="1:15" x14ac:dyDescent="0.25">
      <c r="B2" s="1" t="s">
        <v>55</v>
      </c>
      <c r="C2" s="1">
        <f>1E+24/4</f>
        <v>2.5E+23</v>
      </c>
      <c r="D2" s="1">
        <v>0</v>
      </c>
      <c r="E2" s="1">
        <f>1E+24/4</f>
        <v>2.5E+23</v>
      </c>
      <c r="F2" s="1">
        <f>1E+24/4</f>
        <v>2.5E+23</v>
      </c>
      <c r="G2" s="1">
        <f>1E+24/4</f>
        <v>2.5E+23</v>
      </c>
      <c r="H2" s="1"/>
      <c r="I2" s="1"/>
      <c r="J2" s="1"/>
      <c r="K2" s="1"/>
      <c r="L2" s="1"/>
    </row>
    <row r="3" spans="1:15" x14ac:dyDescent="0.25">
      <c r="B3" s="1" t="s">
        <v>45</v>
      </c>
      <c r="C3" s="1">
        <f>SUM(D3:H3)</f>
        <v>3.9999999999999997E-25</v>
      </c>
      <c r="D3">
        <f>1E-24 * 0.1</f>
        <v>9.9999999999999992E-26</v>
      </c>
      <c r="E3">
        <f>1E-24 * 0.1</f>
        <v>9.9999999999999992E-26</v>
      </c>
      <c r="F3">
        <f>1E-24 * 0.1</f>
        <v>9.9999999999999992E-26</v>
      </c>
      <c r="G3">
        <f>1E-24 * 0.1</f>
        <v>9.9999999999999992E-26</v>
      </c>
    </row>
    <row r="4" spans="1:15" x14ac:dyDescent="0.25">
      <c r="B4" s="1" t="s">
        <v>38</v>
      </c>
      <c r="C4" s="1">
        <f>C3*B1</f>
        <v>5.6296666680000003E-6</v>
      </c>
      <c r="D4" s="1"/>
      <c r="E4" s="1"/>
      <c r="F4" s="1"/>
      <c r="G4" s="1"/>
      <c r="H4" s="1"/>
      <c r="I4" s="1"/>
      <c r="J4" s="1"/>
      <c r="K4" s="1"/>
    </row>
    <row r="5" spans="1:15" x14ac:dyDescent="0.25">
      <c r="B5" s="1" t="s">
        <v>69</v>
      </c>
      <c r="C5" s="1"/>
      <c r="D5" s="1">
        <f>D3/$C$3</f>
        <v>0.25</v>
      </c>
      <c r="E5" s="1">
        <f t="shared" ref="E5:G5" si="0">E3/$C$3</f>
        <v>0.25</v>
      </c>
      <c r="F5" s="1">
        <f t="shared" si="0"/>
        <v>0.25</v>
      </c>
      <c r="G5" s="1">
        <f t="shared" si="0"/>
        <v>0.25</v>
      </c>
      <c r="H5" s="1"/>
      <c r="I5" s="1"/>
      <c r="J5" s="1"/>
      <c r="K5" s="1"/>
    </row>
    <row r="6" spans="1:15" ht="18.75" x14ac:dyDescent="0.35">
      <c r="A6" t="s">
        <v>11</v>
      </c>
      <c r="B6" t="s">
        <v>44</v>
      </c>
      <c r="C6" t="s">
        <v>70</v>
      </c>
      <c r="D6" t="s">
        <v>8</v>
      </c>
      <c r="E6" t="s">
        <v>9</v>
      </c>
      <c r="F6" t="s">
        <v>60</v>
      </c>
      <c r="G6" t="s">
        <v>61</v>
      </c>
      <c r="H6" t="s">
        <v>62</v>
      </c>
      <c r="I6" t="s">
        <v>63</v>
      </c>
    </row>
    <row r="7" spans="1:15" x14ac:dyDescent="0.25">
      <c r="A7">
        <v>0</v>
      </c>
      <c r="B7">
        <f>A7*86400</f>
        <v>0</v>
      </c>
      <c r="C7" s="2">
        <f>$C$2*EXP(-$C$4*B7)</f>
        <v>2.5E+23</v>
      </c>
      <c r="D7" s="2">
        <f>D$2+D$5*$C$2*(1-EXP(-$C$4*$B7))</f>
        <v>0</v>
      </c>
      <c r="E7" s="2">
        <f t="shared" ref="E7:G13" si="1">E$2+E$5*$C$2*(1-EXP(-$C$4*$B7))</f>
        <v>2.5E+23</v>
      </c>
      <c r="F7" s="2">
        <f t="shared" si="1"/>
        <v>2.5E+23</v>
      </c>
      <c r="G7" s="2">
        <f t="shared" si="1"/>
        <v>2.5E+23</v>
      </c>
      <c r="H7" s="2">
        <f>E7-$E$2</f>
        <v>0</v>
      </c>
      <c r="I7" s="2">
        <f>D7-$D$2</f>
        <v>0</v>
      </c>
      <c r="J7" s="2"/>
      <c r="K7" s="2"/>
      <c r="N7" s="2"/>
      <c r="O7" s="2"/>
    </row>
    <row r="8" spans="1:15" x14ac:dyDescent="0.25">
      <c r="A8">
        <v>1</v>
      </c>
      <c r="B8">
        <f t="shared" ref="B8:B13" si="2">A8*86400</f>
        <v>86400</v>
      </c>
      <c r="C8" s="2">
        <f t="shared" ref="C8:C13" si="3">$C$2*EXP(-$C$4*B8)</f>
        <v>1.5370846406206765E+23</v>
      </c>
      <c r="D8" s="2">
        <f t="shared" ref="D8:D13" si="4">D$2+D$5*$C$2*(1-EXP(-$C$4*$B8))</f>
        <v>2.4072883984483087E+22</v>
      </c>
      <c r="E8" s="2">
        <f t="shared" si="1"/>
        <v>2.7407288398448307E+23</v>
      </c>
      <c r="F8" s="2">
        <f t="shared" si="1"/>
        <v>2.7407288398448307E+23</v>
      </c>
      <c r="G8" s="2">
        <f t="shared" si="1"/>
        <v>2.7407288398448307E+23</v>
      </c>
      <c r="H8" s="2">
        <f t="shared" ref="H8:H13" si="5">E8-$E$2</f>
        <v>2.4072883984483079E+22</v>
      </c>
      <c r="I8" s="2">
        <f t="shared" ref="I8:I13" si="6">D8-$D$2</f>
        <v>2.4072883984483087E+22</v>
      </c>
      <c r="J8" s="2"/>
      <c r="K8" s="2"/>
      <c r="N8" s="2"/>
      <c r="O8" s="2"/>
    </row>
    <row r="9" spans="1:15" x14ac:dyDescent="0.25">
      <c r="A9">
        <v>2</v>
      </c>
      <c r="B9">
        <f t="shared" si="2"/>
        <v>172800</v>
      </c>
      <c r="C9" s="2">
        <f t="shared" si="3"/>
        <v>9.4505167697279745E+22</v>
      </c>
      <c r="D9" s="2">
        <f t="shared" si="4"/>
        <v>3.8873708075680063E+22</v>
      </c>
      <c r="E9" s="2">
        <f t="shared" si="1"/>
        <v>2.8887370807568006E+23</v>
      </c>
      <c r="F9" s="2">
        <f t="shared" si="1"/>
        <v>2.8887370807568006E+23</v>
      </c>
      <c r="G9" s="2">
        <f t="shared" si="1"/>
        <v>2.8887370807568006E+23</v>
      </c>
      <c r="H9" s="2">
        <f t="shared" si="5"/>
        <v>3.8873708075680063E+22</v>
      </c>
      <c r="I9" s="2">
        <f t="shared" si="6"/>
        <v>3.8873708075680063E+22</v>
      </c>
      <c r="J9" s="2"/>
      <c r="K9" s="2"/>
      <c r="N9" s="2"/>
      <c r="O9" s="2"/>
    </row>
    <row r="10" spans="1:15" x14ac:dyDescent="0.25">
      <c r="A10">
        <v>3</v>
      </c>
      <c r="B10">
        <f t="shared" si="2"/>
        <v>259200</v>
      </c>
      <c r="C10" s="2">
        <f t="shared" si="3"/>
        <v>5.8104976690708006E+22</v>
      </c>
      <c r="D10" s="2">
        <f t="shared" si="4"/>
        <v>4.7973755827322993E+22</v>
      </c>
      <c r="E10" s="2">
        <f t="shared" si="1"/>
        <v>2.9797375582732297E+23</v>
      </c>
      <c r="F10" s="2">
        <f t="shared" si="1"/>
        <v>2.9797375582732297E+23</v>
      </c>
      <c r="G10" s="2">
        <f t="shared" si="1"/>
        <v>2.9797375582732297E+23</v>
      </c>
      <c r="H10" s="2">
        <f t="shared" si="5"/>
        <v>4.7973755827322976E+22</v>
      </c>
      <c r="I10" s="2">
        <f t="shared" si="6"/>
        <v>4.7973755827322993E+22</v>
      </c>
      <c r="J10" s="2"/>
      <c r="K10" s="2"/>
      <c r="N10" s="2"/>
      <c r="O10" s="2"/>
    </row>
    <row r="11" spans="1:15" x14ac:dyDescent="0.25">
      <c r="A11">
        <v>4</v>
      </c>
      <c r="B11">
        <f t="shared" si="2"/>
        <v>345600</v>
      </c>
      <c r="C11" s="2">
        <f t="shared" si="3"/>
        <v>3.5724906885963871E+22</v>
      </c>
      <c r="D11" s="2">
        <f t="shared" si="4"/>
        <v>5.3568773278509035E+22</v>
      </c>
      <c r="E11" s="2">
        <f t="shared" si="1"/>
        <v>3.0356877327850902E+23</v>
      </c>
      <c r="F11" s="2">
        <f t="shared" si="1"/>
        <v>3.0356877327850902E+23</v>
      </c>
      <c r="G11" s="2">
        <f t="shared" si="1"/>
        <v>3.0356877327850902E+23</v>
      </c>
      <c r="H11" s="2">
        <f t="shared" si="5"/>
        <v>5.3568773278509027E+22</v>
      </c>
      <c r="I11" s="2">
        <f t="shared" si="6"/>
        <v>5.3568773278509035E+22</v>
      </c>
      <c r="J11" s="2"/>
      <c r="K11" s="2"/>
      <c r="N11" s="2"/>
      <c r="O11" s="2"/>
    </row>
    <row r="12" spans="1:15" x14ac:dyDescent="0.25">
      <c r="A12">
        <v>5</v>
      </c>
      <c r="B12">
        <f t="shared" si="2"/>
        <v>432000</v>
      </c>
      <c r="C12" s="2">
        <f t="shared" si="3"/>
        <v>2.1964882264807566E+22</v>
      </c>
      <c r="D12" s="2">
        <f t="shared" si="4"/>
        <v>5.7008779433798109E+22</v>
      </c>
      <c r="E12" s="2">
        <f t="shared" si="1"/>
        <v>3.0700877943379812E+23</v>
      </c>
      <c r="F12" s="2">
        <f t="shared" si="1"/>
        <v>3.0700877943379812E+23</v>
      </c>
      <c r="G12" s="2">
        <f t="shared" si="1"/>
        <v>3.0700877943379812E+23</v>
      </c>
      <c r="H12" s="2">
        <f t="shared" si="5"/>
        <v>5.7008779433798126E+22</v>
      </c>
      <c r="I12" s="2">
        <f t="shared" si="6"/>
        <v>5.7008779433798109E+22</v>
      </c>
      <c r="J12" s="2"/>
      <c r="K12" s="2"/>
      <c r="N12" s="2"/>
      <c r="O12" s="2"/>
    </row>
    <row r="13" spans="1:15" x14ac:dyDescent="0.25">
      <c r="A13">
        <v>6</v>
      </c>
      <c r="B13">
        <f t="shared" si="2"/>
        <v>518400</v>
      </c>
      <c r="C13" s="2">
        <f t="shared" si="3"/>
        <v>1.3504753264910882E+22</v>
      </c>
      <c r="D13" s="2">
        <f t="shared" si="4"/>
        <v>5.9123811683772278E+22</v>
      </c>
      <c r="E13" s="2">
        <f t="shared" si="1"/>
        <v>3.0912381168377227E+23</v>
      </c>
      <c r="F13" s="2">
        <f t="shared" si="1"/>
        <v>3.0912381168377227E+23</v>
      </c>
      <c r="G13" s="2">
        <f t="shared" si="1"/>
        <v>3.0912381168377227E+23</v>
      </c>
      <c r="H13" s="2">
        <f t="shared" si="5"/>
        <v>5.912381168377227E+22</v>
      </c>
      <c r="I13" s="2">
        <f t="shared" si="6"/>
        <v>5.9123811683772278E+22</v>
      </c>
      <c r="J13" s="2"/>
      <c r="K13" s="2"/>
      <c r="M13" s="2"/>
      <c r="N13" s="2"/>
    </row>
    <row r="14" spans="1:1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M14" s="2"/>
      <c r="N14" s="2"/>
    </row>
    <row r="15" spans="1:1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M15" s="2"/>
      <c r="N15" s="2"/>
    </row>
    <row r="16" spans="1:15" x14ac:dyDescent="0.25">
      <c r="B16" s="2"/>
      <c r="C16" s="2" t="s">
        <v>56</v>
      </c>
      <c r="D16" s="2" t="s">
        <v>73</v>
      </c>
      <c r="E16" s="2" t="s">
        <v>74</v>
      </c>
      <c r="F16" s="2" t="s">
        <v>72</v>
      </c>
      <c r="G16" s="2" t="s">
        <v>75</v>
      </c>
      <c r="H16" s="2" t="s">
        <v>76</v>
      </c>
      <c r="I16" s="2" t="s">
        <v>77</v>
      </c>
      <c r="J16" s="2"/>
      <c r="K16" s="2"/>
      <c r="M16" s="2"/>
      <c r="N16" s="2"/>
    </row>
    <row r="17" spans="2:14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M17" s="2"/>
      <c r="N17" s="2"/>
    </row>
    <row r="18" spans="2:14" x14ac:dyDescent="0.25">
      <c r="C18" t="s">
        <v>78</v>
      </c>
    </row>
    <row r="19" spans="2:14" x14ac:dyDescent="0.25">
      <c r="C19" s="2">
        <f>H7</f>
        <v>0</v>
      </c>
      <c r="D19" s="2">
        <f>I7</f>
        <v>0</v>
      </c>
      <c r="E19" s="2">
        <f>D7</f>
        <v>0</v>
      </c>
      <c r="F19" s="2">
        <f t="shared" ref="F19:G19" si="7">E7</f>
        <v>2.5E+23</v>
      </c>
      <c r="G19" s="2">
        <f t="shared" si="7"/>
        <v>2.5E+23</v>
      </c>
      <c r="H19" s="2">
        <f>C7</f>
        <v>2.5E+23</v>
      </c>
      <c r="I19" s="2">
        <f>G7</f>
        <v>2.5E+23</v>
      </c>
    </row>
    <row r="20" spans="2:14" x14ac:dyDescent="0.25">
      <c r="C20" s="2">
        <f t="shared" ref="C20:D25" si="8">H8</f>
        <v>2.4072883984483079E+22</v>
      </c>
      <c r="D20" s="2">
        <f t="shared" si="8"/>
        <v>2.4072883984483087E+22</v>
      </c>
      <c r="E20" s="2">
        <f t="shared" ref="E20:G20" si="9">D8</f>
        <v>2.4072883984483087E+22</v>
      </c>
      <c r="F20" s="2">
        <f t="shared" si="9"/>
        <v>2.7407288398448307E+23</v>
      </c>
      <c r="G20" s="2">
        <f t="shared" si="9"/>
        <v>2.7407288398448307E+23</v>
      </c>
      <c r="H20" s="2">
        <f t="shared" ref="H20:H25" si="10">C8</f>
        <v>1.5370846406206765E+23</v>
      </c>
      <c r="I20" s="2">
        <f t="shared" ref="I20:I25" si="11">G8</f>
        <v>2.7407288398448307E+23</v>
      </c>
    </row>
    <row r="21" spans="2:14" x14ac:dyDescent="0.25">
      <c r="C21" s="2">
        <f t="shared" si="8"/>
        <v>3.8873708075680063E+22</v>
      </c>
      <c r="D21" s="2">
        <f t="shared" si="8"/>
        <v>3.8873708075680063E+22</v>
      </c>
      <c r="E21" s="2">
        <f t="shared" ref="E21:G21" si="12">D9</f>
        <v>3.8873708075680063E+22</v>
      </c>
      <c r="F21" s="2">
        <f t="shared" si="12"/>
        <v>2.8887370807568006E+23</v>
      </c>
      <c r="G21" s="2">
        <f t="shared" si="12"/>
        <v>2.8887370807568006E+23</v>
      </c>
      <c r="H21" s="2">
        <f t="shared" si="10"/>
        <v>9.4505167697279745E+22</v>
      </c>
      <c r="I21" s="2">
        <f t="shared" si="11"/>
        <v>2.8887370807568006E+23</v>
      </c>
    </row>
    <row r="22" spans="2:14" x14ac:dyDescent="0.25">
      <c r="C22" s="2">
        <f t="shared" si="8"/>
        <v>4.7973755827322976E+22</v>
      </c>
      <c r="D22" s="2">
        <f t="shared" si="8"/>
        <v>4.7973755827322993E+22</v>
      </c>
      <c r="E22" s="2">
        <f t="shared" ref="E22:G22" si="13">D10</f>
        <v>4.7973755827322993E+22</v>
      </c>
      <c r="F22" s="2">
        <f t="shared" si="13"/>
        <v>2.9797375582732297E+23</v>
      </c>
      <c r="G22" s="2">
        <f t="shared" si="13"/>
        <v>2.9797375582732297E+23</v>
      </c>
      <c r="H22" s="2">
        <f t="shared" si="10"/>
        <v>5.8104976690708006E+22</v>
      </c>
      <c r="I22" s="2">
        <f t="shared" si="11"/>
        <v>2.9797375582732297E+23</v>
      </c>
    </row>
    <row r="23" spans="2:14" x14ac:dyDescent="0.25">
      <c r="C23" s="2">
        <f t="shared" si="8"/>
        <v>5.3568773278509027E+22</v>
      </c>
      <c r="D23" s="2">
        <f t="shared" si="8"/>
        <v>5.3568773278509035E+22</v>
      </c>
      <c r="E23" s="2">
        <f t="shared" ref="E23:G23" si="14">D11</f>
        <v>5.3568773278509035E+22</v>
      </c>
      <c r="F23" s="2">
        <f t="shared" si="14"/>
        <v>3.0356877327850902E+23</v>
      </c>
      <c r="G23" s="2">
        <f t="shared" si="14"/>
        <v>3.0356877327850902E+23</v>
      </c>
      <c r="H23" s="2">
        <f t="shared" si="10"/>
        <v>3.5724906885963871E+22</v>
      </c>
      <c r="I23" s="2">
        <f t="shared" si="11"/>
        <v>3.0356877327850902E+23</v>
      </c>
    </row>
    <row r="24" spans="2:14" x14ac:dyDescent="0.25">
      <c r="C24" s="2">
        <f t="shared" si="8"/>
        <v>5.7008779433798126E+22</v>
      </c>
      <c r="D24" s="2">
        <f t="shared" si="8"/>
        <v>5.7008779433798109E+22</v>
      </c>
      <c r="E24" s="2">
        <f t="shared" ref="E24:G24" si="15">D12</f>
        <v>5.7008779433798109E+22</v>
      </c>
      <c r="F24" s="2">
        <f t="shared" si="15"/>
        <v>3.0700877943379812E+23</v>
      </c>
      <c r="G24" s="2">
        <f t="shared" si="15"/>
        <v>3.0700877943379812E+23</v>
      </c>
      <c r="H24" s="2">
        <f t="shared" si="10"/>
        <v>2.1964882264807566E+22</v>
      </c>
      <c r="I24" s="2">
        <f t="shared" si="11"/>
        <v>3.0700877943379812E+23</v>
      </c>
    </row>
    <row r="25" spans="2:14" x14ac:dyDescent="0.25">
      <c r="C25" s="2">
        <f t="shared" si="8"/>
        <v>5.912381168377227E+22</v>
      </c>
      <c r="D25" s="2">
        <f t="shared" si="8"/>
        <v>5.9123811683772278E+22</v>
      </c>
      <c r="E25" s="2">
        <f t="shared" ref="E25:G25" si="16">D13</f>
        <v>5.9123811683772278E+22</v>
      </c>
      <c r="F25" s="2">
        <f t="shared" si="16"/>
        <v>3.0912381168377227E+23</v>
      </c>
      <c r="G25" s="2">
        <f t="shared" si="16"/>
        <v>3.0912381168377227E+23</v>
      </c>
      <c r="H25" s="2">
        <f t="shared" si="10"/>
        <v>1.3504753264910882E+22</v>
      </c>
      <c r="I25" s="2">
        <f t="shared" si="11"/>
        <v>3.0912381168377227E+23</v>
      </c>
    </row>
    <row r="26" spans="2:14" x14ac:dyDescent="0.25">
      <c r="C26" s="2"/>
      <c r="D26" s="2"/>
      <c r="E26" s="2"/>
      <c r="F26" s="2"/>
      <c r="G26" s="2"/>
      <c r="H26" s="2"/>
    </row>
    <row r="27" spans="2:14" x14ac:dyDescent="0.25">
      <c r="C27" s="2"/>
      <c r="D27" s="2"/>
      <c r="E27" s="2"/>
      <c r="F27" s="2"/>
      <c r="G27" s="2"/>
      <c r="H27" s="2"/>
    </row>
    <row r="28" spans="2:14" x14ac:dyDescent="0.25">
      <c r="C28" s="2"/>
    </row>
    <row r="29" spans="2:14" x14ac:dyDescent="0.25">
      <c r="C29" s="2"/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opLeftCell="F1" workbookViewId="0">
      <selection activeCell="G6" sqref="G6:J13"/>
    </sheetView>
  </sheetViews>
  <sheetFormatPr defaultRowHeight="15" x14ac:dyDescent="0.25"/>
  <cols>
    <col min="2" max="3" width="22" bestFit="1" customWidth="1"/>
    <col min="4" max="10" width="22" customWidth="1"/>
    <col min="11" max="13" width="22" bestFit="1" customWidth="1"/>
  </cols>
  <sheetData>
    <row r="1" spans="1:16" x14ac:dyDescent="0.25">
      <c r="A1" t="s">
        <v>39</v>
      </c>
      <c r="B1" s="1">
        <v>1.4074166670000001E+19</v>
      </c>
      <c r="C1" t="s">
        <v>43</v>
      </c>
    </row>
    <row r="2" spans="1:16" x14ac:dyDescent="0.25">
      <c r="B2" s="1" t="s">
        <v>55</v>
      </c>
      <c r="C2" s="1">
        <f>1E+24/4</f>
        <v>2.5E+23</v>
      </c>
      <c r="D2" s="1">
        <v>0</v>
      </c>
      <c r="E2" s="1">
        <f>1E+24/4</f>
        <v>2.5E+23</v>
      </c>
      <c r="F2" s="1">
        <f>1E+24/4</f>
        <v>2.5E+23</v>
      </c>
      <c r="G2" s="1">
        <f>1E+24/4</f>
        <v>2.5E+23</v>
      </c>
      <c r="H2" s="1">
        <v>0</v>
      </c>
      <c r="I2" s="1"/>
      <c r="J2" s="1"/>
      <c r="K2" s="1"/>
      <c r="L2" s="1"/>
    </row>
    <row r="3" spans="1:16" x14ac:dyDescent="0.25">
      <c r="B3" s="1" t="s">
        <v>45</v>
      </c>
      <c r="C3" s="1">
        <f>SUM(D3:H3)</f>
        <v>3.9999999999999997E-25</v>
      </c>
      <c r="D3">
        <f>1E-24 * 0.1</f>
        <v>9.9999999999999992E-26</v>
      </c>
      <c r="E3">
        <f>1E-24 * 0.1</f>
        <v>9.9999999999999992E-26</v>
      </c>
      <c r="F3">
        <f>1E-24 * 0.1</f>
        <v>9.9999999999999992E-26</v>
      </c>
      <c r="G3">
        <f>1E-24 * 0.1</f>
        <v>9.9999999999999992E-26</v>
      </c>
      <c r="H3">
        <v>0</v>
      </c>
    </row>
    <row r="4" spans="1:16" x14ac:dyDescent="0.25">
      <c r="B4" s="1" t="s">
        <v>38</v>
      </c>
      <c r="C4" s="1">
        <f>C3*B1</f>
        <v>5.6296666680000003E-6</v>
      </c>
      <c r="D4" s="1"/>
      <c r="E4" s="1"/>
      <c r="F4" s="1"/>
      <c r="G4" s="1"/>
      <c r="H4" s="1"/>
      <c r="I4" s="1"/>
      <c r="J4" s="1"/>
      <c r="K4" s="1"/>
    </row>
    <row r="5" spans="1:16" x14ac:dyDescent="0.25">
      <c r="B5" s="1" t="s">
        <v>69</v>
      </c>
      <c r="C5" s="1"/>
      <c r="D5" s="1">
        <f>D3/$C$3</f>
        <v>0.25</v>
      </c>
      <c r="E5" s="1">
        <f t="shared" ref="E5:G5" si="0">E3/$C$3</f>
        <v>0.25</v>
      </c>
      <c r="F5" s="1">
        <f t="shared" si="0"/>
        <v>0.25</v>
      </c>
      <c r="G5" s="1">
        <f t="shared" si="0"/>
        <v>0.25</v>
      </c>
      <c r="H5" s="1">
        <f t="shared" ref="H5" si="1">H3/$C$3</f>
        <v>0</v>
      </c>
      <c r="I5" s="1"/>
      <c r="J5" s="1"/>
      <c r="K5" s="1"/>
    </row>
    <row r="6" spans="1:16" ht="18.75" x14ac:dyDescent="0.35">
      <c r="A6" t="s">
        <v>11</v>
      </c>
      <c r="B6" t="s">
        <v>44</v>
      </c>
      <c r="C6" t="s">
        <v>86</v>
      </c>
      <c r="D6" t="s">
        <v>85</v>
      </c>
      <c r="E6" t="s">
        <v>84</v>
      </c>
      <c r="F6" t="s">
        <v>83</v>
      </c>
      <c r="G6" t="s">
        <v>82</v>
      </c>
      <c r="H6" t="s">
        <v>81</v>
      </c>
      <c r="I6" t="s">
        <v>80</v>
      </c>
      <c r="J6" t="s">
        <v>79</v>
      </c>
    </row>
    <row r="7" spans="1:16" x14ac:dyDescent="0.25">
      <c r="A7">
        <v>0</v>
      </c>
      <c r="B7">
        <f>A7*86400</f>
        <v>0</v>
      </c>
      <c r="C7" s="2">
        <v>0</v>
      </c>
      <c r="D7" s="2">
        <v>0</v>
      </c>
      <c r="E7" s="2">
        <v>0</v>
      </c>
      <c r="F7" s="2">
        <v>0</v>
      </c>
      <c r="G7" s="2">
        <v>2.4999999999999899E+23</v>
      </c>
      <c r="H7" s="2">
        <v>2.4999999999999899E+23</v>
      </c>
      <c r="I7" s="2">
        <v>2.4999999999999899E+23</v>
      </c>
      <c r="J7" s="2">
        <v>2.4999999999999899E+23</v>
      </c>
      <c r="K7" s="2"/>
      <c r="L7" s="2"/>
      <c r="O7" s="2"/>
      <c r="P7" s="2"/>
    </row>
    <row r="8" spans="1:16" x14ac:dyDescent="0.25">
      <c r="A8">
        <v>1</v>
      </c>
      <c r="B8">
        <f t="shared" ref="B8:B13" si="2">A8*86400</f>
        <v>86400</v>
      </c>
      <c r="C8" s="2">
        <v>2.4072883984482999E+22</v>
      </c>
      <c r="D8" s="2">
        <v>2.4072883984482999E+22</v>
      </c>
      <c r="E8" s="2">
        <v>2.4072883984482999E+22</v>
      </c>
      <c r="F8" s="2">
        <v>2.2714258932607199E+20</v>
      </c>
      <c r="G8" s="2">
        <v>2.7407288398448301E+23</v>
      </c>
      <c r="H8" s="2">
        <v>2.7384574139515601E+23</v>
      </c>
      <c r="I8" s="2">
        <v>1.5370846406206701E+23</v>
      </c>
      <c r="J8" s="2">
        <v>2.7407288398448301E+23</v>
      </c>
      <c r="K8" s="2"/>
      <c r="L8" s="2"/>
      <c r="O8" s="2"/>
      <c r="P8" s="2"/>
    </row>
    <row r="9" spans="1:16" x14ac:dyDescent="0.25">
      <c r="A9">
        <v>2</v>
      </c>
      <c r="B9">
        <f t="shared" si="2"/>
        <v>172800</v>
      </c>
      <c r="C9" s="2">
        <v>3.8873708075680004E+22</v>
      </c>
      <c r="D9" s="2">
        <v>3.8873708075680004E+22</v>
      </c>
      <c r="E9" s="2">
        <v>3.8873708075680004E+22</v>
      </c>
      <c r="F9" s="2">
        <v>4.7055132296833099E+20</v>
      </c>
      <c r="G9" s="2">
        <v>2.8887370807567999E+23</v>
      </c>
      <c r="H9" s="2">
        <v>2.8840315675271101E+23</v>
      </c>
      <c r="I9" s="2">
        <v>9.4505167697279694E+22</v>
      </c>
      <c r="J9" s="2">
        <v>2.8887370807567999E+23</v>
      </c>
      <c r="K9" s="2"/>
      <c r="L9" s="2"/>
      <c r="O9" s="2"/>
      <c r="P9" s="2"/>
    </row>
    <row r="10" spans="1:16" x14ac:dyDescent="0.25">
      <c r="A10">
        <v>3</v>
      </c>
      <c r="B10">
        <f t="shared" si="2"/>
        <v>259200</v>
      </c>
      <c r="C10" s="2">
        <v>4.7973755827323002E+22</v>
      </c>
      <c r="D10" s="2">
        <v>4.7973755827323002E+22</v>
      </c>
      <c r="E10" s="2">
        <v>4.7973755827323002E+22</v>
      </c>
      <c r="F10" s="2">
        <v>7.2387142829608796E+20</v>
      </c>
      <c r="G10" s="2">
        <v>2.9797375582732301E+23</v>
      </c>
      <c r="H10" s="2">
        <v>2.9724988439902599E+23</v>
      </c>
      <c r="I10" s="2">
        <v>5.8104976690707998E+22</v>
      </c>
      <c r="J10" s="2">
        <v>2.9797375582732301E+23</v>
      </c>
      <c r="K10" s="2"/>
      <c r="L10" s="2"/>
      <c r="O10" s="2"/>
      <c r="P10" s="2"/>
    </row>
    <row r="11" spans="1:16" x14ac:dyDescent="0.25">
      <c r="A11">
        <v>4</v>
      </c>
      <c r="B11">
        <f t="shared" si="2"/>
        <v>345600</v>
      </c>
      <c r="C11" s="2">
        <v>5.3568773278509002E+22</v>
      </c>
      <c r="D11" s="2">
        <v>5.3568773278509002E+22</v>
      </c>
      <c r="E11" s="2">
        <v>5.3568773278509002E+22</v>
      </c>
      <c r="F11" s="2">
        <v>9.8319585333204104E+20</v>
      </c>
      <c r="G11" s="2">
        <v>3.0356877327850902E+23</v>
      </c>
      <c r="H11" s="2">
        <v>3.02585577425177E+23</v>
      </c>
      <c r="I11" s="2">
        <v>3.57249068859638E+22</v>
      </c>
      <c r="J11" s="2">
        <v>3.0356877327850902E+23</v>
      </c>
      <c r="K11" s="2"/>
      <c r="L11" s="2"/>
      <c r="O11" s="2"/>
      <c r="P11" s="2"/>
    </row>
    <row r="12" spans="1:16" x14ac:dyDescent="0.25">
      <c r="A12">
        <v>5</v>
      </c>
      <c r="B12">
        <f t="shared" si="2"/>
        <v>432000</v>
      </c>
      <c r="C12" s="2">
        <v>5.7008779433798101E+22</v>
      </c>
      <c r="D12" s="2">
        <v>5.7008779433798101E+22</v>
      </c>
      <c r="E12" s="2">
        <v>5.7008779433798101E+22</v>
      </c>
      <c r="F12" s="2">
        <v>1.2461224875604401E+21</v>
      </c>
      <c r="G12" s="2">
        <v>3.0700877943379799E+23</v>
      </c>
      <c r="H12" s="2">
        <v>3.0576265694623698E+23</v>
      </c>
      <c r="I12" s="2">
        <v>2.1964882264807499E+22</v>
      </c>
      <c r="J12" s="2">
        <v>3.0700877943379799E+23</v>
      </c>
      <c r="K12" s="2"/>
      <c r="L12" s="2"/>
      <c r="O12" s="2"/>
      <c r="P12" s="2"/>
    </row>
    <row r="13" spans="1:16" x14ac:dyDescent="0.25">
      <c r="A13">
        <v>6</v>
      </c>
      <c r="B13">
        <f t="shared" si="2"/>
        <v>518400</v>
      </c>
      <c r="C13" s="2">
        <v>5.9123811683772202E+22</v>
      </c>
      <c r="D13" s="2">
        <v>5.9123811683772202E+22</v>
      </c>
      <c r="E13" s="2">
        <v>5.9123811683772202E+22</v>
      </c>
      <c r="F13" s="2">
        <v>1.5111745093612399E+21</v>
      </c>
      <c r="G13" s="2">
        <v>3.09123811683772E+23</v>
      </c>
      <c r="H13" s="2">
        <v>3.0761263717441099E+23</v>
      </c>
      <c r="I13" s="2">
        <v>1.35047532649108E+22</v>
      </c>
      <c r="J13" s="2">
        <v>3.09123811683772E+23</v>
      </c>
      <c r="K13" s="2"/>
      <c r="L13" s="2"/>
      <c r="N13" s="2"/>
      <c r="O13" s="2"/>
    </row>
    <row r="14" spans="1:16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N14" s="2"/>
      <c r="O14" s="2"/>
    </row>
    <row r="15" spans="1:16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N15" s="2"/>
      <c r="O15" s="2"/>
    </row>
    <row r="16" spans="1:16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N16" s="2"/>
      <c r="O16" s="2"/>
    </row>
    <row r="18" spans="3:10" x14ac:dyDescent="0.25">
      <c r="C18" s="2"/>
      <c r="D18" s="2"/>
      <c r="E18" s="2"/>
      <c r="F18" s="2"/>
      <c r="G18" s="2"/>
      <c r="H18" s="2"/>
      <c r="I18" s="2"/>
      <c r="J18" s="2"/>
    </row>
    <row r="19" spans="3:10" x14ac:dyDescent="0.25">
      <c r="C19" s="2"/>
      <c r="D19" s="2"/>
      <c r="E19" s="2"/>
      <c r="F19" s="2"/>
      <c r="G19" s="2"/>
      <c r="H19" s="2"/>
      <c r="I19" s="2"/>
      <c r="J19" s="2"/>
    </row>
    <row r="20" spans="3:10" x14ac:dyDescent="0.25">
      <c r="C20" s="2"/>
      <c r="D20" s="2"/>
      <c r="E20" s="2"/>
      <c r="F20" s="2"/>
      <c r="G20" s="2"/>
      <c r="H20" s="2"/>
      <c r="I20" s="2"/>
      <c r="J20" s="2"/>
    </row>
    <row r="21" spans="3:10" x14ac:dyDescent="0.25">
      <c r="C21" s="2"/>
      <c r="D21" s="2"/>
      <c r="E21" s="2"/>
      <c r="F21" s="2"/>
      <c r="G21" s="2"/>
      <c r="H21" s="2"/>
      <c r="I21" s="2"/>
      <c r="J21" s="2"/>
    </row>
    <row r="22" spans="3:10" x14ac:dyDescent="0.25">
      <c r="C22" s="2"/>
      <c r="D22" s="2"/>
      <c r="E22" s="2"/>
      <c r="F22" s="2"/>
      <c r="G22" s="2"/>
      <c r="H22" s="2"/>
      <c r="I22" s="2"/>
      <c r="J22" s="2"/>
    </row>
    <row r="23" spans="3:10" x14ac:dyDescent="0.25">
      <c r="C23" s="2"/>
      <c r="D23" s="2"/>
      <c r="E23" s="2"/>
      <c r="F23" s="2"/>
      <c r="G23" s="2"/>
      <c r="H23" s="2"/>
      <c r="I23" s="2"/>
      <c r="J23" s="2"/>
    </row>
    <row r="24" spans="3:10" x14ac:dyDescent="0.25">
      <c r="C24" s="2"/>
      <c r="D24" s="2"/>
      <c r="E24" s="2"/>
      <c r="F24" s="2"/>
      <c r="G24" s="2"/>
      <c r="H24" s="2"/>
      <c r="I24" s="2"/>
      <c r="J24" s="2"/>
    </row>
    <row r="25" spans="3:10" x14ac:dyDescent="0.25">
      <c r="C25" s="2"/>
      <c r="D25" s="2"/>
      <c r="E25" s="2"/>
      <c r="F25" s="2"/>
      <c r="G25" s="2"/>
      <c r="H25" s="2"/>
    </row>
    <row r="26" spans="3:10" x14ac:dyDescent="0.25">
      <c r="C26" s="2"/>
      <c r="D26" s="2"/>
      <c r="E26" s="2"/>
      <c r="F26" s="2"/>
      <c r="G26" s="2"/>
      <c r="H26" s="2"/>
    </row>
    <row r="27" spans="3:10" x14ac:dyDescent="0.25">
      <c r="C27" s="2"/>
    </row>
    <row r="28" spans="3:10" x14ac:dyDescent="0.25">
      <c r="C28" s="2"/>
    </row>
  </sheetData>
  <pageMargins left="0.7" right="0.7" top="0.75" bottom="0.75" header="0.3" footer="0.3"/>
  <pageSetup orientation="portrait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1"/>
  <sheetViews>
    <sheetView workbookViewId="0">
      <selection activeCell="D8" sqref="D8"/>
    </sheetView>
  </sheetViews>
  <sheetFormatPr defaultRowHeight="15" x14ac:dyDescent="0.25"/>
  <cols>
    <col min="2" max="3" width="22" bestFit="1" customWidth="1"/>
    <col min="4" max="10" width="22" customWidth="1"/>
    <col min="11" max="13" width="22" bestFit="1" customWidth="1"/>
  </cols>
  <sheetData>
    <row r="1" spans="2:6" x14ac:dyDescent="0.25">
      <c r="D1" s="1"/>
    </row>
    <row r="2" spans="2:6" ht="18.75" x14ac:dyDescent="0.35">
      <c r="B2" t="s">
        <v>11</v>
      </c>
      <c r="C2" t="s">
        <v>92</v>
      </c>
      <c r="D2" t="s">
        <v>93</v>
      </c>
      <c r="E2" t="s">
        <v>94</v>
      </c>
      <c r="F2" t="s">
        <v>95</v>
      </c>
    </row>
    <row r="3" spans="2:6" x14ac:dyDescent="0.25">
      <c r="B3">
        <v>0</v>
      </c>
      <c r="C3" s="2">
        <v>0</v>
      </c>
      <c r="D3" s="2">
        <v>0</v>
      </c>
      <c r="E3" s="2">
        <v>0</v>
      </c>
      <c r="F3" s="2">
        <v>0</v>
      </c>
    </row>
    <row r="4" spans="2:6" x14ac:dyDescent="0.25">
      <c r="B4">
        <v>1</v>
      </c>
      <c r="C4" s="2">
        <v>1.4386125608951499E+22</v>
      </c>
      <c r="D4" s="2">
        <v>1.4386125608951499E+22</v>
      </c>
      <c r="E4" s="2">
        <v>1.4386125608951499E+22</v>
      </c>
      <c r="F4" s="2">
        <v>1.4386125608951499E+22</v>
      </c>
    </row>
    <row r="5" spans="2:6" x14ac:dyDescent="0.25">
      <c r="B5">
        <v>2</v>
      </c>
      <c r="C5" s="2">
        <v>2.1321669256587998E+22</v>
      </c>
      <c r="D5" s="2">
        <v>2.1321669256587998E+22</v>
      </c>
      <c r="E5" s="2">
        <v>2.1321669256587998E+22</v>
      </c>
      <c r="F5" s="2">
        <v>2.1321669256587998E+22</v>
      </c>
    </row>
    <row r="6" spans="2:6" x14ac:dyDescent="0.25">
      <c r="B6">
        <v>3</v>
      </c>
      <c r="C6" s="2">
        <v>2.4665291229298902E+22</v>
      </c>
      <c r="D6" s="2">
        <v>2.4665291229298902E+22</v>
      </c>
      <c r="E6" s="2">
        <v>2.4665291229298902E+22</v>
      </c>
      <c r="F6" s="2">
        <v>2.4665291229298902E+22</v>
      </c>
    </row>
    <row r="7" spans="2:6" x14ac:dyDescent="0.25">
      <c r="B7">
        <v>4</v>
      </c>
      <c r="C7" s="2">
        <v>2.62772496372321E+22</v>
      </c>
      <c r="D7" s="2">
        <v>2.62772496372321E+22</v>
      </c>
      <c r="E7" s="2">
        <v>2.62772496372321E+22</v>
      </c>
      <c r="F7" s="2">
        <v>2.62772496372321E+22</v>
      </c>
    </row>
    <row r="8" spans="2:6" x14ac:dyDescent="0.25">
      <c r="B8">
        <v>5</v>
      </c>
      <c r="C8" s="2">
        <v>2.70543739443797E+22</v>
      </c>
      <c r="D8" s="2">
        <v>2.70543739443797E+22</v>
      </c>
      <c r="E8" s="2">
        <v>2.70543739443797E+22</v>
      </c>
      <c r="F8" s="2">
        <v>2.70543739443797E+22</v>
      </c>
    </row>
    <row r="9" spans="2:6" x14ac:dyDescent="0.25">
      <c r="B9">
        <v>6</v>
      </c>
      <c r="C9" s="2">
        <v>2.7429025167257098E+22</v>
      </c>
      <c r="D9" s="2">
        <v>2.7429025167257098E+22</v>
      </c>
      <c r="E9" s="2">
        <v>2.7429025167257098E+22</v>
      </c>
      <c r="F9" s="2">
        <v>2.7429025167257098E+22</v>
      </c>
    </row>
    <row r="10" spans="2:6" ht="18.75" x14ac:dyDescent="0.35">
      <c r="B10" t="s">
        <v>11</v>
      </c>
      <c r="C10" t="s">
        <v>96</v>
      </c>
      <c r="D10" t="s">
        <v>97</v>
      </c>
      <c r="E10" t="s">
        <v>91</v>
      </c>
      <c r="F10" t="s">
        <v>90</v>
      </c>
    </row>
    <row r="11" spans="2:6" x14ac:dyDescent="0.25">
      <c r="B11">
        <v>0</v>
      </c>
      <c r="C11" s="2">
        <v>1.6666666666666599E+23</v>
      </c>
      <c r="D11" s="2">
        <v>0</v>
      </c>
      <c r="E11" s="2">
        <v>1.6666666666666599E+23</v>
      </c>
      <c r="F11" s="2">
        <v>1.6666666666666599E+23</v>
      </c>
    </row>
    <row r="12" spans="2:6" x14ac:dyDescent="0.25">
      <c r="B12">
        <v>1</v>
      </c>
      <c r="C12" s="2">
        <v>1.8105279227561799E+23</v>
      </c>
      <c r="D12" s="2">
        <v>1.4386125608951499E+22</v>
      </c>
      <c r="E12" s="2">
        <v>1.8105279227561799E+23</v>
      </c>
      <c r="F12" s="2">
        <v>1.8105279227561799E+23</v>
      </c>
    </row>
    <row r="13" spans="2:6" x14ac:dyDescent="0.25">
      <c r="B13">
        <v>2</v>
      </c>
      <c r="C13" s="2">
        <v>1.8798833592325401E+23</v>
      </c>
      <c r="D13" s="2">
        <v>2.1321669256587998E+22</v>
      </c>
      <c r="E13" s="2">
        <v>1.8798833592325401E+23</v>
      </c>
      <c r="F13" s="2">
        <v>1.8798833592325401E+23</v>
      </c>
    </row>
    <row r="14" spans="2:6" x14ac:dyDescent="0.25">
      <c r="B14">
        <v>3</v>
      </c>
      <c r="C14" s="2">
        <v>1.9133195789596501E+23</v>
      </c>
      <c r="D14" s="2">
        <v>2.4665291229298902E+22</v>
      </c>
      <c r="E14" s="2">
        <v>1.9133195789596501E+23</v>
      </c>
      <c r="F14" s="2">
        <v>1.9133195789596501E+23</v>
      </c>
    </row>
    <row r="15" spans="2:6" x14ac:dyDescent="0.25">
      <c r="B15">
        <v>4</v>
      </c>
      <c r="C15" s="2">
        <v>1.92943916303898E+23</v>
      </c>
      <c r="D15" s="2">
        <v>2.62772496372321E+22</v>
      </c>
      <c r="E15" s="2">
        <v>1.92943916303898E+23</v>
      </c>
      <c r="F15" s="2">
        <v>1.92943916303898E+23</v>
      </c>
    </row>
    <row r="16" spans="2:6" x14ac:dyDescent="0.25">
      <c r="B16">
        <v>5</v>
      </c>
      <c r="C16" s="2">
        <v>1.93721040611046E+23</v>
      </c>
      <c r="D16" s="2">
        <v>2.70543739443797E+22</v>
      </c>
      <c r="E16" s="2">
        <v>1.93721040611046E+23</v>
      </c>
      <c r="F16" s="2">
        <v>1.93721040611046E+23</v>
      </c>
    </row>
    <row r="17" spans="2:6" x14ac:dyDescent="0.25">
      <c r="B17">
        <v>6</v>
      </c>
      <c r="C17" s="2">
        <v>1.9409569183392301E+23</v>
      </c>
      <c r="D17" s="2">
        <v>2.7429025167257098E+22</v>
      </c>
      <c r="E17" s="2">
        <v>1.9409569183392301E+23</v>
      </c>
      <c r="F17" s="2">
        <v>1.9409569183392301E+23</v>
      </c>
    </row>
    <row r="18" spans="2:6" ht="18.75" x14ac:dyDescent="0.35">
      <c r="B18" t="s">
        <v>11</v>
      </c>
      <c r="C18" t="s">
        <v>87</v>
      </c>
      <c r="D18" t="s">
        <v>88</v>
      </c>
      <c r="E18" t="s">
        <v>89</v>
      </c>
    </row>
    <row r="19" spans="2:6" x14ac:dyDescent="0.25">
      <c r="B19">
        <v>0</v>
      </c>
      <c r="C19" s="2">
        <v>1.6666666666666599E+23</v>
      </c>
      <c r="D19" s="2">
        <v>1.6666666666666599E+23</v>
      </c>
      <c r="E19" s="2">
        <v>1.6666666666666599E+23</v>
      </c>
    </row>
    <row r="20" spans="2:6" x14ac:dyDescent="0.25">
      <c r="B20">
        <v>1</v>
      </c>
      <c r="C20" s="2">
        <v>1.8105279227561799E+23</v>
      </c>
      <c r="D20" s="2">
        <v>8.0349913012957107E+22</v>
      </c>
      <c r="E20" s="2">
        <v>1.8105279227561799E+23</v>
      </c>
    </row>
    <row r="21" spans="2:6" x14ac:dyDescent="0.25">
      <c r="B21">
        <v>2</v>
      </c>
      <c r="C21" s="2">
        <v>1.8798833592325401E+23</v>
      </c>
      <c r="D21" s="2">
        <v>3.8736651127138598E+22</v>
      </c>
      <c r="E21" s="2">
        <v>1.8798833592325401E+23</v>
      </c>
    </row>
    <row r="22" spans="2:6" x14ac:dyDescent="0.25">
      <c r="B22">
        <v>3</v>
      </c>
      <c r="C22" s="2">
        <v>1.9133195789596501E+23</v>
      </c>
      <c r="D22" s="2">
        <v>1.8674919290873099E+22</v>
      </c>
      <c r="E22" s="2">
        <v>1.9133195789596501E+23</v>
      </c>
    </row>
    <row r="23" spans="2:6" x14ac:dyDescent="0.25">
      <c r="B23">
        <v>4</v>
      </c>
      <c r="C23" s="2">
        <v>1.92943916303898E+23</v>
      </c>
      <c r="D23" s="2">
        <v>9.0031688432739198E+21</v>
      </c>
      <c r="E23" s="2">
        <v>1.92943916303898E+23</v>
      </c>
    </row>
    <row r="24" spans="2:6" x14ac:dyDescent="0.25">
      <c r="B24">
        <v>5</v>
      </c>
      <c r="C24" s="2">
        <v>1.93721040611046E+23</v>
      </c>
      <c r="D24" s="2">
        <v>4.34042300038815E+21</v>
      </c>
      <c r="E24" s="2">
        <v>1.93721040611046E+23</v>
      </c>
    </row>
    <row r="25" spans="2:6" x14ac:dyDescent="0.25">
      <c r="B25">
        <v>6</v>
      </c>
      <c r="C25" s="2">
        <v>1.9409569183392301E+23</v>
      </c>
      <c r="D25" s="2">
        <v>2.09251566312376E+21</v>
      </c>
      <c r="E25" s="2">
        <v>1.9409569183392301E+23</v>
      </c>
    </row>
    <row r="31" spans="2:6" x14ac:dyDescent="0.25">
      <c r="B31" t="s">
        <v>98</v>
      </c>
    </row>
  </sheetData>
  <pageMargins left="0.7" right="0.7" top="0.75" bottom="0.75" header="0.3" footer="0.3"/>
  <pageSetup orientation="portrait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B1" sqref="B1"/>
    </sheetView>
  </sheetViews>
  <sheetFormatPr defaultRowHeight="15" x14ac:dyDescent="0.25"/>
  <cols>
    <col min="2" max="2" width="15.7109375" bestFit="1" customWidth="1"/>
    <col min="3" max="3" width="24" bestFit="1" customWidth="1"/>
    <col min="4" max="4" width="13.7109375" bestFit="1" customWidth="1"/>
    <col min="5" max="5" width="24" bestFit="1" customWidth="1"/>
  </cols>
  <sheetData>
    <row r="1" spans="1:7" x14ac:dyDescent="0.25">
      <c r="A1" t="s">
        <v>112</v>
      </c>
      <c r="B1">
        <v>1</v>
      </c>
      <c r="C1" t="s">
        <v>113</v>
      </c>
    </row>
    <row r="2" spans="1:7" x14ac:dyDescent="0.25">
      <c r="A2" t="s">
        <v>102</v>
      </c>
      <c r="B2">
        <f>1E-24</f>
        <v>9.9999999999999992E-25</v>
      </c>
      <c r="C2" t="s">
        <v>114</v>
      </c>
    </row>
    <row r="3" spans="1:7" x14ac:dyDescent="0.25">
      <c r="A3" t="s">
        <v>0</v>
      </c>
      <c r="B3">
        <v>1</v>
      </c>
      <c r="C3" t="s">
        <v>113</v>
      </c>
    </row>
    <row r="4" spans="1:7" x14ac:dyDescent="0.25">
      <c r="A4" t="s">
        <v>5</v>
      </c>
      <c r="B4">
        <f>LN(2)/B3</f>
        <v>0.69314718055994529</v>
      </c>
      <c r="C4" t="s">
        <v>115</v>
      </c>
    </row>
    <row r="5" spans="1:7" x14ac:dyDescent="0.25">
      <c r="A5" t="s">
        <v>116</v>
      </c>
      <c r="B5" s="1">
        <v>1000000000000000</v>
      </c>
      <c r="C5" t="s">
        <v>43</v>
      </c>
    </row>
    <row r="6" spans="1:7" x14ac:dyDescent="0.25">
      <c r="A6" t="s">
        <v>117</v>
      </c>
      <c r="B6">
        <f>B5*24*3600</f>
        <v>8.64E+19</v>
      </c>
      <c r="C6" t="s">
        <v>118</v>
      </c>
    </row>
    <row r="8" spans="1:7" x14ac:dyDescent="0.25">
      <c r="A8" t="s">
        <v>119</v>
      </c>
      <c r="B8" t="s">
        <v>120</v>
      </c>
      <c r="C8" t="s">
        <v>121</v>
      </c>
      <c r="D8" t="s">
        <v>122</v>
      </c>
      <c r="E8" t="s">
        <v>123</v>
      </c>
      <c r="F8" t="s">
        <v>124</v>
      </c>
      <c r="G8" t="s">
        <v>125</v>
      </c>
    </row>
    <row r="9" spans="1:7" x14ac:dyDescent="0.25">
      <c r="A9">
        <v>1</v>
      </c>
      <c r="B9">
        <v>1</v>
      </c>
      <c r="C9">
        <v>1</v>
      </c>
      <c r="D9">
        <v>0</v>
      </c>
      <c r="E9">
        <v>1</v>
      </c>
      <c r="F9">
        <v>0</v>
      </c>
      <c r="G9">
        <v>1</v>
      </c>
    </row>
    <row r="10" spans="1:7" x14ac:dyDescent="0.25">
      <c r="A10">
        <v>2</v>
      </c>
      <c r="B10">
        <v>0</v>
      </c>
      <c r="C10">
        <v>1</v>
      </c>
      <c r="D10">
        <v>1</v>
      </c>
      <c r="E10">
        <v>1</v>
      </c>
      <c r="F10">
        <v>0</v>
      </c>
      <c r="G10">
        <v>1</v>
      </c>
    </row>
    <row r="11" spans="1:7" x14ac:dyDescent="0.25">
      <c r="A11">
        <v>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>
        <v>4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</row>
    <row r="14" spans="1:7" x14ac:dyDescent="0.25">
      <c r="B14" s="9" t="s">
        <v>126</v>
      </c>
      <c r="C14" s="9"/>
      <c r="D14" s="9"/>
      <c r="E14" s="9"/>
    </row>
    <row r="15" spans="1:7" x14ac:dyDescent="0.25">
      <c r="A15" t="s">
        <v>119</v>
      </c>
      <c r="B15" t="s">
        <v>127</v>
      </c>
      <c r="C15" t="s">
        <v>128</v>
      </c>
      <c r="D15" t="s">
        <v>129</v>
      </c>
      <c r="E15" t="s">
        <v>130</v>
      </c>
    </row>
    <row r="16" spans="1:7" x14ac:dyDescent="0.25">
      <c r="A16">
        <v>1</v>
      </c>
      <c r="B16" s="10">
        <v>9.9999999999999998E+23</v>
      </c>
      <c r="C16" s="10">
        <f>B16*EXP(-$B$2*$B$1*$B$6*B9-$B$4*$B$1*C9)</f>
        <v>4.9995680186618625E+23</v>
      </c>
      <c r="D16" s="10">
        <f>C16*EXP(-$B$2*$B$1*$B$6*D9-$B$4*$B$1*E9)</f>
        <v>2.4997840093309312E+23</v>
      </c>
      <c r="E16" s="10">
        <f>D16*EXP(-$B$2*$B$1*$B$6*F9-$B$4*$B$1*G9)</f>
        <v>1.2498920046654656E+23</v>
      </c>
    </row>
    <row r="17" spans="1:5" x14ac:dyDescent="0.25">
      <c r="A17">
        <v>2</v>
      </c>
      <c r="B17" s="10">
        <v>9.9999999999999998E+23</v>
      </c>
      <c r="C17" s="10">
        <f>B17*EXP(-$B$2*$B$1*$B$6*B10-$B$4*$B$1*C10)</f>
        <v>4.9999999999999999E+23</v>
      </c>
      <c r="D17" s="10">
        <f t="shared" ref="D17:D19" si="0">C17*EXP(-$B$2*$B$1*$B$6*D10-$B$4*$B$1*E10)</f>
        <v>2.4997840093309312E+23</v>
      </c>
      <c r="E17" s="10">
        <f t="shared" ref="E17:E19" si="1">D17*EXP(-$B$2*$B$1*$B$6*F10-$B$4*$B$1*G10)</f>
        <v>1.2498920046654656E+23</v>
      </c>
    </row>
    <row r="18" spans="1:5" x14ac:dyDescent="0.25">
      <c r="A18">
        <v>3</v>
      </c>
      <c r="B18" s="10">
        <v>9.9999999999999998E+23</v>
      </c>
      <c r="C18" s="10">
        <f t="shared" ref="C18:C19" si="2">B18*EXP(-$B$2*$B$1*$B$6*B11-$B$4*$B$1*C11)</f>
        <v>9.9999999999999998E+23</v>
      </c>
      <c r="D18" s="10">
        <f t="shared" si="0"/>
        <v>9.9999999999999998E+23</v>
      </c>
      <c r="E18" s="10">
        <f t="shared" si="1"/>
        <v>9.9999999999999998E+23</v>
      </c>
    </row>
    <row r="19" spans="1:5" x14ac:dyDescent="0.25">
      <c r="A19">
        <v>4</v>
      </c>
      <c r="B19" s="10">
        <v>9.9999999999999998E+23</v>
      </c>
      <c r="C19" s="10">
        <f t="shared" si="2"/>
        <v>9.9999999999999998E+23</v>
      </c>
      <c r="D19" s="10">
        <f t="shared" si="0"/>
        <v>9.9999999999999998E+23</v>
      </c>
      <c r="E19" s="10">
        <f t="shared" si="1"/>
        <v>4.9995680186618625E+23</v>
      </c>
    </row>
    <row r="23" spans="1:5" x14ac:dyDescent="0.25">
      <c r="B23" s="11"/>
    </row>
    <row r="30" spans="1:5" x14ac:dyDescent="0.25">
      <c r="E30" s="12"/>
    </row>
    <row r="32" spans="1:5" x14ac:dyDescent="0.25">
      <c r="C32" s="6"/>
    </row>
    <row r="34" spans="5:8" x14ac:dyDescent="0.25">
      <c r="E34" s="1"/>
    </row>
    <row r="36" spans="5:8" x14ac:dyDescent="0.25">
      <c r="E36" s="1"/>
    </row>
    <row r="37" spans="5:8" x14ac:dyDescent="0.25">
      <c r="E37" s="1"/>
    </row>
    <row r="38" spans="5:8" x14ac:dyDescent="0.25">
      <c r="E38" s="1"/>
      <c r="G38" s="1"/>
      <c r="H38" s="1"/>
    </row>
    <row r="39" spans="5:8" x14ac:dyDescent="0.25">
      <c r="E39" s="1"/>
    </row>
    <row r="40" spans="5:8" x14ac:dyDescent="0.25">
      <c r="E40" s="1"/>
    </row>
  </sheetData>
  <mergeCells count="1">
    <mergeCell ref="B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Material Q</vt:lpstr>
      <vt:lpstr>Single Iso, Single decay</vt:lpstr>
      <vt:lpstr>Single Iso, Multi decay</vt:lpstr>
      <vt:lpstr>Single Iso, Multi decay (2)</vt:lpstr>
      <vt:lpstr>Single Iso, Single FP</vt:lpstr>
      <vt:lpstr>Multi-Iso, Single FP</vt:lpstr>
      <vt:lpstr>Actinide Burn</vt:lpstr>
      <vt:lpstr>Non-Actinide Burn</vt:lpstr>
      <vt:lpstr>Non-Actinide Decay and Burn</vt:lpstr>
      <vt:lpstr>CRAM Burn</vt:lpstr>
      <vt:lpstr>ex-core decay</vt:lpstr>
    </vt:vector>
  </TitlesOfParts>
  <Company>ANL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G. Nelson</dc:creator>
  <cp:lastModifiedBy>A. G. Nelson</cp:lastModifiedBy>
  <dcterms:created xsi:type="dcterms:W3CDTF">2020-04-23T18:24:26Z</dcterms:created>
  <dcterms:modified xsi:type="dcterms:W3CDTF">2020-10-08T12:25:28Z</dcterms:modified>
</cp:coreProperties>
</file>