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hina" sheetId="2" r:id="rId5"/>
    <sheet state="visible" name="US" sheetId="3" r:id="rId6"/>
    <sheet state="visible" name="Italy" sheetId="4" r:id="rId7"/>
    <sheet state="visible" name="South.Korea" sheetId="5" r:id="rId8"/>
    <sheet state="visible" name="Australia" sheetId="6" r:id="rId9"/>
    <sheet state="visible" name="World" sheetId="7" r:id="rId10"/>
  </sheets>
  <definedNames/>
  <calcPr/>
</workbook>
</file>

<file path=xl/sharedStrings.xml><?xml version="1.0" encoding="utf-8"?>
<sst xmlns="http://schemas.openxmlformats.org/spreadsheetml/2006/main" count="209" uniqueCount="64">
  <si>
    <t>Data source</t>
  </si>
  <si>
    <t>https://www.worldometers.info/coronavirus/</t>
  </si>
  <si>
    <t>https://docs.google.com/spreadsheets/d/e/2PACX-1vQU0SIALScXx8VXDX7yKNKWWPKE1YjFlWc6VTEVSN45CklWWf-uWmprQIyLtoPDA18tX9cFDr-aQ9S6/pubhtml</t>
  </si>
  <si>
    <t>Data</t>
  </si>
  <si>
    <t>Location</t>
  </si>
  <si>
    <t>China, Wuhan</t>
  </si>
  <si>
    <t>US</t>
  </si>
  <si>
    <t>Italy</t>
  </si>
  <si>
    <t>South Korea</t>
  </si>
  <si>
    <t>Australia</t>
  </si>
  <si>
    <t>World</t>
  </si>
  <si>
    <t>Population (Million)</t>
  </si>
  <si>
    <t>Current Status</t>
  </si>
  <si>
    <t>End</t>
  </si>
  <si>
    <t>outbreak</t>
  </si>
  <si>
    <t>control</t>
  </si>
  <si>
    <t>Current R</t>
  </si>
  <si>
    <t>Prediction for outbreak</t>
  </si>
  <si>
    <t>Speed of Reducing R</t>
  </si>
  <si>
    <t>(apply speed of reducing R in China for other countries)</t>
  </si>
  <si>
    <t>Intervention</t>
  </si>
  <si>
    <t>Days to controling phase</t>
  </si>
  <si>
    <t>Months to controling phase</t>
  </si>
  <si>
    <t>End of Pandemic (add 1 month)</t>
  </si>
  <si>
    <t>May - June 2020</t>
  </si>
  <si>
    <t>Infected</t>
  </si>
  <si>
    <t>Death min</t>
  </si>
  <si>
    <t>Death max</t>
  </si>
  <si>
    <t>R</t>
  </si>
  <si>
    <t>Date (mm/dd/yyy)</t>
  </si>
  <si>
    <t>confirm</t>
  </si>
  <si>
    <t>1-interval</t>
  </si>
  <si>
    <t>2-interval</t>
  </si>
  <si>
    <t>3-interval</t>
  </si>
  <si>
    <t>4-interval</t>
  </si>
  <si>
    <t>5-interval</t>
  </si>
  <si>
    <t>6-interval</t>
  </si>
  <si>
    <t>7-interval</t>
  </si>
  <si>
    <t>8-interval</t>
  </si>
  <si>
    <t>9-interval</t>
  </si>
  <si>
    <t>End of Phase 1</t>
  </si>
  <si>
    <t>dd/mm/yyyy</t>
  </si>
  <si>
    <t>22/01/2020</t>
  </si>
  <si>
    <t>Phase 2 (outbreak)</t>
  </si>
  <si>
    <t>R from phasse 1 to phase 2</t>
  </si>
  <si>
    <t>From Feb 1 to Mar 17</t>
  </si>
  <si>
    <t>R now</t>
  </si>
  <si>
    <t>R end</t>
  </si>
  <si>
    <t>Average people infected perday</t>
  </si>
  <si>
    <t>Reducing speed of R</t>
  </si>
  <si>
    <t>STT</t>
  </si>
  <si>
    <t>Date</t>
  </si>
  <si>
    <t>Days to control</t>
  </si>
  <si>
    <t>Months to control</t>
  </si>
  <si>
    <t>Currently average people infected perday</t>
  </si>
  <si>
    <t>Predicting total people infected</t>
  </si>
  <si>
    <t>Currently dead rate (range)</t>
  </si>
  <si>
    <t>Predicting death (range)</t>
  </si>
  <si>
    <t>22/02/2020</t>
  </si>
  <si>
    <t>19/02/2020</t>
  </si>
  <si>
    <t>29/02/2020</t>
  </si>
  <si>
    <t>21/03/2020</t>
  </si>
  <si>
    <t>17/03/2020</t>
  </si>
  <si>
    <t>Days to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</si>
</sst>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00000000"/>
    <numFmt numFmtId="165" formatCode="0.000"/>
    <numFmt numFmtId="166" formatCode="mmm yyyy"/>
    <numFmt numFmtId="167" formatCode="mmmm yyyy"/>
    <numFmt numFmtId="168" formatCode="m/d/yy"/>
    <numFmt numFmtId="169" formatCode="m/d/yyyy"/>
    <numFmt numFmtId="170" formatCode="mm/dd/yyyy"/>
    <numFmt numFmtId="171" formatCode="0.0000000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b/>
      <sz val="14.0"/>
      <color rgb="FF4285F4"/>
      <name val="Arial"/>
      <scheme val="minor"/>
    </font>
    <font>
      <b/>
      <i/>
      <color theme="1"/>
      <name val="Arial"/>
      <scheme val="minor"/>
    </font>
    <font>
      <sz val="11.0"/>
      <color theme="1"/>
      <name val="Inconsolata"/>
    </font>
    <font>
      <b/>
      <color rgb="FFFF0000"/>
      <name val="Arial"/>
      <scheme val="minor"/>
    </font>
    <font>
      <b/>
      <sz val="11.0"/>
      <color rgb="FFFF0000"/>
      <name val="Inconsolata"/>
    </font>
    <font>
      <sz val="9.0"/>
      <color rgb="FF000000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1" fillId="0" fontId="3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readingOrder="0" vertical="center"/>
    </xf>
    <xf borderId="6" fillId="0" fontId="1" numFmtId="0" xfId="0" applyAlignment="1" applyBorder="1" applyFont="1">
      <alignment horizontal="center" readingOrder="0" shrinkToFit="0" vertical="center" wrapText="1"/>
    </xf>
    <xf borderId="7" fillId="0" fontId="1" numFmtId="164" xfId="0" applyAlignment="1" applyBorder="1" applyFont="1" applyNumberFormat="1">
      <alignment horizontal="center" readingOrder="0" vertical="center"/>
    </xf>
    <xf borderId="8" fillId="0" fontId="1" numFmtId="164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1" fillId="0" fontId="1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horizontal="center" vertical="center"/>
    </xf>
    <xf borderId="7" fillId="0" fontId="1" numFmtId="165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readingOrder="0" shrinkToFit="0" vertical="center" wrapText="1"/>
    </xf>
    <xf borderId="0" fillId="0" fontId="1" numFmtId="2" xfId="0" applyAlignment="1" applyFont="1" applyNumberFormat="1">
      <alignment vertical="center"/>
    </xf>
    <xf borderId="0" fillId="0" fontId="1" numFmtId="2" xfId="0" applyAlignment="1" applyFont="1" applyNumberFormat="1">
      <alignment horizontal="center" vertical="center"/>
    </xf>
    <xf borderId="7" fillId="0" fontId="1" numFmtId="166" xfId="0" applyAlignment="1" applyBorder="1" applyFont="1" applyNumberFormat="1">
      <alignment readingOrder="0" vertical="center"/>
    </xf>
    <xf borderId="7" fillId="0" fontId="1" numFmtId="167" xfId="0" applyAlignment="1" applyBorder="1" applyFont="1" applyNumberFormat="1">
      <alignment readingOrder="0" vertical="center"/>
    </xf>
    <xf borderId="7" fillId="0" fontId="1" numFmtId="0" xfId="0" applyAlignment="1" applyBorder="1" applyFont="1">
      <alignment horizontal="center" readingOrder="0" vertical="center"/>
    </xf>
    <xf borderId="7" fillId="0" fontId="1" numFmtId="167" xfId="0" applyAlignment="1" applyBorder="1" applyFont="1" applyNumberFormat="1">
      <alignment horizontal="center" readingOrder="0" vertical="center"/>
    </xf>
    <xf borderId="8" fillId="0" fontId="1" numFmtId="167" xfId="0" applyAlignment="1" applyBorder="1" applyFont="1" applyNumberFormat="1">
      <alignment readingOrder="0" vertical="center"/>
    </xf>
    <xf borderId="2" fillId="0" fontId="1" numFmtId="0" xfId="0" applyAlignment="1" applyBorder="1" applyFont="1">
      <alignment vertical="center"/>
    </xf>
    <xf borderId="2" fillId="0" fontId="1" numFmtId="3" xfId="0" applyAlignment="1" applyBorder="1" applyFont="1" applyNumberFormat="1">
      <alignment vertical="center"/>
    </xf>
    <xf borderId="3" fillId="0" fontId="1" numFmtId="3" xfId="0" applyAlignment="1" applyBorder="1" applyFont="1" applyNumberFormat="1">
      <alignment vertical="center"/>
    </xf>
    <xf borderId="0" fillId="0" fontId="1" numFmtId="1" xfId="0" applyAlignment="1" applyFont="1" applyNumberFormat="1">
      <alignment vertical="center"/>
    </xf>
    <xf borderId="5" fillId="0" fontId="1" numFmtId="1" xfId="0" applyAlignment="1" applyBorder="1" applyFont="1" applyNumberFormat="1">
      <alignment vertical="center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vertical="center"/>
    </xf>
    <xf borderId="7" fillId="0" fontId="1" numFmtId="1" xfId="0" applyAlignment="1" applyBorder="1" applyFont="1" applyNumberFormat="1">
      <alignment vertical="center"/>
    </xf>
    <xf borderId="8" fillId="0" fontId="1" numFmtId="1" xfId="0" applyAlignment="1" applyBorder="1" applyFont="1" applyNumberFormat="1">
      <alignment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1" numFmtId="168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" numFmtId="169" xfId="0" applyAlignment="1" applyFont="1" applyNumberFormat="1">
      <alignment horizontal="center" readingOrder="0" vertical="center"/>
    </xf>
    <xf borderId="0" fillId="0" fontId="3" numFmtId="4" xfId="0" applyAlignment="1" applyFont="1" applyNumberFormat="1">
      <alignment horizontal="center" readingOrder="0" shrinkToFit="0" vertical="center" wrapText="1"/>
    </xf>
    <xf borderId="0" fillId="2" fontId="6" numFmtId="4" xfId="0" applyAlignment="1" applyFill="1" applyFont="1" applyNumberFormat="1">
      <alignment horizontal="right" vertical="center"/>
    </xf>
    <xf borderId="0" fillId="0" fontId="1" numFmtId="0" xfId="0" applyAlignment="1" applyFont="1">
      <alignment readingOrder="0"/>
    </xf>
    <xf borderId="0" fillId="0" fontId="3" numFmtId="170" xfId="0" applyAlignment="1" applyFont="1" applyNumberFormat="1">
      <alignment readingOrder="0"/>
    </xf>
    <xf borderId="0" fillId="0" fontId="3" numFmtId="0" xfId="0" applyFont="1"/>
    <xf borderId="0" fillId="0" fontId="1" numFmtId="170" xfId="0" applyAlignment="1" applyFont="1" applyNumberFormat="1">
      <alignment readingOrder="0"/>
    </xf>
    <xf borderId="0" fillId="0" fontId="1" numFmtId="0" xfId="0" applyFont="1"/>
    <xf borderId="0" fillId="0" fontId="1" numFmtId="3" xfId="0" applyFont="1" applyNumberForma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0" fillId="0" fontId="1" numFmtId="170" xfId="0" applyAlignment="1" applyFont="1" applyNumberFormat="1">
      <alignment horizontal="center" readingOrder="0" vertical="center"/>
    </xf>
    <xf borderId="0" fillId="0" fontId="1" numFmtId="170" xfId="0" applyAlignment="1" applyFont="1" applyNumberForma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7" numFmtId="0" xfId="0" applyAlignment="1" applyFont="1">
      <alignment horizontal="left" readingOrder="0" shrinkToFit="0" vertical="center" wrapText="1"/>
    </xf>
    <xf borderId="0" fillId="2" fontId="8" numFmtId="0" xfId="0" applyAlignment="1" applyFont="1">
      <alignment horizontal="right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vertical="center" wrapText="1"/>
    </xf>
    <xf borderId="0" fillId="2" fontId="6" numFmtId="0" xfId="0" applyAlignment="1" applyFont="1">
      <alignment horizontal="right" vertical="center"/>
    </xf>
    <xf borderId="0" fillId="0" fontId="7" numFmtId="0" xfId="0" applyAlignment="1" applyFont="1">
      <alignment readingOrder="0" shrinkToFit="0" wrapText="1"/>
    </xf>
    <xf borderId="0" fillId="0" fontId="7" numFmtId="4" xfId="0" applyAlignment="1" applyFont="1" applyNumberFormat="1">
      <alignment shrinkToFit="0" vertical="center" wrapText="1"/>
    </xf>
    <xf borderId="0" fillId="0" fontId="7" numFmtId="1" xfId="0" applyFont="1" applyNumberFormat="1"/>
    <xf borderId="0" fillId="0" fontId="1" numFmtId="3" xfId="0" applyAlignment="1" applyFont="1" applyNumberFormat="1">
      <alignment readingOrder="0"/>
    </xf>
    <xf borderId="0" fillId="0" fontId="9" numFmtId="168" xfId="0" applyAlignment="1" applyFont="1" applyNumberFormat="1">
      <alignment horizontal="right" readingOrder="0"/>
    </xf>
    <xf borderId="0" fillId="0" fontId="9" numFmtId="0" xfId="0" applyAlignment="1" applyFont="1">
      <alignment horizontal="right" readingOrder="0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7" numFmtId="4" xfId="0" applyAlignment="1" applyFont="1" applyNumberFormat="1">
      <alignment readingOrder="0" shrinkToFit="0" wrapText="1"/>
    </xf>
    <xf borderId="0" fillId="0" fontId="1" numFmtId="2" xfId="0" applyAlignment="1" applyFont="1" applyNumberFormat="1">
      <alignment readingOrder="0"/>
    </xf>
    <xf borderId="0" fillId="0" fontId="1" numFmtId="171" xfId="0" applyFont="1" applyNumberFormat="1"/>
    <xf borderId="0" fillId="0" fontId="3" numFmtId="171" xfId="0" applyFont="1" applyNumberFormat="1"/>
    <xf borderId="0" fillId="0" fontId="7" numFmtId="2" xfId="0" applyFont="1" applyNumberFormat="1"/>
    <xf borderId="0" fillId="0" fontId="1" numFmtId="0" xfId="0" applyAlignment="1" applyFont="1">
      <alignment horizontal="right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1" numFmtId="3" xfId="0" applyAlignment="1" applyFont="1" applyNumberFormat="1">
      <alignment horizontal="center" readingOrder="0" shrinkToFit="0" vertical="center" wrapText="1"/>
    </xf>
    <xf borderId="0" fillId="2" fontId="6" numFmtId="3" xfId="0" applyAlignment="1" applyFont="1" applyNumberFormat="1">
      <alignment horizontal="right" vertical="center"/>
    </xf>
    <xf borderId="0" fillId="0" fontId="7" numFmtId="3" xfId="0" applyAlignment="1" applyFont="1" applyNumberFormat="1">
      <alignment readingOrder="0" shrinkToFit="0" wrapText="1"/>
    </xf>
    <xf borderId="0" fillId="0" fontId="7" numFmtId="3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orldometers.info/coronavirus/" TargetMode="External"/><Relationship Id="rId2" Type="http://schemas.openxmlformats.org/officeDocument/2006/relationships/hyperlink" Target="https://docs.google.com/spreadsheets/d/e/2PACX-1vQU0SIALScXx8VXDX7yKNKWWPKE1YjFlWc6VTEVSN45CklWWf-uWmprQIyLtoPDA18tX9cFDr-aQ9S6/pubhtm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/>
      <c r="B5" s="6"/>
      <c r="C5" s="6"/>
      <c r="D5" s="6"/>
      <c r="E5" s="6"/>
      <c r="F5" s="6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9" t="s">
        <v>10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 t="s">
        <v>11</v>
      </c>
      <c r="B7" s="11">
        <v>11.08</v>
      </c>
      <c r="C7" s="11">
        <v>327.0</v>
      </c>
      <c r="D7" s="11">
        <v>60.48</v>
      </c>
      <c r="E7" s="11">
        <v>51.47</v>
      </c>
      <c r="F7" s="11">
        <v>24.6</v>
      </c>
      <c r="G7" s="12">
        <v>7800.0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3" t="s">
        <v>12</v>
      </c>
      <c r="B8" s="11" t="s">
        <v>13</v>
      </c>
      <c r="C8" s="11" t="s">
        <v>14</v>
      </c>
      <c r="D8" s="11" t="s">
        <v>14</v>
      </c>
      <c r="E8" s="11" t="s">
        <v>15</v>
      </c>
      <c r="F8" s="11" t="s">
        <v>14</v>
      </c>
      <c r="G8" s="12" t="s">
        <v>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4" t="s">
        <v>16</v>
      </c>
      <c r="B9" s="15">
        <f>China!B13</f>
        <v>1.001055396</v>
      </c>
      <c r="C9" s="15">
        <f>US!B14</f>
        <v>1.359646311</v>
      </c>
      <c r="D9" s="15">
        <f>Italy!B13</f>
        <v>1.116805209</v>
      </c>
      <c r="E9" s="15">
        <f>South.Korea!B13</f>
        <v>1.012345233</v>
      </c>
      <c r="F9" s="15">
        <f>Australia!B13</f>
        <v>1.246676411</v>
      </c>
      <c r="G9" s="16">
        <f>World!B13</f>
        <v>1.123318648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11"/>
      <c r="C11" s="11"/>
      <c r="D11" s="11"/>
      <c r="E11" s="11"/>
      <c r="F11" s="11"/>
      <c r="G11" s="1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11"/>
      <c r="C12" s="11"/>
      <c r="D12" s="17" t="s">
        <v>17</v>
      </c>
      <c r="E12" s="11"/>
      <c r="F12" s="11"/>
      <c r="G12" s="1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8"/>
      <c r="B13" s="19" t="s">
        <v>5</v>
      </c>
      <c r="C13" s="19" t="s">
        <v>6</v>
      </c>
      <c r="D13" s="19" t="s">
        <v>7</v>
      </c>
      <c r="E13" s="19" t="s">
        <v>8</v>
      </c>
      <c r="F13" s="19" t="s">
        <v>9</v>
      </c>
      <c r="G13" s="20" t="s">
        <v>10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8" t="s">
        <v>18</v>
      </c>
      <c r="B14" s="21">
        <v>0.9932082502</v>
      </c>
      <c r="C14" s="22"/>
      <c r="D14" s="22"/>
      <c r="E14" s="22"/>
      <c r="F14" s="22"/>
      <c r="G14" s="23"/>
      <c r="H14" s="2"/>
      <c r="I14" s="3" t="s">
        <v>19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4" t="s">
        <v>20</v>
      </c>
      <c r="B15" s="25">
        <v>0.0</v>
      </c>
      <c r="C15" s="26">
        <f>US!D23</f>
        <v>-0.001</v>
      </c>
      <c r="D15" s="27">
        <f>Italy!D22</f>
        <v>-0.001</v>
      </c>
      <c r="E15" s="27"/>
      <c r="F15" s="28">
        <f>Australia!D22</f>
        <v>0</v>
      </c>
      <c r="G15" s="29">
        <f>World!D23</f>
        <v>-0.0055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0" t="s">
        <v>21</v>
      </c>
      <c r="B16" s="30">
        <v>45.0</v>
      </c>
      <c r="C16" s="2">
        <f>US!D24</f>
        <v>52.89145177</v>
      </c>
      <c r="D16" s="2">
        <f>Italy!D23</f>
        <v>46.18154285</v>
      </c>
      <c r="E16" s="31"/>
      <c r="F16" s="31">
        <f>Australia!D23</f>
        <v>32.35271742</v>
      </c>
      <c r="G16" s="32">
        <f>World!D24</f>
        <v>89.96499136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3" t="s">
        <v>22</v>
      </c>
      <c r="B17" s="2"/>
      <c r="C17" s="34">
        <f>US!D25</f>
        <v>1.763048392</v>
      </c>
      <c r="D17" s="35">
        <f>Italy!D24</f>
        <v>1.539384762</v>
      </c>
      <c r="E17" s="31"/>
      <c r="F17" s="35">
        <f>Australia!D24</f>
        <v>1.078423914</v>
      </c>
      <c r="G17" s="32">
        <f>G16/30</f>
        <v>2.998833045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4" t="s">
        <v>23</v>
      </c>
      <c r="B18" s="36">
        <v>43891.0</v>
      </c>
      <c r="C18" s="37">
        <v>43983.0</v>
      </c>
      <c r="D18" s="38" t="s">
        <v>24</v>
      </c>
      <c r="E18" s="27"/>
      <c r="F18" s="39">
        <v>43952.0</v>
      </c>
      <c r="G18" s="40">
        <v>44013.0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8" t="s">
        <v>25</v>
      </c>
      <c r="B19" s="41"/>
      <c r="C19" s="42">
        <f>US!D28</f>
        <v>268378.6828</v>
      </c>
      <c r="D19" s="41"/>
      <c r="E19" s="41"/>
      <c r="F19" s="41"/>
      <c r="G19" s="43">
        <f>World!D27</f>
        <v>2237951.867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3" t="s">
        <v>26</v>
      </c>
      <c r="B20" s="2"/>
      <c r="C20" s="44">
        <f>US!D30</f>
        <v>5367.573657</v>
      </c>
      <c r="D20" s="2"/>
      <c r="E20" s="2"/>
      <c r="F20" s="2"/>
      <c r="G20" s="45">
        <f>World!D29</f>
        <v>44759.03734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6" t="s">
        <v>27</v>
      </c>
      <c r="B21" s="47"/>
      <c r="C21" s="48">
        <f>US!E30</f>
        <v>13418.93414</v>
      </c>
      <c r="D21" s="47"/>
      <c r="E21" s="47"/>
      <c r="F21" s="47"/>
      <c r="G21" s="49">
        <f>World!E29</f>
        <v>111897.5934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2">
    <mergeCell ref="E4:I4"/>
    <mergeCell ref="I14:J14"/>
  </mergeCells>
  <hyperlinks>
    <hyperlink r:id="rId1" ref="B2"/>
    <hyperlink r:id="rId2" ref="B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</cols>
  <sheetData>
    <row r="1">
      <c r="A1" s="50"/>
      <c r="B1" s="1"/>
      <c r="C1" s="2"/>
      <c r="D1" s="50" t="s">
        <v>28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1"/>
      <c r="B2" s="52" t="s">
        <v>29</v>
      </c>
      <c r="C2" s="6" t="s">
        <v>30</v>
      </c>
      <c r="D2" s="50" t="s">
        <v>31</v>
      </c>
      <c r="E2" s="50" t="s">
        <v>32</v>
      </c>
      <c r="F2" s="50" t="s">
        <v>33</v>
      </c>
      <c r="G2" s="50" t="s">
        <v>34</v>
      </c>
      <c r="H2" s="50" t="s">
        <v>35</v>
      </c>
      <c r="I2" s="50" t="s">
        <v>36</v>
      </c>
      <c r="J2" s="50" t="s">
        <v>37</v>
      </c>
      <c r="K2" s="50" t="s">
        <v>38</v>
      </c>
      <c r="L2" s="50" t="s">
        <v>39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>
      <c r="A3" s="2"/>
      <c r="B3" s="53">
        <v>43907.0</v>
      </c>
      <c r="C3" s="11">
        <v>81058.0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53">
        <v>43908.0</v>
      </c>
      <c r="C4" s="11">
        <v>81102.0</v>
      </c>
      <c r="D4" s="2">
        <f t="shared" ref="D4:D12" si="1">(C4/C3)^(1/1)</f>
        <v>1.000542821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53">
        <v>43909.0</v>
      </c>
      <c r="C5" s="11">
        <v>81156.0</v>
      </c>
      <c r="D5" s="2">
        <f t="shared" si="1"/>
        <v>1.000665828</v>
      </c>
      <c r="E5" s="2">
        <f t="shared" ref="E5:E12" si="2">(C5/C3)^(1/2)</f>
        <v>1.000604323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53">
        <v>43910.0</v>
      </c>
      <c r="C6" s="11">
        <v>81250.0</v>
      </c>
      <c r="D6" s="2">
        <f t="shared" si="1"/>
        <v>1.001158263</v>
      </c>
      <c r="E6" s="2">
        <f t="shared" si="2"/>
        <v>1.000912015</v>
      </c>
      <c r="F6" s="2">
        <f t="shared" ref="F6:F12" si="3">(C6/C3)^(1/3)</f>
        <v>1.000788936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53">
        <v>43911.0</v>
      </c>
      <c r="C7" s="11">
        <v>81305.0</v>
      </c>
      <c r="D7" s="2">
        <f t="shared" si="1"/>
        <v>1.000676923</v>
      </c>
      <c r="E7" s="2">
        <f t="shared" si="2"/>
        <v>1.000917564</v>
      </c>
      <c r="F7" s="2">
        <f t="shared" si="3"/>
        <v>1.000833645</v>
      </c>
      <c r="G7" s="2">
        <f t="shared" ref="G7:G12" si="4">(C7/C3)^(1/4)</f>
        <v>1.000760931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53">
        <v>43912.0</v>
      </c>
      <c r="C8" s="11">
        <v>81435.0</v>
      </c>
      <c r="D8" s="2">
        <f t="shared" si="1"/>
        <v>1.001598918</v>
      </c>
      <c r="E8" s="2">
        <f t="shared" si="2"/>
        <v>1.001137814</v>
      </c>
      <c r="F8" s="2">
        <f t="shared" si="3"/>
        <v>1.00114463</v>
      </c>
      <c r="G8" s="2">
        <f t="shared" si="4"/>
        <v>1.001024908</v>
      </c>
      <c r="H8" s="2">
        <f t="shared" ref="H8:H12" si="5">(C8/C3)^(1/5)</f>
        <v>1.000928472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53">
        <v>43913.0</v>
      </c>
      <c r="C9" s="11">
        <v>81498.0</v>
      </c>
      <c r="D9" s="2">
        <f t="shared" si="1"/>
        <v>1.000773623</v>
      </c>
      <c r="E9" s="2">
        <f t="shared" si="2"/>
        <v>1.001186185</v>
      </c>
      <c r="F9" s="2">
        <f t="shared" si="3"/>
        <v>1.001016402</v>
      </c>
      <c r="G9" s="2">
        <f t="shared" si="4"/>
        <v>1.001051866</v>
      </c>
      <c r="H9" s="2">
        <f t="shared" si="5"/>
        <v>1.000974646</v>
      </c>
      <c r="I9" s="2">
        <f t="shared" ref="I9:I12" si="6">(C9/C3)^(1/6)</f>
        <v>1.000902663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53">
        <v>43914.0</v>
      </c>
      <c r="C10" s="11">
        <v>81591.0</v>
      </c>
      <c r="D10" s="2">
        <f t="shared" si="1"/>
        <v>1.001141132</v>
      </c>
      <c r="E10" s="2">
        <f t="shared" si="2"/>
        <v>1.000957361</v>
      </c>
      <c r="F10" s="2">
        <f t="shared" si="3"/>
        <v>1.001171167</v>
      </c>
      <c r="G10" s="2">
        <f t="shared" si="4"/>
        <v>1.001047583</v>
      </c>
      <c r="H10" s="2">
        <f t="shared" si="5"/>
        <v>1.001069718</v>
      </c>
      <c r="I10" s="2">
        <f t="shared" si="6"/>
        <v>1.001002392</v>
      </c>
      <c r="J10" s="2">
        <f t="shared" ref="J10:J12" si="7">(C10/C3)^(1/7)</f>
        <v>1.000936726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53">
        <v>43915.0</v>
      </c>
      <c r="C11" s="11">
        <v>81661.0</v>
      </c>
      <c r="D11" s="2">
        <f t="shared" si="1"/>
        <v>1.000857938</v>
      </c>
      <c r="E11" s="2">
        <f t="shared" si="2"/>
        <v>1.000999525</v>
      </c>
      <c r="F11" s="2">
        <f t="shared" si="3"/>
        <v>1.000924219</v>
      </c>
      <c r="G11" s="2">
        <f t="shared" si="4"/>
        <v>1.001092851</v>
      </c>
      <c r="H11" s="2">
        <f t="shared" si="5"/>
        <v>1.001009651</v>
      </c>
      <c r="I11" s="2">
        <f t="shared" si="6"/>
        <v>1.001034419</v>
      </c>
      <c r="J11" s="2">
        <f t="shared" si="7"/>
        <v>1.000981754</v>
      </c>
      <c r="K11" s="2">
        <f t="shared" ref="K11:K12" si="8">(C11/C3)^(1/8)</f>
        <v>1.000926877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53">
        <v>43916.0</v>
      </c>
      <c r="C12" s="11">
        <v>81782.0</v>
      </c>
      <c r="D12" s="2">
        <f t="shared" si="1"/>
        <v>1.001481735</v>
      </c>
      <c r="E12" s="2">
        <f t="shared" si="2"/>
        <v>1.001169788</v>
      </c>
      <c r="F12" s="2">
        <f t="shared" si="3"/>
        <v>1.001160236</v>
      </c>
      <c r="G12" s="2">
        <f t="shared" si="4"/>
        <v>1.001063569</v>
      </c>
      <c r="H12" s="2">
        <f t="shared" si="5"/>
        <v>1.001170616</v>
      </c>
      <c r="I12" s="2">
        <f t="shared" si="6"/>
        <v>1.001088317</v>
      </c>
      <c r="J12" s="2">
        <f t="shared" si="7"/>
        <v>1.001098309</v>
      </c>
      <c r="K12" s="2">
        <f t="shared" si="8"/>
        <v>1.001044238</v>
      </c>
      <c r="L12" s="2">
        <f>(C12/C3)^(1/6)</f>
        <v>1.001483136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28</v>
      </c>
      <c r="B13" s="54">
        <f>AVERAGE(D13:L13)</f>
        <v>1.001055396</v>
      </c>
      <c r="C13" s="2"/>
      <c r="D13" s="2">
        <f t="shared" ref="D13:L13" si="9">AVERAGE(D3:D12)</f>
        <v>1.000988576</v>
      </c>
      <c r="E13" s="2">
        <f t="shared" si="9"/>
        <v>1.000985572</v>
      </c>
      <c r="F13" s="2">
        <f t="shared" si="9"/>
        <v>1.001005605</v>
      </c>
      <c r="G13" s="2">
        <f t="shared" si="9"/>
        <v>1.001006951</v>
      </c>
      <c r="H13" s="2">
        <f t="shared" si="9"/>
        <v>1.001030621</v>
      </c>
      <c r="I13" s="2">
        <f t="shared" si="9"/>
        <v>1.001006947</v>
      </c>
      <c r="J13" s="2">
        <f t="shared" si="9"/>
        <v>1.001005596</v>
      </c>
      <c r="K13" s="2">
        <f t="shared" si="9"/>
        <v>1.000985558</v>
      </c>
      <c r="L13" s="2">
        <f t="shared" si="9"/>
        <v>1.001483136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55" t="s">
        <v>40</v>
      </c>
      <c r="C15" s="30" t="s">
        <v>41</v>
      </c>
      <c r="D15" s="30" t="s">
        <v>30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56"/>
      <c r="C16" s="11" t="s">
        <v>42</v>
      </c>
      <c r="D16" s="30">
        <v>548.0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"/>
      <c r="C17" s="57">
        <v>43832.0</v>
      </c>
      <c r="D17" s="30">
        <v>11891.0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55" t="s">
        <v>43</v>
      </c>
      <c r="C18" s="3" t="s">
        <v>44</v>
      </c>
      <c r="D18" s="2">
        <f>(D17/D16)^(1/10)</f>
        <v>1.360328453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"/>
      <c r="C19" s="3" t="s">
        <v>21</v>
      </c>
      <c r="D19" s="30">
        <v>45.0</v>
      </c>
      <c r="E19" s="55" t="s">
        <v>45</v>
      </c>
      <c r="F19" s="2"/>
      <c r="G19" s="2">
        <f>(D20/D18)^(1/45)</f>
        <v>0.9932082502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"/>
      <c r="C20" s="30" t="s">
        <v>46</v>
      </c>
      <c r="D20" s="2">
        <f>B13</f>
        <v>1.001055396</v>
      </c>
      <c r="E20" s="2"/>
      <c r="F20" s="2"/>
      <c r="G20" s="2">
        <f>D18*G19^45</f>
        <v>1.001055396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"/>
      <c r="C21" s="30" t="s">
        <v>47</v>
      </c>
      <c r="D21" s="30">
        <v>1.0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"/>
      <c r="C22" s="5" t="s">
        <v>18</v>
      </c>
      <c r="D22" s="2">
        <f>(D20/D18)^(1/45)</f>
        <v>0.9932082502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1"/>
      <c r="C24" s="58" t="s">
        <v>48</v>
      </c>
      <c r="D24" s="59">
        <f>(C12-D17)/45</f>
        <v>1553.133333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60" t="s">
        <v>49</v>
      </c>
      <c r="D27" s="60">
        <f>D22</f>
        <v>0.9932082502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0" t="s">
        <v>50</v>
      </c>
      <c r="B28" s="60" t="s">
        <v>51</v>
      </c>
      <c r="C28" s="60" t="s">
        <v>28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0">
        <v>0.0</v>
      </c>
      <c r="B29" s="61">
        <v>43862.0</v>
      </c>
      <c r="C29" s="62">
        <v>1.360328453273305</v>
      </c>
      <c r="D29" s="30">
        <v>11891.0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60">
        <v>1.0</v>
      </c>
      <c r="B30" s="63">
        <v>43863.0</v>
      </c>
      <c r="C30" s="64">
        <f t="shared" ref="C30:C82" si="10">$C$29*$D$27^A30</f>
        <v>1.351089443</v>
      </c>
      <c r="D30" s="65">
        <f>C30*D29</f>
        <v>16065.80456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60">
        <v>2.0</v>
      </c>
      <c r="B31" s="63">
        <v>43864.0</v>
      </c>
      <c r="C31" s="64">
        <f t="shared" si="10"/>
        <v>1.341913181</v>
      </c>
      <c r="D31" s="6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0">
        <v>3.0</v>
      </c>
      <c r="B32" s="63">
        <v>43865.0</v>
      </c>
      <c r="C32" s="64">
        <f t="shared" si="10"/>
        <v>1.332799243</v>
      </c>
      <c r="D32" s="6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0">
        <v>4.0</v>
      </c>
      <c r="B33" s="63">
        <v>43866.0</v>
      </c>
      <c r="C33" s="64">
        <f t="shared" si="10"/>
        <v>1.323747204</v>
      </c>
      <c r="D33" s="6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0">
        <v>5.0</v>
      </c>
      <c r="B34" s="63">
        <v>43867.0</v>
      </c>
      <c r="C34" s="64">
        <f t="shared" si="10"/>
        <v>1.314756644</v>
      </c>
      <c r="D34" s="6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60">
        <v>6.0</v>
      </c>
      <c r="B35" s="63">
        <v>43868.0</v>
      </c>
      <c r="C35" s="64">
        <f t="shared" si="10"/>
        <v>1.305827146</v>
      </c>
      <c r="D35" s="6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0">
        <v>7.0</v>
      </c>
      <c r="B36" s="63">
        <v>43869.0</v>
      </c>
      <c r="C36" s="64">
        <f t="shared" si="10"/>
        <v>1.296958295</v>
      </c>
      <c r="D36" s="6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0">
        <v>8.0</v>
      </c>
      <c r="B37" s="63">
        <v>43870.0</v>
      </c>
      <c r="C37" s="64">
        <f t="shared" si="10"/>
        <v>1.288149678</v>
      </c>
      <c r="D37" s="6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60">
        <v>9.0</v>
      </c>
      <c r="B38" s="63">
        <v>43871.0</v>
      </c>
      <c r="C38" s="64">
        <f t="shared" si="10"/>
        <v>1.279400888</v>
      </c>
      <c r="D38" s="6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0">
        <v>10.0</v>
      </c>
      <c r="B39" s="63">
        <v>43872.0</v>
      </c>
      <c r="C39" s="64">
        <f t="shared" si="10"/>
        <v>1.270711517</v>
      </c>
      <c r="D39" s="6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60">
        <v>11.0</v>
      </c>
      <c r="B40" s="63">
        <v>43873.0</v>
      </c>
      <c r="C40" s="64">
        <f t="shared" si="10"/>
        <v>1.262081163</v>
      </c>
      <c r="D40" s="6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0">
        <v>12.0</v>
      </c>
      <c r="B41" s="63">
        <v>43874.0</v>
      </c>
      <c r="C41" s="64">
        <f t="shared" si="10"/>
        <v>1.253509423</v>
      </c>
      <c r="D41" s="6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60">
        <v>13.0</v>
      </c>
      <c r="B42" s="63">
        <v>43875.0</v>
      </c>
      <c r="C42" s="64">
        <f t="shared" si="10"/>
        <v>1.244995901</v>
      </c>
      <c r="D42" s="6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60">
        <v>14.0</v>
      </c>
      <c r="B43" s="63">
        <v>43876.0</v>
      </c>
      <c r="C43" s="64">
        <f t="shared" si="10"/>
        <v>1.2365402</v>
      </c>
      <c r="D43" s="6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60">
        <v>15.0</v>
      </c>
      <c r="B44" s="63">
        <v>43877.0</v>
      </c>
      <c r="C44" s="64">
        <f t="shared" si="10"/>
        <v>1.228141929</v>
      </c>
      <c r="D44" s="6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60">
        <v>16.0</v>
      </c>
      <c r="B45" s="63">
        <v>43878.0</v>
      </c>
      <c r="C45" s="64">
        <f t="shared" si="10"/>
        <v>1.219800696</v>
      </c>
      <c r="D45" s="6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60">
        <v>17.0</v>
      </c>
      <c r="B46" s="63">
        <v>43879.0</v>
      </c>
      <c r="C46" s="64">
        <f t="shared" si="10"/>
        <v>1.211516115</v>
      </c>
      <c r="D46" s="6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60">
        <v>18.0</v>
      </c>
      <c r="B47" s="63">
        <v>43880.0</v>
      </c>
      <c r="C47" s="64">
        <f t="shared" si="10"/>
        <v>1.2032878</v>
      </c>
      <c r="D47" s="6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60">
        <v>19.0</v>
      </c>
      <c r="B48" s="63">
        <v>43881.0</v>
      </c>
      <c r="C48" s="64">
        <f t="shared" si="10"/>
        <v>1.195115371</v>
      </c>
      <c r="D48" s="6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60">
        <v>20.0</v>
      </c>
      <c r="B49" s="63">
        <v>43882.0</v>
      </c>
      <c r="C49" s="64">
        <f t="shared" si="10"/>
        <v>1.186998446</v>
      </c>
      <c r="D49" s="6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60">
        <v>21.0</v>
      </c>
      <c r="B50" s="63">
        <v>43883.0</v>
      </c>
      <c r="C50" s="64">
        <f t="shared" si="10"/>
        <v>1.17893665</v>
      </c>
      <c r="D50" s="6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60">
        <v>22.0</v>
      </c>
      <c r="B51" s="63">
        <v>43884.0</v>
      </c>
      <c r="C51" s="64">
        <f t="shared" si="10"/>
        <v>1.170929607</v>
      </c>
      <c r="D51" s="6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60">
        <v>23.0</v>
      </c>
      <c r="B52" s="63">
        <v>43885.0</v>
      </c>
      <c r="C52" s="64">
        <f t="shared" si="10"/>
        <v>1.162976946</v>
      </c>
      <c r="D52" s="6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60">
        <v>24.0</v>
      </c>
      <c r="B53" s="63">
        <v>43886.0</v>
      </c>
      <c r="C53" s="64">
        <f t="shared" si="10"/>
        <v>1.155078298</v>
      </c>
      <c r="D53" s="6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60">
        <v>25.0</v>
      </c>
      <c r="B54" s="63">
        <v>43887.0</v>
      </c>
      <c r="C54" s="64">
        <f t="shared" si="10"/>
        <v>1.147233295</v>
      </c>
      <c r="D54" s="6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60">
        <v>26.0</v>
      </c>
      <c r="B55" s="63">
        <v>43888.0</v>
      </c>
      <c r="C55" s="64">
        <f t="shared" si="10"/>
        <v>1.139441573</v>
      </c>
      <c r="D55" s="6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60">
        <v>27.0</v>
      </c>
      <c r="B56" s="63">
        <v>43889.0</v>
      </c>
      <c r="C56" s="64">
        <f t="shared" si="10"/>
        <v>1.131702771</v>
      </c>
      <c r="D56" s="6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60">
        <v>28.0</v>
      </c>
      <c r="B57" s="63">
        <v>43890.0</v>
      </c>
      <c r="C57" s="64">
        <f t="shared" si="10"/>
        <v>1.124016529</v>
      </c>
      <c r="D57" s="6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60">
        <v>29.0</v>
      </c>
      <c r="B58" s="63">
        <v>43891.0</v>
      </c>
      <c r="C58" s="64">
        <f t="shared" si="10"/>
        <v>1.11638249</v>
      </c>
      <c r="D58" s="6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60">
        <v>30.0</v>
      </c>
      <c r="B59" s="63">
        <v>43892.0</v>
      </c>
      <c r="C59" s="64">
        <f t="shared" si="10"/>
        <v>1.1088003</v>
      </c>
      <c r="D59" s="6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60">
        <v>31.0</v>
      </c>
      <c r="B60" s="63">
        <v>43893.0</v>
      </c>
      <c r="C60" s="64">
        <f t="shared" si="10"/>
        <v>1.101269605</v>
      </c>
      <c r="D60" s="6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60">
        <v>32.0</v>
      </c>
      <c r="B61" s="63">
        <v>43894.0</v>
      </c>
      <c r="C61" s="64">
        <f t="shared" si="10"/>
        <v>1.093790058</v>
      </c>
      <c r="D61" s="6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60">
        <v>33.0</v>
      </c>
      <c r="B62" s="63">
        <v>43895.0</v>
      </c>
      <c r="C62" s="64">
        <f t="shared" si="10"/>
        <v>1.086361309</v>
      </c>
      <c r="D62" s="6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60">
        <v>34.0</v>
      </c>
      <c r="B63" s="63">
        <v>43896.0</v>
      </c>
      <c r="C63" s="64">
        <f t="shared" si="10"/>
        <v>1.078983015</v>
      </c>
      <c r="D63" s="6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60">
        <v>35.0</v>
      </c>
      <c r="B64" s="63">
        <v>43897.0</v>
      </c>
      <c r="C64" s="64">
        <f t="shared" si="10"/>
        <v>1.071654833</v>
      </c>
      <c r="D64" s="6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60">
        <v>36.0</v>
      </c>
      <c r="B65" s="63">
        <v>43898.0</v>
      </c>
      <c r="C65" s="64">
        <f t="shared" si="10"/>
        <v>1.064376421</v>
      </c>
      <c r="D65" s="6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60">
        <v>37.0</v>
      </c>
      <c r="B66" s="63">
        <v>43899.0</v>
      </c>
      <c r="C66" s="64">
        <f t="shared" si="10"/>
        <v>1.057147443</v>
      </c>
      <c r="D66" s="6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60">
        <v>38.0</v>
      </c>
      <c r="B67" s="63">
        <v>43900.0</v>
      </c>
      <c r="C67" s="64">
        <f t="shared" si="10"/>
        <v>1.049967562</v>
      </c>
      <c r="D67" s="6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60">
        <v>39.0</v>
      </c>
      <c r="B68" s="63">
        <v>43901.0</v>
      </c>
      <c r="C68" s="64">
        <f t="shared" si="10"/>
        <v>1.042836445</v>
      </c>
      <c r="D68" s="6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60">
        <v>40.0</v>
      </c>
      <c r="B69" s="63">
        <v>43902.0</v>
      </c>
      <c r="C69" s="64">
        <f t="shared" si="10"/>
        <v>1.035753761</v>
      </c>
      <c r="D69" s="6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60">
        <v>41.0</v>
      </c>
      <c r="B70" s="63">
        <v>43903.0</v>
      </c>
      <c r="C70" s="64">
        <f t="shared" si="10"/>
        <v>1.02871918</v>
      </c>
      <c r="D70" s="6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60">
        <v>42.0</v>
      </c>
      <c r="B71" s="63">
        <v>43904.0</v>
      </c>
      <c r="C71" s="64">
        <f t="shared" si="10"/>
        <v>1.021732377</v>
      </c>
      <c r="D71" s="6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60">
        <v>43.0</v>
      </c>
      <c r="B72" s="63">
        <v>43905.0</v>
      </c>
      <c r="C72" s="64">
        <f t="shared" si="10"/>
        <v>1.014793026</v>
      </c>
      <c r="D72" s="6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60">
        <v>44.0</v>
      </c>
      <c r="B73" s="63">
        <v>43906.0</v>
      </c>
      <c r="C73" s="64">
        <f t="shared" si="10"/>
        <v>1.007900806</v>
      </c>
      <c r="D73" s="6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60">
        <v>45.0</v>
      </c>
      <c r="B74" s="61">
        <v>43907.0</v>
      </c>
      <c r="C74" s="62">
        <f t="shared" si="10"/>
        <v>1.001055396</v>
      </c>
      <c r="D74" s="6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60">
        <v>46.0</v>
      </c>
      <c r="B75" s="63">
        <v>43908.0</v>
      </c>
      <c r="C75" s="64">
        <f t="shared" si="10"/>
        <v>0.9942564781</v>
      </c>
      <c r="D75" s="6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60">
        <v>47.0</v>
      </c>
      <c r="B76" s="63">
        <v>43909.0</v>
      </c>
      <c r="C76" s="64">
        <f t="shared" si="10"/>
        <v>0.9875037369</v>
      </c>
      <c r="D76" s="6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60">
        <v>48.0</v>
      </c>
      <c r="B77" s="63">
        <v>43910.0</v>
      </c>
      <c r="C77" s="64">
        <f t="shared" si="10"/>
        <v>0.9807968586</v>
      </c>
      <c r="D77" s="6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60">
        <v>49.0</v>
      </c>
      <c r="B78" s="63">
        <v>43911.0</v>
      </c>
      <c r="C78" s="64">
        <f t="shared" si="10"/>
        <v>0.9741355317</v>
      </c>
      <c r="D78" s="6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60">
        <v>50.0</v>
      </c>
      <c r="B79" s="63">
        <v>43912.0</v>
      </c>
      <c r="C79" s="64">
        <f t="shared" si="10"/>
        <v>0.9675194469</v>
      </c>
      <c r="D79" s="6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60">
        <v>51.0</v>
      </c>
      <c r="B80" s="63">
        <v>43913.0</v>
      </c>
      <c r="C80" s="64">
        <f t="shared" si="10"/>
        <v>0.9609482969</v>
      </c>
      <c r="D80" s="6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60">
        <v>52.0</v>
      </c>
      <c r="B81" s="63">
        <v>43914.0</v>
      </c>
      <c r="C81" s="64">
        <f t="shared" si="10"/>
        <v>0.9544217765</v>
      </c>
      <c r="D81" s="6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60">
        <v>53.0</v>
      </c>
      <c r="B82" s="63">
        <v>43915.0</v>
      </c>
      <c r="C82" s="64">
        <f t="shared" si="10"/>
        <v>0.9479395826</v>
      </c>
      <c r="D82" s="6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D1:L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6"/>
      <c r="D1" s="66"/>
      <c r="E1" s="66"/>
      <c r="F1" s="66"/>
      <c r="G1" s="66"/>
      <c r="H1" s="66"/>
      <c r="I1" s="66"/>
      <c r="J1" s="66"/>
      <c r="K1" s="66"/>
      <c r="L1" s="66"/>
    </row>
    <row r="2">
      <c r="A2" s="66"/>
      <c r="D2" s="66" t="s">
        <v>28</v>
      </c>
    </row>
    <row r="3">
      <c r="A3" s="62"/>
      <c r="B3" s="66" t="s">
        <v>51</v>
      </c>
      <c r="C3" s="67" t="s">
        <v>30</v>
      </c>
      <c r="D3" s="50" t="s">
        <v>31</v>
      </c>
      <c r="E3" s="50" t="s">
        <v>32</v>
      </c>
      <c r="F3" s="50" t="s">
        <v>33</v>
      </c>
      <c r="G3" s="50" t="s">
        <v>34</v>
      </c>
      <c r="H3" s="50" t="s">
        <v>35</v>
      </c>
      <c r="I3" s="50" t="s">
        <v>36</v>
      </c>
      <c r="J3" s="50" t="s">
        <v>37</v>
      </c>
      <c r="K3" s="50" t="s">
        <v>38</v>
      </c>
      <c r="L3" s="50" t="s">
        <v>39</v>
      </c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>
      <c r="B4" s="68">
        <v>43907.0</v>
      </c>
      <c r="C4" s="60">
        <v>6421.0</v>
      </c>
    </row>
    <row r="5">
      <c r="B5" s="68">
        <v>43908.0</v>
      </c>
      <c r="C5" s="60">
        <v>7783.0</v>
      </c>
      <c r="D5" s="64">
        <f t="shared" ref="D5:D13" si="1">(C5/C4)^(1/1)</f>
        <v>1.212116493</v>
      </c>
    </row>
    <row r="6">
      <c r="B6" s="68">
        <v>43909.0</v>
      </c>
      <c r="C6" s="60">
        <v>13677.0</v>
      </c>
      <c r="D6" s="64">
        <f t="shared" si="1"/>
        <v>1.757291533</v>
      </c>
      <c r="E6" s="64">
        <f t="shared" ref="E6:E13" si="2">(C6/C4)^(1/2)</f>
        <v>1.459466358</v>
      </c>
    </row>
    <row r="7">
      <c r="B7" s="68">
        <v>43910.0</v>
      </c>
      <c r="C7" s="60">
        <v>19100.0</v>
      </c>
      <c r="D7" s="64">
        <f t="shared" si="1"/>
        <v>1.396505082</v>
      </c>
      <c r="E7" s="64">
        <f t="shared" si="2"/>
        <v>1.566546059</v>
      </c>
      <c r="F7" s="64">
        <f t="shared" ref="F7:F13" si="3">(C7/C4)^(1/3)</f>
        <v>1.438170024</v>
      </c>
    </row>
    <row r="8">
      <c r="B8" s="68">
        <v>43911.0</v>
      </c>
      <c r="C8" s="60">
        <v>25489.0</v>
      </c>
      <c r="D8" s="64">
        <f t="shared" si="1"/>
        <v>1.334502618</v>
      </c>
      <c r="E8" s="64">
        <f t="shared" si="2"/>
        <v>1.365151892</v>
      </c>
      <c r="F8" s="64">
        <f t="shared" si="3"/>
        <v>1.485030097</v>
      </c>
      <c r="G8" s="64">
        <f t="shared" ref="G8:G13" si="4">(C8/C4)^(1/4)</f>
        <v>1.411521611</v>
      </c>
    </row>
    <row r="9">
      <c r="B9" s="68">
        <v>43912.0</v>
      </c>
      <c r="C9" s="60">
        <v>33276.0</v>
      </c>
      <c r="D9" s="64">
        <f t="shared" si="1"/>
        <v>1.305504335</v>
      </c>
      <c r="E9" s="64">
        <f t="shared" si="2"/>
        <v>1.319923844</v>
      </c>
      <c r="F9" s="64">
        <f t="shared" si="3"/>
        <v>1.344972557</v>
      </c>
      <c r="G9" s="64">
        <f t="shared" si="4"/>
        <v>1.437957404</v>
      </c>
      <c r="H9" s="64">
        <f t="shared" ref="H9:H13" si="5">(C9/C4)^(1/5)</f>
        <v>1.389650824</v>
      </c>
    </row>
    <row r="10">
      <c r="B10" s="68">
        <v>43913.0</v>
      </c>
      <c r="C10" s="60">
        <v>43847.0</v>
      </c>
      <c r="D10" s="64">
        <f t="shared" si="1"/>
        <v>1.317676403</v>
      </c>
      <c r="E10" s="64">
        <f t="shared" si="2"/>
        <v>1.311576249</v>
      </c>
      <c r="F10" s="64">
        <f t="shared" si="3"/>
        <v>1.319174271</v>
      </c>
      <c r="G10" s="64">
        <f t="shared" si="4"/>
        <v>1.33809596</v>
      </c>
      <c r="H10" s="64">
        <f t="shared" si="5"/>
        <v>1.413053388</v>
      </c>
      <c r="I10" s="64">
        <f t="shared" ref="I10:I13" si="6">(C10/C4)^(1/6)</f>
        <v>1.377387706</v>
      </c>
    </row>
    <row r="11">
      <c r="B11" s="68">
        <v>43914.0</v>
      </c>
      <c r="C11" s="60">
        <v>53740.0</v>
      </c>
      <c r="D11" s="64">
        <f t="shared" si="1"/>
        <v>1.22562547</v>
      </c>
      <c r="E11" s="64">
        <f t="shared" si="2"/>
        <v>1.270817753</v>
      </c>
      <c r="F11" s="64">
        <f t="shared" si="3"/>
        <v>1.282276318</v>
      </c>
      <c r="G11" s="64">
        <f t="shared" si="4"/>
        <v>1.295138083</v>
      </c>
      <c r="H11" s="64">
        <f t="shared" si="5"/>
        <v>1.314805049</v>
      </c>
      <c r="I11" s="64">
        <f t="shared" si="6"/>
        <v>1.379934392</v>
      </c>
      <c r="J11" s="64">
        <f t="shared" ref="J11:J13" si="7">(C11/C4)^(1/7)</f>
        <v>1.354607795</v>
      </c>
    </row>
    <row r="12">
      <c r="B12" s="68">
        <v>43915.0</v>
      </c>
      <c r="C12" s="60">
        <v>65778.0</v>
      </c>
      <c r="D12" s="64">
        <f t="shared" si="1"/>
        <v>1.224004466</v>
      </c>
      <c r="E12" s="64">
        <f t="shared" si="2"/>
        <v>1.2248147</v>
      </c>
      <c r="F12" s="64">
        <f t="shared" si="3"/>
        <v>1.255017696</v>
      </c>
      <c r="G12" s="64">
        <f t="shared" si="4"/>
        <v>1.267453301</v>
      </c>
      <c r="H12" s="64">
        <f t="shared" si="5"/>
        <v>1.280588093</v>
      </c>
      <c r="I12" s="64">
        <f t="shared" si="6"/>
        <v>1.299216826</v>
      </c>
      <c r="J12" s="64">
        <f t="shared" si="7"/>
        <v>1.35649779</v>
      </c>
      <c r="K12" s="64">
        <f t="shared" ref="K12:K13" si="8">(C12/C4)^(1/8)</f>
        <v>1.337549149</v>
      </c>
    </row>
    <row r="13">
      <c r="B13" s="68">
        <v>43916.0</v>
      </c>
      <c r="C13" s="60">
        <v>83836.0</v>
      </c>
      <c r="D13" s="64">
        <f t="shared" si="1"/>
        <v>1.274529478</v>
      </c>
      <c r="E13" s="64">
        <f t="shared" si="2"/>
        <v>1.249011518</v>
      </c>
      <c r="F13" s="64">
        <f t="shared" si="3"/>
        <v>1.241167004</v>
      </c>
      <c r="G13" s="64">
        <f t="shared" si="4"/>
        <v>1.259867458</v>
      </c>
      <c r="H13" s="64">
        <f t="shared" si="5"/>
        <v>1.268865386</v>
      </c>
      <c r="I13" s="64">
        <f t="shared" si="6"/>
        <v>1.279576328</v>
      </c>
      <c r="J13" s="64">
        <f t="shared" si="7"/>
        <v>1.295660999</v>
      </c>
      <c r="K13" s="64">
        <f t="shared" si="8"/>
        <v>1.345970185</v>
      </c>
      <c r="L13" s="64">
        <f>(C13/C4)^(1/6)</f>
        <v>1.534515619</v>
      </c>
    </row>
    <row r="14">
      <c r="A14" s="67" t="s">
        <v>28</v>
      </c>
      <c r="B14" s="62">
        <f>AVERAGE(D14:L14)</f>
        <v>1.359646311</v>
      </c>
      <c r="D14" s="64">
        <f t="shared" ref="D14:L14" si="9">AVERAGE(D4:D13)</f>
        <v>1.338639542</v>
      </c>
      <c r="E14" s="64">
        <f t="shared" si="9"/>
        <v>1.345913547</v>
      </c>
      <c r="F14" s="64">
        <f t="shared" si="9"/>
        <v>1.337972567</v>
      </c>
      <c r="G14" s="64">
        <f t="shared" si="9"/>
        <v>1.335005636</v>
      </c>
      <c r="H14" s="64">
        <f t="shared" si="9"/>
        <v>1.333392548</v>
      </c>
      <c r="I14" s="64">
        <f t="shared" si="9"/>
        <v>1.334028813</v>
      </c>
      <c r="J14" s="64">
        <f t="shared" si="9"/>
        <v>1.335588861</v>
      </c>
      <c r="K14" s="64">
        <f t="shared" si="9"/>
        <v>1.341759667</v>
      </c>
      <c r="L14" s="62">
        <f t="shared" si="9"/>
        <v>1.534515619</v>
      </c>
    </row>
    <row r="16">
      <c r="B16" s="55" t="s">
        <v>40</v>
      </c>
      <c r="C16" s="60" t="s">
        <v>41</v>
      </c>
      <c r="D16" s="60" t="s">
        <v>30</v>
      </c>
    </row>
    <row r="17">
      <c r="C17" s="69">
        <v>43864.0</v>
      </c>
      <c r="D17" s="60">
        <v>98.0</v>
      </c>
    </row>
    <row r="18">
      <c r="C18" s="70">
        <v>44107.0</v>
      </c>
      <c r="D18" s="60">
        <v>959.0</v>
      </c>
    </row>
    <row r="19">
      <c r="B19" s="55" t="s">
        <v>43</v>
      </c>
      <c r="C19" s="71" t="s">
        <v>44</v>
      </c>
      <c r="D19" s="64">
        <f>(D18/D17)^(1/8)</f>
        <v>1.329915557</v>
      </c>
    </row>
    <row r="20">
      <c r="C20" s="60" t="s">
        <v>46</v>
      </c>
      <c r="D20" s="64">
        <f>B14</f>
        <v>1.359646311</v>
      </c>
    </row>
    <row r="21">
      <c r="C21" s="60" t="s">
        <v>47</v>
      </c>
      <c r="D21" s="60">
        <v>1.0</v>
      </c>
    </row>
    <row r="22">
      <c r="C22" s="3" t="s">
        <v>18</v>
      </c>
      <c r="D22" s="64">
        <f>Summary!B14</f>
        <v>0.9932082502</v>
      </c>
    </row>
    <row r="23">
      <c r="C23" s="60" t="s">
        <v>20</v>
      </c>
      <c r="D23" s="60">
        <v>-0.001</v>
      </c>
    </row>
    <row r="24">
      <c r="C24" s="72" t="s">
        <v>52</v>
      </c>
      <c r="D24" s="73">
        <f>log(D21/D20)/log(D22-D23)</f>
        <v>52.89145177</v>
      </c>
    </row>
    <row r="25">
      <c r="C25" s="74" t="s">
        <v>53</v>
      </c>
      <c r="D25" s="64">
        <f>D24/30</f>
        <v>1.763048392</v>
      </c>
    </row>
    <row r="27">
      <c r="C27" s="75" t="s">
        <v>54</v>
      </c>
      <c r="D27" s="76">
        <f>(C13-D17)/24</f>
        <v>3489.083333</v>
      </c>
    </row>
    <row r="28">
      <c r="C28" s="77" t="s">
        <v>55</v>
      </c>
      <c r="D28" s="78">
        <f>D27*D24 + C13</f>
        <v>268378.6828</v>
      </c>
    </row>
    <row r="29">
      <c r="C29" s="74" t="s">
        <v>56</v>
      </c>
      <c r="D29" s="60">
        <v>0.02</v>
      </c>
      <c r="E29" s="60">
        <v>0.05</v>
      </c>
    </row>
    <row r="30">
      <c r="C30" s="77" t="s">
        <v>57</v>
      </c>
      <c r="D30" s="79">
        <f>D28*D29</f>
        <v>5367.573657</v>
      </c>
      <c r="E30" s="79">
        <f>D28*E29</f>
        <v>13418.93414</v>
      </c>
    </row>
    <row r="35">
      <c r="B35" s="60" t="s">
        <v>49</v>
      </c>
      <c r="D35" s="60">
        <f>D22-D23</f>
        <v>0.9942082502</v>
      </c>
    </row>
    <row r="36">
      <c r="A36" s="60" t="s">
        <v>51</v>
      </c>
      <c r="B36" s="60" t="s">
        <v>28</v>
      </c>
    </row>
    <row r="37">
      <c r="A37" s="63">
        <v>43916.0</v>
      </c>
      <c r="B37" s="62">
        <v>1.2745294779409528</v>
      </c>
      <c r="C37" s="80">
        <v>83836.0</v>
      </c>
    </row>
    <row r="38">
      <c r="A38" s="63">
        <v>43917.0</v>
      </c>
      <c r="B38" s="64">
        <f t="shared" ref="B38:B78" si="10">B37*$D$35</f>
        <v>1.267147722</v>
      </c>
      <c r="C38" s="65">
        <f t="shared" ref="C38:C78" si="11">B38*C37</f>
        <v>106232.5964</v>
      </c>
    </row>
    <row r="39">
      <c r="A39" s="63">
        <v>43918.0</v>
      </c>
      <c r="B39" s="64">
        <f t="shared" si="10"/>
        <v>1.25980872</v>
      </c>
      <c r="C39" s="65">
        <f t="shared" si="11"/>
        <v>133832.7513</v>
      </c>
    </row>
    <row r="40">
      <c r="A40" s="63">
        <v>43919.0</v>
      </c>
      <c r="B40" s="64">
        <f t="shared" si="10"/>
        <v>1.252512223</v>
      </c>
      <c r="C40" s="65">
        <f t="shared" si="11"/>
        <v>167627.1568</v>
      </c>
    </row>
    <row r="41">
      <c r="A41" s="63">
        <v>43920.0</v>
      </c>
      <c r="B41" s="64">
        <f t="shared" si="10"/>
        <v>1.245257985</v>
      </c>
      <c r="C41" s="65">
        <f t="shared" si="11"/>
        <v>208739.0555</v>
      </c>
    </row>
    <row r="42">
      <c r="A42" s="63">
        <v>43921.0</v>
      </c>
      <c r="B42" s="64">
        <f t="shared" si="10"/>
        <v>1.238045763</v>
      </c>
      <c r="C42" s="65">
        <f t="shared" si="11"/>
        <v>258428.5031</v>
      </c>
    </row>
    <row r="43">
      <c r="A43" s="63">
        <v>43922.0</v>
      </c>
      <c r="B43" s="64">
        <f t="shared" si="10"/>
        <v>1.230875311</v>
      </c>
      <c r="C43" s="65">
        <f t="shared" si="11"/>
        <v>318093.2642</v>
      </c>
    </row>
    <row r="44">
      <c r="A44" s="63">
        <v>43923.0</v>
      </c>
      <c r="B44" s="64">
        <f t="shared" si="10"/>
        <v>1.223746389</v>
      </c>
      <c r="C44" s="65">
        <f t="shared" si="11"/>
        <v>389265.4836</v>
      </c>
    </row>
    <row r="45">
      <c r="A45" s="63">
        <v>43924.0</v>
      </c>
      <c r="B45" s="64">
        <f t="shared" si="10"/>
        <v>1.216658756</v>
      </c>
      <c r="C45" s="65">
        <f t="shared" si="11"/>
        <v>473603.2592</v>
      </c>
    </row>
    <row r="46">
      <c r="A46" s="63">
        <v>43925.0</v>
      </c>
      <c r="B46" s="64">
        <f t="shared" si="10"/>
        <v>1.209612173</v>
      </c>
      <c r="C46" s="65">
        <f t="shared" si="11"/>
        <v>572876.2677</v>
      </c>
    </row>
    <row r="47">
      <c r="A47" s="63">
        <v>43926.0</v>
      </c>
      <c r="B47" s="64">
        <f t="shared" si="10"/>
        <v>1.202606402</v>
      </c>
      <c r="C47" s="65">
        <f t="shared" si="11"/>
        <v>688944.6672</v>
      </c>
    </row>
    <row r="48">
      <c r="A48" s="63">
        <v>43927.0</v>
      </c>
      <c r="B48" s="64">
        <f t="shared" si="10"/>
        <v>1.195641207</v>
      </c>
      <c r="C48" s="65">
        <f t="shared" si="11"/>
        <v>823730.6334</v>
      </c>
    </row>
    <row r="49">
      <c r="A49" s="63">
        <v>43928.0</v>
      </c>
      <c r="B49" s="64">
        <f t="shared" si="10"/>
        <v>1.188716352</v>
      </c>
      <c r="C49" s="65">
        <f t="shared" si="11"/>
        <v>979182.0738</v>
      </c>
    </row>
    <row r="50">
      <c r="A50" s="63">
        <v>43929.0</v>
      </c>
      <c r="B50" s="64">
        <f t="shared" si="10"/>
        <v>1.181831605</v>
      </c>
      <c r="C50" s="65">
        <f t="shared" si="11"/>
        <v>1157228.321</v>
      </c>
    </row>
    <row r="51">
      <c r="A51" s="63">
        <v>43930.0</v>
      </c>
      <c r="B51" s="64">
        <f t="shared" si="10"/>
        <v>1.174986732</v>
      </c>
      <c r="C51" s="65">
        <f t="shared" si="11"/>
        <v>1359727.923</v>
      </c>
    </row>
    <row r="52">
      <c r="A52" s="63">
        <v>43931.0</v>
      </c>
      <c r="B52" s="64">
        <f t="shared" si="10"/>
        <v>1.168181502</v>
      </c>
      <c r="C52" s="65">
        <f t="shared" si="11"/>
        <v>1588409.008</v>
      </c>
    </row>
    <row r="53">
      <c r="A53" s="63">
        <v>43932.0</v>
      </c>
      <c r="B53" s="64">
        <f t="shared" si="10"/>
        <v>1.161415687</v>
      </c>
      <c r="C53" s="65">
        <f t="shared" si="11"/>
        <v>1844803.14</v>
      </c>
    </row>
    <row r="54">
      <c r="A54" s="63">
        <v>43933.0</v>
      </c>
      <c r="B54" s="64">
        <f t="shared" si="10"/>
        <v>1.154689058</v>
      </c>
      <c r="C54" s="65">
        <f t="shared" si="11"/>
        <v>2130174</v>
      </c>
    </row>
    <row r="55">
      <c r="A55" s="63">
        <v>43934.0</v>
      </c>
      <c r="B55" s="64">
        <f t="shared" si="10"/>
        <v>1.148001388</v>
      </c>
      <c r="C55" s="65">
        <f t="shared" si="11"/>
        <v>2445442.709</v>
      </c>
    </row>
    <row r="56">
      <c r="A56" s="63">
        <v>43935.0</v>
      </c>
      <c r="B56" s="64">
        <f t="shared" si="10"/>
        <v>1.141352451</v>
      </c>
      <c r="C56" s="65">
        <f t="shared" si="11"/>
        <v>2791112.031</v>
      </c>
    </row>
    <row r="57">
      <c r="A57" s="63">
        <v>43936.0</v>
      </c>
      <c r="B57" s="64">
        <f t="shared" si="10"/>
        <v>1.134742024</v>
      </c>
      <c r="C57" s="65">
        <f t="shared" si="11"/>
        <v>3167192.114</v>
      </c>
    </row>
    <row r="58">
      <c r="A58" s="63">
        <v>43937.0</v>
      </c>
      <c r="B58" s="64">
        <f t="shared" si="10"/>
        <v>1.128169882</v>
      </c>
      <c r="C58" s="65">
        <f t="shared" si="11"/>
        <v>3573130.753</v>
      </c>
    </row>
    <row r="59">
      <c r="A59" s="63">
        <v>43938.0</v>
      </c>
      <c r="B59" s="64">
        <f t="shared" si="10"/>
        <v>1.121635804</v>
      </c>
      <c r="C59" s="65">
        <f t="shared" si="11"/>
        <v>4007751.384</v>
      </c>
    </row>
    <row r="60">
      <c r="A60" s="63">
        <v>43939.0</v>
      </c>
      <c r="B60" s="64">
        <f t="shared" si="10"/>
        <v>1.11513957</v>
      </c>
      <c r="C60" s="65">
        <f t="shared" si="11"/>
        <v>4469202.156</v>
      </c>
    </row>
    <row r="61">
      <c r="A61" s="63">
        <v>43940.0</v>
      </c>
      <c r="B61" s="64">
        <f t="shared" si="10"/>
        <v>1.108680961</v>
      </c>
      <c r="C61" s="65">
        <f t="shared" si="11"/>
        <v>4954919.339</v>
      </c>
    </row>
    <row r="62">
      <c r="A62" s="63">
        <v>43941.0</v>
      </c>
      <c r="B62" s="64">
        <f t="shared" si="10"/>
        <v>1.102259758</v>
      </c>
      <c r="C62" s="65">
        <f t="shared" si="11"/>
        <v>5461608.191</v>
      </c>
    </row>
    <row r="63">
      <c r="A63" s="63">
        <v>43942.0</v>
      </c>
      <c r="B63" s="64">
        <f t="shared" si="10"/>
        <v>1.095875745</v>
      </c>
      <c r="C63" s="65">
        <f t="shared" si="11"/>
        <v>5985243.947</v>
      </c>
    </row>
    <row r="64">
      <c r="A64" s="63">
        <v>43943.0</v>
      </c>
      <c r="B64" s="64">
        <f t="shared" si="10"/>
        <v>1.089528707</v>
      </c>
      <c r="C64" s="65">
        <f t="shared" si="11"/>
        <v>6521095.099</v>
      </c>
    </row>
    <row r="65">
      <c r="A65" s="63">
        <v>43944.0</v>
      </c>
      <c r="B65" s="64">
        <f t="shared" si="10"/>
        <v>1.083218429</v>
      </c>
      <c r="C65" s="65">
        <f t="shared" si="11"/>
        <v>7063770.391</v>
      </c>
    </row>
    <row r="66">
      <c r="A66" s="63">
        <v>43945.0</v>
      </c>
      <c r="B66" s="64">
        <f t="shared" si="10"/>
        <v>1.076944699</v>
      </c>
      <c r="C66" s="65">
        <f t="shared" si="11"/>
        <v>7607290.079</v>
      </c>
    </row>
    <row r="67">
      <c r="A67" s="63">
        <v>43946.0</v>
      </c>
      <c r="B67" s="64">
        <f t="shared" si="10"/>
        <v>1.070707305</v>
      </c>
      <c r="C67" s="65">
        <f t="shared" si="11"/>
        <v>8145181.059</v>
      </c>
    </row>
    <row r="68">
      <c r="A68" s="63">
        <v>43947.0</v>
      </c>
      <c r="B68" s="64">
        <f t="shared" si="10"/>
        <v>1.064506036</v>
      </c>
      <c r="C68" s="65">
        <f t="shared" si="11"/>
        <v>8670594.404</v>
      </c>
    </row>
    <row r="69">
      <c r="A69" s="63">
        <v>43948.0</v>
      </c>
      <c r="B69" s="64">
        <f t="shared" si="10"/>
        <v>1.058340684</v>
      </c>
      <c r="C69" s="65">
        <f t="shared" si="11"/>
        <v>9176442.808</v>
      </c>
    </row>
    <row r="70">
      <c r="A70" s="63">
        <v>43949.0</v>
      </c>
      <c r="B70" s="64">
        <f t="shared" si="10"/>
        <v>1.052211039</v>
      </c>
      <c r="C70" s="65">
        <f t="shared" si="11"/>
        <v>9655554.423</v>
      </c>
    </row>
    <row r="71">
      <c r="A71" s="63">
        <v>43950.0</v>
      </c>
      <c r="B71" s="64">
        <f t="shared" si="10"/>
        <v>1.046116896</v>
      </c>
      <c r="C71" s="65">
        <f t="shared" si="11"/>
        <v>10100838.62</v>
      </c>
    </row>
    <row r="72">
      <c r="A72" s="63">
        <v>43951.0</v>
      </c>
      <c r="B72" s="64">
        <f t="shared" si="10"/>
        <v>1.040058049</v>
      </c>
      <c r="C72" s="65">
        <f t="shared" si="11"/>
        <v>10505458.51</v>
      </c>
    </row>
    <row r="73">
      <c r="A73" s="63">
        <v>43952.0</v>
      </c>
      <c r="B73" s="64">
        <f t="shared" si="10"/>
        <v>1.034034293</v>
      </c>
      <c r="C73" s="65">
        <f t="shared" si="11"/>
        <v>10863004.36</v>
      </c>
    </row>
    <row r="74">
      <c r="A74" s="63">
        <v>43953.0</v>
      </c>
      <c r="B74" s="64">
        <f t="shared" si="10"/>
        <v>1.028045425</v>
      </c>
      <c r="C74" s="65">
        <f t="shared" si="11"/>
        <v>11167661.93</v>
      </c>
    </row>
    <row r="75">
      <c r="A75" s="63">
        <v>43954.0</v>
      </c>
      <c r="B75" s="64">
        <f t="shared" si="10"/>
        <v>1.022091243</v>
      </c>
      <c r="C75" s="65">
        <f t="shared" si="11"/>
        <v>11414369.46</v>
      </c>
    </row>
    <row r="76">
      <c r="A76" s="63">
        <v>43955.0</v>
      </c>
      <c r="B76" s="64">
        <f t="shared" si="10"/>
        <v>1.016171546</v>
      </c>
      <c r="C76" s="65">
        <f t="shared" si="11"/>
        <v>11598957.47</v>
      </c>
    </row>
    <row r="77">
      <c r="A77" s="63">
        <v>43956.0</v>
      </c>
      <c r="B77" s="64">
        <f t="shared" si="10"/>
        <v>1.010286135</v>
      </c>
      <c r="C77" s="65">
        <f t="shared" si="11"/>
        <v>11718265.91</v>
      </c>
    </row>
    <row r="78">
      <c r="A78" s="63">
        <v>43957.0</v>
      </c>
      <c r="B78" s="64">
        <f t="shared" si="10"/>
        <v>1.00443481</v>
      </c>
      <c r="C78" s="65">
        <f t="shared" si="11"/>
        <v>11770234.19</v>
      </c>
    </row>
    <row r="88">
      <c r="A88" s="63"/>
    </row>
  </sheetData>
  <mergeCells count="1">
    <mergeCell ref="D2:L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6"/>
      <c r="D1" s="66" t="s">
        <v>28</v>
      </c>
    </row>
    <row r="2">
      <c r="A2" s="62"/>
      <c r="B2" s="66" t="s">
        <v>51</v>
      </c>
      <c r="C2" s="67" t="s">
        <v>30</v>
      </c>
      <c r="D2" s="50" t="s">
        <v>31</v>
      </c>
      <c r="E2" s="50" t="s">
        <v>32</v>
      </c>
      <c r="F2" s="50" t="s">
        <v>33</v>
      </c>
      <c r="G2" s="50" t="s">
        <v>34</v>
      </c>
      <c r="H2" s="50" t="s">
        <v>35</v>
      </c>
      <c r="I2" s="50" t="s">
        <v>36</v>
      </c>
      <c r="J2" s="50" t="s">
        <v>37</v>
      </c>
      <c r="K2" s="50" t="s">
        <v>38</v>
      </c>
      <c r="L2" s="50" t="s">
        <v>39</v>
      </c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B3" s="81">
        <v>43907.0</v>
      </c>
      <c r="C3" s="82">
        <v>31506.0</v>
      </c>
    </row>
    <row r="4">
      <c r="B4" s="81">
        <v>43908.0</v>
      </c>
      <c r="C4" s="82">
        <v>35713.0</v>
      </c>
      <c r="D4" s="64">
        <f t="shared" ref="D4:D12" si="1">(C4/C3)^(1/1)</f>
        <v>1.133530121</v>
      </c>
    </row>
    <row r="5">
      <c r="B5" s="81">
        <v>43909.0</v>
      </c>
      <c r="C5" s="82">
        <v>41035.0</v>
      </c>
      <c r="D5" s="64">
        <f t="shared" si="1"/>
        <v>1.149021365</v>
      </c>
      <c r="E5" s="64">
        <f t="shared" ref="E5:E12" si="2">(C5/C3)^(1/2)</f>
        <v>1.141249459</v>
      </c>
    </row>
    <row r="6">
      <c r="B6" s="81">
        <v>43910.0</v>
      </c>
      <c r="C6" s="82">
        <v>47021.0</v>
      </c>
      <c r="D6" s="64">
        <f t="shared" si="1"/>
        <v>1.145875472</v>
      </c>
      <c r="E6" s="64">
        <f t="shared" si="2"/>
        <v>1.14744734</v>
      </c>
      <c r="F6" s="64">
        <f t="shared" ref="F6:F12" si="3">(C6/C3)^(1/3)</f>
        <v>1.142789384</v>
      </c>
    </row>
    <row r="7">
      <c r="B7" s="81">
        <v>43911.0</v>
      </c>
      <c r="C7" s="82">
        <v>53578.0</v>
      </c>
      <c r="D7" s="64">
        <f t="shared" si="1"/>
        <v>1.139448332</v>
      </c>
      <c r="E7" s="64">
        <f t="shared" si="2"/>
        <v>1.142657383</v>
      </c>
      <c r="F7" s="64">
        <f t="shared" si="3"/>
        <v>1.144774784</v>
      </c>
      <c r="G7" s="64">
        <f t="shared" ref="G7:G12" si="4">(C7/C3)^(1/4)</f>
        <v>1.141953204</v>
      </c>
    </row>
    <row r="8">
      <c r="B8" s="81">
        <v>43912.0</v>
      </c>
      <c r="C8" s="82">
        <v>59138.0</v>
      </c>
      <c r="D8" s="64">
        <f t="shared" si="1"/>
        <v>1.103773937</v>
      </c>
      <c r="E8" s="64">
        <f t="shared" si="2"/>
        <v>1.121469291</v>
      </c>
      <c r="F8" s="64">
        <f t="shared" si="3"/>
        <v>1.129546372</v>
      </c>
      <c r="G8" s="64">
        <f t="shared" si="4"/>
        <v>1.134383954</v>
      </c>
      <c r="H8" s="64">
        <f t="shared" ref="H8:H12" si="5">(C8/C3)^(1/5)</f>
        <v>1.134213136</v>
      </c>
    </row>
    <row r="9">
      <c r="B9" s="81">
        <v>43913.0</v>
      </c>
      <c r="C9" s="82">
        <v>63927.0</v>
      </c>
      <c r="D9" s="64">
        <f t="shared" si="1"/>
        <v>1.08098008</v>
      </c>
      <c r="E9" s="64">
        <f t="shared" si="2"/>
        <v>1.092317554</v>
      </c>
      <c r="F9" s="64">
        <f t="shared" si="3"/>
        <v>1.107807126</v>
      </c>
      <c r="G9" s="64">
        <f t="shared" si="4"/>
        <v>1.117203973</v>
      </c>
      <c r="H9" s="64">
        <f t="shared" si="5"/>
        <v>1.123496175</v>
      </c>
      <c r="I9" s="64">
        <f t="shared" ref="I9:I12" si="6">(C9/C3)^(1/6)</f>
        <v>1.12516231</v>
      </c>
    </row>
    <row r="10">
      <c r="B10" s="81">
        <v>43914.0</v>
      </c>
      <c r="C10" s="82">
        <v>69176.0</v>
      </c>
      <c r="D10" s="64">
        <f t="shared" si="1"/>
        <v>1.082109281</v>
      </c>
      <c r="E10" s="64">
        <f t="shared" si="2"/>
        <v>1.081544533</v>
      </c>
      <c r="F10" s="64">
        <f t="shared" si="3"/>
        <v>1.088904141</v>
      </c>
      <c r="G10" s="64">
        <f t="shared" si="4"/>
        <v>1.10132601</v>
      </c>
      <c r="H10" s="64">
        <f t="shared" si="5"/>
        <v>1.110095141</v>
      </c>
      <c r="I10" s="64">
        <f t="shared" si="6"/>
        <v>1.116490037</v>
      </c>
      <c r="J10" s="64">
        <f t="shared" ref="J10:J12" si="7">(C10/C3)^(1/7)</f>
        <v>1.118908561</v>
      </c>
    </row>
    <row r="11">
      <c r="B11" s="81">
        <v>43915.0</v>
      </c>
      <c r="C11" s="82">
        <v>74386.0</v>
      </c>
      <c r="D11" s="64">
        <f t="shared" si="1"/>
        <v>1.075315138</v>
      </c>
      <c r="E11" s="64">
        <f t="shared" si="2"/>
        <v>1.078706861</v>
      </c>
      <c r="F11" s="64">
        <f t="shared" si="3"/>
        <v>1.079464069</v>
      </c>
      <c r="G11" s="64">
        <f t="shared" si="4"/>
        <v>1.085490875</v>
      </c>
      <c r="H11" s="64">
        <f t="shared" si="5"/>
        <v>1.096073982</v>
      </c>
      <c r="I11" s="64">
        <f t="shared" si="6"/>
        <v>1.10422132</v>
      </c>
      <c r="J11" s="64">
        <f t="shared" si="7"/>
        <v>1.11051276</v>
      </c>
      <c r="K11" s="64">
        <f t="shared" ref="K11:K12" si="8">(C11/C3)^(1/8)</f>
        <v>1.113364173</v>
      </c>
    </row>
    <row r="12">
      <c r="B12" s="81">
        <v>43916.0</v>
      </c>
      <c r="C12" s="82">
        <v>80589.0</v>
      </c>
      <c r="D12" s="64">
        <f t="shared" si="1"/>
        <v>1.083389347</v>
      </c>
      <c r="E12" s="64">
        <f t="shared" si="2"/>
        <v>1.079344693</v>
      </c>
      <c r="F12" s="64">
        <f t="shared" si="3"/>
        <v>1.080265436</v>
      </c>
      <c r="G12" s="64">
        <f t="shared" si="4"/>
        <v>1.080444053</v>
      </c>
      <c r="H12" s="64">
        <f t="shared" si="5"/>
        <v>1.085070244</v>
      </c>
      <c r="I12" s="64">
        <f t="shared" si="6"/>
        <v>1.09394961</v>
      </c>
      <c r="J12" s="64">
        <f t="shared" si="7"/>
        <v>1.101220977</v>
      </c>
      <c r="K12" s="64">
        <f t="shared" si="8"/>
        <v>1.107085542</v>
      </c>
      <c r="L12" s="64">
        <f>(C12/C3)^(1/6)</f>
        <v>1.169446656</v>
      </c>
    </row>
    <row r="13">
      <c r="A13" s="67" t="s">
        <v>28</v>
      </c>
      <c r="B13" s="62">
        <f>AVERAGE(D13:L13)</f>
        <v>1.116805209</v>
      </c>
      <c r="D13" s="64">
        <f t="shared" ref="D13:L13" si="9">AVERAGE(D3:D12)</f>
        <v>1.110382564</v>
      </c>
      <c r="E13" s="64">
        <f t="shared" si="9"/>
        <v>1.110592139</v>
      </c>
      <c r="F13" s="64">
        <f t="shared" si="9"/>
        <v>1.11050733</v>
      </c>
      <c r="G13" s="64">
        <f t="shared" si="9"/>
        <v>1.110133678</v>
      </c>
      <c r="H13" s="64">
        <f t="shared" si="9"/>
        <v>1.109789736</v>
      </c>
      <c r="I13" s="64">
        <f t="shared" si="9"/>
        <v>1.109955819</v>
      </c>
      <c r="J13" s="64">
        <f t="shared" si="9"/>
        <v>1.110214099</v>
      </c>
      <c r="K13" s="64">
        <f t="shared" si="9"/>
        <v>1.110224858</v>
      </c>
      <c r="L13" s="64">
        <f t="shared" si="9"/>
        <v>1.169446656</v>
      </c>
    </row>
    <row r="15">
      <c r="B15" s="55" t="s">
        <v>40</v>
      </c>
      <c r="C15" s="60" t="s">
        <v>41</v>
      </c>
      <c r="D15" s="60" t="s">
        <v>30</v>
      </c>
    </row>
    <row r="16">
      <c r="B16" s="55"/>
      <c r="C16" s="11" t="s">
        <v>58</v>
      </c>
      <c r="D16" s="11">
        <v>62.0</v>
      </c>
      <c r="E16" s="83"/>
    </row>
    <row r="17">
      <c r="C17" s="70">
        <v>43833.0</v>
      </c>
      <c r="D17" s="84">
        <v>1694.0</v>
      </c>
      <c r="E17" s="69"/>
    </row>
    <row r="18">
      <c r="B18" s="55" t="s">
        <v>43</v>
      </c>
      <c r="C18" s="71" t="s">
        <v>44</v>
      </c>
      <c r="D18" s="85">
        <f>(D17/D16)^(1/8)</f>
        <v>1.512046734</v>
      </c>
    </row>
    <row r="19">
      <c r="C19" s="60" t="s">
        <v>46</v>
      </c>
      <c r="D19" s="64">
        <f>B13</f>
        <v>1.116805209</v>
      </c>
    </row>
    <row r="20">
      <c r="C20" s="60" t="s">
        <v>47</v>
      </c>
      <c r="D20" s="60">
        <v>1.0</v>
      </c>
    </row>
    <row r="21">
      <c r="C21" s="3" t="s">
        <v>18</v>
      </c>
      <c r="D21" s="64">
        <f>Summary!B14</f>
        <v>0.9932082502</v>
      </c>
    </row>
    <row r="22">
      <c r="C22" s="60" t="s">
        <v>20</v>
      </c>
      <c r="D22" s="60">
        <v>-0.001</v>
      </c>
    </row>
    <row r="23">
      <c r="C23" s="72" t="s">
        <v>52</v>
      </c>
      <c r="D23" s="73">
        <f>log(D20/D18)/log(D21-D22)-25</f>
        <v>46.18154285</v>
      </c>
    </row>
    <row r="24">
      <c r="C24" s="74" t="s">
        <v>53</v>
      </c>
      <c r="D24" s="64">
        <f>D23/30</f>
        <v>1.539384762</v>
      </c>
    </row>
    <row r="26">
      <c r="C26" s="86" t="s">
        <v>54</v>
      </c>
      <c r="D26" s="59">
        <f>(C12-D16)/34</f>
        <v>2368.441176</v>
      </c>
    </row>
    <row r="27">
      <c r="C27" s="87" t="s">
        <v>55</v>
      </c>
      <c r="D27" s="78">
        <f>D26*D23 + D17</f>
        <v>111072.2677</v>
      </c>
    </row>
    <row r="28">
      <c r="C28" s="71" t="s">
        <v>56</v>
      </c>
      <c r="D28" s="60">
        <v>0.9</v>
      </c>
      <c r="E28" s="88">
        <v>0.12</v>
      </c>
    </row>
    <row r="29">
      <c r="C29" s="77" t="s">
        <v>57</v>
      </c>
      <c r="D29" s="79">
        <f>D27*D28</f>
        <v>99965.04091</v>
      </c>
      <c r="E29" s="79">
        <f>D27*E28</f>
        <v>13328.67212</v>
      </c>
    </row>
  </sheetData>
  <mergeCells count="1">
    <mergeCell ref="D1:L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6"/>
      <c r="D1" s="66" t="s">
        <v>28</v>
      </c>
    </row>
    <row r="2">
      <c r="A2" s="62"/>
      <c r="B2" s="66" t="s">
        <v>51</v>
      </c>
      <c r="C2" s="67" t="s">
        <v>30</v>
      </c>
      <c r="D2" s="50" t="s">
        <v>31</v>
      </c>
      <c r="E2" s="50" t="s">
        <v>32</v>
      </c>
      <c r="F2" s="50" t="s">
        <v>33</v>
      </c>
      <c r="G2" s="50" t="s">
        <v>34</v>
      </c>
      <c r="H2" s="50" t="s">
        <v>35</v>
      </c>
      <c r="I2" s="50" t="s">
        <v>36</v>
      </c>
      <c r="J2" s="50" t="s">
        <v>37</v>
      </c>
      <c r="K2" s="50" t="s">
        <v>38</v>
      </c>
      <c r="L2" s="50" t="s">
        <v>39</v>
      </c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B3" s="68">
        <v>43907.0</v>
      </c>
      <c r="C3" s="60">
        <v>8320.0</v>
      </c>
      <c r="D3" s="89"/>
      <c r="E3" s="89"/>
      <c r="F3" s="89"/>
      <c r="G3" s="89"/>
      <c r="H3" s="89"/>
      <c r="I3" s="89"/>
      <c r="J3" s="89"/>
      <c r="K3" s="89"/>
      <c r="L3" s="89"/>
    </row>
    <row r="4">
      <c r="B4" s="68">
        <v>43908.0</v>
      </c>
      <c r="C4" s="60">
        <v>8413.0</v>
      </c>
      <c r="D4" s="89">
        <f t="shared" ref="D4:D12" si="1">(C4/C3)^(1/1)</f>
        <v>1.011177885</v>
      </c>
      <c r="E4" s="89"/>
      <c r="F4" s="89"/>
      <c r="G4" s="89"/>
      <c r="H4" s="89"/>
      <c r="I4" s="89"/>
      <c r="J4" s="89"/>
      <c r="K4" s="89"/>
      <c r="L4" s="89"/>
    </row>
    <row r="5">
      <c r="B5" s="68">
        <v>43909.0</v>
      </c>
      <c r="C5" s="60">
        <v>8565.0</v>
      </c>
      <c r="D5" s="89">
        <f t="shared" si="1"/>
        <v>1.018067277</v>
      </c>
      <c r="E5" s="89">
        <f t="shared" ref="E5:E12" si="2">(C5/C3)^(1/2)</f>
        <v>1.014616733</v>
      </c>
      <c r="F5" s="89"/>
      <c r="G5" s="89"/>
      <c r="H5" s="89"/>
      <c r="I5" s="89"/>
      <c r="J5" s="89"/>
      <c r="K5" s="89"/>
      <c r="L5" s="89"/>
    </row>
    <row r="6">
      <c r="B6" s="68">
        <v>43910.0</v>
      </c>
      <c r="C6" s="60">
        <v>8652.0</v>
      </c>
      <c r="D6" s="89">
        <f t="shared" si="1"/>
        <v>1.010157618</v>
      </c>
      <c r="E6" s="89">
        <f t="shared" si="2"/>
        <v>1.014104736</v>
      </c>
      <c r="F6" s="89">
        <f t="shared" ref="F6:F12" si="3">(C6/C3)^(1/3)</f>
        <v>1.013128179</v>
      </c>
      <c r="G6" s="89"/>
      <c r="H6" s="89"/>
      <c r="I6" s="89"/>
      <c r="J6" s="89"/>
      <c r="K6" s="89"/>
      <c r="L6" s="89"/>
    </row>
    <row r="7">
      <c r="B7" s="68">
        <v>43911.0</v>
      </c>
      <c r="C7" s="60">
        <v>8799.0</v>
      </c>
      <c r="D7" s="89">
        <f t="shared" si="1"/>
        <v>1.016990291</v>
      </c>
      <c r="E7" s="89">
        <f t="shared" si="2"/>
        <v>1.013568197</v>
      </c>
      <c r="F7" s="89">
        <f t="shared" si="3"/>
        <v>1.015065677</v>
      </c>
      <c r="G7" s="89">
        <f t="shared" ref="G7:G12" si="4">(C7/C3)^(1/4)</f>
        <v>1.01409233</v>
      </c>
      <c r="H7" s="89"/>
      <c r="I7" s="89"/>
      <c r="J7" s="89"/>
      <c r="K7" s="89"/>
      <c r="L7" s="89"/>
    </row>
    <row r="8">
      <c r="B8" s="68">
        <v>43912.0</v>
      </c>
      <c r="C8" s="60">
        <v>8961.0</v>
      </c>
      <c r="D8" s="89">
        <f t="shared" si="1"/>
        <v>1.018411183</v>
      </c>
      <c r="E8" s="89">
        <f t="shared" si="2"/>
        <v>1.017700489</v>
      </c>
      <c r="F8" s="89">
        <f t="shared" si="3"/>
        <v>1.015179961</v>
      </c>
      <c r="G8" s="89">
        <f t="shared" si="4"/>
        <v>1.015901022</v>
      </c>
      <c r="H8" s="89">
        <f t="shared" ref="H8:H12" si="5">(C8/C3)^(1/5)</f>
        <v>1.014954633</v>
      </c>
      <c r="I8" s="89"/>
      <c r="J8" s="89"/>
      <c r="K8" s="89"/>
      <c r="L8" s="89"/>
    </row>
    <row r="9">
      <c r="B9" s="68">
        <v>43913.0</v>
      </c>
      <c r="C9" s="60">
        <v>8961.0</v>
      </c>
      <c r="D9" s="89">
        <f t="shared" si="1"/>
        <v>1</v>
      </c>
      <c r="E9" s="89">
        <f t="shared" si="2"/>
        <v>1.009163606</v>
      </c>
      <c r="F9" s="89">
        <f t="shared" si="3"/>
        <v>1.011765785</v>
      </c>
      <c r="G9" s="89">
        <f t="shared" si="4"/>
        <v>1.011363504</v>
      </c>
      <c r="H9" s="89">
        <f t="shared" si="5"/>
        <v>1.012700718</v>
      </c>
      <c r="I9" s="89">
        <f t="shared" ref="I9:I12" si="6">(C9/C3)^(1/6)</f>
        <v>1.012446753</v>
      </c>
      <c r="J9" s="89"/>
      <c r="K9" s="89"/>
      <c r="L9" s="89"/>
    </row>
    <row r="10">
      <c r="B10" s="68">
        <v>43914.0</v>
      </c>
      <c r="C10" s="60">
        <v>9037.0</v>
      </c>
      <c r="D10" s="89">
        <f t="shared" si="1"/>
        <v>1.008481196</v>
      </c>
      <c r="E10" s="89">
        <f t="shared" si="2"/>
        <v>1.004231645</v>
      </c>
      <c r="F10" s="89">
        <f t="shared" si="3"/>
        <v>1.008936085</v>
      </c>
      <c r="G10" s="89">
        <f t="shared" si="4"/>
        <v>1.010943636</v>
      </c>
      <c r="H10" s="89">
        <f t="shared" si="5"/>
        <v>1.010786384</v>
      </c>
      <c r="I10" s="89">
        <f t="shared" si="6"/>
        <v>1.01199624</v>
      </c>
      <c r="J10" s="89">
        <f t="shared" ref="J10:J12" si="7">(C10/C3)^(1/7)</f>
        <v>1.011879292</v>
      </c>
      <c r="K10" s="89"/>
      <c r="L10" s="89"/>
    </row>
    <row r="11">
      <c r="B11" s="68">
        <v>43915.0</v>
      </c>
      <c r="C11" s="60">
        <v>9137.0</v>
      </c>
      <c r="D11" s="89">
        <f t="shared" si="1"/>
        <v>1.011065619</v>
      </c>
      <c r="E11" s="89">
        <f t="shared" si="2"/>
        <v>1.009772581</v>
      </c>
      <c r="F11" s="89">
        <f t="shared" si="3"/>
        <v>1.006504488</v>
      </c>
      <c r="G11" s="89">
        <f t="shared" si="4"/>
        <v>1.009468047</v>
      </c>
      <c r="H11" s="89">
        <f t="shared" si="5"/>
        <v>1.010968032</v>
      </c>
      <c r="I11" s="89">
        <f t="shared" si="6"/>
        <v>1.010832918</v>
      </c>
      <c r="J11" s="89">
        <f t="shared" si="7"/>
        <v>1.011863242</v>
      </c>
      <c r="K11" s="89">
        <f t="shared" ref="K11:K12" si="8">(C11/C3)^(1/8)</f>
        <v>1.011777547</v>
      </c>
      <c r="L11" s="89"/>
    </row>
    <row r="12">
      <c r="B12" s="68">
        <v>43916.0</v>
      </c>
      <c r="C12" s="60">
        <v>9241.0</v>
      </c>
      <c r="D12" s="89">
        <f t="shared" si="1"/>
        <v>1.011382292</v>
      </c>
      <c r="E12" s="89">
        <f t="shared" si="2"/>
        <v>1.011223943</v>
      </c>
      <c r="F12" s="89">
        <f t="shared" si="3"/>
        <v>1.010308866</v>
      </c>
      <c r="G12" s="89">
        <f t="shared" si="4"/>
        <v>1.007721729</v>
      </c>
      <c r="H12" s="89">
        <f t="shared" si="5"/>
        <v>1.009850606</v>
      </c>
      <c r="I12" s="89">
        <f t="shared" si="6"/>
        <v>1.011037063</v>
      </c>
      <c r="J12" s="89">
        <f t="shared" si="7"/>
        <v>1.010911381</v>
      </c>
      <c r="K12" s="89">
        <f t="shared" si="8"/>
        <v>1.01180311</v>
      </c>
      <c r="L12" s="89">
        <f>(C12/C3)^(1/6)</f>
        <v>1.017651961</v>
      </c>
    </row>
    <row r="13">
      <c r="A13" s="67" t="s">
        <v>28</v>
      </c>
      <c r="B13" s="90">
        <f>AVERAGE(D13:L13)</f>
        <v>1.012345233</v>
      </c>
      <c r="D13" s="89">
        <f t="shared" ref="D13:L13" si="9">AVERAGE(D3:D12)</f>
        <v>1.011748151</v>
      </c>
      <c r="E13" s="89">
        <f t="shared" si="9"/>
        <v>1.011797741</v>
      </c>
      <c r="F13" s="89">
        <f t="shared" si="9"/>
        <v>1.011555577</v>
      </c>
      <c r="G13" s="89">
        <f t="shared" si="9"/>
        <v>1.011581711</v>
      </c>
      <c r="H13" s="89">
        <f t="shared" si="9"/>
        <v>1.011852074</v>
      </c>
      <c r="I13" s="89">
        <f t="shared" si="9"/>
        <v>1.011578243</v>
      </c>
      <c r="J13" s="89">
        <f t="shared" si="9"/>
        <v>1.011551305</v>
      </c>
      <c r="K13" s="89">
        <f t="shared" si="9"/>
        <v>1.011790329</v>
      </c>
      <c r="L13" s="89">
        <f t="shared" si="9"/>
        <v>1.017651961</v>
      </c>
    </row>
    <row r="15">
      <c r="B15" s="55" t="s">
        <v>40</v>
      </c>
      <c r="C15" s="60" t="s">
        <v>41</v>
      </c>
      <c r="D15" s="60" t="s">
        <v>30</v>
      </c>
    </row>
    <row r="16">
      <c r="C16" s="11" t="s">
        <v>59</v>
      </c>
      <c r="D16" s="60">
        <v>31.0</v>
      </c>
    </row>
    <row r="17">
      <c r="C17" s="60" t="s">
        <v>60</v>
      </c>
      <c r="D17" s="60">
        <v>3150.0</v>
      </c>
    </row>
    <row r="18">
      <c r="B18" s="55" t="s">
        <v>43</v>
      </c>
      <c r="C18" s="71" t="s">
        <v>44</v>
      </c>
      <c r="D18" s="85">
        <f>(D17/D16)^(1/10)</f>
        <v>1.587431106</v>
      </c>
    </row>
    <row r="19">
      <c r="C19" s="60" t="s">
        <v>46</v>
      </c>
      <c r="D19" s="89">
        <f>B13</f>
        <v>1.012345233</v>
      </c>
    </row>
    <row r="20">
      <c r="C20" s="60" t="s">
        <v>47</v>
      </c>
      <c r="D20" s="60">
        <v>1.0</v>
      </c>
    </row>
    <row r="21">
      <c r="C21" s="3" t="s">
        <v>18</v>
      </c>
      <c r="D21" s="64">
        <f>Summary!B14</f>
        <v>0.9932082502</v>
      </c>
    </row>
    <row r="22">
      <c r="C22" s="60" t="s">
        <v>20</v>
      </c>
      <c r="D22" s="60">
        <v>0.01</v>
      </c>
    </row>
    <row r="23">
      <c r="C23" s="72" t="s">
        <v>52</v>
      </c>
      <c r="D23" s="73">
        <f>log(D20/D18)/log(D21-D22)-10</f>
        <v>17.28877161</v>
      </c>
    </row>
    <row r="24">
      <c r="C24" s="74" t="s">
        <v>53</v>
      </c>
      <c r="D24" s="64">
        <f>D23/30</f>
        <v>0.5762923872</v>
      </c>
    </row>
    <row r="26">
      <c r="C26" s="55" t="s">
        <v>54</v>
      </c>
      <c r="D26" s="59">
        <f>(C12-D16)/36</f>
        <v>255.8333333</v>
      </c>
    </row>
    <row r="27">
      <c r="C27" s="77" t="s">
        <v>55</v>
      </c>
      <c r="D27" s="78">
        <f>D26*D23 + C12</f>
        <v>13664.04407</v>
      </c>
    </row>
  </sheetData>
  <mergeCells count="1">
    <mergeCell ref="D1:L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6"/>
      <c r="D1" s="66" t="s">
        <v>28</v>
      </c>
    </row>
    <row r="2">
      <c r="A2" s="62"/>
      <c r="B2" s="66" t="s">
        <v>51</v>
      </c>
      <c r="C2" s="67" t="s">
        <v>30</v>
      </c>
      <c r="D2" s="50" t="s">
        <v>31</v>
      </c>
      <c r="E2" s="50" t="s">
        <v>32</v>
      </c>
      <c r="F2" s="50" t="s">
        <v>33</v>
      </c>
      <c r="G2" s="50" t="s">
        <v>34</v>
      </c>
      <c r="H2" s="50" t="s">
        <v>35</v>
      </c>
      <c r="I2" s="50" t="s">
        <v>36</v>
      </c>
      <c r="J2" s="50" t="s">
        <v>37</v>
      </c>
      <c r="K2" s="50" t="s">
        <v>38</v>
      </c>
      <c r="L2" s="50" t="s">
        <v>39</v>
      </c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B3" s="68">
        <v>43907.0</v>
      </c>
      <c r="C3" s="60">
        <v>452.0</v>
      </c>
    </row>
    <row r="4">
      <c r="B4" s="68">
        <v>43908.0</v>
      </c>
      <c r="C4" s="60">
        <v>568.0</v>
      </c>
      <c r="D4" s="64">
        <f t="shared" ref="D4:D12" si="1">(C4/C3)^(1/1)</f>
        <v>1.256637168</v>
      </c>
    </row>
    <row r="5">
      <c r="B5" s="68">
        <v>43909.0</v>
      </c>
      <c r="C5" s="60">
        <v>681.0</v>
      </c>
      <c r="D5" s="64">
        <f t="shared" si="1"/>
        <v>1.198943662</v>
      </c>
      <c r="E5" s="64">
        <f t="shared" ref="E5:E12" si="2">(C5/C3)^(1/2)</f>
        <v>1.227451493</v>
      </c>
    </row>
    <row r="6">
      <c r="B6" s="68">
        <v>43910.0</v>
      </c>
      <c r="C6" s="60">
        <v>791.0</v>
      </c>
      <c r="D6" s="64">
        <f t="shared" si="1"/>
        <v>1.161527166</v>
      </c>
      <c r="E6" s="64">
        <f t="shared" si="2"/>
        <v>1.18008713</v>
      </c>
      <c r="F6" s="64">
        <f t="shared" ref="F6:F12" si="3">(C6/C3)^(1/3)</f>
        <v>1.205071132</v>
      </c>
    </row>
    <row r="7">
      <c r="B7" s="68">
        <v>43911.0</v>
      </c>
      <c r="C7" s="60">
        <v>1071.0</v>
      </c>
      <c r="D7" s="64">
        <f t="shared" si="1"/>
        <v>1.353982301</v>
      </c>
      <c r="E7" s="64">
        <f t="shared" si="2"/>
        <v>1.25406827</v>
      </c>
      <c r="F7" s="64">
        <f t="shared" si="3"/>
        <v>1.235417394</v>
      </c>
      <c r="G7" s="64">
        <f t="shared" ref="G7:G12" si="4">(C7/C3)^(1/4)</f>
        <v>1.240688506</v>
      </c>
    </row>
    <row r="8">
      <c r="B8" s="68">
        <v>43912.0</v>
      </c>
      <c r="C8" s="60">
        <v>1549.0</v>
      </c>
      <c r="D8" s="64">
        <f t="shared" si="1"/>
        <v>1.446311858</v>
      </c>
      <c r="E8" s="64">
        <f t="shared" si="2"/>
        <v>1.399385814</v>
      </c>
      <c r="F8" s="64">
        <f t="shared" si="3"/>
        <v>1.315128235</v>
      </c>
      <c r="G8" s="64">
        <f t="shared" si="4"/>
        <v>1.285066998</v>
      </c>
      <c r="H8" s="64">
        <f t="shared" ref="H8:H12" si="5">(C8/C3)^(1/5)</f>
        <v>1.279330037</v>
      </c>
    </row>
    <row r="9">
      <c r="B9" s="68">
        <v>43913.0</v>
      </c>
      <c r="C9" s="60">
        <v>1682.0</v>
      </c>
      <c r="D9" s="64">
        <f t="shared" si="1"/>
        <v>1.085861846</v>
      </c>
      <c r="E9" s="64">
        <f t="shared" si="2"/>
        <v>1.253193866</v>
      </c>
      <c r="F9" s="64">
        <f t="shared" si="3"/>
        <v>1.285927555</v>
      </c>
      <c r="G9" s="64">
        <f t="shared" si="4"/>
        <v>1.253630991</v>
      </c>
      <c r="H9" s="64">
        <f t="shared" si="5"/>
        <v>1.242497522</v>
      </c>
      <c r="I9" s="64">
        <f t="shared" ref="I9:I12" si="6">(C9/C3)^(1/6)</f>
        <v>1.244843032</v>
      </c>
    </row>
    <row r="10">
      <c r="B10" s="68">
        <v>43914.0</v>
      </c>
      <c r="C10" s="60">
        <v>2044.0</v>
      </c>
      <c r="D10" s="64">
        <f t="shared" si="1"/>
        <v>1.215219976</v>
      </c>
      <c r="E10" s="64">
        <f t="shared" si="2"/>
        <v>1.148721466</v>
      </c>
      <c r="F10" s="64">
        <f t="shared" si="3"/>
        <v>1.240405853</v>
      </c>
      <c r="G10" s="64">
        <f t="shared" si="4"/>
        <v>1.267874018</v>
      </c>
      <c r="H10" s="64">
        <f t="shared" si="5"/>
        <v>1.245852867</v>
      </c>
      <c r="I10" s="64">
        <f t="shared" si="6"/>
        <v>1.237909111</v>
      </c>
      <c r="J10" s="64">
        <f t="shared" ref="J10:J12" si="7">(C10/C3)^(1/7)</f>
        <v>1.240567361</v>
      </c>
    </row>
    <row r="11">
      <c r="B11" s="68">
        <v>43915.0</v>
      </c>
      <c r="C11" s="60">
        <v>2364.0</v>
      </c>
      <c r="D11" s="64">
        <f t="shared" si="1"/>
        <v>1.156555773</v>
      </c>
      <c r="E11" s="64">
        <f t="shared" si="2"/>
        <v>1.185525065</v>
      </c>
      <c r="F11" s="64">
        <f t="shared" si="3"/>
        <v>1.151326988</v>
      </c>
      <c r="G11" s="64">
        <f t="shared" si="4"/>
        <v>1.218889962</v>
      </c>
      <c r="H11" s="64">
        <f t="shared" si="5"/>
        <v>1.244784574</v>
      </c>
      <c r="I11" s="64">
        <f t="shared" si="6"/>
        <v>1.23050503</v>
      </c>
      <c r="J11" s="64">
        <f t="shared" si="7"/>
        <v>1.225945899</v>
      </c>
      <c r="K11" s="64">
        <f t="shared" ref="K11:K12" si="8">(C11/C3)^(1/8)</f>
        <v>1.229740934</v>
      </c>
    </row>
    <row r="12">
      <c r="B12" s="68">
        <v>43916.0</v>
      </c>
      <c r="C12" s="60">
        <v>2810.0</v>
      </c>
      <c r="D12" s="64">
        <f t="shared" si="1"/>
        <v>1.188663283</v>
      </c>
      <c r="E12" s="64">
        <f t="shared" si="2"/>
        <v>1.17249963</v>
      </c>
      <c r="F12" s="64">
        <f t="shared" si="3"/>
        <v>1.186570216</v>
      </c>
      <c r="G12" s="64">
        <f t="shared" si="4"/>
        <v>1.160549652</v>
      </c>
      <c r="H12" s="64">
        <f t="shared" si="5"/>
        <v>1.212783752</v>
      </c>
      <c r="I12" s="64">
        <f t="shared" si="6"/>
        <v>1.235250313</v>
      </c>
      <c r="J12" s="64">
        <f t="shared" si="7"/>
        <v>1.22443865</v>
      </c>
      <c r="K12" s="64">
        <f t="shared" si="8"/>
        <v>1.221222362</v>
      </c>
      <c r="L12" s="64">
        <f>(C12/C3)^(1/6)</f>
        <v>1.356005073</v>
      </c>
    </row>
    <row r="13">
      <c r="A13" s="67" t="s">
        <v>28</v>
      </c>
      <c r="B13" s="62">
        <f>AVERAGE(D13:L13)</f>
        <v>1.246676411</v>
      </c>
      <c r="D13" s="64">
        <f t="shared" ref="D13:L13" si="9">AVERAGE(D3:D12)</f>
        <v>1.229300337</v>
      </c>
      <c r="E13" s="64">
        <f t="shared" si="9"/>
        <v>1.227616592</v>
      </c>
      <c r="F13" s="64">
        <f t="shared" si="9"/>
        <v>1.231406768</v>
      </c>
      <c r="G13" s="64">
        <f t="shared" si="9"/>
        <v>1.237783354</v>
      </c>
      <c r="H13" s="64">
        <f t="shared" si="9"/>
        <v>1.24504975</v>
      </c>
      <c r="I13" s="64">
        <f t="shared" si="9"/>
        <v>1.237126872</v>
      </c>
      <c r="J13" s="64">
        <f t="shared" si="9"/>
        <v>1.230317303</v>
      </c>
      <c r="K13" s="64">
        <f t="shared" si="9"/>
        <v>1.225481648</v>
      </c>
      <c r="L13" s="62">
        <f t="shared" si="9"/>
        <v>1.356005073</v>
      </c>
    </row>
    <row r="15">
      <c r="B15" s="55" t="s">
        <v>40</v>
      </c>
      <c r="C15" s="60" t="s">
        <v>41</v>
      </c>
      <c r="D15" s="60" t="s">
        <v>30</v>
      </c>
    </row>
    <row r="16">
      <c r="C16" s="69">
        <v>44077.0</v>
      </c>
      <c r="D16" s="60">
        <v>91.0</v>
      </c>
    </row>
    <row r="17">
      <c r="C17" s="60" t="s">
        <v>61</v>
      </c>
      <c r="D17" s="60">
        <v>1071.0</v>
      </c>
    </row>
    <row r="18">
      <c r="B18" s="55" t="s">
        <v>43</v>
      </c>
      <c r="C18" s="71" t="s">
        <v>44</v>
      </c>
      <c r="D18" s="85">
        <f>(D17/D16)^(1/12)</f>
        <v>1.228086639</v>
      </c>
    </row>
    <row r="19">
      <c r="C19" s="60" t="s">
        <v>46</v>
      </c>
      <c r="D19" s="64">
        <f>B13</f>
        <v>1.246676411</v>
      </c>
    </row>
    <row r="20">
      <c r="C20" s="60" t="s">
        <v>47</v>
      </c>
      <c r="D20" s="60">
        <v>1.0</v>
      </c>
    </row>
    <row r="21">
      <c r="C21" s="3" t="s">
        <v>18</v>
      </c>
      <c r="D21" s="64">
        <f>Summary!B14</f>
        <v>0.9932082502</v>
      </c>
    </row>
    <row r="22">
      <c r="C22" s="60" t="s">
        <v>20</v>
      </c>
      <c r="D22" s="60">
        <v>0.0</v>
      </c>
    </row>
    <row r="23">
      <c r="C23" s="72" t="s">
        <v>52</v>
      </c>
      <c r="D23" s="73">
        <f>log(D20/D19)/log(D21-D22)</f>
        <v>32.35271742</v>
      </c>
    </row>
    <row r="24">
      <c r="C24" s="74" t="s">
        <v>53</v>
      </c>
      <c r="D24" s="64">
        <f>D23/30</f>
        <v>1.078423914</v>
      </c>
    </row>
    <row r="26">
      <c r="C26" s="55" t="s">
        <v>54</v>
      </c>
      <c r="D26" s="59">
        <f>(C12-D16)/17</f>
        <v>159.9411765</v>
      </c>
    </row>
    <row r="27">
      <c r="C27" s="77" t="s">
        <v>55</v>
      </c>
      <c r="D27" s="78">
        <f>D26*D23 + C12</f>
        <v>7984.531686</v>
      </c>
    </row>
    <row r="29">
      <c r="C29" s="71"/>
      <c r="E29" s="88"/>
    </row>
    <row r="30">
      <c r="C30" s="77"/>
      <c r="D30" s="91"/>
      <c r="E30" s="91"/>
    </row>
  </sheetData>
  <mergeCells count="1">
    <mergeCell ref="D1:L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6"/>
      <c r="D1" s="66" t="s">
        <v>28</v>
      </c>
    </row>
    <row r="2">
      <c r="A2" s="62"/>
      <c r="B2" s="66" t="s">
        <v>51</v>
      </c>
      <c r="C2" s="67" t="s">
        <v>30</v>
      </c>
      <c r="D2" s="50" t="s">
        <v>31</v>
      </c>
      <c r="E2" s="50" t="s">
        <v>32</v>
      </c>
      <c r="F2" s="50" t="s">
        <v>33</v>
      </c>
      <c r="G2" s="50" t="s">
        <v>34</v>
      </c>
      <c r="H2" s="50" t="s">
        <v>35</v>
      </c>
      <c r="I2" s="50" t="s">
        <v>36</v>
      </c>
      <c r="J2" s="50" t="s">
        <v>37</v>
      </c>
      <c r="K2" s="50" t="s">
        <v>38</v>
      </c>
      <c r="L2" s="50" t="s">
        <v>39</v>
      </c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B3" s="68">
        <v>43907.0</v>
      </c>
      <c r="C3" s="60">
        <v>197102.0</v>
      </c>
    </row>
    <row r="4">
      <c r="B4" s="68">
        <v>43908.0</v>
      </c>
      <c r="C4" s="60">
        <v>214821.0</v>
      </c>
      <c r="D4" s="64">
        <f t="shared" ref="D4:D12" si="1">(C4/C3)^(1/1)</f>
        <v>1.089897616</v>
      </c>
    </row>
    <row r="5">
      <c r="B5" s="68">
        <v>43909.0</v>
      </c>
      <c r="C5" s="60">
        <v>242500.0</v>
      </c>
      <c r="D5" s="64">
        <f t="shared" si="1"/>
        <v>1.128846807</v>
      </c>
      <c r="E5" s="64">
        <f t="shared" ref="E5:E12" si="2">(C5/C3)^(1/2)</f>
        <v>1.109201264</v>
      </c>
    </row>
    <row r="6">
      <c r="B6" s="68">
        <v>43910.0</v>
      </c>
      <c r="C6" s="60">
        <v>272035.0</v>
      </c>
      <c r="D6" s="64">
        <f t="shared" si="1"/>
        <v>1.121793814</v>
      </c>
      <c r="E6" s="64">
        <f t="shared" si="2"/>
        <v>1.125314785</v>
      </c>
      <c r="F6" s="64">
        <f t="shared" ref="F6:F12" si="3">(C6/C3)^(1/3)</f>
        <v>1.113382996</v>
      </c>
    </row>
    <row r="7">
      <c r="B7" s="68">
        <v>43911.0</v>
      </c>
      <c r="C7" s="60">
        <v>304396.0</v>
      </c>
      <c r="D7" s="64">
        <f t="shared" si="1"/>
        <v>1.118958957</v>
      </c>
      <c r="E7" s="64">
        <f t="shared" si="2"/>
        <v>1.120375489</v>
      </c>
      <c r="F7" s="64">
        <f t="shared" si="3"/>
        <v>1.123192175</v>
      </c>
      <c r="G7" s="64">
        <f t="shared" ref="G7:G12" si="4">(C7/C3)^(1/4)</f>
        <v>1.114774376</v>
      </c>
    </row>
    <row r="8">
      <c r="B8" s="68">
        <v>43912.0</v>
      </c>
      <c r="C8" s="60">
        <v>336953.0</v>
      </c>
      <c r="D8" s="64">
        <f t="shared" si="1"/>
        <v>1.10695607</v>
      </c>
      <c r="E8" s="64">
        <f t="shared" si="2"/>
        <v>1.112941333</v>
      </c>
      <c r="F8" s="64">
        <f t="shared" si="3"/>
        <v>1.115884371</v>
      </c>
      <c r="G8" s="64">
        <f t="shared" si="4"/>
        <v>1.119110958</v>
      </c>
      <c r="H8" s="64">
        <f t="shared" ref="H8:H12" si="5">(C8/C3)^(1/5)</f>
        <v>1.11320631</v>
      </c>
    </row>
    <row r="9">
      <c r="B9" s="68">
        <v>43913.0</v>
      </c>
      <c r="C9" s="60">
        <v>378235.0</v>
      </c>
      <c r="D9" s="64">
        <f t="shared" si="1"/>
        <v>1.122515603</v>
      </c>
      <c r="E9" s="64">
        <f t="shared" si="2"/>
        <v>1.114708689</v>
      </c>
      <c r="F9" s="64">
        <f t="shared" si="3"/>
        <v>1.116123648</v>
      </c>
      <c r="G9" s="64">
        <f t="shared" si="4"/>
        <v>1.117538497</v>
      </c>
      <c r="H9" s="64">
        <f t="shared" si="5"/>
        <v>1.11979106</v>
      </c>
      <c r="I9" s="64">
        <f t="shared" ref="I9:I12" si="6">(C9/C3)^(1/6)</f>
        <v>1.11475248</v>
      </c>
    </row>
    <row r="10">
      <c r="B10" s="68">
        <v>43914.0</v>
      </c>
      <c r="C10" s="60">
        <v>418045.0</v>
      </c>
      <c r="D10" s="64">
        <f t="shared" si="1"/>
        <v>1.105252026</v>
      </c>
      <c r="E10" s="64">
        <f t="shared" si="2"/>
        <v>1.113850369</v>
      </c>
      <c r="F10" s="64">
        <f t="shared" si="3"/>
        <v>1.111547512</v>
      </c>
      <c r="G10" s="64">
        <f t="shared" si="4"/>
        <v>1.113395758</v>
      </c>
      <c r="H10" s="64">
        <f t="shared" si="5"/>
        <v>1.115070325</v>
      </c>
      <c r="I10" s="64">
        <f t="shared" si="6"/>
        <v>1.117354674</v>
      </c>
      <c r="J10" s="64">
        <f t="shared" ref="J10:J12" si="7">(C10/C3)^(1/7)</f>
        <v>1.113390289</v>
      </c>
    </row>
    <row r="11">
      <c r="B11" s="68">
        <v>43915.0</v>
      </c>
      <c r="C11" s="60">
        <v>467653.0</v>
      </c>
      <c r="D11" s="64">
        <f t="shared" si="1"/>
        <v>1.118666651</v>
      </c>
      <c r="E11" s="64">
        <f t="shared" si="2"/>
        <v>1.111939109</v>
      </c>
      <c r="F11" s="64">
        <f t="shared" si="3"/>
        <v>1.115453488</v>
      </c>
      <c r="G11" s="64">
        <f t="shared" si="4"/>
        <v>1.113323038</v>
      </c>
      <c r="H11" s="64">
        <f t="shared" si="5"/>
        <v>1.114447946</v>
      </c>
      <c r="I11" s="64">
        <f t="shared" si="6"/>
        <v>1.115668908</v>
      </c>
      <c r="J11" s="64">
        <f t="shared" si="7"/>
        <v>1.117542005</v>
      </c>
      <c r="K11" s="64">
        <f t="shared" ref="K11:K12" si="8">(C11/C3)^(1/8)</f>
        <v>1.11404847</v>
      </c>
    </row>
    <row r="12">
      <c r="B12" s="68">
        <v>43916.0</v>
      </c>
      <c r="C12" s="60">
        <v>529591.0</v>
      </c>
      <c r="D12" s="64">
        <f t="shared" si="1"/>
        <v>1.132444355</v>
      </c>
      <c r="E12" s="64">
        <f t="shared" si="2"/>
        <v>1.125534421</v>
      </c>
      <c r="F12" s="64">
        <f t="shared" si="3"/>
        <v>1.118732601</v>
      </c>
      <c r="G12" s="64">
        <f t="shared" si="4"/>
        <v>1.119677155</v>
      </c>
      <c r="H12" s="64">
        <f t="shared" si="5"/>
        <v>1.117121296</v>
      </c>
      <c r="I12" s="64">
        <f t="shared" si="6"/>
        <v>1.117427363</v>
      </c>
      <c r="J12" s="64">
        <f t="shared" si="7"/>
        <v>1.1180501</v>
      </c>
      <c r="K12" s="64">
        <f t="shared" si="8"/>
        <v>1.119394021</v>
      </c>
      <c r="L12" s="64">
        <f>(C12/C3)^(1/6)</f>
        <v>1.179075443</v>
      </c>
    </row>
    <row r="13">
      <c r="A13" s="67" t="s">
        <v>28</v>
      </c>
      <c r="B13" s="62">
        <f>AVERAGE(D13:L13)</f>
        <v>1.123318648</v>
      </c>
      <c r="D13" s="64">
        <f t="shared" ref="D13:L13" si="9">AVERAGE(D3:D12)</f>
        <v>1.116147989</v>
      </c>
      <c r="E13" s="64">
        <f t="shared" si="9"/>
        <v>1.116733182</v>
      </c>
      <c r="F13" s="64">
        <f t="shared" si="9"/>
        <v>1.11633097</v>
      </c>
      <c r="G13" s="64">
        <f t="shared" si="9"/>
        <v>1.116303297</v>
      </c>
      <c r="H13" s="64">
        <f t="shared" si="9"/>
        <v>1.115927387</v>
      </c>
      <c r="I13" s="64">
        <f t="shared" si="9"/>
        <v>1.116300856</v>
      </c>
      <c r="J13" s="64">
        <f t="shared" si="9"/>
        <v>1.116327464</v>
      </c>
      <c r="K13" s="64">
        <f t="shared" si="9"/>
        <v>1.116721246</v>
      </c>
      <c r="L13" s="62">
        <f t="shared" si="9"/>
        <v>1.179075443</v>
      </c>
    </row>
    <row r="15">
      <c r="B15" s="55" t="s">
        <v>40</v>
      </c>
      <c r="C15" s="60" t="s">
        <v>41</v>
      </c>
      <c r="D15" s="60" t="s">
        <v>30</v>
      </c>
    </row>
    <row r="16">
      <c r="C16" s="69">
        <v>43893.0</v>
      </c>
      <c r="D16" s="60">
        <v>92840.0</v>
      </c>
    </row>
    <row r="17">
      <c r="C17" s="69">
        <v>44107.0</v>
      </c>
      <c r="D17" s="60">
        <v>118620.0</v>
      </c>
    </row>
    <row r="18">
      <c r="C18" s="60" t="s">
        <v>62</v>
      </c>
      <c r="D18" s="60">
        <v>197102.0</v>
      </c>
    </row>
    <row r="19">
      <c r="B19" s="55" t="s">
        <v>43</v>
      </c>
      <c r="C19" s="71" t="s">
        <v>44</v>
      </c>
      <c r="D19" s="92">
        <f>(D18/D17)^(1/7)</f>
        <v>1.075238311</v>
      </c>
    </row>
    <row r="20">
      <c r="C20" s="60" t="s">
        <v>46</v>
      </c>
      <c r="D20" s="64">
        <f>B13</f>
        <v>1.123318648</v>
      </c>
    </row>
    <row r="21">
      <c r="C21" s="60" t="s">
        <v>47</v>
      </c>
      <c r="D21" s="60">
        <v>1.0</v>
      </c>
    </row>
    <row r="22">
      <c r="C22" s="3" t="s">
        <v>18</v>
      </c>
      <c r="D22" s="64">
        <f>Summary!B14</f>
        <v>0.9932082502</v>
      </c>
    </row>
    <row r="23">
      <c r="C23" s="60" t="s">
        <v>20</v>
      </c>
      <c r="D23" s="60">
        <v>-0.0055</v>
      </c>
    </row>
    <row r="24">
      <c r="C24" s="93" t="s">
        <v>63</v>
      </c>
      <c r="D24" s="73">
        <f>log(D21/D20)/log(D22-D23)</f>
        <v>89.96499136</v>
      </c>
    </row>
    <row r="26">
      <c r="C26" s="94" t="s">
        <v>54</v>
      </c>
      <c r="D26" s="95">
        <f>(C12-D16)/23</f>
        <v>18989.17391</v>
      </c>
    </row>
    <row r="27">
      <c r="C27" s="96" t="s">
        <v>55</v>
      </c>
      <c r="D27" s="97">
        <f>D26*D24 + C12</f>
        <v>2237951.867</v>
      </c>
    </row>
    <row r="28">
      <c r="C28" s="71" t="s">
        <v>56</v>
      </c>
      <c r="D28" s="60">
        <v>0.02</v>
      </c>
      <c r="E28" s="60">
        <v>0.05</v>
      </c>
    </row>
    <row r="29">
      <c r="C29" s="77" t="s">
        <v>57</v>
      </c>
      <c r="D29" s="79">
        <f>D27*D28</f>
        <v>44759.03734</v>
      </c>
      <c r="E29" s="79">
        <f>D27*E28</f>
        <v>111897.5934</v>
      </c>
    </row>
  </sheetData>
  <mergeCells count="1">
    <mergeCell ref="D1:L1"/>
  </mergeCells>
  <drawing r:id="rId1"/>
</worksheet>
</file>