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2080" tabRatio="621" activeTab="1"/>
  </bookViews>
  <sheets>
    <sheet name=" PL " sheetId="20" r:id="rId1"/>
    <sheet name="CXCI2025012201" sheetId="26" r:id="rId2"/>
  </sheets>
  <definedNames>
    <definedName name="_xlnm._FilterDatabase" localSheetId="0" hidden="1">' PL '!$A$16:$J$73</definedName>
    <definedName name="_xlnm._FilterDatabase" localSheetId="1" hidden="1">CXCI2025012201!$A$11:$AA$67</definedName>
    <definedName name="_xlnm.Print_Area" localSheetId="1">CXCI2025012201!$A$1:$H$67</definedName>
    <definedName name="_xlnm.Print_Area" localSheetId="0">' PL '!$A$1:$J$75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<sst xmlns="http://schemas.openxmlformats.org/spreadsheetml/2006/main" count="543" uniqueCount="187">
  <si>
    <t>Shibo Chuangxiang Digital Technology (Shenzhen) Co., LTD</t>
  </si>
  <si>
    <t>Room 1501, Shenzhen International Qianhai Yidu Tower, No.99, Gangcheng Street, Nanshan Street, Qianhai Shenzhen-Hong Kong Cooperation Zone, Shenzhen.</t>
  </si>
  <si>
    <t>Packing List</t>
  </si>
  <si>
    <t>Shipper:</t>
  </si>
  <si>
    <r>
      <rPr>
        <b/>
        <sz val="10"/>
        <color rgb="FF000000"/>
        <rFont val="Calibri"/>
        <charset val="134"/>
      </rPr>
      <t xml:space="preserve">Invoice No. </t>
    </r>
    <r>
      <rPr>
        <b/>
        <sz val="10"/>
        <color rgb="FF000000"/>
        <rFont val="宋体"/>
        <charset val="134"/>
      </rPr>
      <t>：</t>
    </r>
  </si>
  <si>
    <t>Date:</t>
  </si>
  <si>
    <t>Delivery Date:</t>
  </si>
  <si>
    <t>Buyer :</t>
  </si>
  <si>
    <t xml:space="preserve">UNICAIR(HOLDINGS) LIMITED  </t>
  </si>
  <si>
    <t>ADD:UNIT 802,8/F,CHINA INSURANCE GROUP BUILDING,141 DES VOEUX ROAD CENTRAL HONG KONG</t>
  </si>
  <si>
    <t>Contact Person: Mr Kamal Baldi</t>
  </si>
  <si>
    <t>Ship to :</t>
  </si>
  <si>
    <t xml:space="preserve">Sr No.
</t>
  </si>
  <si>
    <t>P/N.</t>
  </si>
  <si>
    <t>DESCRIPTION</t>
  </si>
  <si>
    <t>Model NO.</t>
  </si>
  <si>
    <t>QUANTITY</t>
  </si>
  <si>
    <t>CTNS</t>
  </si>
  <si>
    <t>Carton
MEASUREMENT</t>
  </si>
  <si>
    <r>
      <rPr>
        <b/>
        <sz val="11"/>
        <rFont val="Calibri"/>
        <charset val="134"/>
      </rPr>
      <t>G.W</t>
    </r>
    <r>
      <rPr>
        <b/>
        <sz val="11"/>
        <rFont val="宋体"/>
        <charset val="134"/>
      </rPr>
      <t>（</t>
    </r>
    <r>
      <rPr>
        <b/>
        <sz val="11"/>
        <rFont val="Calibri"/>
        <charset val="134"/>
      </rPr>
      <t>KG)</t>
    </r>
  </si>
  <si>
    <t>N.W
(KG)</t>
  </si>
  <si>
    <t>Carton NO.</t>
  </si>
  <si>
    <t>C100.C05-032-04-00</t>
  </si>
  <si>
    <t>铣刀</t>
  </si>
  <si>
    <t>/</t>
  </si>
  <si>
    <t>F01</t>
  </si>
  <si>
    <t>E100.020310008</t>
  </si>
  <si>
    <t>红外发热管</t>
  </si>
  <si>
    <t>F02</t>
  </si>
  <si>
    <t>E100.020310014</t>
  </si>
  <si>
    <t>联轴器</t>
  </si>
  <si>
    <t>12-14</t>
  </si>
  <si>
    <t>E100.020310015</t>
  </si>
  <si>
    <t>8-14</t>
  </si>
  <si>
    <t>F03</t>
  </si>
  <si>
    <t>E100.A37-066-02-00</t>
  </si>
  <si>
    <t>重型双柱爪</t>
  </si>
  <si>
    <t>QLDZ.0014</t>
  </si>
  <si>
    <t>F04</t>
  </si>
  <si>
    <t>J100.020715018</t>
  </si>
  <si>
    <t>过滤棉</t>
  </si>
  <si>
    <t>N510059196AA</t>
  </si>
  <si>
    <t>E100.020200009</t>
  </si>
  <si>
    <t>变频器</t>
  </si>
  <si>
    <t>FA2P5N1W20360133</t>
  </si>
  <si>
    <t>F05</t>
  </si>
  <si>
    <t>E100.020310017</t>
  </si>
  <si>
    <t>电机</t>
  </si>
  <si>
    <t>STM86118S</t>
  </si>
  <si>
    <t>E100.020310012</t>
  </si>
  <si>
    <t>STM8680</t>
  </si>
  <si>
    <t>E100.A33-013-03-00</t>
  </si>
  <si>
    <t>气密阀</t>
  </si>
  <si>
    <t>F06</t>
  </si>
  <si>
    <t>J100.S07-010-10-00</t>
  </si>
  <si>
    <t>烙铁头</t>
  </si>
  <si>
    <t>900M-T-sk</t>
  </si>
  <si>
    <t>F07</t>
  </si>
  <si>
    <t>J100.S07-010-04-01</t>
  </si>
  <si>
    <t>900M-T-B</t>
  </si>
  <si>
    <t>J100.S07-010-06-01</t>
  </si>
  <si>
    <t>900M-T-4C</t>
  </si>
  <si>
    <t>J100.S07-010-06-02</t>
  </si>
  <si>
    <t>900M-T-2C</t>
  </si>
  <si>
    <t>J100.S07-010-11-00</t>
  </si>
  <si>
    <t>900-T-1.2D</t>
  </si>
  <si>
    <t>C100.C06-007-01-00</t>
  </si>
  <si>
    <t>热电偶</t>
  </si>
  <si>
    <t>WRNT-013</t>
  </si>
  <si>
    <t>C100.C06-019-06-00</t>
  </si>
  <si>
    <t>焊接海绵</t>
  </si>
  <si>
    <t>E100.A20-001-15-00</t>
  </si>
  <si>
    <t>电批头</t>
  </si>
  <si>
    <t>F08</t>
  </si>
  <si>
    <t>E100.A20-001-16-00</t>
  </si>
  <si>
    <t>E100.A20-001-17-00</t>
  </si>
  <si>
    <t>E100.A20-001-20-00</t>
  </si>
  <si>
    <t>E100.A20-001-52-00</t>
  </si>
  <si>
    <t>E100.A20-001-53-00</t>
  </si>
  <si>
    <t>E100.A20-001-54-00</t>
  </si>
  <si>
    <t>E100.A20-001-22-00</t>
  </si>
  <si>
    <t>E100.A20-001-33-00</t>
  </si>
  <si>
    <t>C100.C06-006-01-00</t>
  </si>
  <si>
    <t>钢网擦拭纸</t>
  </si>
  <si>
    <t>F09-F76</t>
  </si>
  <si>
    <t>C100.C06-006-02-00</t>
  </si>
  <si>
    <t>F77-F132</t>
  </si>
  <si>
    <t>E100.020349014</t>
  </si>
  <si>
    <t>烧录座</t>
  </si>
  <si>
    <t>AT-TSSOP20-CMS</t>
  </si>
  <si>
    <t>F133</t>
  </si>
  <si>
    <t>E100.A37-154-01-00</t>
  </si>
  <si>
    <t>滑轮</t>
  </si>
  <si>
    <t>KLV-M913A-A10</t>
  </si>
  <si>
    <t>E100.0111901002</t>
  </si>
  <si>
    <t>打包架</t>
  </si>
  <si>
    <t>F134-F136</t>
  </si>
  <si>
    <t>J100.031003005</t>
  </si>
  <si>
    <t>周转车</t>
  </si>
  <si>
    <t>F137</t>
  </si>
  <si>
    <t>E100.021335001</t>
  </si>
  <si>
    <t>物料架</t>
  </si>
  <si>
    <t>F138-F145</t>
  </si>
  <si>
    <t>E100.E17-003-01-00</t>
  </si>
  <si>
    <t>屏蔽箱</t>
  </si>
  <si>
    <t>F146-F155</t>
  </si>
  <si>
    <t>E100.E17-004-01-00</t>
  </si>
  <si>
    <t>F156-F165</t>
  </si>
  <si>
    <t>E100.020396013</t>
  </si>
  <si>
    <t>马达</t>
  </si>
  <si>
    <t>AEVF4</t>
  </si>
  <si>
    <t>F166</t>
  </si>
  <si>
    <t>E100.0203104001</t>
  </si>
  <si>
    <t>太阳片</t>
  </si>
  <si>
    <t>F167</t>
  </si>
  <si>
    <t>E100.0203154000</t>
  </si>
  <si>
    <t>TG-205A-FU</t>
  </si>
  <si>
    <t>E100.0203125000</t>
  </si>
  <si>
    <t>链夹</t>
  </si>
  <si>
    <t>LS1D-01033</t>
  </si>
  <si>
    <t>E100.0203162159</t>
  </si>
  <si>
    <t>调节座</t>
  </si>
  <si>
    <t>E100.0203133001</t>
  </si>
  <si>
    <t>模头</t>
  </si>
  <si>
    <t>E100.E00-011-15-01</t>
  </si>
  <si>
    <t>电刷</t>
  </si>
  <si>
    <t>KYB-M7027-001</t>
  </si>
  <si>
    <t>E100.020396061</t>
  </si>
  <si>
    <t>密封圈</t>
  </si>
  <si>
    <t>E100.020396062</t>
  </si>
  <si>
    <t>E100.020396047</t>
  </si>
  <si>
    <t>齿轮</t>
  </si>
  <si>
    <t>E100.020396048</t>
  </si>
  <si>
    <t>E100.020396049</t>
  </si>
  <si>
    <t>E100.020396050</t>
  </si>
  <si>
    <t>E100.020396055</t>
  </si>
  <si>
    <t>发热板</t>
  </si>
  <si>
    <t>F168</t>
  </si>
  <si>
    <t>E100.020396056</t>
  </si>
  <si>
    <t>TTL:</t>
  </si>
  <si>
    <t>COUNTRY OF ORIGIN: CHINA</t>
  </si>
  <si>
    <t>Commercial Invoice</t>
  </si>
  <si>
    <t xml:space="preserve">Buyer: UNICAIR(HOLDINGS) LIMITED                                                                                   </t>
  </si>
  <si>
    <t xml:space="preserve">CI No.: </t>
  </si>
  <si>
    <t>CXCI2025012201</t>
  </si>
  <si>
    <t>PO No.:</t>
  </si>
  <si>
    <r>
      <rPr>
        <sz val="11"/>
        <color theme="1"/>
        <rFont val="Calibri"/>
        <charset val="134"/>
      </rPr>
      <t>2025-1</t>
    </r>
    <r>
      <rPr>
        <sz val="11"/>
        <color theme="1"/>
        <rFont val="宋体"/>
        <charset val="134"/>
      </rPr>
      <t>汇率</t>
    </r>
  </si>
  <si>
    <t>NO.</t>
  </si>
  <si>
    <t>Material code</t>
  </si>
  <si>
    <t xml:space="preserve"> DESCRIPTION</t>
  </si>
  <si>
    <t>Unit Price</t>
  </si>
  <si>
    <t>Qty</t>
  </si>
  <si>
    <t>Unit</t>
  </si>
  <si>
    <t>Amount</t>
  </si>
  <si>
    <t>net weight</t>
  </si>
  <si>
    <t>采购单价</t>
  </si>
  <si>
    <t>采购总价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</si>
  <si>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单价</t>
    </r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</si>
  <si>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</si>
  <si>
    <t>保费</t>
  </si>
  <si>
    <t>运费</t>
  </si>
  <si>
    <t>每公斤摊的运保费</t>
  </si>
  <si>
    <t>该项对应的运保费</t>
  </si>
  <si>
    <r>
      <rPr>
        <sz val="11"/>
        <color theme="1"/>
        <rFont val="Calibri"/>
        <charset val="134"/>
      </rPr>
      <t>FOB</t>
    </r>
    <r>
      <rPr>
        <sz val="11"/>
        <color theme="1"/>
        <rFont val="宋体"/>
        <charset val="134"/>
      </rPr>
      <t>总价</t>
    </r>
    <r>
      <rPr>
        <sz val="11"/>
        <color theme="1"/>
        <rFont val="Calibri"/>
        <charset val="134"/>
      </rPr>
      <t>+</t>
    </r>
    <r>
      <rPr>
        <sz val="11"/>
        <color theme="1"/>
        <rFont val="宋体"/>
        <charset val="134"/>
      </rPr>
      <t>运保费</t>
    </r>
    <r>
      <rPr>
        <sz val="11"/>
        <color theme="1"/>
        <rFont val="Calibri"/>
        <charset val="134"/>
      </rPr>
      <t>=CIF</t>
    </r>
    <r>
      <rPr>
        <sz val="11"/>
        <color theme="1"/>
        <rFont val="宋体"/>
        <charset val="134"/>
      </rPr>
      <t>总价</t>
    </r>
  </si>
  <si>
    <r>
      <rPr>
        <sz val="11"/>
        <color theme="1"/>
        <rFont val="Calibri"/>
        <charset val="134"/>
      </rPr>
      <t>CIF</t>
    </r>
    <r>
      <rPr>
        <sz val="11"/>
        <color theme="1"/>
        <rFont val="宋体"/>
        <charset val="134"/>
      </rPr>
      <t>单价</t>
    </r>
  </si>
  <si>
    <t>单价USD数值</t>
  </si>
  <si>
    <t>单位</t>
  </si>
  <si>
    <t>开票品名</t>
  </si>
  <si>
    <t>factory</t>
  </si>
  <si>
    <t>project</t>
  </si>
  <si>
    <t>end use</t>
  </si>
  <si>
    <t>USD</t>
  </si>
  <si>
    <t>个</t>
  </si>
  <si>
    <t>Silvass</t>
  </si>
  <si>
    <t>SMT工厂月度辅耗材</t>
  </si>
  <si>
    <t>SMT工厂设备配件</t>
  </si>
  <si>
    <t>Daman</t>
  </si>
  <si>
    <t>组装厂月度辅耗材</t>
  </si>
  <si>
    <t>卷</t>
  </si>
  <si>
    <t>TP-LINK</t>
  </si>
  <si>
    <t>套</t>
  </si>
  <si>
    <t>麦格米特</t>
  </si>
  <si>
    <t>台</t>
  </si>
  <si>
    <t>SAY USD TWENTY-NINE THOUSAND EIGHT HUNDRED AND FORTY-SEVEN AND POINT THIRTY-EIGHT ONLY.</t>
  </si>
  <si>
    <t>Payment Term:100% TT within 5 working days when Unicair(Holdings) Limited receive Goods.</t>
  </si>
  <si>
    <t>Delivery Term:CIF</t>
  </si>
  <si>
    <r>
      <rPr>
        <sz val="11"/>
        <color rgb="FF000000"/>
        <rFont val="Calibri"/>
        <charset val="134"/>
      </rPr>
      <t>Company Name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Shibo Chuangxiang Digital Technology (Shenzhen) Co., LTD
Account number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Calibri"/>
        <charset val="134"/>
      </rPr>
      <t>8110301012800584376
Bank Name: China citic bank shenzhen branch
Bank Address:8F,Citic security tower, zhongxin 4road, futian dist. futian shenzhen  china
SWIFT No.: CIBKCNBJ518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</si>
</sst>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804]0"/>
    <numFmt numFmtId="177" formatCode="&quot;US$&quot;#,##0.00;\-&quot;US$&quot;#,##0.00"/>
    <numFmt numFmtId="178" formatCode="&quot;US$&quot;#,##0.00_);[Red]\(&quot;US$&quot;#,##0.00\)"/>
    <numFmt numFmtId="179" formatCode="0.0%"/>
    <numFmt numFmtId="180" formatCode="0.00_);[Red]\(0.00\)"/>
    <numFmt numFmtId="181" formatCode="yyyy/m/d;@"/>
    <numFmt numFmtId="182" formatCode="#,##0.0000_);[Red]\(#,##0.0000\)"/>
    <numFmt numFmtId="183" formatCode="\¥#,##0.0;\¥\-#,##0.0"/>
    <numFmt numFmtId="184" formatCode="0.00_ "/>
    <numFmt numFmtId="185" formatCode="0.00;[Red]0.00"/>
  </numFmts>
  <fonts count="5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b/>
      <sz val="18"/>
      <color indexed="8"/>
      <name val="Calibri"/>
      <charset val="134"/>
    </font>
    <font>
      <sz val="11"/>
      <color indexed="8"/>
      <name val="Calibri"/>
      <charset val="134"/>
    </font>
    <font>
      <b/>
      <sz val="20"/>
      <color indexed="8"/>
      <name val="Calibri"/>
      <charset val="134"/>
    </font>
    <font>
      <sz val="11"/>
      <color rgb="FF000000"/>
      <name val="Calibri"/>
      <charset val="134"/>
    </font>
    <font>
      <sz val="12"/>
      <color indexed="8"/>
      <name val="Calibri"/>
      <charset val="134"/>
    </font>
    <font>
      <sz val="11"/>
      <name val="Calibri"/>
      <charset val="0"/>
    </font>
    <font>
      <sz val="10"/>
      <name val="Calibri"/>
      <charset val="0"/>
    </font>
    <font>
      <sz val="10"/>
      <name val="宋体"/>
      <charset val="0"/>
    </font>
    <font>
      <sz val="11"/>
      <color theme="1"/>
      <name val="宋体"/>
      <charset val="134"/>
    </font>
    <font>
      <sz val="11"/>
      <name val="Calibri"/>
      <charset val="134"/>
    </font>
    <font>
      <sz val="18"/>
      <color theme="1"/>
      <name val="Calibri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</font>
    <font>
      <b/>
      <sz val="22"/>
      <color indexed="8"/>
      <name val="Calibri"/>
      <charset val="134"/>
    </font>
    <font>
      <b/>
      <sz val="26"/>
      <color indexed="8"/>
      <name val="Calibri"/>
      <charset val="134"/>
    </font>
    <font>
      <b/>
      <sz val="10"/>
      <name val="Calibri"/>
      <charset val="134"/>
    </font>
    <font>
      <sz val="10"/>
      <name val="Calibri"/>
      <charset val="134"/>
    </font>
    <font>
      <b/>
      <sz val="10"/>
      <color theme="1"/>
      <name val="Calibri"/>
      <charset val="134"/>
    </font>
    <font>
      <sz val="10"/>
      <color indexed="8"/>
      <name val="Calibri"/>
      <charset val="134"/>
    </font>
    <font>
      <b/>
      <sz val="10"/>
      <color rgb="FF000000"/>
      <name val="Calibri"/>
      <charset val="134"/>
    </font>
    <font>
      <b/>
      <sz val="10"/>
      <color indexed="8"/>
      <name val="Calibri"/>
      <charset val="134"/>
    </font>
    <font>
      <b/>
      <sz val="11"/>
      <name val="Calibri"/>
      <charset val="134"/>
    </font>
    <font>
      <b/>
      <sz val="11"/>
      <color theme="1"/>
      <name val="Calibri"/>
      <charset val="134"/>
    </font>
    <font>
      <sz val="12"/>
      <name val="Calibri"/>
      <charset val="134"/>
    </font>
    <font>
      <sz val="12"/>
      <name val="宋体"/>
      <charset val="134"/>
    </font>
    <font>
      <sz val="10"/>
      <color theme="1"/>
      <name val="微软雅黑"/>
      <charset val="134"/>
    </font>
    <font>
      <b/>
      <sz val="8"/>
      <name val="Calibri"/>
      <charset val="134"/>
    </font>
    <font>
      <sz val="8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" borderId="24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25" applyNumberFormat="0" applyFill="0" applyAlignment="0" applyProtection="0">
      <alignment vertical="center"/>
    </xf>
    <xf numFmtId="0" fontId="36" fillId="0" borderId="25" applyNumberFormat="0" applyFill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3" borderId="27" applyNumberFormat="0" applyAlignment="0" applyProtection="0">
      <alignment vertical="center"/>
    </xf>
    <xf numFmtId="0" fontId="39" fillId="4" borderId="28" applyNumberFormat="0" applyAlignment="0" applyProtection="0">
      <alignment vertical="center"/>
    </xf>
    <xf numFmtId="0" fontId="40" fillId="4" borderId="27" applyNumberFormat="0" applyAlignment="0" applyProtection="0">
      <alignment vertical="center"/>
    </xf>
    <xf numFmtId="0" fontId="41" fillId="5" borderId="29" applyNumberFormat="0" applyAlignment="0" applyProtection="0">
      <alignment vertical="center"/>
    </xf>
    <xf numFmtId="0" fontId="42" fillId="0" borderId="30" applyNumberFormat="0" applyFill="0" applyAlignment="0" applyProtection="0">
      <alignment vertical="center"/>
    </xf>
    <xf numFmtId="0" fontId="43" fillId="0" borderId="31" applyNumberFormat="0" applyFill="0" applyAlignment="0" applyProtection="0">
      <alignment vertical="center"/>
    </xf>
    <xf numFmtId="0" fontId="44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6" fillId="8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49" fillId="0" borderId="0"/>
    <xf numFmtId="176" fontId="0" fillId="0" borderId="0">
      <alignment vertical="center"/>
    </xf>
    <xf numFmtId="0" fontId="50" fillId="0" borderId="0"/>
    <xf numFmtId="177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177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8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26" fillId="0" borderId="0"/>
  </cellStyleXfs>
  <cellXfs count="14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179" fontId="1" fillId="0" borderId="0" xfId="0" applyNumberFormat="1" applyFont="1" applyFill="1" applyBorder="1">
      <alignment vertical="center"/>
    </xf>
    <xf numFmtId="0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>
      <alignment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3" fillId="0" borderId="8" xfId="0" applyFont="1" applyFill="1" applyBorder="1" applyAlignment="1" applyProtection="1">
      <alignment vertical="center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0" xfId="0" applyFont="1" applyFill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vertical="center" wrapText="1"/>
    </xf>
    <xf numFmtId="181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vertical="center" wrapText="1"/>
    </xf>
    <xf numFmtId="0" fontId="3" fillId="0" borderId="0" xfId="0" applyFont="1" applyFill="1" applyAlignment="1" applyProtection="1">
      <alignment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0" xfId="0" applyFont="1" applyFill="1" applyAlignment="1" applyProtection="1">
      <alignment horizontal="left" vertical="center" wrapText="1"/>
    </xf>
    <xf numFmtId="0" fontId="5" fillId="0" borderId="7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horizontal="center" vertical="center" wrapText="1"/>
    </xf>
    <xf numFmtId="0" fontId="6" fillId="0" borderId="10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>
      <alignment horizontal="center" vertical="center"/>
    </xf>
    <xf numFmtId="182" fontId="1" fillId="0" borderId="10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" fontId="1" fillId="0" borderId="11" xfId="0" applyNumberFormat="1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" fillId="0" borderId="10" xfId="0" applyFont="1" applyFill="1" applyBorder="1">
      <alignment vertical="center"/>
    </xf>
    <xf numFmtId="183" fontId="1" fillId="0" borderId="10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left" vertical="center" wrapText="1"/>
    </xf>
    <xf numFmtId="0" fontId="3" fillId="0" borderId="14" xfId="0" applyFont="1" applyFill="1" applyBorder="1" applyAlignment="1" applyProtection="1">
      <alignment horizontal="left" vertical="center" wrapText="1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0" xfId="0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79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Border="1">
      <alignment vertical="center"/>
    </xf>
    <xf numFmtId="3" fontId="1" fillId="0" borderId="0" xfId="0" applyNumberFormat="1" applyFont="1" applyFill="1" applyBorder="1">
      <alignment vertical="center"/>
    </xf>
    <xf numFmtId="184" fontId="1" fillId="0" borderId="0" xfId="0" applyNumberFormat="1" applyFont="1" applyFill="1" applyBorder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0" fillId="0" borderId="0" xfId="0" applyFont="1" applyFill="1" applyBorder="1">
      <alignment vertical="center"/>
    </xf>
    <xf numFmtId="0" fontId="11" fillId="0" borderId="7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5" fillId="0" borderId="15" xfId="0" applyFont="1" applyFill="1" applyBorder="1" applyAlignment="1" applyProtection="1">
      <alignment horizontal="left" vertical="top" wrapText="1"/>
    </xf>
    <xf numFmtId="0" fontId="3" fillId="0" borderId="16" xfId="0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 applyProtection="1">
      <alignment horizontal="left" vertical="top" wrapText="1"/>
    </xf>
    <xf numFmtId="0" fontId="12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3" fillId="0" borderId="0" xfId="0" applyFont="1" applyFill="1" applyAlignment="1">
      <alignment vertical="center"/>
    </xf>
    <xf numFmtId="0" fontId="14" fillId="0" borderId="0" xfId="0" applyFont="1" applyFill="1">
      <alignment vertical="center"/>
    </xf>
    <xf numFmtId="0" fontId="15" fillId="0" borderId="4" xfId="0" applyFont="1" applyFill="1" applyBorder="1" applyAlignment="1" applyProtection="1">
      <alignment horizontal="center" vertical="center" wrapText="1"/>
    </xf>
    <xf numFmtId="0" fontId="15" fillId="0" borderId="5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16" fillId="0" borderId="4" xfId="0" applyFont="1" applyFill="1" applyBorder="1" applyAlignment="1" applyProtection="1">
      <alignment horizontal="center" vertical="center" wrapText="1"/>
    </xf>
    <xf numFmtId="0" fontId="16" fillId="0" borderId="5" xfId="0" applyFont="1" applyFill="1" applyBorder="1" applyAlignment="1" applyProtection="1">
      <alignment horizontal="center" vertical="center" wrapText="1"/>
    </xf>
    <xf numFmtId="0" fontId="17" fillId="0" borderId="7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vertical="center"/>
    </xf>
    <xf numFmtId="0" fontId="18" fillId="0" borderId="0" xfId="51" applyFont="1" applyFill="1" applyBorder="1" applyAlignment="1">
      <alignment vertical="center"/>
    </xf>
    <xf numFmtId="0" fontId="18" fillId="0" borderId="0" xfId="51" applyFont="1" applyFill="1" applyBorder="1" applyAlignment="1">
      <alignment horizontal="left" vertical="center" wrapText="1"/>
    </xf>
    <xf numFmtId="0" fontId="23" fillId="0" borderId="9" xfId="0" applyFont="1" applyFill="1" applyBorder="1" applyAlignment="1" applyProtection="1">
      <alignment horizontal="center" vertical="center"/>
      <protection locked="0"/>
    </xf>
    <xf numFmtId="0" fontId="24" fillId="0" borderId="10" xfId="0" applyFont="1" applyFill="1" applyBorder="1" applyAlignment="1" applyProtection="1">
      <alignment horizontal="center" vertical="center" wrapText="1"/>
      <protection locked="0"/>
    </xf>
    <xf numFmtId="0" fontId="23" fillId="0" borderId="10" xfId="0" applyFont="1" applyFill="1" applyBorder="1" applyAlignment="1" applyProtection="1">
      <alignment horizontal="center" vertical="center" wrapText="1"/>
      <protection locked="0"/>
    </xf>
    <xf numFmtId="180" fontId="23" fillId="0" borderId="10" xfId="0" applyNumberFormat="1" applyFont="1" applyFill="1" applyBorder="1" applyAlignment="1" applyProtection="1">
      <alignment horizontal="center" vertical="center"/>
      <protection locked="0"/>
    </xf>
    <xf numFmtId="0" fontId="25" fillId="0" borderId="9" xfId="0" applyFont="1" applyFill="1" applyBorder="1" applyAlignment="1" applyProtection="1">
      <alignment horizontal="center" vertical="center" shrinkToFit="1"/>
      <protection locked="0"/>
    </xf>
    <xf numFmtId="0" fontId="14" fillId="0" borderId="10" xfId="0" applyNumberFormat="1" applyFont="1" applyFill="1" applyBorder="1" applyAlignment="1">
      <alignment horizontal="center" vertical="center"/>
    </xf>
    <xf numFmtId="0" fontId="25" fillId="0" borderId="10" xfId="0" applyNumberFormat="1" applyFont="1" applyFill="1" applyBorder="1" applyAlignment="1">
      <alignment horizontal="center" vertical="center" wrapText="1"/>
    </xf>
    <xf numFmtId="0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9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NumberFormat="1" applyFont="1" applyFill="1" applyBorder="1" applyAlignment="1">
      <alignment horizontal="center" vertical="center" wrapText="1"/>
    </xf>
    <xf numFmtId="49" fontId="25" fillId="0" borderId="10" xfId="0" applyNumberFormat="1" applyFont="1" applyFill="1" applyBorder="1" applyAlignment="1">
      <alignment horizontal="center" vertical="center" wrapText="1"/>
    </xf>
    <xf numFmtId="0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10" xfId="0" applyNumberFormat="1" applyFont="1" applyFill="1" applyBorder="1" applyAlignment="1">
      <alignment horizontal="center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27" fillId="0" borderId="10" xfId="0" applyNumberFormat="1" applyFont="1" applyFill="1" applyBorder="1" applyAlignment="1">
      <alignment horizontal="center" vertical="center" wrapText="1"/>
    </xf>
    <xf numFmtId="184" fontId="25" fillId="0" borderId="10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18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0" xfId="0" applyNumberFormat="1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3" fillId="0" borderId="8" xfId="0" applyFont="1" applyFill="1" applyBorder="1" applyAlignment="1">
      <alignment vertical="center"/>
    </xf>
    <xf numFmtId="0" fontId="23" fillId="0" borderId="10" xfId="0" applyFont="1" applyFill="1" applyBorder="1" applyAlignment="1" applyProtection="1">
      <alignment horizontal="center" vertical="center"/>
      <protection locked="0"/>
    </xf>
    <xf numFmtId="0" fontId="23" fillId="0" borderId="11" xfId="0" applyFont="1" applyFill="1" applyBorder="1" applyAlignment="1" applyProtection="1">
      <alignment horizontal="center" vertical="center" wrapText="1"/>
      <protection locked="0"/>
    </xf>
    <xf numFmtId="0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>
      <alignment horizontal="center" vertical="center"/>
    </xf>
    <xf numFmtId="2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1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1" xfId="0" applyNumberFormat="1" applyFont="1" applyFill="1" applyBorder="1" applyAlignment="1" applyProtection="1">
      <alignment horizontal="center" vertical="center" wrapText="1"/>
      <protection locked="0"/>
    </xf>
    <xf numFmtId="184" fontId="25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0" xfId="0" applyFont="1" applyFill="1" applyBorder="1" applyAlignment="1" applyProtection="1">
      <alignment horizontal="center" vertical="center" shrinkToFit="1"/>
      <protection locked="0"/>
    </xf>
    <xf numFmtId="0" fontId="6" fillId="0" borderId="10" xfId="0" applyFont="1" applyFill="1" applyBorder="1" applyAlignment="1" applyProtection="1">
      <alignment horizontal="center" vertical="center" wrapText="1"/>
    </xf>
    <xf numFmtId="0" fontId="14" fillId="0" borderId="7" xfId="7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185" fontId="14" fillId="0" borderId="0" xfId="0" applyNumberFormat="1" applyFont="1" applyFill="1" applyBorder="1" applyAlignment="1">
      <alignment vertical="center"/>
    </xf>
    <xf numFmtId="0" fontId="28" fillId="0" borderId="7" xfId="70" applyFont="1" applyFill="1" applyBorder="1" applyAlignment="1">
      <alignment horizontal="left" vertical="center"/>
    </xf>
    <xf numFmtId="0" fontId="29" fillId="0" borderId="0" xfId="0" applyFont="1" applyFill="1" applyBorder="1" applyAlignment="1">
      <alignment vertical="center"/>
    </xf>
    <xf numFmtId="185" fontId="29" fillId="0" borderId="0" xfId="0" applyNumberFormat="1" applyFont="1" applyFill="1" applyBorder="1" applyAlignment="1">
      <alignment vertical="center"/>
    </xf>
    <xf numFmtId="0" fontId="1" fillId="0" borderId="15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0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7" xfId="0" applyFont="1" applyFill="1" applyBorder="1">
      <alignment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常规 12" xfId="50"/>
    <cellStyle name="Normal_FOC Invoice Format" xfId="51"/>
    <cellStyle name="常规 3 2" xfId="52"/>
    <cellStyle name="Normal 3" xfId="53"/>
    <cellStyle name="常规 2 3" xfId="54"/>
    <cellStyle name="常规 10" xfId="55"/>
    <cellStyle name="常规 2 4" xfId="56"/>
    <cellStyle name="常规 11" xfId="57"/>
    <cellStyle name="常规 2 6" xfId="58"/>
    <cellStyle name="常规 13" xfId="59"/>
    <cellStyle name="常规 2 7" xfId="60"/>
    <cellStyle name="常规 14" xfId="61"/>
    <cellStyle name="常规 15" xfId="62"/>
    <cellStyle name="常规 2" xfId="63"/>
    <cellStyle name="常规 3" xfId="64"/>
    <cellStyle name="常规 4" xfId="65"/>
    <cellStyle name="常规 5" xfId="66"/>
    <cellStyle name="常规 7" xfId="67"/>
    <cellStyle name="常规 8" xfId="68"/>
    <cellStyle name="常规 9" xfId="69"/>
    <cellStyle name="常规_Pac-03_7" xfId="7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J76"/>
  <sheetViews>
    <sheetView view="pageBreakPreview" zoomScaleNormal="85" topLeftCell="A63" workbookViewId="0">
      <selection activeCell="H68" sqref="H68"/>
    </sheetView>
  </sheetViews>
  <sheetFormatPr defaultColWidth="9" defaultRowHeight="14.5"/>
  <cols>
    <col min="1" max="1" width="9" style="66"/>
    <col min="2" max="2" width="24" style="66" customWidth="1"/>
    <col min="3" max="4" width="37.1818181818182" style="66" customWidth="1"/>
    <col min="5" max="5" width="12.3727272727273" style="66" customWidth="1"/>
    <col min="6" max="6" width="12.2545454545455" style="66" customWidth="1"/>
    <col min="7" max="7" width="14.3727272727273" style="66" customWidth="1"/>
    <col min="8" max="8" width="11.3727272727273" style="66" customWidth="1"/>
    <col min="9" max="9" width="14.2545454545455" style="66" customWidth="1"/>
    <col min="10" max="10" width="10.8727272727273" style="66" customWidth="1"/>
    <col min="11" max="16384" width="9" style="66"/>
  </cols>
  <sheetData>
    <row r="1" s="65" customFormat="1" ht="50" customHeight="1" spans="1:10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110"/>
    </row>
    <row r="2" s="66" customFormat="1" ht="39" customHeight="1" spans="1:10">
      <c r="A2" s="71" t="s">
        <v>1</v>
      </c>
      <c r="B2" s="72"/>
      <c r="C2" s="72"/>
      <c r="D2" s="72"/>
      <c r="E2" s="72"/>
      <c r="F2" s="72"/>
      <c r="G2" s="72"/>
      <c r="H2" s="72"/>
      <c r="I2" s="72"/>
      <c r="J2" s="111"/>
    </row>
    <row r="3" s="66" customFormat="1" ht="48" customHeight="1" spans="1:10">
      <c r="A3" s="73" t="s">
        <v>2</v>
      </c>
      <c r="B3" s="74"/>
      <c r="C3" s="74"/>
      <c r="D3" s="74"/>
      <c r="E3" s="74"/>
      <c r="F3" s="74"/>
      <c r="G3" s="74"/>
      <c r="H3" s="74"/>
      <c r="I3" s="74"/>
      <c r="J3" s="112"/>
    </row>
    <row r="4" s="67" customFormat="1" ht="31.5" customHeight="1" spans="1:10">
      <c r="A4" s="75" t="s">
        <v>3</v>
      </c>
      <c r="B4" s="76" t="s">
        <v>0</v>
      </c>
      <c r="C4" s="77"/>
      <c r="D4" s="77"/>
      <c r="E4" s="78"/>
      <c r="F4" s="79"/>
      <c r="G4" s="80" t="s">
        <v>4</v>
      </c>
      <c r="H4" s="81" t="str">
        <f>CXCI2025012201!G4</f>
        <v>CXCI2025012201</v>
      </c>
      <c r="I4" s="79"/>
      <c r="J4" s="113"/>
    </row>
    <row r="5" s="67" customFormat="1" ht="13" spans="1:10">
      <c r="A5" s="75"/>
      <c r="B5" s="82" t="s">
        <v>1</v>
      </c>
      <c r="C5" s="82"/>
      <c r="D5" s="82"/>
      <c r="E5" s="78"/>
      <c r="F5" s="79"/>
      <c r="G5" s="80"/>
      <c r="H5" s="81"/>
      <c r="I5" s="79"/>
      <c r="J5" s="113"/>
    </row>
    <row r="6" s="67" customFormat="1" ht="13" spans="1:10">
      <c r="A6" s="75"/>
      <c r="B6" s="82"/>
      <c r="C6" s="82"/>
      <c r="D6" s="82"/>
      <c r="E6" s="78"/>
      <c r="F6" s="79"/>
      <c r="G6" s="83" t="s">
        <v>5</v>
      </c>
      <c r="H6" s="84">
        <f>CXCI2025012201!G5</f>
        <v>45679</v>
      </c>
      <c r="I6" s="79"/>
      <c r="J6" s="113"/>
    </row>
    <row r="7" s="67" customFormat="1" ht="13" spans="1:10">
      <c r="A7" s="75"/>
      <c r="B7" s="76"/>
      <c r="C7" s="79"/>
      <c r="D7" s="79"/>
      <c r="E7" s="76"/>
      <c r="F7" s="79"/>
      <c r="G7" s="83" t="s">
        <v>6</v>
      </c>
      <c r="H7" s="84">
        <f>H6</f>
        <v>45679</v>
      </c>
      <c r="I7" s="79"/>
      <c r="J7" s="113"/>
    </row>
    <row r="8" s="67" customFormat="1" ht="29" customHeight="1" spans="1:10">
      <c r="A8" s="85" t="s">
        <v>7</v>
      </c>
      <c r="B8" s="86" t="s">
        <v>8</v>
      </c>
      <c r="C8" s="87"/>
      <c r="D8" s="87"/>
      <c r="E8" s="78"/>
      <c r="F8" s="79"/>
      <c r="G8" s="83"/>
      <c r="H8" s="78"/>
      <c r="I8" s="79"/>
      <c r="J8" s="113"/>
    </row>
    <row r="9" s="67" customFormat="1" ht="13" spans="1:10">
      <c r="A9" s="88"/>
      <c r="B9" s="82" t="s">
        <v>9</v>
      </c>
      <c r="C9" s="82"/>
      <c r="D9" s="82"/>
      <c r="E9" s="78"/>
      <c r="F9" s="79"/>
      <c r="G9" s="78"/>
      <c r="H9" s="78"/>
      <c r="I9" s="79"/>
      <c r="J9" s="113"/>
    </row>
    <row r="10" s="67" customFormat="1" ht="13" spans="1:10">
      <c r="A10" s="88"/>
      <c r="B10" s="82" t="s">
        <v>10</v>
      </c>
      <c r="C10" s="82"/>
      <c r="D10" s="82"/>
      <c r="E10" s="78"/>
      <c r="F10" s="79"/>
      <c r="G10" s="81"/>
      <c r="H10" s="81"/>
      <c r="I10" s="87"/>
      <c r="J10" s="113"/>
    </row>
    <row r="11" s="67" customFormat="1" ht="13" spans="1:10">
      <c r="A11" s="85"/>
      <c r="B11" s="89"/>
      <c r="C11" s="79"/>
      <c r="D11" s="79"/>
      <c r="E11" s="78"/>
      <c r="F11" s="79"/>
      <c r="G11" s="81"/>
      <c r="H11" s="81"/>
      <c r="I11" s="79"/>
      <c r="J11" s="113"/>
    </row>
    <row r="12" s="67" customFormat="1" ht="22.5" customHeight="1" spans="1:10">
      <c r="A12" s="85" t="s">
        <v>11</v>
      </c>
      <c r="B12" s="86" t="s">
        <v>8</v>
      </c>
      <c r="C12" s="87"/>
      <c r="D12" s="87"/>
      <c r="E12" s="78"/>
      <c r="F12" s="79"/>
      <c r="G12" s="81"/>
      <c r="H12" s="81"/>
      <c r="I12" s="79"/>
      <c r="J12" s="113"/>
    </row>
    <row r="13" s="67" customFormat="1" ht="27.75" customHeight="1" spans="1:10">
      <c r="A13" s="88"/>
      <c r="B13" s="90" t="s">
        <v>9</v>
      </c>
      <c r="C13" s="90"/>
      <c r="D13" s="90"/>
      <c r="E13" s="78"/>
      <c r="F13" s="79"/>
      <c r="G13" s="81"/>
      <c r="H13" s="81"/>
      <c r="I13" s="79"/>
      <c r="J13" s="113"/>
    </row>
    <row r="14" s="67" customFormat="1" ht="13" spans="1:10">
      <c r="A14" s="85"/>
      <c r="B14" s="89"/>
      <c r="C14" s="79"/>
      <c r="D14" s="79"/>
      <c r="E14" s="78"/>
      <c r="F14" s="78"/>
      <c r="G14" s="78"/>
      <c r="H14" s="78"/>
      <c r="I14" s="78"/>
      <c r="J14" s="113"/>
    </row>
    <row r="15" s="67" customFormat="1" ht="13" spans="1:10">
      <c r="A15" s="85"/>
      <c r="B15" s="89"/>
      <c r="C15" s="79"/>
      <c r="D15" s="79"/>
      <c r="E15" s="78"/>
      <c r="F15" s="78"/>
      <c r="G15" s="78"/>
      <c r="H15" s="78"/>
      <c r="I15" s="78"/>
      <c r="J15" s="113"/>
    </row>
    <row r="16" s="58" customFormat="1" ht="36" customHeight="1" spans="1:10">
      <c r="A16" s="91" t="s">
        <v>12</v>
      </c>
      <c r="B16" s="92" t="s">
        <v>13</v>
      </c>
      <c r="C16" s="93" t="s">
        <v>14</v>
      </c>
      <c r="D16" s="93" t="s">
        <v>15</v>
      </c>
      <c r="E16" s="93" t="s">
        <v>16</v>
      </c>
      <c r="F16" s="93" t="s">
        <v>17</v>
      </c>
      <c r="G16" s="93" t="s">
        <v>18</v>
      </c>
      <c r="H16" s="94" t="s">
        <v>19</v>
      </c>
      <c r="I16" s="114" t="s">
        <v>20</v>
      </c>
      <c r="J16" s="115" t="s">
        <v>21</v>
      </c>
    </row>
    <row r="17" s="58" customFormat="1" ht="39" customHeight="1" spans="1:10">
      <c r="A17" s="95">
        <v>1</v>
      </c>
      <c r="B17" s="30" t="s">
        <v>22</v>
      </c>
      <c r="C17" s="96" t="s">
        <v>23</v>
      </c>
      <c r="D17" s="97" t="s">
        <v>24</v>
      </c>
      <c r="E17" s="96">
        <v>500</v>
      </c>
      <c r="F17" s="98">
        <v>1</v>
      </c>
      <c r="G17" s="98">
        <v>0.01</v>
      </c>
      <c r="H17" s="98">
        <v>2.8</v>
      </c>
      <c r="I17" s="96">
        <v>2.6</v>
      </c>
      <c r="J17" s="116" t="s">
        <v>25</v>
      </c>
    </row>
    <row r="18" s="58" customFormat="1" ht="39" customHeight="1" spans="1:10">
      <c r="A18" s="95">
        <v>2</v>
      </c>
      <c r="B18" s="30" t="s">
        <v>26</v>
      </c>
      <c r="C18" s="96" t="s">
        <v>27</v>
      </c>
      <c r="D18" s="97" t="s">
        <v>24</v>
      </c>
      <c r="E18" s="96">
        <v>3</v>
      </c>
      <c r="F18" s="99">
        <v>1</v>
      </c>
      <c r="G18" s="99">
        <v>0.04</v>
      </c>
      <c r="H18" s="99">
        <v>2.04</v>
      </c>
      <c r="I18" s="96">
        <v>1.1</v>
      </c>
      <c r="J18" s="117" t="s">
        <v>28</v>
      </c>
    </row>
    <row r="19" s="58" customFormat="1" ht="39" customHeight="1" spans="1:10">
      <c r="A19" s="95">
        <v>3</v>
      </c>
      <c r="B19" s="30" t="s">
        <v>29</v>
      </c>
      <c r="C19" s="100" t="s">
        <v>30</v>
      </c>
      <c r="D19" s="101" t="s">
        <v>31</v>
      </c>
      <c r="E19" s="96">
        <v>2</v>
      </c>
      <c r="F19" s="102"/>
      <c r="G19" s="102"/>
      <c r="H19" s="102"/>
      <c r="I19" s="96">
        <v>0.5</v>
      </c>
      <c r="J19" s="118"/>
    </row>
    <row r="20" s="58" customFormat="1" ht="39" customHeight="1" spans="1:10">
      <c r="A20" s="95">
        <v>4</v>
      </c>
      <c r="B20" s="30" t="s">
        <v>32</v>
      </c>
      <c r="C20" s="100" t="s">
        <v>30</v>
      </c>
      <c r="D20" s="101" t="s">
        <v>33</v>
      </c>
      <c r="E20" s="96">
        <v>1</v>
      </c>
      <c r="F20" s="98"/>
      <c r="G20" s="98"/>
      <c r="H20" s="98"/>
      <c r="I20" s="96">
        <v>0.2</v>
      </c>
      <c r="J20" s="116"/>
    </row>
    <row r="21" s="58" customFormat="1" ht="39" customHeight="1" spans="1:10">
      <c r="A21" s="95">
        <v>5</v>
      </c>
      <c r="B21" s="30" t="s">
        <v>26</v>
      </c>
      <c r="C21" s="100" t="s">
        <v>27</v>
      </c>
      <c r="D21" s="103" t="s">
        <v>24</v>
      </c>
      <c r="E21" s="96">
        <v>3</v>
      </c>
      <c r="F21" s="104">
        <v>1</v>
      </c>
      <c r="G21" s="104">
        <v>0.04</v>
      </c>
      <c r="H21" s="104">
        <v>1.88</v>
      </c>
      <c r="I21" s="96">
        <v>1.55</v>
      </c>
      <c r="J21" s="119" t="s">
        <v>34</v>
      </c>
    </row>
    <row r="22" s="58" customFormat="1" ht="39" customHeight="1" spans="1:10">
      <c r="A22" s="95">
        <v>6</v>
      </c>
      <c r="B22" s="30" t="s">
        <v>35</v>
      </c>
      <c r="C22" s="100" t="s">
        <v>36</v>
      </c>
      <c r="D22" s="97" t="s">
        <v>37</v>
      </c>
      <c r="E22" s="96">
        <v>100</v>
      </c>
      <c r="F22" s="102">
        <v>1</v>
      </c>
      <c r="G22" s="102">
        <v>0.01</v>
      </c>
      <c r="H22" s="102">
        <v>4.3</v>
      </c>
      <c r="I22" s="96">
        <v>2</v>
      </c>
      <c r="J22" s="118" t="s">
        <v>38</v>
      </c>
    </row>
    <row r="23" s="58" customFormat="1" ht="39" customHeight="1" spans="1:10">
      <c r="A23" s="95">
        <v>7</v>
      </c>
      <c r="B23" s="30" t="s">
        <v>39</v>
      </c>
      <c r="C23" s="100" t="s">
        <v>40</v>
      </c>
      <c r="D23" s="97" t="s">
        <v>41</v>
      </c>
      <c r="E23" s="96">
        <v>137</v>
      </c>
      <c r="F23" s="98"/>
      <c r="G23" s="98"/>
      <c r="H23" s="98"/>
      <c r="I23" s="96">
        <v>2.1</v>
      </c>
      <c r="J23" s="116"/>
    </row>
    <row r="24" s="58" customFormat="1" ht="39" customHeight="1" spans="1:10">
      <c r="A24" s="95">
        <v>8</v>
      </c>
      <c r="B24" s="30" t="s">
        <v>42</v>
      </c>
      <c r="C24" s="100" t="s">
        <v>43</v>
      </c>
      <c r="D24" s="97" t="s">
        <v>44</v>
      </c>
      <c r="E24" s="96">
        <v>1</v>
      </c>
      <c r="F24" s="99">
        <v>1</v>
      </c>
      <c r="G24" s="99">
        <v>0.02</v>
      </c>
      <c r="H24" s="99">
        <v>14</v>
      </c>
      <c r="I24" s="96">
        <v>3</v>
      </c>
      <c r="J24" s="117" t="s">
        <v>45</v>
      </c>
    </row>
    <row r="25" s="58" customFormat="1" ht="39" customHeight="1" spans="1:10">
      <c r="A25" s="95">
        <v>9</v>
      </c>
      <c r="B25" s="30" t="s">
        <v>46</v>
      </c>
      <c r="C25" s="100" t="s">
        <v>47</v>
      </c>
      <c r="D25" s="97" t="s">
        <v>48</v>
      </c>
      <c r="E25" s="96">
        <v>1</v>
      </c>
      <c r="F25" s="102"/>
      <c r="G25" s="102"/>
      <c r="H25" s="102"/>
      <c r="I25" s="96">
        <v>5</v>
      </c>
      <c r="J25" s="118"/>
    </row>
    <row r="26" s="58" customFormat="1" ht="39" customHeight="1" spans="1:10">
      <c r="A26" s="95">
        <v>10</v>
      </c>
      <c r="B26" s="30" t="s">
        <v>49</v>
      </c>
      <c r="C26" s="100" t="s">
        <v>47</v>
      </c>
      <c r="D26" s="97" t="s">
        <v>50</v>
      </c>
      <c r="E26" s="96">
        <v>3</v>
      </c>
      <c r="F26" s="98"/>
      <c r="G26" s="98"/>
      <c r="H26" s="98"/>
      <c r="I26" s="96">
        <v>5</v>
      </c>
      <c r="J26" s="116"/>
    </row>
    <row r="27" s="58" customFormat="1" ht="39" customHeight="1" spans="1:10">
      <c r="A27" s="95">
        <v>11</v>
      </c>
      <c r="B27" s="30" t="s">
        <v>51</v>
      </c>
      <c r="C27" s="100" t="s">
        <v>52</v>
      </c>
      <c r="D27" s="97" t="s">
        <v>24</v>
      </c>
      <c r="E27" s="96">
        <v>5</v>
      </c>
      <c r="F27" s="98">
        <v>1</v>
      </c>
      <c r="G27" s="98">
        <v>0.01</v>
      </c>
      <c r="H27" s="98">
        <v>1.44</v>
      </c>
      <c r="I27" s="96">
        <v>1.23</v>
      </c>
      <c r="J27" s="116" t="s">
        <v>53</v>
      </c>
    </row>
    <row r="28" s="58" customFormat="1" ht="39" customHeight="1" spans="1:10">
      <c r="A28" s="95">
        <v>12</v>
      </c>
      <c r="B28" s="30" t="s">
        <v>54</v>
      </c>
      <c r="C28" s="100" t="s">
        <v>55</v>
      </c>
      <c r="D28" s="97" t="s">
        <v>56</v>
      </c>
      <c r="E28" s="96">
        <v>30</v>
      </c>
      <c r="F28" s="102">
        <v>1</v>
      </c>
      <c r="G28" s="102">
        <v>0.01</v>
      </c>
      <c r="H28" s="102">
        <v>7.55</v>
      </c>
      <c r="I28" s="96">
        <v>0.15</v>
      </c>
      <c r="J28" s="118" t="s">
        <v>57</v>
      </c>
    </row>
    <row r="29" s="58" customFormat="1" ht="39" customHeight="1" spans="1:10">
      <c r="A29" s="95">
        <v>13</v>
      </c>
      <c r="B29" s="30" t="s">
        <v>58</v>
      </c>
      <c r="C29" s="100" t="s">
        <v>55</v>
      </c>
      <c r="D29" s="97" t="s">
        <v>59</v>
      </c>
      <c r="E29" s="96">
        <v>500</v>
      </c>
      <c r="F29" s="102"/>
      <c r="G29" s="102"/>
      <c r="H29" s="102"/>
      <c r="I29" s="96">
        <v>2.5</v>
      </c>
      <c r="J29" s="118"/>
    </row>
    <row r="30" s="58" customFormat="1" ht="39" customHeight="1" spans="1:10">
      <c r="A30" s="95">
        <v>14</v>
      </c>
      <c r="B30" s="30" t="s">
        <v>60</v>
      </c>
      <c r="C30" s="100" t="s">
        <v>55</v>
      </c>
      <c r="D30" s="97" t="s">
        <v>61</v>
      </c>
      <c r="E30" s="96">
        <v>400</v>
      </c>
      <c r="F30" s="102"/>
      <c r="G30" s="102"/>
      <c r="H30" s="102"/>
      <c r="I30" s="96">
        <v>2</v>
      </c>
      <c r="J30" s="118"/>
    </row>
    <row r="31" s="58" customFormat="1" ht="39" customHeight="1" spans="1:10">
      <c r="A31" s="95">
        <v>15</v>
      </c>
      <c r="B31" s="30" t="s">
        <v>62</v>
      </c>
      <c r="C31" s="100" t="s">
        <v>55</v>
      </c>
      <c r="D31" s="97" t="s">
        <v>63</v>
      </c>
      <c r="E31" s="96">
        <v>40</v>
      </c>
      <c r="F31" s="102"/>
      <c r="G31" s="102"/>
      <c r="H31" s="102"/>
      <c r="I31" s="96">
        <v>0.2</v>
      </c>
      <c r="J31" s="118"/>
    </row>
    <row r="32" s="58" customFormat="1" ht="39" customHeight="1" spans="1:10">
      <c r="A32" s="95">
        <v>16</v>
      </c>
      <c r="B32" s="30" t="s">
        <v>64</v>
      </c>
      <c r="C32" s="100" t="s">
        <v>55</v>
      </c>
      <c r="D32" s="97" t="s">
        <v>65</v>
      </c>
      <c r="E32" s="96">
        <v>40</v>
      </c>
      <c r="F32" s="102"/>
      <c r="G32" s="102"/>
      <c r="H32" s="102"/>
      <c r="I32" s="96">
        <v>0.2</v>
      </c>
      <c r="J32" s="118"/>
    </row>
    <row r="33" s="58" customFormat="1" ht="39" customHeight="1" spans="1:10">
      <c r="A33" s="95">
        <v>17</v>
      </c>
      <c r="B33" s="30" t="s">
        <v>66</v>
      </c>
      <c r="C33" s="100" t="s">
        <v>67</v>
      </c>
      <c r="D33" s="97" t="s">
        <v>68</v>
      </c>
      <c r="E33" s="96">
        <v>140</v>
      </c>
      <c r="F33" s="102"/>
      <c r="G33" s="102"/>
      <c r="H33" s="102"/>
      <c r="I33" s="96">
        <v>0.7</v>
      </c>
      <c r="J33" s="118"/>
    </row>
    <row r="34" s="58" customFormat="1" ht="39" customHeight="1" spans="1:10">
      <c r="A34" s="95">
        <v>18</v>
      </c>
      <c r="B34" s="30" t="s">
        <v>69</v>
      </c>
      <c r="C34" s="100" t="s">
        <v>70</v>
      </c>
      <c r="D34" s="97" t="s">
        <v>24</v>
      </c>
      <c r="E34" s="96">
        <v>250</v>
      </c>
      <c r="F34" s="98"/>
      <c r="G34" s="98"/>
      <c r="H34" s="98"/>
      <c r="I34" s="96">
        <v>1.25</v>
      </c>
      <c r="J34" s="116"/>
    </row>
    <row r="35" s="58" customFormat="1" ht="39" customHeight="1" spans="1:10">
      <c r="A35" s="95">
        <v>19</v>
      </c>
      <c r="B35" s="30" t="s">
        <v>71</v>
      </c>
      <c r="C35" s="100" t="s">
        <v>72</v>
      </c>
      <c r="D35" s="97" t="s">
        <v>24</v>
      </c>
      <c r="E35" s="96">
        <v>388</v>
      </c>
      <c r="F35" s="102">
        <v>1</v>
      </c>
      <c r="G35" s="102">
        <v>0.02</v>
      </c>
      <c r="H35" s="102">
        <v>20</v>
      </c>
      <c r="I35" s="96">
        <v>3.49</v>
      </c>
      <c r="J35" s="118" t="s">
        <v>73</v>
      </c>
    </row>
    <row r="36" s="58" customFormat="1" ht="39" customHeight="1" spans="1:10">
      <c r="A36" s="95">
        <v>20</v>
      </c>
      <c r="B36" s="30" t="s">
        <v>74</v>
      </c>
      <c r="C36" s="100" t="s">
        <v>72</v>
      </c>
      <c r="D36" s="97" t="s">
        <v>24</v>
      </c>
      <c r="E36" s="96">
        <v>457</v>
      </c>
      <c r="F36" s="102"/>
      <c r="G36" s="102"/>
      <c r="H36" s="102"/>
      <c r="I36" s="96">
        <v>4.11</v>
      </c>
      <c r="J36" s="118"/>
    </row>
    <row r="37" s="58" customFormat="1" ht="39" customHeight="1" spans="1:10">
      <c r="A37" s="95">
        <v>21</v>
      </c>
      <c r="B37" s="30" t="s">
        <v>75</v>
      </c>
      <c r="C37" s="100" t="s">
        <v>72</v>
      </c>
      <c r="D37" s="97" t="s">
        <v>24</v>
      </c>
      <c r="E37" s="96">
        <v>458</v>
      </c>
      <c r="F37" s="102"/>
      <c r="G37" s="102"/>
      <c r="H37" s="102"/>
      <c r="I37" s="96">
        <v>4.12</v>
      </c>
      <c r="J37" s="118"/>
    </row>
    <row r="38" s="58" customFormat="1" ht="39" customHeight="1" spans="1:10">
      <c r="A38" s="95">
        <v>22</v>
      </c>
      <c r="B38" s="30" t="s">
        <v>76</v>
      </c>
      <c r="C38" s="100" t="s">
        <v>72</v>
      </c>
      <c r="D38" s="97" t="s">
        <v>24</v>
      </c>
      <c r="E38" s="96">
        <v>287</v>
      </c>
      <c r="F38" s="102"/>
      <c r="G38" s="102"/>
      <c r="H38" s="102"/>
      <c r="I38" s="96">
        <v>2.58</v>
      </c>
      <c r="J38" s="118"/>
    </row>
    <row r="39" s="58" customFormat="1" ht="39" customHeight="1" spans="1:10">
      <c r="A39" s="95">
        <v>23</v>
      </c>
      <c r="B39" s="30" t="s">
        <v>77</v>
      </c>
      <c r="C39" s="100" t="s">
        <v>72</v>
      </c>
      <c r="D39" s="97" t="s">
        <v>24</v>
      </c>
      <c r="E39" s="96">
        <v>40</v>
      </c>
      <c r="F39" s="102"/>
      <c r="G39" s="102"/>
      <c r="H39" s="102"/>
      <c r="I39" s="96">
        <v>0.36</v>
      </c>
      <c r="J39" s="118"/>
    </row>
    <row r="40" s="58" customFormat="1" ht="39" customHeight="1" spans="1:10">
      <c r="A40" s="95">
        <v>24</v>
      </c>
      <c r="B40" s="30" t="s">
        <v>78</v>
      </c>
      <c r="C40" s="100" t="s">
        <v>72</v>
      </c>
      <c r="D40" s="97" t="s">
        <v>24</v>
      </c>
      <c r="E40" s="96">
        <v>60</v>
      </c>
      <c r="F40" s="102"/>
      <c r="G40" s="102"/>
      <c r="H40" s="102"/>
      <c r="I40" s="96">
        <v>0.54</v>
      </c>
      <c r="J40" s="118"/>
    </row>
    <row r="41" s="58" customFormat="1" ht="39" customHeight="1" spans="1:10">
      <c r="A41" s="95">
        <v>25</v>
      </c>
      <c r="B41" s="30" t="s">
        <v>79</v>
      </c>
      <c r="C41" s="100" t="s">
        <v>72</v>
      </c>
      <c r="D41" s="97" t="s">
        <v>24</v>
      </c>
      <c r="E41" s="96">
        <v>50</v>
      </c>
      <c r="F41" s="102"/>
      <c r="G41" s="102"/>
      <c r="H41" s="102"/>
      <c r="I41" s="96">
        <v>0.45</v>
      </c>
      <c r="J41" s="118"/>
    </row>
    <row r="42" s="58" customFormat="1" ht="39" customHeight="1" spans="1:10">
      <c r="A42" s="95">
        <v>26</v>
      </c>
      <c r="B42" s="30" t="s">
        <v>80</v>
      </c>
      <c r="C42" s="100" t="s">
        <v>72</v>
      </c>
      <c r="D42" s="97" t="s">
        <v>24</v>
      </c>
      <c r="E42" s="96">
        <v>50</v>
      </c>
      <c r="F42" s="102"/>
      <c r="G42" s="102"/>
      <c r="H42" s="102"/>
      <c r="I42" s="96">
        <v>0.45</v>
      </c>
      <c r="J42" s="118"/>
    </row>
    <row r="43" s="58" customFormat="1" ht="39" customHeight="1" spans="1:10">
      <c r="A43" s="95">
        <v>27</v>
      </c>
      <c r="B43" s="30" t="s">
        <v>81</v>
      </c>
      <c r="C43" s="100" t="s">
        <v>72</v>
      </c>
      <c r="D43" s="97" t="s">
        <v>24</v>
      </c>
      <c r="E43" s="96">
        <v>110</v>
      </c>
      <c r="F43" s="98"/>
      <c r="G43" s="98"/>
      <c r="H43" s="98"/>
      <c r="I43" s="96">
        <v>0.99</v>
      </c>
      <c r="J43" s="116"/>
    </row>
    <row r="44" s="58" customFormat="1" ht="39" customHeight="1" spans="1:10">
      <c r="A44" s="95">
        <v>28</v>
      </c>
      <c r="B44" s="30" t="s">
        <v>82</v>
      </c>
      <c r="C44" s="100" t="s">
        <v>83</v>
      </c>
      <c r="D44" s="97" t="s">
        <v>24</v>
      </c>
      <c r="E44" s="96">
        <v>2040</v>
      </c>
      <c r="F44" s="104">
        <v>68</v>
      </c>
      <c r="G44" s="104">
        <v>6.12</v>
      </c>
      <c r="H44" s="104">
        <v>1204.28</v>
      </c>
      <c r="I44" s="96">
        <v>1200</v>
      </c>
      <c r="J44" s="119" t="s">
        <v>84</v>
      </c>
    </row>
    <row r="45" s="58" customFormat="1" ht="39" customHeight="1" spans="1:10">
      <c r="A45" s="95">
        <v>29</v>
      </c>
      <c r="B45" s="30" t="s">
        <v>85</v>
      </c>
      <c r="C45" s="100" t="s">
        <v>83</v>
      </c>
      <c r="D45" s="97" t="s">
        <v>24</v>
      </c>
      <c r="E45" s="96">
        <v>2800</v>
      </c>
      <c r="F45" s="104">
        <v>56</v>
      </c>
      <c r="G45" s="104">
        <v>3.92</v>
      </c>
      <c r="H45" s="104">
        <v>868</v>
      </c>
      <c r="I45" s="96">
        <v>866</v>
      </c>
      <c r="J45" s="119" t="s">
        <v>86</v>
      </c>
    </row>
    <row r="46" s="58" customFormat="1" ht="39" customHeight="1" spans="1:10">
      <c r="A46" s="95">
        <v>30</v>
      </c>
      <c r="B46" s="30" t="s">
        <v>87</v>
      </c>
      <c r="C46" s="100" t="s">
        <v>88</v>
      </c>
      <c r="D46" s="97" t="s">
        <v>89</v>
      </c>
      <c r="E46" s="96">
        <v>2</v>
      </c>
      <c r="F46" s="99">
        <v>1</v>
      </c>
      <c r="G46" s="99">
        <v>0.01</v>
      </c>
      <c r="H46" s="99">
        <v>1</v>
      </c>
      <c r="I46" s="96">
        <v>0.3</v>
      </c>
      <c r="J46" s="117" t="s">
        <v>90</v>
      </c>
    </row>
    <row r="47" s="58" customFormat="1" ht="39" customHeight="1" spans="1:10">
      <c r="A47" s="95">
        <v>31</v>
      </c>
      <c r="B47" s="30" t="s">
        <v>91</v>
      </c>
      <c r="C47" s="100" t="s">
        <v>92</v>
      </c>
      <c r="D47" s="97" t="s">
        <v>93</v>
      </c>
      <c r="E47" s="96">
        <v>5</v>
      </c>
      <c r="F47" s="98"/>
      <c r="G47" s="98"/>
      <c r="H47" s="98"/>
      <c r="I47" s="96">
        <v>0.6</v>
      </c>
      <c r="J47" s="116"/>
    </row>
    <row r="48" s="58" customFormat="1" ht="39" customHeight="1" spans="1:10">
      <c r="A48" s="95">
        <v>32</v>
      </c>
      <c r="B48" s="30" t="s">
        <v>94</v>
      </c>
      <c r="C48" s="100" t="s">
        <v>95</v>
      </c>
      <c r="D48" s="97" t="s">
        <v>24</v>
      </c>
      <c r="E48" s="96">
        <v>3</v>
      </c>
      <c r="F48" s="96">
        <v>3</v>
      </c>
      <c r="G48" s="105">
        <v>0.14</v>
      </c>
      <c r="H48" s="105">
        <v>66.02</v>
      </c>
      <c r="I48" s="120">
        <v>64.2</v>
      </c>
      <c r="J48" s="121" t="s">
        <v>96</v>
      </c>
    </row>
    <row r="49" s="58" customFormat="1" ht="39" customHeight="1" spans="1:10">
      <c r="A49" s="95">
        <v>33</v>
      </c>
      <c r="B49" s="106" t="s">
        <v>97</v>
      </c>
      <c r="C49" s="100" t="s">
        <v>98</v>
      </c>
      <c r="D49" s="97" t="s">
        <v>24</v>
      </c>
      <c r="E49" s="96">
        <v>12</v>
      </c>
      <c r="F49" s="96">
        <v>1</v>
      </c>
      <c r="G49" s="105">
        <v>0.05</v>
      </c>
      <c r="H49" s="105">
        <v>34.91</v>
      </c>
      <c r="I49" s="120">
        <v>34</v>
      </c>
      <c r="J49" s="121" t="s">
        <v>99</v>
      </c>
    </row>
    <row r="50" s="58" customFormat="1" ht="39" customHeight="1" spans="1:10">
      <c r="A50" s="95">
        <v>34</v>
      </c>
      <c r="B50" s="30" t="s">
        <v>100</v>
      </c>
      <c r="C50" s="100" t="s">
        <v>101</v>
      </c>
      <c r="D50" s="97" t="s">
        <v>24</v>
      </c>
      <c r="E50" s="96">
        <v>9</v>
      </c>
      <c r="F50" s="96">
        <v>8</v>
      </c>
      <c r="G50" s="105">
        <v>0.53</v>
      </c>
      <c r="H50" s="105">
        <v>207.46</v>
      </c>
      <c r="I50" s="120">
        <v>205</v>
      </c>
      <c r="J50" s="121" t="s">
        <v>102</v>
      </c>
    </row>
    <row r="51" s="58" customFormat="1" ht="39" customHeight="1" spans="1:10">
      <c r="A51" s="95">
        <v>35</v>
      </c>
      <c r="B51" s="30" t="s">
        <v>103</v>
      </c>
      <c r="C51" s="100" t="s">
        <v>104</v>
      </c>
      <c r="D51" s="97" t="s">
        <v>24</v>
      </c>
      <c r="E51" s="96">
        <v>10</v>
      </c>
      <c r="F51" s="104">
        <v>10</v>
      </c>
      <c r="G51" s="107">
        <v>3</v>
      </c>
      <c r="H51" s="107">
        <v>370</v>
      </c>
      <c r="I51" s="96">
        <v>270</v>
      </c>
      <c r="J51" s="122" t="s">
        <v>105</v>
      </c>
    </row>
    <row r="52" s="58" customFormat="1" ht="39" customHeight="1" spans="1:10">
      <c r="A52" s="95">
        <v>36</v>
      </c>
      <c r="B52" s="30" t="s">
        <v>106</v>
      </c>
      <c r="C52" s="100" t="s">
        <v>104</v>
      </c>
      <c r="D52" s="97" t="s">
        <v>24</v>
      </c>
      <c r="E52" s="96">
        <v>10</v>
      </c>
      <c r="F52" s="104">
        <v>10</v>
      </c>
      <c r="G52" s="107">
        <v>4.3</v>
      </c>
      <c r="H52" s="107">
        <v>540</v>
      </c>
      <c r="I52" s="96">
        <v>440</v>
      </c>
      <c r="J52" s="122" t="s">
        <v>107</v>
      </c>
    </row>
    <row r="53" s="58" customFormat="1" ht="39" customHeight="1" spans="1:10">
      <c r="A53" s="95">
        <v>37</v>
      </c>
      <c r="B53" s="30" t="s">
        <v>108</v>
      </c>
      <c r="C53" s="100" t="s">
        <v>109</v>
      </c>
      <c r="D53" s="97" t="s">
        <v>110</v>
      </c>
      <c r="E53" s="96">
        <v>1</v>
      </c>
      <c r="F53" s="98">
        <v>1</v>
      </c>
      <c r="G53" s="108">
        <v>0.02</v>
      </c>
      <c r="H53" s="108">
        <v>15.16</v>
      </c>
      <c r="I53" s="96">
        <v>15</v>
      </c>
      <c r="J53" s="123" t="s">
        <v>111</v>
      </c>
    </row>
    <row r="54" s="58" customFormat="1" ht="39" customHeight="1" spans="1:10">
      <c r="A54" s="95">
        <v>38</v>
      </c>
      <c r="B54" s="30" t="s">
        <v>112</v>
      </c>
      <c r="C54" s="100" t="s">
        <v>113</v>
      </c>
      <c r="D54" s="97" t="s">
        <v>24</v>
      </c>
      <c r="E54" s="96">
        <v>10</v>
      </c>
      <c r="F54" s="102">
        <v>1</v>
      </c>
      <c r="G54" s="109">
        <v>0.02</v>
      </c>
      <c r="H54" s="109">
        <v>5</v>
      </c>
      <c r="I54" s="96">
        <v>0.09</v>
      </c>
      <c r="J54" s="124" t="s">
        <v>114</v>
      </c>
    </row>
    <row r="55" s="58" customFormat="1" ht="39" customHeight="1" spans="1:10">
      <c r="A55" s="95">
        <v>39</v>
      </c>
      <c r="B55" s="30" t="s">
        <v>115</v>
      </c>
      <c r="C55" s="100" t="s">
        <v>47</v>
      </c>
      <c r="D55" s="97" t="s">
        <v>116</v>
      </c>
      <c r="E55" s="96">
        <v>5</v>
      </c>
      <c r="F55" s="102"/>
      <c r="G55" s="109"/>
      <c r="H55" s="109"/>
      <c r="I55" s="96">
        <v>0.04</v>
      </c>
      <c r="J55" s="124"/>
    </row>
    <row r="56" s="58" customFormat="1" ht="39" customHeight="1" spans="1:10">
      <c r="A56" s="95">
        <v>40</v>
      </c>
      <c r="B56" s="30" t="s">
        <v>117</v>
      </c>
      <c r="C56" s="100" t="s">
        <v>118</v>
      </c>
      <c r="D56" s="97" t="s">
        <v>119</v>
      </c>
      <c r="E56" s="96">
        <v>500</v>
      </c>
      <c r="F56" s="102"/>
      <c r="G56" s="109"/>
      <c r="H56" s="109"/>
      <c r="I56" s="96">
        <v>4.5</v>
      </c>
      <c r="J56" s="124"/>
    </row>
    <row r="57" s="58" customFormat="1" ht="39" customHeight="1" spans="1:10">
      <c r="A57" s="95">
        <v>41</v>
      </c>
      <c r="B57" s="30" t="s">
        <v>120</v>
      </c>
      <c r="C57" s="100" t="s">
        <v>121</v>
      </c>
      <c r="D57" s="97" t="s">
        <v>24</v>
      </c>
      <c r="E57" s="96">
        <v>4</v>
      </c>
      <c r="F57" s="102"/>
      <c r="G57" s="109"/>
      <c r="H57" s="109"/>
      <c r="I57" s="96">
        <v>0.04</v>
      </c>
      <c r="J57" s="124"/>
    </row>
    <row r="58" s="58" customFormat="1" ht="39" customHeight="1" spans="1:10">
      <c r="A58" s="95">
        <v>42</v>
      </c>
      <c r="B58" s="30" t="s">
        <v>122</v>
      </c>
      <c r="C58" s="100" t="s">
        <v>123</v>
      </c>
      <c r="D58" s="97" t="s">
        <v>24</v>
      </c>
      <c r="E58" s="96">
        <v>5</v>
      </c>
      <c r="F58" s="102"/>
      <c r="G58" s="109"/>
      <c r="H58" s="109"/>
      <c r="I58" s="96">
        <v>0.04</v>
      </c>
      <c r="J58" s="124"/>
    </row>
    <row r="59" s="58" customFormat="1" ht="39" customHeight="1" spans="1:10">
      <c r="A59" s="95">
        <v>43</v>
      </c>
      <c r="B59" s="30" t="s">
        <v>124</v>
      </c>
      <c r="C59" s="100" t="s">
        <v>125</v>
      </c>
      <c r="D59" s="97" t="s">
        <v>126</v>
      </c>
      <c r="E59" s="96">
        <v>2</v>
      </c>
      <c r="F59" s="102"/>
      <c r="G59" s="109"/>
      <c r="H59" s="109"/>
      <c r="I59" s="96">
        <v>0.02</v>
      </c>
      <c r="J59" s="124"/>
    </row>
    <row r="60" s="58" customFormat="1" ht="39" customHeight="1" spans="1:10">
      <c r="A60" s="95">
        <v>44</v>
      </c>
      <c r="B60" s="30" t="s">
        <v>127</v>
      </c>
      <c r="C60" s="100" t="s">
        <v>128</v>
      </c>
      <c r="D60" s="97" t="s">
        <v>24</v>
      </c>
      <c r="E60" s="96">
        <v>10</v>
      </c>
      <c r="F60" s="102"/>
      <c r="G60" s="109"/>
      <c r="H60" s="109"/>
      <c r="I60" s="96">
        <v>0.09</v>
      </c>
      <c r="J60" s="124"/>
    </row>
    <row r="61" s="58" customFormat="1" ht="39" customHeight="1" spans="1:10">
      <c r="A61" s="95">
        <v>45</v>
      </c>
      <c r="B61" s="30" t="s">
        <v>129</v>
      </c>
      <c r="C61" s="100" t="s">
        <v>128</v>
      </c>
      <c r="D61" s="97" t="s">
        <v>24</v>
      </c>
      <c r="E61" s="96">
        <v>10</v>
      </c>
      <c r="F61" s="102"/>
      <c r="G61" s="109"/>
      <c r="H61" s="109"/>
      <c r="I61" s="96">
        <v>0.09</v>
      </c>
      <c r="J61" s="124"/>
    </row>
    <row r="62" s="58" customFormat="1" ht="39" customHeight="1" spans="1:10">
      <c r="A62" s="95">
        <v>46</v>
      </c>
      <c r="B62" s="30" t="s">
        <v>130</v>
      </c>
      <c r="C62" s="100" t="s">
        <v>131</v>
      </c>
      <c r="D62" s="97" t="s">
        <v>24</v>
      </c>
      <c r="E62" s="96">
        <v>2</v>
      </c>
      <c r="F62" s="102"/>
      <c r="G62" s="109"/>
      <c r="H62" s="109"/>
      <c r="I62" s="96">
        <v>0.02</v>
      </c>
      <c r="J62" s="124"/>
    </row>
    <row r="63" s="58" customFormat="1" ht="39" customHeight="1" spans="1:10">
      <c r="A63" s="95">
        <v>47</v>
      </c>
      <c r="B63" s="30" t="s">
        <v>132</v>
      </c>
      <c r="C63" s="100" t="s">
        <v>131</v>
      </c>
      <c r="D63" s="97" t="s">
        <v>24</v>
      </c>
      <c r="E63" s="96">
        <v>2</v>
      </c>
      <c r="F63" s="102"/>
      <c r="G63" s="109"/>
      <c r="H63" s="109"/>
      <c r="I63" s="96">
        <v>0.02</v>
      </c>
      <c r="J63" s="124"/>
    </row>
    <row r="64" s="58" customFormat="1" ht="39" customHeight="1" spans="1:10">
      <c r="A64" s="95">
        <v>48</v>
      </c>
      <c r="B64" s="30" t="s">
        <v>133</v>
      </c>
      <c r="C64" s="100" t="s">
        <v>131</v>
      </c>
      <c r="D64" s="97" t="s">
        <v>24</v>
      </c>
      <c r="E64" s="96">
        <v>2</v>
      </c>
      <c r="F64" s="102"/>
      <c r="G64" s="109"/>
      <c r="H64" s="109"/>
      <c r="I64" s="96">
        <v>0.02</v>
      </c>
      <c r="J64" s="124"/>
    </row>
    <row r="65" s="58" customFormat="1" ht="39" customHeight="1" spans="1:10">
      <c r="A65" s="95">
        <v>49</v>
      </c>
      <c r="B65" s="30" t="s">
        <v>134</v>
      </c>
      <c r="C65" s="100" t="s">
        <v>131</v>
      </c>
      <c r="D65" s="97" t="s">
        <v>24</v>
      </c>
      <c r="E65" s="96">
        <v>2</v>
      </c>
      <c r="F65" s="98"/>
      <c r="G65" s="108"/>
      <c r="H65" s="108"/>
      <c r="I65" s="96">
        <v>0.02</v>
      </c>
      <c r="J65" s="123"/>
    </row>
    <row r="66" s="58" customFormat="1" ht="39" customHeight="1" spans="1:10">
      <c r="A66" s="95">
        <v>50</v>
      </c>
      <c r="B66" s="30" t="s">
        <v>135</v>
      </c>
      <c r="C66" s="100" t="s">
        <v>136</v>
      </c>
      <c r="D66" s="97" t="s">
        <v>24</v>
      </c>
      <c r="E66" s="96">
        <v>2</v>
      </c>
      <c r="F66" s="102">
        <v>1</v>
      </c>
      <c r="G66" s="109">
        <v>0.05</v>
      </c>
      <c r="H66" s="109">
        <v>9</v>
      </c>
      <c r="I66" s="96">
        <v>4.2</v>
      </c>
      <c r="J66" s="124" t="s">
        <v>137</v>
      </c>
    </row>
    <row r="67" s="58" customFormat="1" ht="39" customHeight="1" spans="1:10">
      <c r="A67" s="95">
        <v>51</v>
      </c>
      <c r="B67" s="30" t="s">
        <v>138</v>
      </c>
      <c r="C67" s="100" t="s">
        <v>136</v>
      </c>
      <c r="D67" s="97" t="s">
        <v>24</v>
      </c>
      <c r="E67" s="96">
        <v>2</v>
      </c>
      <c r="F67" s="98"/>
      <c r="G67" s="108"/>
      <c r="H67" s="108"/>
      <c r="I67" s="96">
        <v>4</v>
      </c>
      <c r="J67" s="123"/>
    </row>
    <row r="68" s="58" customFormat="1" ht="39" customHeight="1" spans="1:10">
      <c r="A68" s="95" t="s">
        <v>139</v>
      </c>
      <c r="B68" s="125"/>
      <c r="C68" s="125"/>
      <c r="D68" s="125"/>
      <c r="E68" s="126">
        <f>SUM(E17:E67)</f>
        <v>9506</v>
      </c>
      <c r="F68" s="126">
        <f>SUM(F17:F67)</f>
        <v>168</v>
      </c>
      <c r="G68" s="126">
        <f>SUM(G17:G67)</f>
        <v>18.32</v>
      </c>
      <c r="H68" s="126">
        <f>SUM(H17:H67)</f>
        <v>3374.84</v>
      </c>
      <c r="I68" s="126">
        <f>SUM(I17:I67)</f>
        <v>3156.66</v>
      </c>
      <c r="J68" s="135"/>
    </row>
    <row r="69" s="68" customFormat="1" ht="23" customHeight="1" spans="1:10">
      <c r="A69" s="127" t="str">
        <f>"PACKED IN "&amp;F68&amp;" "&amp;"PACKAGES ONLY."</f>
        <v>PACKED IN 168 PACKAGES ONLY.</v>
      </c>
      <c r="B69" s="128"/>
      <c r="C69" s="128"/>
      <c r="D69" s="128"/>
      <c r="E69" s="128"/>
      <c r="F69" s="128"/>
      <c r="G69" s="128"/>
      <c r="H69" s="129"/>
      <c r="I69" s="136"/>
      <c r="J69" s="137"/>
    </row>
    <row r="70" s="68" customFormat="1" ht="23" customHeight="1" spans="1:10">
      <c r="A70" s="127" t="str">
        <f>"NET WEIGHT:"&amp;" "&amp;I68&amp;"  KGS"</f>
        <v>NET WEIGHT: 3156.66  KGS</v>
      </c>
      <c r="B70" s="128"/>
      <c r="C70" s="128"/>
      <c r="D70" s="128"/>
      <c r="E70" s="128"/>
      <c r="F70" s="128"/>
      <c r="G70" s="128"/>
      <c r="H70" s="129"/>
      <c r="I70" s="136"/>
      <c r="J70" s="137"/>
    </row>
    <row r="71" s="68" customFormat="1" ht="23" customHeight="1" spans="1:10">
      <c r="A71" s="127" t="str">
        <f>"GROSS WEIGHT: "&amp;" "&amp;H68&amp;" KGS"</f>
        <v>GROSS WEIGHT:  3374.84 KGS</v>
      </c>
      <c r="B71" s="128"/>
      <c r="C71" s="128"/>
      <c r="D71" s="128"/>
      <c r="E71" s="128"/>
      <c r="F71" s="128"/>
      <c r="G71" s="128"/>
      <c r="H71" s="129"/>
      <c r="I71" s="136"/>
      <c r="J71" s="137"/>
    </row>
    <row r="72" s="68" customFormat="1" ht="23" customHeight="1" spans="1:10">
      <c r="A72" s="127" t="str">
        <f>"TOTAL MEASUREMENT:"&amp;G68&amp;" CBM"</f>
        <v>TOTAL MEASUREMENT:18.32 CBM</v>
      </c>
      <c r="B72" s="128"/>
      <c r="C72" s="128"/>
      <c r="D72" s="128"/>
      <c r="E72" s="128"/>
      <c r="F72" s="128"/>
      <c r="G72" s="128"/>
      <c r="H72" s="129"/>
      <c r="I72" s="136"/>
      <c r="J72" s="137"/>
    </row>
    <row r="73" s="68" customFormat="1" ht="23" customHeight="1" spans="1:10">
      <c r="A73" s="127" t="s">
        <v>140</v>
      </c>
      <c r="B73" s="128"/>
      <c r="C73" s="128"/>
      <c r="D73" s="128"/>
      <c r="E73" s="128"/>
      <c r="F73" s="128"/>
      <c r="G73" s="128"/>
      <c r="H73" s="129"/>
      <c r="I73" s="136"/>
      <c r="J73" s="137"/>
    </row>
    <row r="74" ht="23" customHeight="1" spans="1:10">
      <c r="A74" s="130"/>
      <c r="B74" s="131"/>
      <c r="C74" s="131"/>
      <c r="D74" s="131"/>
      <c r="E74" s="131"/>
      <c r="F74" s="131"/>
      <c r="G74" s="131"/>
      <c r="H74" s="132"/>
      <c r="I74" s="1"/>
      <c r="J74" s="138"/>
    </row>
    <row r="75" ht="15.25" spans="1:10">
      <c r="A75" s="133"/>
      <c r="B75" s="134"/>
      <c r="C75" s="134"/>
      <c r="D75" s="134"/>
      <c r="E75" s="134"/>
      <c r="F75" s="134"/>
      <c r="G75" s="134"/>
      <c r="H75" s="134"/>
      <c r="I75" s="134"/>
      <c r="J75" s="139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</sheetData>
  <autoFilter xmlns:etc="http://www.wps.cn/officeDocument/2017/etCustomData" ref="A16:J73" etc:filterBottomFollowUsedRange="0">
    <extLst/>
  </autoFilter>
  <mergeCells count="44">
    <mergeCell ref="A1:J1"/>
    <mergeCell ref="A2:J2"/>
    <mergeCell ref="A3:J3"/>
    <mergeCell ref="B8:C8"/>
    <mergeCell ref="G11:H11"/>
    <mergeCell ref="B12:C12"/>
    <mergeCell ref="G12:H12"/>
    <mergeCell ref="B13:C13"/>
    <mergeCell ref="G13:H13"/>
    <mergeCell ref="A68:C68"/>
    <mergeCell ref="F18:F20"/>
    <mergeCell ref="F22:F23"/>
    <mergeCell ref="F24:F26"/>
    <mergeCell ref="F28:F34"/>
    <mergeCell ref="F35:F43"/>
    <mergeCell ref="F46:F47"/>
    <mergeCell ref="F54:F65"/>
    <mergeCell ref="F66:F67"/>
    <mergeCell ref="G18:G20"/>
    <mergeCell ref="G22:G23"/>
    <mergeCell ref="G24:G26"/>
    <mergeCell ref="G28:G34"/>
    <mergeCell ref="G35:G43"/>
    <mergeCell ref="G46:G47"/>
    <mergeCell ref="G54:G65"/>
    <mergeCell ref="G66:G67"/>
    <mergeCell ref="H18:H20"/>
    <mergeCell ref="H22:H23"/>
    <mergeCell ref="H24:H26"/>
    <mergeCell ref="H28:H34"/>
    <mergeCell ref="H35:H43"/>
    <mergeCell ref="H46:H47"/>
    <mergeCell ref="H54:H65"/>
    <mergeCell ref="H66:H67"/>
    <mergeCell ref="J18:J20"/>
    <mergeCell ref="J22:J23"/>
    <mergeCell ref="J24:J26"/>
    <mergeCell ref="J28:J34"/>
    <mergeCell ref="J35:J43"/>
    <mergeCell ref="J46:J47"/>
    <mergeCell ref="J54:J65"/>
    <mergeCell ref="J66:J67"/>
    <mergeCell ref="B5:C6"/>
    <mergeCell ref="B9:C10"/>
  </mergeCells>
  <dataValidations count="1">
    <dataValidation allowBlank="1" showInputMessage="1" showErrorMessage="1" sqref="B9:C10"/>
  </dataValidations>
  <pageMargins left="0.330555555555556" right="0.156944444444444" top="0.747916666666667" bottom="0.393055555555556" header="0.314583333333333" footer="0.314583333333333"/>
  <pageSetup paperSize="9" scale="55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AA67"/>
  <sheetViews>
    <sheetView tabSelected="1" view="pageBreakPreview" zoomScale="85" zoomScaleNormal="90" topLeftCell="A2" workbookViewId="0">
      <selection activeCell="F12" sqref="F12"/>
    </sheetView>
  </sheetViews>
  <sheetFormatPr defaultColWidth="9" defaultRowHeight="14.5"/>
  <cols>
    <col min="1" max="1" width="4.87272727272727" style="1" customWidth="1"/>
    <col min="2" max="2" width="22.6272727272727" style="1" customWidth="1"/>
    <col min="3" max="3" width="22.4181818181818" style="1" customWidth="1"/>
    <col min="4" max="4" width="25.9545454545455" style="1" customWidth="1"/>
    <col min="5" max="5" width="13.2545454545455" style="1" customWidth="1"/>
    <col min="6" max="6" width="8.79090909090909" style="1" customWidth="1"/>
    <col min="7" max="7" width="11.9727272727273" style="1" customWidth="1"/>
    <col min="8" max="8" width="18.2545454545455" style="1" customWidth="1"/>
    <col min="9" max="9" width="10.6636363636364" style="2" customWidth="1"/>
    <col min="10" max="11" width="10.2545454545455" style="3" customWidth="1"/>
    <col min="12" max="12" width="9" style="4" customWidth="1"/>
    <col min="13" max="13" width="10.7545454545455" style="4" customWidth="1"/>
    <col min="14" max="14" width="11.7272727272727" style="1" customWidth="1"/>
    <col min="15" max="15" width="9" style="1" customWidth="1"/>
    <col min="16" max="19" width="12.8181818181818" style="1" customWidth="1"/>
    <col min="20" max="20" width="11.8909090909091" style="1" customWidth="1"/>
    <col min="21" max="22" width="12.1090909090909" style="1" customWidth="1"/>
    <col min="23" max="23" width="5.66363636363636" style="1" customWidth="1"/>
    <col min="24" max="24" width="11.8909090909091" style="1" customWidth="1"/>
    <col min="25" max="25" width="7.55454545454545" style="1" customWidth="1"/>
    <col min="26" max="26" width="8.89090909090909" style="1" customWidth="1"/>
    <col min="27" max="16384" width="9" style="1"/>
  </cols>
  <sheetData>
    <row r="1" ht="49" customHeight="1" spans="1:8">
      <c r="A1" s="5" t="s">
        <v>0</v>
      </c>
      <c r="B1" s="6"/>
      <c r="C1" s="6"/>
      <c r="D1" s="6"/>
      <c r="E1" s="6"/>
      <c r="F1" s="6"/>
      <c r="G1" s="6"/>
      <c r="H1" s="7"/>
    </row>
    <row r="2" ht="30" customHeight="1" spans="1:8">
      <c r="A2" s="8" t="s">
        <v>1</v>
      </c>
      <c r="B2" s="9"/>
      <c r="C2" s="9"/>
      <c r="D2" s="9"/>
      <c r="E2" s="9"/>
      <c r="F2" s="9"/>
      <c r="G2" s="9"/>
      <c r="H2" s="10"/>
    </row>
    <row r="3" ht="30" customHeight="1" spans="1:8">
      <c r="A3" s="11" t="s">
        <v>141</v>
      </c>
      <c r="B3" s="12"/>
      <c r="C3" s="12"/>
      <c r="D3" s="12"/>
      <c r="E3" s="12"/>
      <c r="F3" s="12"/>
      <c r="G3" s="12"/>
      <c r="H3" s="13"/>
    </row>
    <row r="4" ht="16" customHeight="1" spans="1:8">
      <c r="A4" s="14" t="s">
        <v>142</v>
      </c>
      <c r="B4" s="15"/>
      <c r="C4" s="15"/>
      <c r="D4" s="15"/>
      <c r="F4" s="15" t="s">
        <v>143</v>
      </c>
      <c r="G4" s="15" t="s">
        <v>144</v>
      </c>
      <c r="H4" s="16"/>
    </row>
    <row r="5" ht="16" customHeight="1" spans="1:8">
      <c r="A5" s="17" t="s">
        <v>9</v>
      </c>
      <c r="B5" s="18"/>
      <c r="C5" s="18"/>
      <c r="D5" s="18"/>
      <c r="F5" s="19" t="s">
        <v>5</v>
      </c>
      <c r="G5" s="20">
        <v>45679</v>
      </c>
      <c r="H5" s="21"/>
    </row>
    <row r="6" ht="16" customHeight="1" spans="1:8">
      <c r="A6" s="17"/>
      <c r="B6" s="18"/>
      <c r="C6" s="18"/>
      <c r="D6" s="18"/>
      <c r="F6" s="22" t="s">
        <v>145</v>
      </c>
      <c r="G6" s="22"/>
      <c r="H6" s="23"/>
    </row>
    <row r="7" ht="14.25" customHeight="1" spans="1:8">
      <c r="A7" s="14"/>
      <c r="B7" s="15"/>
      <c r="C7" s="15"/>
      <c r="D7" s="15"/>
      <c r="F7" s="24"/>
      <c r="G7" s="24"/>
      <c r="H7" s="23"/>
    </row>
    <row r="8" ht="15" customHeight="1" spans="1:13">
      <c r="A8" s="14"/>
      <c r="B8" s="15"/>
      <c r="C8" s="15"/>
      <c r="D8" s="15"/>
      <c r="E8" s="15"/>
      <c r="F8" s="24"/>
      <c r="G8" s="24"/>
      <c r="H8" s="23"/>
      <c r="J8" s="45"/>
      <c r="K8" s="45"/>
      <c r="L8" s="46"/>
      <c r="M8" s="46"/>
    </row>
    <row r="9" ht="18" customHeight="1" spans="1:21">
      <c r="A9" s="25"/>
      <c r="B9" s="26"/>
      <c r="C9" s="15"/>
      <c r="D9" s="15"/>
      <c r="E9" s="15"/>
      <c r="F9" s="24"/>
      <c r="G9" s="24"/>
      <c r="H9" s="23"/>
      <c r="T9" s="1" t="s">
        <v>146</v>
      </c>
      <c r="U9" s="1">
        <v>7.1879</v>
      </c>
    </row>
    <row r="10" spans="1:27">
      <c r="A10" s="27" t="s">
        <v>147</v>
      </c>
      <c r="B10" s="28" t="s">
        <v>148</v>
      </c>
      <c r="C10" s="28" t="s">
        <v>149</v>
      </c>
      <c r="D10" s="28" t="s">
        <v>15</v>
      </c>
      <c r="E10" s="28" t="s">
        <v>150</v>
      </c>
      <c r="F10" s="28" t="s">
        <v>151</v>
      </c>
      <c r="G10" s="28" t="s">
        <v>152</v>
      </c>
      <c r="H10" s="29" t="s">
        <v>153</v>
      </c>
      <c r="I10" s="47" t="s">
        <v>154</v>
      </c>
      <c r="J10" s="48" t="s">
        <v>155</v>
      </c>
      <c r="K10" s="48" t="s">
        <v>156</v>
      </c>
      <c r="L10" s="49" t="s">
        <v>157</v>
      </c>
      <c r="M10" s="49" t="s">
        <v>158</v>
      </c>
      <c r="N10" s="48" t="s">
        <v>159</v>
      </c>
      <c r="O10" s="48" t="s">
        <v>160</v>
      </c>
      <c r="P10" s="50" t="s">
        <v>161</v>
      </c>
      <c r="Q10" s="50" t="s">
        <v>162</v>
      </c>
      <c r="R10" s="51" t="s">
        <v>163</v>
      </c>
      <c r="S10" s="49" t="s">
        <v>164</v>
      </c>
      <c r="T10" s="49"/>
      <c r="U10" s="55" t="s">
        <v>165</v>
      </c>
      <c r="V10" s="55"/>
      <c r="W10" s="56" t="s">
        <v>166</v>
      </c>
      <c r="X10" s="56" t="s">
        <v>167</v>
      </c>
      <c r="Y10" s="58" t="s">
        <v>168</v>
      </c>
      <c r="Z10" s="58" t="s">
        <v>169</v>
      </c>
      <c r="AA10" s="58" t="s">
        <v>170</v>
      </c>
    </row>
    <row r="11" spans="1:27">
      <c r="A11" s="27"/>
      <c r="B11" s="28"/>
      <c r="C11" s="28"/>
      <c r="D11" s="28"/>
      <c r="E11" s="28" t="s">
        <v>171</v>
      </c>
      <c r="F11" s="28"/>
      <c r="G11" s="28"/>
      <c r="H11" s="29" t="s">
        <v>171</v>
      </c>
      <c r="I11" s="47"/>
      <c r="J11" s="49"/>
      <c r="K11" s="49"/>
      <c r="L11" s="49"/>
      <c r="M11" s="49"/>
      <c r="N11" s="49"/>
      <c r="O11" s="49"/>
      <c r="P11" s="51"/>
      <c r="Q11" s="51"/>
      <c r="R11" s="51"/>
      <c r="S11" s="49"/>
      <c r="T11" s="49"/>
      <c r="U11" s="57"/>
      <c r="V11" s="57"/>
      <c r="W11" s="58"/>
      <c r="X11" s="58"/>
      <c r="Y11" s="58"/>
      <c r="Z11" s="58"/>
      <c r="AA11" s="58"/>
    </row>
    <row r="12" ht="31" customHeight="1" spans="1:26">
      <c r="A12" s="27">
        <v>1</v>
      </c>
      <c r="B12" s="30" t="s">
        <v>22</v>
      </c>
      <c r="C12" s="31" t="str">
        <f>VLOOKUP(B12,' PL '!B:C,2,FALSE)</f>
        <v>铣刀</v>
      </c>
      <c r="D12" s="31" t="str">
        <f>VLOOKUP(B12,' PL '!B:D,3,FALSE)</f>
        <v>/</v>
      </c>
      <c r="E12" s="32">
        <f ca="1">V12</f>
        <v>0.7346</v>
      </c>
      <c r="F12" s="33">
        <v>200</v>
      </c>
      <c r="G12" s="34" t="s">
        <v>172</v>
      </c>
      <c r="H12" s="35">
        <f ca="1">ROUND(F12*E12,2)</f>
        <v>146.92</v>
      </c>
      <c r="I12" s="52">
        <f ca="1">SUMIF(' PL '!B:I,B:B,' PL '!I:I)</f>
        <v>2.6</v>
      </c>
      <c r="J12" s="3">
        <v>5</v>
      </c>
      <c r="K12" s="3">
        <f>J12*F12</f>
        <v>1000</v>
      </c>
      <c r="L12" s="4">
        <f>J12*1.05</f>
        <v>5.25</v>
      </c>
      <c r="M12" s="4">
        <f>L12*F12</f>
        <v>1050</v>
      </c>
      <c r="N12" s="1">
        <f ca="1">M62*1.1*0.0005</f>
        <v>113.584634625</v>
      </c>
      <c r="O12" s="53">
        <v>6339.01</v>
      </c>
      <c r="P12" s="1">
        <f ca="1">(N12+O12)/I62</f>
        <v>2.04412088556417</v>
      </c>
      <c r="Q12" s="1">
        <f ca="1">$P$12*I12</f>
        <v>5.31471430246685</v>
      </c>
      <c r="R12" s="1">
        <f ca="1">Q12+M12</f>
        <v>1055.31471430247</v>
      </c>
      <c r="S12" s="1">
        <f ca="1">R12/F12</f>
        <v>5.27657357151233</v>
      </c>
      <c r="T12" s="1">
        <f ca="1">ROUND(S12,2)</f>
        <v>5.28</v>
      </c>
      <c r="U12" s="1">
        <f ca="1">T12/$U$9</f>
        <v>0.734567815356363</v>
      </c>
      <c r="V12" s="1">
        <f ca="1">ROUND(U12,4)</f>
        <v>0.7346</v>
      </c>
      <c r="W12" s="59" t="s">
        <v>172</v>
      </c>
      <c r="X12" s="59" t="s">
        <v>23</v>
      </c>
      <c r="Y12" s="1" t="s">
        <v>173</v>
      </c>
      <c r="Z12" s="1" t="s">
        <v>174</v>
      </c>
    </row>
    <row r="13" ht="31" customHeight="1" spans="1:26">
      <c r="A13" s="27">
        <v>2</v>
      </c>
      <c r="B13" s="30" t="s">
        <v>26</v>
      </c>
      <c r="C13" s="31" t="str">
        <f>VLOOKUP(B13,' PL '!B:C,2,FALSE)</f>
        <v>红外发热管</v>
      </c>
      <c r="D13" s="31" t="str">
        <f>VLOOKUP(B13,' PL '!B:D,3,FALSE)</f>
        <v>/</v>
      </c>
      <c r="E13" s="32">
        <f ca="1">V13</f>
        <v>16.1939</v>
      </c>
      <c r="F13" s="33">
        <f ca="1">SUMIF(' PL '!B:E,B13,' PL '!E:E)</f>
        <v>6</v>
      </c>
      <c r="G13" s="34" t="s">
        <v>172</v>
      </c>
      <c r="H13" s="35">
        <f ca="1">ROUND(F13*E13,2)</f>
        <v>97.16</v>
      </c>
      <c r="I13" s="52">
        <f ca="1">SUMIF(' PL '!B:I,B:B,' PL '!I:I)</f>
        <v>2.65</v>
      </c>
      <c r="J13" s="3">
        <v>110</v>
      </c>
      <c r="K13" s="3">
        <f ca="1">J13*F13</f>
        <v>660</v>
      </c>
      <c r="L13" s="4">
        <f t="shared" ref="L13:L44" si="0">J13*1.05</f>
        <v>115.5</v>
      </c>
      <c r="M13" s="4">
        <f ca="1">L13*F13</f>
        <v>693</v>
      </c>
      <c r="Q13" s="1">
        <f ca="1">$P$12*I13</f>
        <v>5.41692034674506</v>
      </c>
      <c r="R13" s="1">
        <f ca="1">Q13+M13</f>
        <v>698.416920346745</v>
      </c>
      <c r="S13" s="1">
        <f ca="1">R13/F13</f>
        <v>116.402820057791</v>
      </c>
      <c r="T13" s="1">
        <f ca="1">ROUND(S13,2)</f>
        <v>116.4</v>
      </c>
      <c r="U13" s="1">
        <f ca="1">T13/$U$9</f>
        <v>16.1938813839925</v>
      </c>
      <c r="V13" s="1">
        <f ca="1">ROUND(U13,4)</f>
        <v>16.1939</v>
      </c>
      <c r="W13" s="59" t="s">
        <v>172</v>
      </c>
      <c r="X13" s="59" t="s">
        <v>27</v>
      </c>
      <c r="Y13" s="1" t="s">
        <v>173</v>
      </c>
      <c r="Z13" s="1" t="s">
        <v>175</v>
      </c>
    </row>
    <row r="14" ht="31" customHeight="1" spans="1:26">
      <c r="A14" s="27">
        <v>3</v>
      </c>
      <c r="B14" s="30" t="s">
        <v>29</v>
      </c>
      <c r="C14" s="31" t="str">
        <f>VLOOKUP(B14,' PL '!B:C,2,FALSE)</f>
        <v>联轴器</v>
      </c>
      <c r="D14" s="31" t="str">
        <f>VLOOKUP(B14,' PL '!B:D,3,FALSE)</f>
        <v>12-14</v>
      </c>
      <c r="E14" s="32">
        <f ca="1">V14</f>
        <v>11.4651</v>
      </c>
      <c r="F14" s="33">
        <f ca="1">SUMIF(' PL '!B:E,B14,' PL '!E:E)</f>
        <v>2</v>
      </c>
      <c r="G14" s="34" t="s">
        <v>172</v>
      </c>
      <c r="H14" s="35">
        <f ca="1">ROUND(F14*E14,2)</f>
        <v>22.93</v>
      </c>
      <c r="I14" s="52">
        <f ca="1">SUMIF(' PL '!B:I,B:B,' PL '!I:I)</f>
        <v>0.5</v>
      </c>
      <c r="J14" s="3">
        <v>78</v>
      </c>
      <c r="K14" s="3">
        <f ca="1">J14*F14</f>
        <v>156</v>
      </c>
      <c r="L14" s="4">
        <f t="shared" si="0"/>
        <v>81.9</v>
      </c>
      <c r="M14" s="4">
        <f ca="1">L14*F14</f>
        <v>163.8</v>
      </c>
      <c r="Q14" s="1">
        <f ca="1">$P$12*I14</f>
        <v>1.02206044278209</v>
      </c>
      <c r="R14" s="1">
        <f ca="1">Q14+M14</f>
        <v>164.822060442782</v>
      </c>
      <c r="S14" s="1">
        <f ca="1">R14/F14</f>
        <v>82.411030221391</v>
      </c>
      <c r="T14" s="1">
        <f ca="1">ROUND(S14,2)</f>
        <v>82.41</v>
      </c>
      <c r="U14" s="1">
        <f ca="1">T14/$U$9</f>
        <v>11.465101072636</v>
      </c>
      <c r="V14" s="1">
        <f ca="1">ROUND(U14,4)</f>
        <v>11.4651</v>
      </c>
      <c r="W14" s="59" t="s">
        <v>172</v>
      </c>
      <c r="X14" s="59" t="s">
        <v>30</v>
      </c>
      <c r="Y14" s="1" t="s">
        <v>173</v>
      </c>
      <c r="Z14" s="1" t="s">
        <v>175</v>
      </c>
    </row>
    <row r="15" ht="31" customHeight="1" spans="1:26">
      <c r="A15" s="27">
        <v>4</v>
      </c>
      <c r="B15" s="30" t="s">
        <v>32</v>
      </c>
      <c r="C15" s="31" t="str">
        <f>VLOOKUP(B15,' PL '!B:C,2,FALSE)</f>
        <v>联轴器</v>
      </c>
      <c r="D15" s="31" t="str">
        <f>VLOOKUP(B15,' PL '!B:D,3,FALSE)</f>
        <v>8-14</v>
      </c>
      <c r="E15" s="32">
        <f ca="1">V15</f>
        <v>11.4512</v>
      </c>
      <c r="F15" s="33">
        <f ca="1">SUMIF(' PL '!B:E,B15,' PL '!E:E)</f>
        <v>1</v>
      </c>
      <c r="G15" s="34" t="s">
        <v>172</v>
      </c>
      <c r="H15" s="35">
        <f ca="1">ROUND(F15*E15,2)</f>
        <v>11.45</v>
      </c>
      <c r="I15" s="52">
        <f ca="1">SUMIF(' PL '!B:I,B:B,' PL '!I:I)</f>
        <v>0.2</v>
      </c>
      <c r="J15" s="3">
        <v>78</v>
      </c>
      <c r="K15" s="3">
        <f ca="1">J15*F15</f>
        <v>78</v>
      </c>
      <c r="L15" s="4">
        <f t="shared" si="0"/>
        <v>81.9</v>
      </c>
      <c r="M15" s="4">
        <f ca="1">L15*F15</f>
        <v>81.9</v>
      </c>
      <c r="Q15" s="1">
        <f ca="1">$P$12*I15</f>
        <v>0.408824177112835</v>
      </c>
      <c r="R15" s="1">
        <f ca="1">Q15+M15</f>
        <v>82.3088241771128</v>
      </c>
      <c r="S15" s="1">
        <f ca="1">R15/F15</f>
        <v>82.3088241771128</v>
      </c>
      <c r="T15" s="1">
        <f ca="1">ROUND(S15,2)</f>
        <v>82.31</v>
      </c>
      <c r="U15" s="1">
        <f ca="1">T15/$U$9</f>
        <v>11.4511888034057</v>
      </c>
      <c r="V15" s="1">
        <f ca="1">ROUND(U15,4)</f>
        <v>11.4512</v>
      </c>
      <c r="W15" s="59" t="s">
        <v>172</v>
      </c>
      <c r="X15" s="59" t="s">
        <v>30</v>
      </c>
      <c r="Y15" s="1" t="s">
        <v>173</v>
      </c>
      <c r="Z15" s="1" t="s">
        <v>175</v>
      </c>
    </row>
    <row r="16" ht="31" customHeight="1" spans="1:26">
      <c r="A16" s="27">
        <v>5</v>
      </c>
      <c r="B16" s="30" t="s">
        <v>35</v>
      </c>
      <c r="C16" s="31" t="str">
        <f>VLOOKUP(B16,' PL '!B:C,2,FALSE)</f>
        <v>重型双柱爪</v>
      </c>
      <c r="D16" s="31" t="str">
        <f>VLOOKUP(B16,' PL '!B:D,3,FALSE)</f>
        <v>QLDZ.0014</v>
      </c>
      <c r="E16" s="32">
        <f ca="1" t="shared" ref="E16:E43" si="1">V16</f>
        <v>3.3069</v>
      </c>
      <c r="F16" s="33">
        <f ca="1">SUMIF(' PL '!B:E,B16,' PL '!E:E)</f>
        <v>100</v>
      </c>
      <c r="G16" s="36" t="s">
        <v>172</v>
      </c>
      <c r="H16" s="35">
        <f ca="1" t="shared" ref="H16:H43" si="2">ROUND(F16*E16,2)</f>
        <v>330.69</v>
      </c>
      <c r="I16" s="52">
        <f ca="1">SUMIF(' PL '!B:I,B:B,' PL '!I:I)</f>
        <v>2</v>
      </c>
      <c r="J16" s="3">
        <v>22.6</v>
      </c>
      <c r="K16" s="3">
        <f ca="1" t="shared" ref="K16:K43" si="3">J16*F16</f>
        <v>2260</v>
      </c>
      <c r="L16" s="4">
        <f t="shared" si="0"/>
        <v>23.73</v>
      </c>
      <c r="M16" s="4">
        <f ca="1" t="shared" ref="M16:M43" si="4">L16*F16</f>
        <v>2373</v>
      </c>
      <c r="Q16" s="1">
        <f ca="1" t="shared" ref="Q16:Q43" si="5">$P$12*I16</f>
        <v>4.08824177112835</v>
      </c>
      <c r="R16" s="1">
        <f ca="1" t="shared" ref="R16:R43" si="6">Q16+M16</f>
        <v>2377.08824177113</v>
      </c>
      <c r="S16" s="1">
        <f ca="1" t="shared" ref="S16:S43" si="7">R16/F16</f>
        <v>23.7708824177113</v>
      </c>
      <c r="T16" s="1">
        <f ca="1" t="shared" ref="T16:T43" si="8">ROUND(S16,2)</f>
        <v>23.77</v>
      </c>
      <c r="U16" s="1">
        <f ca="1" t="shared" ref="U16:U43" si="9">T16/$U$9</f>
        <v>3.30694639602666</v>
      </c>
      <c r="V16" s="1">
        <f ca="1" t="shared" ref="V16:V43" si="10">ROUND(U16,4)</f>
        <v>3.3069</v>
      </c>
      <c r="W16" s="59" t="s">
        <v>172</v>
      </c>
      <c r="X16" s="1" t="s">
        <v>36</v>
      </c>
      <c r="Y16" s="1" t="s">
        <v>173</v>
      </c>
      <c r="Z16" s="1" t="s">
        <v>175</v>
      </c>
    </row>
    <row r="17" ht="31" customHeight="1" spans="1:26">
      <c r="A17" s="27">
        <v>6</v>
      </c>
      <c r="B17" s="30" t="s">
        <v>39</v>
      </c>
      <c r="C17" s="31" t="str">
        <f>VLOOKUP(B17,' PL '!B:C,2,FALSE)</f>
        <v>过滤棉</v>
      </c>
      <c r="D17" s="31" t="str">
        <f>VLOOKUP(B17,' PL '!B:D,3,FALSE)</f>
        <v>N510059196AA</v>
      </c>
      <c r="E17" s="32">
        <f ca="1" t="shared" si="1"/>
        <v>0.121</v>
      </c>
      <c r="F17" s="33">
        <f ca="1">SUMIF(' PL '!B:E,B17,' PL '!E:E)</f>
        <v>137</v>
      </c>
      <c r="G17" s="36" t="s">
        <v>172</v>
      </c>
      <c r="H17" s="35">
        <f ca="1" t="shared" si="2"/>
        <v>16.58</v>
      </c>
      <c r="I17" s="52">
        <f ca="1">SUMIF(' PL '!B:I,B:B,' PL '!I:I)</f>
        <v>2.1</v>
      </c>
      <c r="J17" s="3">
        <v>0.8</v>
      </c>
      <c r="K17" s="3">
        <f ca="1" t="shared" si="3"/>
        <v>109.6</v>
      </c>
      <c r="L17" s="4">
        <f t="shared" si="0"/>
        <v>0.84</v>
      </c>
      <c r="M17" s="4">
        <f ca="1" t="shared" si="4"/>
        <v>115.08</v>
      </c>
      <c r="Q17" s="1">
        <f ca="1" t="shared" si="5"/>
        <v>4.29265385968476</v>
      </c>
      <c r="R17" s="1">
        <f ca="1" t="shared" si="6"/>
        <v>119.372653859685</v>
      </c>
      <c r="S17" s="1">
        <f ca="1" t="shared" si="7"/>
        <v>0.871333239851714</v>
      </c>
      <c r="T17" s="1">
        <f ca="1" t="shared" si="8"/>
        <v>0.87</v>
      </c>
      <c r="U17" s="1">
        <f ca="1" t="shared" si="9"/>
        <v>0.121036742303037</v>
      </c>
      <c r="V17" s="1">
        <f ca="1" t="shared" si="10"/>
        <v>0.121</v>
      </c>
      <c r="W17" s="59" t="s">
        <v>172</v>
      </c>
      <c r="X17" s="1" t="s">
        <v>40</v>
      </c>
      <c r="Y17" s="1" t="s">
        <v>173</v>
      </c>
      <c r="Z17" s="1" t="s">
        <v>174</v>
      </c>
    </row>
    <row r="18" ht="31" customHeight="1" spans="1:26">
      <c r="A18" s="27">
        <v>7</v>
      </c>
      <c r="B18" s="30" t="s">
        <v>42</v>
      </c>
      <c r="C18" s="31" t="str">
        <f>VLOOKUP(B18,' PL '!B:C,2,FALSE)</f>
        <v>变频器</v>
      </c>
      <c r="D18" s="31" t="str">
        <f>VLOOKUP(B18,' PL '!B:D,3,FALSE)</f>
        <v>FA2P5N1W20360133</v>
      </c>
      <c r="E18" s="32">
        <f ca="1" t="shared" si="1"/>
        <v>167.3827</v>
      </c>
      <c r="F18" s="33">
        <f ca="1">SUMIF(' PL '!B:E,B18,' PL '!E:E)</f>
        <v>1</v>
      </c>
      <c r="G18" s="36" t="s">
        <v>172</v>
      </c>
      <c r="H18" s="35">
        <f ca="1" t="shared" si="2"/>
        <v>167.38</v>
      </c>
      <c r="I18" s="52">
        <f ca="1">SUMIF(' PL '!B:I,B:B,' PL '!I:I)</f>
        <v>3</v>
      </c>
      <c r="J18" s="3">
        <v>1140</v>
      </c>
      <c r="K18" s="3">
        <f ca="1" t="shared" si="3"/>
        <v>1140</v>
      </c>
      <c r="L18" s="4">
        <f t="shared" si="0"/>
        <v>1197</v>
      </c>
      <c r="M18" s="4">
        <f ca="1" t="shared" si="4"/>
        <v>1197</v>
      </c>
      <c r="Q18" s="1">
        <f ca="1" t="shared" si="5"/>
        <v>6.13236265669252</v>
      </c>
      <c r="R18" s="1">
        <f ca="1" t="shared" si="6"/>
        <v>1203.13236265669</v>
      </c>
      <c r="S18" s="1">
        <f ca="1" t="shared" si="7"/>
        <v>1203.13236265669</v>
      </c>
      <c r="T18" s="1">
        <f ca="1" t="shared" si="8"/>
        <v>1203.13</v>
      </c>
      <c r="U18" s="1">
        <f ca="1" t="shared" si="9"/>
        <v>167.382684789716</v>
      </c>
      <c r="V18" s="1">
        <f ca="1" t="shared" si="10"/>
        <v>167.3827</v>
      </c>
      <c r="W18" s="59" t="s">
        <v>172</v>
      </c>
      <c r="X18" s="1" t="s">
        <v>43</v>
      </c>
      <c r="Y18" s="1" t="s">
        <v>173</v>
      </c>
      <c r="Z18" s="1" t="s">
        <v>175</v>
      </c>
    </row>
    <row r="19" ht="31" customHeight="1" spans="1:26">
      <c r="A19" s="27">
        <v>8</v>
      </c>
      <c r="B19" s="30" t="s">
        <v>46</v>
      </c>
      <c r="C19" s="31" t="str">
        <f>VLOOKUP(B19,' PL '!B:C,2,FALSE)</f>
        <v>电机</v>
      </c>
      <c r="D19" s="31" t="str">
        <f>VLOOKUP(B19,' PL '!B:D,3,FALSE)</f>
        <v>STM86118S</v>
      </c>
      <c r="E19" s="32">
        <f ca="1" t="shared" si="1"/>
        <v>35.02</v>
      </c>
      <c r="F19" s="33">
        <f ca="1">SUMIF(' PL '!B:E,B19,' PL '!E:E)</f>
        <v>1</v>
      </c>
      <c r="G19" s="36" t="s">
        <v>172</v>
      </c>
      <c r="H19" s="35">
        <f ca="1" t="shared" si="2"/>
        <v>35.02</v>
      </c>
      <c r="I19" s="52">
        <f ca="1">SUMIF(' PL '!B:I,B:B,' PL '!I:I)</f>
        <v>5</v>
      </c>
      <c r="J19" s="3">
        <v>230</v>
      </c>
      <c r="K19" s="3">
        <f ca="1" t="shared" si="3"/>
        <v>230</v>
      </c>
      <c r="L19" s="4">
        <f t="shared" si="0"/>
        <v>241.5</v>
      </c>
      <c r="M19" s="4">
        <f ca="1" t="shared" si="4"/>
        <v>241.5</v>
      </c>
      <c r="Q19" s="1">
        <f ca="1" t="shared" si="5"/>
        <v>10.2206044278209</v>
      </c>
      <c r="R19" s="1">
        <f ca="1" t="shared" si="6"/>
        <v>251.720604427821</v>
      </c>
      <c r="S19" s="1">
        <f ca="1" t="shared" si="7"/>
        <v>251.720604427821</v>
      </c>
      <c r="T19" s="1">
        <f ca="1" t="shared" si="8"/>
        <v>251.72</v>
      </c>
      <c r="U19" s="1">
        <f ca="1" t="shared" si="9"/>
        <v>35.0199641063454</v>
      </c>
      <c r="V19" s="1">
        <f ca="1" t="shared" si="10"/>
        <v>35.02</v>
      </c>
      <c r="W19" s="59" t="s">
        <v>172</v>
      </c>
      <c r="X19" s="1" t="s">
        <v>47</v>
      </c>
      <c r="Y19" s="1" t="s">
        <v>173</v>
      </c>
      <c r="Z19" s="1" t="s">
        <v>175</v>
      </c>
    </row>
    <row r="20" ht="31" customHeight="1" spans="1:26">
      <c r="A20" s="27">
        <v>9</v>
      </c>
      <c r="B20" s="30" t="s">
        <v>49</v>
      </c>
      <c r="C20" s="31" t="str">
        <f>VLOOKUP(B20,' PL '!B:C,2,FALSE)</f>
        <v>电机</v>
      </c>
      <c r="D20" s="31" t="str">
        <f>VLOOKUP(B20,' PL '!B:D,3,FALSE)</f>
        <v>STM8680</v>
      </c>
      <c r="E20" s="32">
        <f ca="1" t="shared" si="1"/>
        <v>27.499</v>
      </c>
      <c r="F20" s="33">
        <f ca="1">SUMIF(' PL '!B:E,B20,' PL '!E:E)</f>
        <v>3</v>
      </c>
      <c r="G20" s="36" t="s">
        <v>172</v>
      </c>
      <c r="H20" s="35">
        <f ca="1" t="shared" si="2"/>
        <v>82.5</v>
      </c>
      <c r="I20" s="52">
        <f ca="1">SUMIF(' PL '!B:I,B:B,' PL '!I:I)</f>
        <v>5</v>
      </c>
      <c r="J20" s="3">
        <v>185</v>
      </c>
      <c r="K20" s="3">
        <f ca="1" t="shared" si="3"/>
        <v>555</v>
      </c>
      <c r="L20" s="4">
        <f t="shared" si="0"/>
        <v>194.25</v>
      </c>
      <c r="M20" s="4">
        <f ca="1" t="shared" si="4"/>
        <v>582.75</v>
      </c>
      <c r="Q20" s="1">
        <f ca="1" t="shared" si="5"/>
        <v>10.2206044278209</v>
      </c>
      <c r="R20" s="1">
        <f ca="1" t="shared" si="6"/>
        <v>592.970604427821</v>
      </c>
      <c r="S20" s="1">
        <f ca="1" t="shared" si="7"/>
        <v>197.656868142607</v>
      </c>
      <c r="T20" s="1">
        <f ca="1" t="shared" si="8"/>
        <v>197.66</v>
      </c>
      <c r="U20" s="1">
        <f ca="1" t="shared" si="9"/>
        <v>27.4989913604808</v>
      </c>
      <c r="V20" s="1">
        <f ca="1" t="shared" si="10"/>
        <v>27.499</v>
      </c>
      <c r="W20" s="59" t="s">
        <v>172</v>
      </c>
      <c r="X20" s="1" t="s">
        <v>47</v>
      </c>
      <c r="Y20" s="1" t="s">
        <v>173</v>
      </c>
      <c r="Z20" s="1" t="s">
        <v>175</v>
      </c>
    </row>
    <row r="21" ht="31" customHeight="1" spans="1:26">
      <c r="A21" s="27">
        <v>10</v>
      </c>
      <c r="B21" s="30" t="s">
        <v>51</v>
      </c>
      <c r="C21" s="31" t="str">
        <f>VLOOKUP(B21,' PL '!B:C,2,FALSE)</f>
        <v>气密阀</v>
      </c>
      <c r="D21" s="31" t="str">
        <f>VLOOKUP(B21,' PL '!B:D,3,FALSE)</f>
        <v>/</v>
      </c>
      <c r="E21" s="32">
        <f ca="1" t="shared" si="1"/>
        <v>51.1972</v>
      </c>
      <c r="F21" s="33">
        <f ca="1">SUMIF(' PL '!B:E,B21,' PL '!E:E)</f>
        <v>5</v>
      </c>
      <c r="G21" s="36" t="s">
        <v>172</v>
      </c>
      <c r="H21" s="35">
        <f ca="1" t="shared" si="2"/>
        <v>255.99</v>
      </c>
      <c r="I21" s="52">
        <f ca="1">SUMIF(' PL '!B:I,B:B,' PL '!I:I)</f>
        <v>1.23</v>
      </c>
      <c r="J21" s="3">
        <v>350</v>
      </c>
      <c r="K21" s="3">
        <f ca="1" t="shared" si="3"/>
        <v>1750</v>
      </c>
      <c r="L21" s="4">
        <f t="shared" si="0"/>
        <v>367.5</v>
      </c>
      <c r="M21" s="4">
        <f ca="1" t="shared" si="4"/>
        <v>1837.5</v>
      </c>
      <c r="Q21" s="1">
        <f ca="1" t="shared" si="5"/>
        <v>2.51426868924393</v>
      </c>
      <c r="R21" s="1">
        <f ca="1" t="shared" si="6"/>
        <v>1840.01426868924</v>
      </c>
      <c r="S21" s="1">
        <f ca="1" t="shared" si="7"/>
        <v>368.002853737849</v>
      </c>
      <c r="T21" s="1">
        <f ca="1" t="shared" si="8"/>
        <v>368</v>
      </c>
      <c r="U21" s="1">
        <f ca="1" t="shared" si="9"/>
        <v>51.1971507672616</v>
      </c>
      <c r="V21" s="1">
        <f ca="1" t="shared" si="10"/>
        <v>51.1972</v>
      </c>
      <c r="W21" s="59" t="s">
        <v>172</v>
      </c>
      <c r="X21" s="1" t="s">
        <v>52</v>
      </c>
      <c r="Y21" s="1" t="s">
        <v>176</v>
      </c>
      <c r="Z21" s="1" t="s">
        <v>177</v>
      </c>
    </row>
    <row r="22" ht="31" customHeight="1" spans="1:26">
      <c r="A22" s="27">
        <v>11</v>
      </c>
      <c r="B22" s="30" t="s">
        <v>54</v>
      </c>
      <c r="C22" s="31" t="str">
        <f>VLOOKUP(B22,' PL '!B:C,2,FALSE)</f>
        <v>烙铁头</v>
      </c>
      <c r="D22" s="31" t="str">
        <f>VLOOKUP(B22,' PL '!B:D,3,FALSE)</f>
        <v>900M-T-sk</v>
      </c>
      <c r="E22" s="32">
        <f ca="1" t="shared" si="1"/>
        <v>0.7318</v>
      </c>
      <c r="F22" s="33">
        <f ca="1">SUMIF(' PL '!B:E,B22,' PL '!E:E)</f>
        <v>30</v>
      </c>
      <c r="G22" s="36" t="s">
        <v>172</v>
      </c>
      <c r="H22" s="35">
        <f ca="1" t="shared" si="2"/>
        <v>21.95</v>
      </c>
      <c r="I22" s="52">
        <f ca="1">SUMIF(' PL '!B:I,B:B,' PL '!I:I)</f>
        <v>0.15</v>
      </c>
      <c r="J22" s="3">
        <v>5</v>
      </c>
      <c r="K22" s="3">
        <f ca="1" t="shared" si="3"/>
        <v>150</v>
      </c>
      <c r="L22" s="4">
        <f t="shared" si="0"/>
        <v>5.25</v>
      </c>
      <c r="M22" s="4">
        <f ca="1" t="shared" si="4"/>
        <v>157.5</v>
      </c>
      <c r="Q22" s="1">
        <f ca="1" t="shared" si="5"/>
        <v>0.306618132834626</v>
      </c>
      <c r="R22" s="1">
        <f ca="1" t="shared" si="6"/>
        <v>157.806618132835</v>
      </c>
      <c r="S22" s="1">
        <f ca="1" t="shared" si="7"/>
        <v>5.26022060442782</v>
      </c>
      <c r="T22" s="1">
        <f ca="1" t="shared" si="8"/>
        <v>5.26</v>
      </c>
      <c r="U22" s="1">
        <f ca="1" t="shared" si="9"/>
        <v>0.731785361510316</v>
      </c>
      <c r="V22" s="1">
        <f ca="1" t="shared" si="10"/>
        <v>0.7318</v>
      </c>
      <c r="W22" s="59" t="s">
        <v>172</v>
      </c>
      <c r="X22" s="1" t="s">
        <v>55</v>
      </c>
      <c r="Y22" s="1" t="s">
        <v>173</v>
      </c>
      <c r="Z22" s="1" t="s">
        <v>174</v>
      </c>
    </row>
    <row r="23" ht="31" customHeight="1" spans="1:26">
      <c r="A23" s="27">
        <v>12</v>
      </c>
      <c r="B23" s="30" t="s">
        <v>58</v>
      </c>
      <c r="C23" s="31" t="str">
        <f>VLOOKUP(B23,' PL '!B:C,2,FALSE)</f>
        <v>烙铁头</v>
      </c>
      <c r="D23" s="31" t="str">
        <f>VLOOKUP(B23,' PL '!B:D,3,FALSE)</f>
        <v>900M-T-B</v>
      </c>
      <c r="E23" s="32">
        <f ca="1" t="shared" si="1"/>
        <v>0.7318</v>
      </c>
      <c r="F23" s="33">
        <f ca="1">SUMIF(' PL '!B:E,B23,' PL '!E:E)</f>
        <v>500</v>
      </c>
      <c r="G23" s="36" t="s">
        <v>172</v>
      </c>
      <c r="H23" s="35">
        <f ca="1" t="shared" si="2"/>
        <v>365.9</v>
      </c>
      <c r="I23" s="52">
        <f ca="1">SUMIF(' PL '!B:I,B:B,' PL '!I:I)</f>
        <v>2.5</v>
      </c>
      <c r="J23" s="3">
        <v>5</v>
      </c>
      <c r="K23" s="3">
        <f ca="1" t="shared" si="3"/>
        <v>2500</v>
      </c>
      <c r="L23" s="4">
        <f t="shared" si="0"/>
        <v>5.25</v>
      </c>
      <c r="M23" s="4">
        <f ca="1" t="shared" si="4"/>
        <v>2625</v>
      </c>
      <c r="Q23" s="1">
        <f ca="1" t="shared" si="5"/>
        <v>5.11030221391043</v>
      </c>
      <c r="R23" s="1">
        <f ca="1" t="shared" si="6"/>
        <v>2630.11030221391</v>
      </c>
      <c r="S23" s="1">
        <f ca="1" t="shared" si="7"/>
        <v>5.26022060442782</v>
      </c>
      <c r="T23" s="1">
        <f ca="1" t="shared" si="8"/>
        <v>5.26</v>
      </c>
      <c r="U23" s="1">
        <f ca="1" t="shared" si="9"/>
        <v>0.731785361510316</v>
      </c>
      <c r="V23" s="1">
        <f ca="1" t="shared" si="10"/>
        <v>0.7318</v>
      </c>
      <c r="W23" s="59" t="s">
        <v>172</v>
      </c>
      <c r="X23" s="1" t="s">
        <v>55</v>
      </c>
      <c r="Y23" s="1" t="s">
        <v>176</v>
      </c>
      <c r="Z23" s="1" t="s">
        <v>177</v>
      </c>
    </row>
    <row r="24" ht="31" customHeight="1" spans="1:26">
      <c r="A24" s="27">
        <v>13</v>
      </c>
      <c r="B24" s="30" t="s">
        <v>60</v>
      </c>
      <c r="C24" s="31" t="str">
        <f>VLOOKUP(B24,' PL '!B:C,2,FALSE)</f>
        <v>烙铁头</v>
      </c>
      <c r="D24" s="31" t="str">
        <f>VLOOKUP(B24,' PL '!B:D,3,FALSE)</f>
        <v>900M-T-4C</v>
      </c>
      <c r="E24" s="32">
        <f ca="1" t="shared" si="1"/>
        <v>0.7318</v>
      </c>
      <c r="F24" s="33">
        <f ca="1">SUMIF(' PL '!B:E,B24,' PL '!E:E)</f>
        <v>400</v>
      </c>
      <c r="G24" s="36" t="s">
        <v>172</v>
      </c>
      <c r="H24" s="35">
        <f ca="1" t="shared" si="2"/>
        <v>292.72</v>
      </c>
      <c r="I24" s="52">
        <f ca="1">SUMIF(' PL '!B:I,B:B,' PL '!I:I)</f>
        <v>2</v>
      </c>
      <c r="J24" s="3">
        <v>5</v>
      </c>
      <c r="K24" s="3">
        <f ca="1" t="shared" si="3"/>
        <v>2000</v>
      </c>
      <c r="L24" s="4">
        <f t="shared" si="0"/>
        <v>5.25</v>
      </c>
      <c r="M24" s="4">
        <f ca="1" t="shared" si="4"/>
        <v>2100</v>
      </c>
      <c r="Q24" s="1">
        <f ca="1" t="shared" si="5"/>
        <v>4.08824177112835</v>
      </c>
      <c r="R24" s="1">
        <f ca="1" t="shared" si="6"/>
        <v>2104.08824177113</v>
      </c>
      <c r="S24" s="1">
        <f ca="1" t="shared" si="7"/>
        <v>5.26022060442782</v>
      </c>
      <c r="T24" s="1">
        <f ca="1" t="shared" si="8"/>
        <v>5.26</v>
      </c>
      <c r="U24" s="1">
        <f ca="1" t="shared" si="9"/>
        <v>0.731785361510316</v>
      </c>
      <c r="V24" s="1">
        <f ca="1" t="shared" si="10"/>
        <v>0.7318</v>
      </c>
      <c r="W24" s="59" t="s">
        <v>172</v>
      </c>
      <c r="X24" s="1" t="s">
        <v>55</v>
      </c>
      <c r="Y24" s="1" t="s">
        <v>176</v>
      </c>
      <c r="Z24" s="1" t="s">
        <v>177</v>
      </c>
    </row>
    <row r="25" ht="31" customHeight="1" spans="1:26">
      <c r="A25" s="27">
        <v>14</v>
      </c>
      <c r="B25" s="30" t="s">
        <v>62</v>
      </c>
      <c r="C25" s="31" t="str">
        <f>VLOOKUP(B25,' PL '!B:C,2,FALSE)</f>
        <v>烙铁头</v>
      </c>
      <c r="D25" s="31" t="str">
        <f>VLOOKUP(B25,' PL '!B:D,3,FALSE)</f>
        <v>900M-T-2C</v>
      </c>
      <c r="E25" s="32">
        <f ca="1" t="shared" si="1"/>
        <v>0.7318</v>
      </c>
      <c r="F25" s="33">
        <f ca="1">SUMIF(' PL '!B:E,B25,' PL '!E:E)</f>
        <v>40</v>
      </c>
      <c r="G25" s="36" t="s">
        <v>172</v>
      </c>
      <c r="H25" s="35">
        <f ca="1" t="shared" si="2"/>
        <v>29.27</v>
      </c>
      <c r="I25" s="52">
        <f ca="1">SUMIF(' PL '!B:I,B:B,' PL '!I:I)</f>
        <v>0.2</v>
      </c>
      <c r="J25" s="3">
        <v>5</v>
      </c>
      <c r="K25" s="3">
        <f ca="1" t="shared" si="3"/>
        <v>200</v>
      </c>
      <c r="L25" s="4">
        <f t="shared" si="0"/>
        <v>5.25</v>
      </c>
      <c r="M25" s="4">
        <f ca="1" t="shared" si="4"/>
        <v>210</v>
      </c>
      <c r="Q25" s="1">
        <f ca="1" t="shared" si="5"/>
        <v>0.408824177112835</v>
      </c>
      <c r="R25" s="1">
        <f ca="1" t="shared" si="6"/>
        <v>210.408824177113</v>
      </c>
      <c r="S25" s="1">
        <f ca="1" t="shared" si="7"/>
        <v>5.26022060442782</v>
      </c>
      <c r="T25" s="1">
        <f ca="1" t="shared" si="8"/>
        <v>5.26</v>
      </c>
      <c r="U25" s="1">
        <f ca="1" t="shared" si="9"/>
        <v>0.731785361510316</v>
      </c>
      <c r="V25" s="1">
        <f ca="1" t="shared" si="10"/>
        <v>0.7318</v>
      </c>
      <c r="W25" s="59" t="s">
        <v>172</v>
      </c>
      <c r="X25" s="1" t="s">
        <v>55</v>
      </c>
      <c r="Y25" s="1" t="s">
        <v>176</v>
      </c>
      <c r="Z25" s="1" t="s">
        <v>177</v>
      </c>
    </row>
    <row r="26" ht="31" customHeight="1" spans="1:26">
      <c r="A26" s="27">
        <v>15</v>
      </c>
      <c r="B26" s="30" t="s">
        <v>64</v>
      </c>
      <c r="C26" s="31" t="str">
        <f>VLOOKUP(B26,' PL '!B:C,2,FALSE)</f>
        <v>烙铁头</v>
      </c>
      <c r="D26" s="31" t="str">
        <f>VLOOKUP(B26,' PL '!B:D,3,FALSE)</f>
        <v>900-T-1.2D</v>
      </c>
      <c r="E26" s="32">
        <f ca="1" t="shared" si="1"/>
        <v>0.4396</v>
      </c>
      <c r="F26" s="33">
        <f ca="1">SUMIF(' PL '!B:E,B26,' PL '!E:E)</f>
        <v>40</v>
      </c>
      <c r="G26" s="36" t="s">
        <v>172</v>
      </c>
      <c r="H26" s="35">
        <f ca="1" t="shared" si="2"/>
        <v>17.58</v>
      </c>
      <c r="I26" s="52">
        <f ca="1">SUMIF(' PL '!B:I,B:B,' PL '!I:I)</f>
        <v>0.2</v>
      </c>
      <c r="J26" s="3">
        <v>3</v>
      </c>
      <c r="K26" s="3">
        <f ca="1" t="shared" si="3"/>
        <v>120</v>
      </c>
      <c r="L26" s="4">
        <f t="shared" si="0"/>
        <v>3.15</v>
      </c>
      <c r="M26" s="4">
        <f ca="1" t="shared" si="4"/>
        <v>126</v>
      </c>
      <c r="Q26" s="1">
        <f ca="1" t="shared" si="5"/>
        <v>0.408824177112835</v>
      </c>
      <c r="R26" s="1">
        <f ca="1" t="shared" si="6"/>
        <v>126.408824177113</v>
      </c>
      <c r="S26" s="1">
        <f ca="1" t="shared" si="7"/>
        <v>3.16022060442782</v>
      </c>
      <c r="T26" s="1">
        <f ca="1" t="shared" si="8"/>
        <v>3.16</v>
      </c>
      <c r="U26" s="1">
        <f ca="1" t="shared" si="9"/>
        <v>0.439627707675399</v>
      </c>
      <c r="V26" s="1">
        <f ca="1" t="shared" si="10"/>
        <v>0.4396</v>
      </c>
      <c r="W26" s="59" t="s">
        <v>172</v>
      </c>
      <c r="X26" s="1" t="s">
        <v>55</v>
      </c>
      <c r="Y26" s="1" t="s">
        <v>176</v>
      </c>
      <c r="Z26" s="1" t="s">
        <v>177</v>
      </c>
    </row>
    <row r="27" ht="31" customHeight="1" spans="1:26">
      <c r="A27" s="27">
        <v>16</v>
      </c>
      <c r="B27" s="30" t="s">
        <v>66</v>
      </c>
      <c r="C27" s="31" t="str">
        <f>VLOOKUP(B27,' PL '!B:C,2,FALSE)</f>
        <v>热电偶</v>
      </c>
      <c r="D27" s="31" t="str">
        <f>VLOOKUP(B27,' PL '!B:D,3,FALSE)</f>
        <v>WRNT-013</v>
      </c>
      <c r="E27" s="32">
        <f ca="1" t="shared" si="1"/>
        <v>0.1767</v>
      </c>
      <c r="F27" s="33">
        <f ca="1">SUMIF(' PL '!B:E,B27,' PL '!E:E)</f>
        <v>140</v>
      </c>
      <c r="G27" s="36" t="s">
        <v>172</v>
      </c>
      <c r="H27" s="35">
        <f ca="1" t="shared" si="2"/>
        <v>24.74</v>
      </c>
      <c r="I27" s="52">
        <f ca="1">SUMIF(' PL '!B:I,B:B,' PL '!I:I)</f>
        <v>0.7</v>
      </c>
      <c r="J27" s="3">
        <v>1.2</v>
      </c>
      <c r="K27" s="3">
        <f ca="1" t="shared" si="3"/>
        <v>168</v>
      </c>
      <c r="L27" s="4">
        <f t="shared" si="0"/>
        <v>1.26</v>
      </c>
      <c r="M27" s="4">
        <f ca="1" t="shared" si="4"/>
        <v>176.4</v>
      </c>
      <c r="Q27" s="1">
        <f ca="1" t="shared" si="5"/>
        <v>1.43088461989492</v>
      </c>
      <c r="R27" s="1">
        <f ca="1" t="shared" si="6"/>
        <v>177.830884619895</v>
      </c>
      <c r="S27" s="1">
        <f ca="1" t="shared" si="7"/>
        <v>1.27022060442782</v>
      </c>
      <c r="T27" s="1">
        <f ca="1" t="shared" si="8"/>
        <v>1.27</v>
      </c>
      <c r="U27" s="1">
        <f ca="1" t="shared" si="9"/>
        <v>0.176685819223974</v>
      </c>
      <c r="V27" s="1">
        <f ca="1" t="shared" si="10"/>
        <v>0.1767</v>
      </c>
      <c r="W27" s="59" t="s">
        <v>172</v>
      </c>
      <c r="X27" s="1" t="s">
        <v>67</v>
      </c>
      <c r="Y27" s="1" t="s">
        <v>176</v>
      </c>
      <c r="Z27" s="1" t="s">
        <v>177</v>
      </c>
    </row>
    <row r="28" ht="31" customHeight="1" spans="1:26">
      <c r="A28" s="27">
        <v>17</v>
      </c>
      <c r="B28" s="30" t="s">
        <v>69</v>
      </c>
      <c r="C28" s="31" t="str">
        <f>VLOOKUP(B28,' PL '!B:C,2,FALSE)</f>
        <v>焊接海绵</v>
      </c>
      <c r="D28" s="31" t="str">
        <f>VLOOKUP(B28,' PL '!B:D,3,FALSE)</f>
        <v>/</v>
      </c>
      <c r="E28" s="32">
        <f ca="1" t="shared" si="1"/>
        <v>0.1461</v>
      </c>
      <c r="F28" s="33">
        <f ca="1">SUMIF(' PL '!B:E,B28,' PL '!E:E)</f>
        <v>250</v>
      </c>
      <c r="G28" s="36" t="s">
        <v>172</v>
      </c>
      <c r="H28" s="35">
        <f ca="1" t="shared" si="2"/>
        <v>36.53</v>
      </c>
      <c r="I28" s="52">
        <f ca="1">SUMIF(' PL '!B:I,B:B,' PL '!I:I)</f>
        <v>1.25</v>
      </c>
      <c r="J28" s="3">
        <v>0.99</v>
      </c>
      <c r="K28" s="3">
        <f ca="1" t="shared" si="3"/>
        <v>247.5</v>
      </c>
      <c r="L28" s="4">
        <f t="shared" si="0"/>
        <v>1.0395</v>
      </c>
      <c r="M28" s="4">
        <f ca="1" t="shared" si="4"/>
        <v>259.875</v>
      </c>
      <c r="Q28" s="1">
        <f ca="1" t="shared" si="5"/>
        <v>2.55515110695522</v>
      </c>
      <c r="R28" s="1">
        <f ca="1" t="shared" si="6"/>
        <v>262.430151106955</v>
      </c>
      <c r="S28" s="1">
        <f ca="1" t="shared" si="7"/>
        <v>1.04972060442782</v>
      </c>
      <c r="T28" s="1">
        <f ca="1" t="shared" si="8"/>
        <v>1.05</v>
      </c>
      <c r="U28" s="1">
        <f ca="1" t="shared" si="9"/>
        <v>0.146078826917459</v>
      </c>
      <c r="V28" s="1">
        <f ca="1" t="shared" si="10"/>
        <v>0.1461</v>
      </c>
      <c r="W28" s="59" t="s">
        <v>172</v>
      </c>
      <c r="X28" s="1" t="s">
        <v>70</v>
      </c>
      <c r="Y28" s="1" t="s">
        <v>176</v>
      </c>
      <c r="Z28" s="1" t="s">
        <v>177</v>
      </c>
    </row>
    <row r="29" ht="31" customHeight="1" spans="1:26">
      <c r="A29" s="27">
        <v>18</v>
      </c>
      <c r="B29" s="30" t="s">
        <v>71</v>
      </c>
      <c r="C29" s="31" t="str">
        <f>VLOOKUP(B29,' PL '!B:C,2,FALSE)</f>
        <v>电批头</v>
      </c>
      <c r="D29" s="31" t="str">
        <f>VLOOKUP(B29,' PL '!B:D,3,FALSE)</f>
        <v>/</v>
      </c>
      <c r="E29" s="32">
        <f ca="1" t="shared" si="1"/>
        <v>0.1948</v>
      </c>
      <c r="F29" s="33">
        <f ca="1">SUMIF(' PL '!B:E,B29,' PL '!E:E)</f>
        <v>388</v>
      </c>
      <c r="G29" s="36" t="s">
        <v>172</v>
      </c>
      <c r="H29" s="35">
        <f ca="1" t="shared" si="2"/>
        <v>75.58</v>
      </c>
      <c r="I29" s="52">
        <f ca="1">SUMIF(' PL '!B:I,B:B,' PL '!I:I)</f>
        <v>3.49</v>
      </c>
      <c r="J29" s="3">
        <v>1.32</v>
      </c>
      <c r="K29" s="3">
        <f ca="1" t="shared" si="3"/>
        <v>512.16</v>
      </c>
      <c r="L29" s="4">
        <f t="shared" si="0"/>
        <v>1.386</v>
      </c>
      <c r="M29" s="4">
        <f ca="1" t="shared" si="4"/>
        <v>537.768</v>
      </c>
      <c r="Q29" s="1">
        <f ca="1" t="shared" si="5"/>
        <v>7.13398189061896</v>
      </c>
      <c r="R29" s="1">
        <f ca="1" t="shared" si="6"/>
        <v>544.901981890619</v>
      </c>
      <c r="S29" s="1">
        <f ca="1" t="shared" si="7"/>
        <v>1.40438655126448</v>
      </c>
      <c r="T29" s="1">
        <f ca="1" t="shared" si="8"/>
        <v>1.4</v>
      </c>
      <c r="U29" s="1">
        <f ca="1" t="shared" si="9"/>
        <v>0.194771769223278</v>
      </c>
      <c r="V29" s="1">
        <f ca="1" t="shared" si="10"/>
        <v>0.1948</v>
      </c>
      <c r="W29" s="59" t="s">
        <v>172</v>
      </c>
      <c r="X29" s="1" t="s">
        <v>72</v>
      </c>
      <c r="Y29" s="1" t="s">
        <v>176</v>
      </c>
      <c r="Z29" s="1" t="s">
        <v>177</v>
      </c>
    </row>
    <row r="30" ht="31" customHeight="1" spans="1:26">
      <c r="A30" s="27">
        <v>19</v>
      </c>
      <c r="B30" s="30" t="s">
        <v>74</v>
      </c>
      <c r="C30" s="31" t="str">
        <f>VLOOKUP(B30,' PL '!B:C,2,FALSE)</f>
        <v>电批头</v>
      </c>
      <c r="D30" s="31" t="str">
        <f>VLOOKUP(B30,' PL '!B:D,3,FALSE)</f>
        <v>/</v>
      </c>
      <c r="E30" s="32">
        <f ca="1" t="shared" si="1"/>
        <v>0.1948</v>
      </c>
      <c r="F30" s="33">
        <f ca="1">SUMIF(' PL '!B:E,B30,' PL '!E:E)</f>
        <v>457</v>
      </c>
      <c r="G30" s="36" t="s">
        <v>172</v>
      </c>
      <c r="H30" s="35">
        <f ca="1" t="shared" si="2"/>
        <v>89.02</v>
      </c>
      <c r="I30" s="52">
        <f ca="1">SUMIF(' PL '!B:I,B:B,' PL '!I:I)</f>
        <v>4.11</v>
      </c>
      <c r="J30" s="3">
        <v>1.32</v>
      </c>
      <c r="K30" s="3">
        <f ca="1" t="shared" si="3"/>
        <v>603.24</v>
      </c>
      <c r="L30" s="4">
        <f t="shared" si="0"/>
        <v>1.386</v>
      </c>
      <c r="M30" s="4">
        <f ca="1" t="shared" si="4"/>
        <v>633.402</v>
      </c>
      <c r="Q30" s="1">
        <f ca="1" t="shared" si="5"/>
        <v>8.40133683966875</v>
      </c>
      <c r="R30" s="1">
        <f ca="1" t="shared" si="6"/>
        <v>641.803336839669</v>
      </c>
      <c r="S30" s="1">
        <f ca="1" t="shared" si="7"/>
        <v>1.40438366923341</v>
      </c>
      <c r="T30" s="1">
        <f ca="1" t="shared" si="8"/>
        <v>1.4</v>
      </c>
      <c r="U30" s="1">
        <f ca="1" t="shared" si="9"/>
        <v>0.194771769223278</v>
      </c>
      <c r="V30" s="1">
        <f ca="1" t="shared" si="10"/>
        <v>0.1948</v>
      </c>
      <c r="W30" s="59" t="s">
        <v>172</v>
      </c>
      <c r="X30" s="1" t="s">
        <v>72</v>
      </c>
      <c r="Y30" s="1" t="s">
        <v>176</v>
      </c>
      <c r="Z30" s="1" t="s">
        <v>177</v>
      </c>
    </row>
    <row r="31" ht="31" customHeight="1" spans="1:26">
      <c r="A31" s="27">
        <v>20</v>
      </c>
      <c r="B31" s="30" t="s">
        <v>75</v>
      </c>
      <c r="C31" s="31" t="str">
        <f>VLOOKUP(B31,' PL '!B:C,2,FALSE)</f>
        <v>电批头</v>
      </c>
      <c r="D31" s="31" t="str">
        <f>VLOOKUP(B31,' PL '!B:D,3,FALSE)</f>
        <v>/</v>
      </c>
      <c r="E31" s="32">
        <f ca="1" t="shared" si="1"/>
        <v>0.1948</v>
      </c>
      <c r="F31" s="33">
        <f ca="1">SUMIF(' PL '!B:E,B31,' PL '!E:E)</f>
        <v>458</v>
      </c>
      <c r="G31" s="36" t="s">
        <v>172</v>
      </c>
      <c r="H31" s="35">
        <f ca="1" t="shared" si="2"/>
        <v>89.22</v>
      </c>
      <c r="I31" s="52">
        <f ca="1">SUMIF(' PL '!B:I,B:B,' PL '!I:I)</f>
        <v>4.12</v>
      </c>
      <c r="J31" s="3">
        <v>1.32</v>
      </c>
      <c r="K31" s="3">
        <f ca="1" t="shared" si="3"/>
        <v>604.56</v>
      </c>
      <c r="L31" s="4">
        <f t="shared" si="0"/>
        <v>1.386</v>
      </c>
      <c r="M31" s="4">
        <f ca="1" t="shared" si="4"/>
        <v>634.788</v>
      </c>
      <c r="Q31" s="1">
        <f ca="1" t="shared" si="5"/>
        <v>8.42177804852439</v>
      </c>
      <c r="R31" s="1">
        <f ca="1" t="shared" si="6"/>
        <v>643.209778048524</v>
      </c>
      <c r="S31" s="1">
        <f ca="1" t="shared" si="7"/>
        <v>1.404388161678</v>
      </c>
      <c r="T31" s="1">
        <f ca="1" t="shared" si="8"/>
        <v>1.4</v>
      </c>
      <c r="U31" s="1">
        <f ca="1" t="shared" si="9"/>
        <v>0.194771769223278</v>
      </c>
      <c r="V31" s="1">
        <f ca="1" t="shared" si="10"/>
        <v>0.1948</v>
      </c>
      <c r="W31" s="59" t="s">
        <v>172</v>
      </c>
      <c r="X31" s="1" t="s">
        <v>72</v>
      </c>
      <c r="Y31" s="1" t="s">
        <v>176</v>
      </c>
      <c r="Z31" s="1" t="s">
        <v>177</v>
      </c>
    </row>
    <row r="32" ht="31" customHeight="1" spans="1:26">
      <c r="A32" s="27">
        <v>21</v>
      </c>
      <c r="B32" s="30" t="s">
        <v>76</v>
      </c>
      <c r="C32" s="31" t="str">
        <f>VLOOKUP(B32,' PL '!B:C,2,FALSE)</f>
        <v>电批头</v>
      </c>
      <c r="D32" s="31" t="str">
        <f>VLOOKUP(B32,' PL '!B:D,3,FALSE)</f>
        <v>/</v>
      </c>
      <c r="E32" s="32">
        <f ca="1" t="shared" si="1"/>
        <v>0.1948</v>
      </c>
      <c r="F32" s="33">
        <f ca="1">SUMIF(' PL '!B:E,B32,' PL '!E:E)</f>
        <v>287</v>
      </c>
      <c r="G32" s="36" t="s">
        <v>172</v>
      </c>
      <c r="H32" s="35">
        <f ca="1" t="shared" si="2"/>
        <v>55.91</v>
      </c>
      <c r="I32" s="52">
        <f ca="1">SUMIF(' PL '!B:I,B:B,' PL '!I:I)</f>
        <v>2.58</v>
      </c>
      <c r="J32" s="3">
        <v>1.32</v>
      </c>
      <c r="K32" s="3">
        <f ca="1" t="shared" si="3"/>
        <v>378.84</v>
      </c>
      <c r="L32" s="4">
        <f t="shared" si="0"/>
        <v>1.386</v>
      </c>
      <c r="M32" s="4">
        <f ca="1" t="shared" si="4"/>
        <v>397.782</v>
      </c>
      <c r="Q32" s="1">
        <f ca="1" t="shared" si="5"/>
        <v>5.27383188475557</v>
      </c>
      <c r="R32" s="1">
        <f ca="1" t="shared" si="6"/>
        <v>403.055831884756</v>
      </c>
      <c r="S32" s="1">
        <f ca="1" t="shared" si="7"/>
        <v>1.40437572085281</v>
      </c>
      <c r="T32" s="1">
        <f ca="1" t="shared" si="8"/>
        <v>1.4</v>
      </c>
      <c r="U32" s="1">
        <f ca="1" t="shared" si="9"/>
        <v>0.194771769223278</v>
      </c>
      <c r="V32" s="1">
        <f ca="1" t="shared" si="10"/>
        <v>0.1948</v>
      </c>
      <c r="W32" s="59" t="s">
        <v>172</v>
      </c>
      <c r="X32" s="1" t="s">
        <v>72</v>
      </c>
      <c r="Y32" s="1" t="s">
        <v>176</v>
      </c>
      <c r="Z32" s="1" t="s">
        <v>177</v>
      </c>
    </row>
    <row r="33" ht="31" customHeight="1" spans="1:26">
      <c r="A33" s="27">
        <v>22</v>
      </c>
      <c r="B33" s="30" t="s">
        <v>77</v>
      </c>
      <c r="C33" s="31" t="str">
        <f>VLOOKUP(B33,' PL '!B:C,2,FALSE)</f>
        <v>电批头</v>
      </c>
      <c r="D33" s="31" t="str">
        <f>VLOOKUP(B33,' PL '!B:D,3,FALSE)</f>
        <v>/</v>
      </c>
      <c r="E33" s="32">
        <f ca="1" t="shared" si="1"/>
        <v>0.1948</v>
      </c>
      <c r="F33" s="33">
        <f ca="1">SUMIF(' PL '!B:E,B33,' PL '!E:E)</f>
        <v>40</v>
      </c>
      <c r="G33" s="36" t="s">
        <v>172</v>
      </c>
      <c r="H33" s="35">
        <f ca="1" t="shared" si="2"/>
        <v>7.79</v>
      </c>
      <c r="I33" s="52">
        <f ca="1">SUMIF(' PL '!B:I,B:B,' PL '!I:I)</f>
        <v>0.36</v>
      </c>
      <c r="J33" s="3">
        <v>1.32</v>
      </c>
      <c r="K33" s="3">
        <f ca="1" t="shared" si="3"/>
        <v>52.8</v>
      </c>
      <c r="L33" s="4">
        <f t="shared" si="0"/>
        <v>1.386</v>
      </c>
      <c r="M33" s="4">
        <f ca="1" t="shared" si="4"/>
        <v>55.44</v>
      </c>
      <c r="Q33" s="1">
        <f ca="1" t="shared" si="5"/>
        <v>0.735883518803102</v>
      </c>
      <c r="R33" s="1">
        <f ca="1" t="shared" si="6"/>
        <v>56.1758835188031</v>
      </c>
      <c r="S33" s="1">
        <f ca="1" t="shared" si="7"/>
        <v>1.40439708797008</v>
      </c>
      <c r="T33" s="1">
        <f ca="1" t="shared" si="8"/>
        <v>1.4</v>
      </c>
      <c r="U33" s="1">
        <f ca="1" t="shared" si="9"/>
        <v>0.194771769223278</v>
      </c>
      <c r="V33" s="1">
        <f ca="1" t="shared" si="10"/>
        <v>0.1948</v>
      </c>
      <c r="W33" s="59" t="s">
        <v>172</v>
      </c>
      <c r="X33" s="1" t="s">
        <v>72</v>
      </c>
      <c r="Y33" s="1" t="s">
        <v>176</v>
      </c>
      <c r="Z33" s="1" t="s">
        <v>177</v>
      </c>
    </row>
    <row r="34" ht="31" customHeight="1" spans="1:26">
      <c r="A34" s="27">
        <v>23</v>
      </c>
      <c r="B34" s="30" t="s">
        <v>78</v>
      </c>
      <c r="C34" s="31" t="str">
        <f>VLOOKUP(B34,' PL '!B:C,2,FALSE)</f>
        <v>电批头</v>
      </c>
      <c r="D34" s="31" t="str">
        <f>VLOOKUP(B34,' PL '!B:D,3,FALSE)</f>
        <v>/</v>
      </c>
      <c r="E34" s="32">
        <f ca="1" t="shared" si="1"/>
        <v>0.1948</v>
      </c>
      <c r="F34" s="33">
        <f ca="1">SUMIF(' PL '!B:E,B34,' PL '!E:E)</f>
        <v>60</v>
      </c>
      <c r="G34" s="36" t="s">
        <v>172</v>
      </c>
      <c r="H34" s="35">
        <f ca="1" t="shared" si="2"/>
        <v>11.69</v>
      </c>
      <c r="I34" s="52">
        <f ca="1">SUMIF(' PL '!B:I,B:B,' PL '!I:I)</f>
        <v>0.54</v>
      </c>
      <c r="J34" s="3">
        <v>1.32</v>
      </c>
      <c r="K34" s="3">
        <f ca="1" t="shared" si="3"/>
        <v>79.2</v>
      </c>
      <c r="L34" s="4">
        <f t="shared" si="0"/>
        <v>1.386</v>
      </c>
      <c r="M34" s="4">
        <f ca="1" t="shared" si="4"/>
        <v>83.16</v>
      </c>
      <c r="Q34" s="1">
        <f ca="1" t="shared" si="5"/>
        <v>1.10382527820465</v>
      </c>
      <c r="R34" s="1">
        <f ca="1" t="shared" si="6"/>
        <v>84.2638252782046</v>
      </c>
      <c r="S34" s="1">
        <f ca="1" t="shared" si="7"/>
        <v>1.40439708797008</v>
      </c>
      <c r="T34" s="1">
        <f ca="1" t="shared" si="8"/>
        <v>1.4</v>
      </c>
      <c r="U34" s="1">
        <f ca="1" t="shared" si="9"/>
        <v>0.194771769223278</v>
      </c>
      <c r="V34" s="1">
        <f ca="1" t="shared" si="10"/>
        <v>0.1948</v>
      </c>
      <c r="W34" s="59" t="s">
        <v>172</v>
      </c>
      <c r="X34" s="1" t="s">
        <v>72</v>
      </c>
      <c r="Y34" s="1" t="s">
        <v>176</v>
      </c>
      <c r="Z34" s="1" t="s">
        <v>177</v>
      </c>
    </row>
    <row r="35" ht="31" customHeight="1" spans="1:26">
      <c r="A35" s="27">
        <v>24</v>
      </c>
      <c r="B35" s="30" t="s">
        <v>79</v>
      </c>
      <c r="C35" s="31" t="str">
        <f>VLOOKUP(B35,' PL '!B:C,2,FALSE)</f>
        <v>电批头</v>
      </c>
      <c r="D35" s="31" t="str">
        <f>VLOOKUP(B35,' PL '!B:D,3,FALSE)</f>
        <v>/</v>
      </c>
      <c r="E35" s="32">
        <f ca="1" t="shared" si="1"/>
        <v>0.1948</v>
      </c>
      <c r="F35" s="33">
        <f ca="1">SUMIF(' PL '!B:E,B35,' PL '!E:E)</f>
        <v>50</v>
      </c>
      <c r="G35" s="36" t="s">
        <v>172</v>
      </c>
      <c r="H35" s="35">
        <f ca="1" t="shared" si="2"/>
        <v>9.74</v>
      </c>
      <c r="I35" s="52">
        <f ca="1">SUMIF(' PL '!B:I,B:B,' PL '!I:I)</f>
        <v>0.45</v>
      </c>
      <c r="J35" s="3">
        <v>1.32</v>
      </c>
      <c r="K35" s="3">
        <f ca="1" t="shared" si="3"/>
        <v>66</v>
      </c>
      <c r="L35" s="4">
        <f t="shared" si="0"/>
        <v>1.386</v>
      </c>
      <c r="M35" s="4">
        <f ca="1" t="shared" si="4"/>
        <v>69.3</v>
      </c>
      <c r="Q35" s="1">
        <f ca="1" t="shared" si="5"/>
        <v>0.919854398503878</v>
      </c>
      <c r="R35" s="1">
        <f ca="1" t="shared" si="6"/>
        <v>70.2198543985039</v>
      </c>
      <c r="S35" s="1">
        <f ca="1" t="shared" si="7"/>
        <v>1.40439708797008</v>
      </c>
      <c r="T35" s="1">
        <f ca="1" t="shared" si="8"/>
        <v>1.4</v>
      </c>
      <c r="U35" s="1">
        <f ca="1" t="shared" si="9"/>
        <v>0.194771769223278</v>
      </c>
      <c r="V35" s="1">
        <f ca="1" t="shared" si="10"/>
        <v>0.1948</v>
      </c>
      <c r="W35" s="59" t="s">
        <v>172</v>
      </c>
      <c r="X35" s="1" t="s">
        <v>72</v>
      </c>
      <c r="Y35" s="1" t="s">
        <v>176</v>
      </c>
      <c r="Z35" s="1" t="s">
        <v>177</v>
      </c>
    </row>
    <row r="36" ht="31" customHeight="1" spans="1:26">
      <c r="A36" s="27">
        <v>25</v>
      </c>
      <c r="B36" s="30" t="s">
        <v>80</v>
      </c>
      <c r="C36" s="31" t="str">
        <f>VLOOKUP(B36,' PL '!B:C,2,FALSE)</f>
        <v>电批头</v>
      </c>
      <c r="D36" s="31" t="str">
        <f>VLOOKUP(B36,' PL '!B:D,3,FALSE)</f>
        <v>/</v>
      </c>
      <c r="E36" s="32">
        <f ca="1" t="shared" si="1"/>
        <v>0.1948</v>
      </c>
      <c r="F36" s="33">
        <f ca="1">SUMIF(' PL '!B:E,B36,' PL '!E:E)</f>
        <v>50</v>
      </c>
      <c r="G36" s="36" t="s">
        <v>172</v>
      </c>
      <c r="H36" s="35">
        <f ca="1" t="shared" si="2"/>
        <v>9.74</v>
      </c>
      <c r="I36" s="52">
        <f ca="1">SUMIF(' PL '!B:I,B:B,' PL '!I:I)</f>
        <v>0.45</v>
      </c>
      <c r="J36" s="3">
        <v>1.32</v>
      </c>
      <c r="K36" s="3">
        <f ca="1" t="shared" si="3"/>
        <v>66</v>
      </c>
      <c r="L36" s="4">
        <f t="shared" si="0"/>
        <v>1.386</v>
      </c>
      <c r="M36" s="4">
        <f ca="1" t="shared" si="4"/>
        <v>69.3</v>
      </c>
      <c r="Q36" s="1">
        <f ca="1" t="shared" si="5"/>
        <v>0.919854398503878</v>
      </c>
      <c r="R36" s="1">
        <f ca="1" t="shared" si="6"/>
        <v>70.2198543985039</v>
      </c>
      <c r="S36" s="1">
        <f ca="1" t="shared" si="7"/>
        <v>1.40439708797008</v>
      </c>
      <c r="T36" s="1">
        <f ca="1" t="shared" si="8"/>
        <v>1.4</v>
      </c>
      <c r="U36" s="1">
        <f ca="1" t="shared" si="9"/>
        <v>0.194771769223278</v>
      </c>
      <c r="V36" s="1">
        <f ca="1" t="shared" si="10"/>
        <v>0.1948</v>
      </c>
      <c r="W36" s="59" t="s">
        <v>172</v>
      </c>
      <c r="X36" s="1" t="s">
        <v>72</v>
      </c>
      <c r="Y36" s="1" t="s">
        <v>176</v>
      </c>
      <c r="Z36" s="1" t="s">
        <v>177</v>
      </c>
    </row>
    <row r="37" ht="31" customHeight="1" spans="1:26">
      <c r="A37" s="27">
        <v>26</v>
      </c>
      <c r="B37" s="30" t="s">
        <v>81</v>
      </c>
      <c r="C37" s="31" t="str">
        <f>VLOOKUP(B37,' PL '!B:C,2,FALSE)</f>
        <v>电批头</v>
      </c>
      <c r="D37" s="31" t="str">
        <f>VLOOKUP(B37,' PL '!B:D,3,FALSE)</f>
        <v>/</v>
      </c>
      <c r="E37" s="32">
        <f ca="1" t="shared" si="1"/>
        <v>0.1948</v>
      </c>
      <c r="F37" s="33">
        <f ca="1">SUMIF(' PL '!B:E,B37,' PL '!E:E)</f>
        <v>110</v>
      </c>
      <c r="G37" s="36" t="s">
        <v>172</v>
      </c>
      <c r="H37" s="35">
        <f ca="1" t="shared" si="2"/>
        <v>21.43</v>
      </c>
      <c r="I37" s="52">
        <f ca="1">SUMIF(' PL '!B:I,B:B,' PL '!I:I)</f>
        <v>0.99</v>
      </c>
      <c r="J37" s="3">
        <v>1.32</v>
      </c>
      <c r="K37" s="3">
        <f ca="1" t="shared" si="3"/>
        <v>145.2</v>
      </c>
      <c r="L37" s="4">
        <f t="shared" si="0"/>
        <v>1.386</v>
      </c>
      <c r="M37" s="4">
        <f ca="1" t="shared" si="4"/>
        <v>152.46</v>
      </c>
      <c r="Q37" s="1">
        <f ca="1" t="shared" si="5"/>
        <v>2.02367967670853</v>
      </c>
      <c r="R37" s="1">
        <f ca="1" t="shared" si="6"/>
        <v>154.483679676709</v>
      </c>
      <c r="S37" s="1">
        <f ca="1" t="shared" si="7"/>
        <v>1.40439708797008</v>
      </c>
      <c r="T37" s="1">
        <f ca="1" t="shared" si="8"/>
        <v>1.4</v>
      </c>
      <c r="U37" s="1">
        <f ca="1" t="shared" si="9"/>
        <v>0.194771769223278</v>
      </c>
      <c r="V37" s="1">
        <f ca="1" t="shared" si="10"/>
        <v>0.1948</v>
      </c>
      <c r="W37" s="59" t="s">
        <v>172</v>
      </c>
      <c r="X37" s="1" t="s">
        <v>72</v>
      </c>
      <c r="Y37" s="1" t="s">
        <v>176</v>
      </c>
      <c r="Z37" s="1" t="s">
        <v>177</v>
      </c>
    </row>
    <row r="38" ht="31" customHeight="1" spans="1:26">
      <c r="A38" s="27">
        <v>27</v>
      </c>
      <c r="B38" s="30" t="s">
        <v>82</v>
      </c>
      <c r="C38" s="31" t="str">
        <f>VLOOKUP(B38,' PL '!B:C,2,FALSE)</f>
        <v>钢网擦拭纸</v>
      </c>
      <c r="D38" s="31" t="str">
        <f>VLOOKUP(B38,' PL '!B:D,3,FALSE)</f>
        <v>/</v>
      </c>
      <c r="E38" s="32">
        <f ca="1" t="shared" si="1"/>
        <v>2.3289</v>
      </c>
      <c r="F38" s="33">
        <f ca="1">SUMIF(' PL '!B:E,B38,' PL '!E:E)</f>
        <v>2040</v>
      </c>
      <c r="G38" s="36" t="s">
        <v>178</v>
      </c>
      <c r="H38" s="35">
        <f ca="1" t="shared" si="2"/>
        <v>4750.96</v>
      </c>
      <c r="I38" s="52">
        <f ca="1">SUMIF(' PL '!B:I,B:B,' PL '!I:I)</f>
        <v>1200</v>
      </c>
      <c r="J38" s="3">
        <v>14.8</v>
      </c>
      <c r="K38" s="3">
        <f ca="1" t="shared" si="3"/>
        <v>30192</v>
      </c>
      <c r="L38" s="4">
        <f t="shared" si="0"/>
        <v>15.54</v>
      </c>
      <c r="M38" s="4">
        <f ca="1" t="shared" si="4"/>
        <v>31701.6</v>
      </c>
      <c r="Q38" s="1">
        <f ca="1" t="shared" si="5"/>
        <v>2452.94506267701</v>
      </c>
      <c r="R38" s="1">
        <f ca="1" t="shared" si="6"/>
        <v>34154.545062677</v>
      </c>
      <c r="S38" s="1">
        <f ca="1" t="shared" si="7"/>
        <v>16.7424240503319</v>
      </c>
      <c r="T38" s="1">
        <f ca="1" t="shared" si="8"/>
        <v>16.74</v>
      </c>
      <c r="U38" s="1">
        <f ca="1" t="shared" si="9"/>
        <v>2.3289138691412</v>
      </c>
      <c r="V38" s="1">
        <f ca="1" t="shared" si="10"/>
        <v>2.3289</v>
      </c>
      <c r="W38" s="59" t="s">
        <v>178</v>
      </c>
      <c r="X38" s="1" t="s">
        <v>83</v>
      </c>
      <c r="Y38" s="1" t="s">
        <v>173</v>
      </c>
      <c r="Z38" s="1" t="s">
        <v>174</v>
      </c>
    </row>
    <row r="39" ht="31" customHeight="1" spans="1:26">
      <c r="A39" s="27">
        <v>28</v>
      </c>
      <c r="B39" s="30" t="s">
        <v>85</v>
      </c>
      <c r="C39" s="31" t="str">
        <f>VLOOKUP(B39,' PL '!B:C,2,FALSE)</f>
        <v>钢网擦拭纸</v>
      </c>
      <c r="D39" s="31" t="str">
        <f>VLOOKUP(B39,' PL '!B:D,3,FALSE)</f>
        <v>/</v>
      </c>
      <c r="E39" s="32">
        <f ca="1" t="shared" si="1"/>
        <v>1.1547</v>
      </c>
      <c r="F39" s="33">
        <f ca="1">SUMIF(' PL '!B:E,B39,' PL '!E:E)</f>
        <v>2800</v>
      </c>
      <c r="G39" s="36" t="s">
        <v>178</v>
      </c>
      <c r="H39" s="35">
        <f ca="1" t="shared" si="2"/>
        <v>3233.16</v>
      </c>
      <c r="I39" s="52">
        <f ca="1">SUMIF(' PL '!B:I,B:B,' PL '!I:I)</f>
        <v>866</v>
      </c>
      <c r="J39" s="3">
        <v>7.3</v>
      </c>
      <c r="K39" s="3">
        <f ca="1" t="shared" si="3"/>
        <v>20440</v>
      </c>
      <c r="L39" s="4">
        <f t="shared" si="0"/>
        <v>7.665</v>
      </c>
      <c r="M39" s="4">
        <f ca="1" t="shared" si="4"/>
        <v>21462</v>
      </c>
      <c r="Q39" s="1">
        <f ca="1" t="shared" si="5"/>
        <v>1770.20868689857</v>
      </c>
      <c r="R39" s="1">
        <f ca="1" t="shared" si="6"/>
        <v>23232.2086868986</v>
      </c>
      <c r="S39" s="1">
        <f ca="1" t="shared" si="7"/>
        <v>8.29721738817806</v>
      </c>
      <c r="T39" s="1">
        <f ca="1" t="shared" si="8"/>
        <v>8.3</v>
      </c>
      <c r="U39" s="1">
        <f ca="1" t="shared" si="9"/>
        <v>1.15471834610943</v>
      </c>
      <c r="V39" s="1">
        <f ca="1" t="shared" si="10"/>
        <v>1.1547</v>
      </c>
      <c r="W39" s="59" t="s">
        <v>178</v>
      </c>
      <c r="X39" s="1" t="s">
        <v>83</v>
      </c>
      <c r="Y39" s="1" t="s">
        <v>173</v>
      </c>
      <c r="Z39" s="1" t="s">
        <v>174</v>
      </c>
    </row>
    <row r="40" ht="31" customHeight="1" spans="1:26">
      <c r="A40" s="27">
        <v>29</v>
      </c>
      <c r="B40" s="30" t="s">
        <v>87</v>
      </c>
      <c r="C40" s="31" t="str">
        <f>VLOOKUP(B40,' PL '!B:C,2,FALSE)</f>
        <v>烧录座</v>
      </c>
      <c r="D40" s="31" t="str">
        <f>VLOOKUP(B40,' PL '!B:D,3,FALSE)</f>
        <v>AT-TSSOP20-CMS</v>
      </c>
      <c r="E40" s="32">
        <f ca="1" t="shared" si="1"/>
        <v>84.7688</v>
      </c>
      <c r="F40" s="33">
        <f ca="1">SUMIF(' PL '!B:E,B40,' PL '!E:E)</f>
        <v>2</v>
      </c>
      <c r="G40" s="36" t="s">
        <v>172</v>
      </c>
      <c r="H40" s="35">
        <f ca="1" t="shared" si="2"/>
        <v>169.54</v>
      </c>
      <c r="I40" s="52">
        <f ca="1">SUMIF(' PL '!B:I,B:B,' PL '!I:I)</f>
        <v>0.3</v>
      </c>
      <c r="J40" s="3">
        <v>580</v>
      </c>
      <c r="K40" s="3">
        <f ca="1" t="shared" si="3"/>
        <v>1160</v>
      </c>
      <c r="L40" s="4">
        <f t="shared" si="0"/>
        <v>609</v>
      </c>
      <c r="M40" s="4">
        <f ca="1" t="shared" si="4"/>
        <v>1218</v>
      </c>
      <c r="Q40" s="1">
        <f ca="1" t="shared" si="5"/>
        <v>0.613236265669252</v>
      </c>
      <c r="R40" s="1">
        <f ca="1" t="shared" si="6"/>
        <v>1218.61323626567</v>
      </c>
      <c r="S40" s="1">
        <f ca="1" t="shared" si="7"/>
        <v>609.306618132835</v>
      </c>
      <c r="T40" s="1">
        <f ca="1" t="shared" si="8"/>
        <v>609.31</v>
      </c>
      <c r="U40" s="1">
        <f ca="1" t="shared" si="9"/>
        <v>84.7688476467397</v>
      </c>
      <c r="V40" s="1">
        <f ca="1" t="shared" si="10"/>
        <v>84.7688</v>
      </c>
      <c r="W40" s="59" t="s">
        <v>172</v>
      </c>
      <c r="X40" s="1" t="s">
        <v>88</v>
      </c>
      <c r="Y40" s="1" t="s">
        <v>173</v>
      </c>
      <c r="Z40" s="1" t="s">
        <v>179</v>
      </c>
    </row>
    <row r="41" ht="31" customHeight="1" spans="1:26">
      <c r="A41" s="27">
        <v>30</v>
      </c>
      <c r="B41" s="30" t="s">
        <v>91</v>
      </c>
      <c r="C41" s="31" t="str">
        <f>VLOOKUP(B41,' PL '!B:C,2,FALSE)</f>
        <v>滑轮</v>
      </c>
      <c r="D41" s="31" t="str">
        <f>VLOOKUP(B41,' PL '!B:D,3,FALSE)</f>
        <v>KLV-M913A-A10</v>
      </c>
      <c r="E41" s="32">
        <f ca="1" t="shared" si="1"/>
        <v>11.7211</v>
      </c>
      <c r="F41" s="33">
        <f ca="1">SUMIF(' PL '!B:E,B41,' PL '!E:E)</f>
        <v>5</v>
      </c>
      <c r="G41" s="36" t="s">
        <v>172</v>
      </c>
      <c r="H41" s="35">
        <f ca="1" t="shared" si="2"/>
        <v>58.61</v>
      </c>
      <c r="I41" s="52">
        <f ca="1">SUMIF(' PL '!B:I,B:B,' PL '!I:I)</f>
        <v>0.6</v>
      </c>
      <c r="J41" s="3">
        <v>80</v>
      </c>
      <c r="K41" s="3">
        <f ca="1" t="shared" si="3"/>
        <v>400</v>
      </c>
      <c r="L41" s="4">
        <f t="shared" si="0"/>
        <v>84</v>
      </c>
      <c r="M41" s="4">
        <f ca="1" t="shared" si="4"/>
        <v>420</v>
      </c>
      <c r="Q41" s="1">
        <f ca="1" t="shared" si="5"/>
        <v>1.2264725313385</v>
      </c>
      <c r="R41" s="1">
        <f ca="1" t="shared" si="6"/>
        <v>421.226472531339</v>
      </c>
      <c r="S41" s="1">
        <f ca="1" t="shared" si="7"/>
        <v>84.2452945062677</v>
      </c>
      <c r="T41" s="1">
        <f ca="1" t="shared" si="8"/>
        <v>84.25</v>
      </c>
      <c r="U41" s="1">
        <f ca="1" t="shared" si="9"/>
        <v>11.7210868264723</v>
      </c>
      <c r="V41" s="1">
        <f ca="1" t="shared" si="10"/>
        <v>11.7211</v>
      </c>
      <c r="W41" s="59" t="s">
        <v>172</v>
      </c>
      <c r="X41" s="1" t="s">
        <v>92</v>
      </c>
      <c r="Y41" s="1" t="s">
        <v>173</v>
      </c>
      <c r="Z41" s="1" t="s">
        <v>175</v>
      </c>
    </row>
    <row r="42" ht="31" customHeight="1" spans="1:26">
      <c r="A42" s="27">
        <v>31</v>
      </c>
      <c r="B42" s="30" t="s">
        <v>94</v>
      </c>
      <c r="C42" s="31" t="str">
        <f>VLOOKUP(B42,' PL '!B:C,2,FALSE)</f>
        <v>打包架</v>
      </c>
      <c r="D42" s="31" t="str">
        <f>VLOOKUP(B42,' PL '!B:D,3,FALSE)</f>
        <v>/</v>
      </c>
      <c r="E42" s="32">
        <f ca="1" t="shared" si="1"/>
        <v>175.5367</v>
      </c>
      <c r="F42" s="33">
        <f ca="1">SUMIF(' PL '!B:E,B42,' PL '!E:E)</f>
        <v>3</v>
      </c>
      <c r="G42" s="36" t="s">
        <v>180</v>
      </c>
      <c r="H42" s="35">
        <f ca="1" t="shared" si="2"/>
        <v>526.61</v>
      </c>
      <c r="I42" s="52">
        <f ca="1">SUMIF(' PL '!B:I,B:B,' PL '!I:I)</f>
        <v>64.2</v>
      </c>
      <c r="J42" s="3">
        <v>1160</v>
      </c>
      <c r="K42" s="3">
        <f ca="1" t="shared" si="3"/>
        <v>3480</v>
      </c>
      <c r="L42" s="4">
        <f t="shared" si="0"/>
        <v>1218</v>
      </c>
      <c r="M42" s="4">
        <f ca="1" t="shared" si="4"/>
        <v>3654</v>
      </c>
      <c r="Q42" s="1">
        <f ca="1" t="shared" si="5"/>
        <v>131.23256085322</v>
      </c>
      <c r="R42" s="1">
        <f ca="1" t="shared" si="6"/>
        <v>3785.23256085322</v>
      </c>
      <c r="S42" s="1">
        <f ca="1" t="shared" si="7"/>
        <v>1261.74418695107</v>
      </c>
      <c r="T42" s="1">
        <f ca="1" t="shared" si="8"/>
        <v>1261.74</v>
      </c>
      <c r="U42" s="1">
        <f ca="1" t="shared" si="9"/>
        <v>175.536665785556</v>
      </c>
      <c r="V42" s="1">
        <f ca="1" t="shared" si="10"/>
        <v>175.5367</v>
      </c>
      <c r="W42" s="59" t="s">
        <v>180</v>
      </c>
      <c r="X42" s="1" t="s">
        <v>95</v>
      </c>
      <c r="Y42" s="1" t="s">
        <v>173</v>
      </c>
      <c r="Z42" s="1" t="s">
        <v>181</v>
      </c>
    </row>
    <row r="43" ht="31" customHeight="1" spans="1:26">
      <c r="A43" s="27">
        <v>32</v>
      </c>
      <c r="B43" s="30" t="s">
        <v>97</v>
      </c>
      <c r="C43" s="31" t="str">
        <f>VLOOKUP(B43,' PL '!B:C,2,FALSE)</f>
        <v>周转车</v>
      </c>
      <c r="D43" s="31" t="str">
        <f>VLOOKUP(B43,' PL '!B:D,3,FALSE)</f>
        <v>/</v>
      </c>
      <c r="E43" s="32">
        <f ca="1" t="shared" si="1"/>
        <v>190.708</v>
      </c>
      <c r="F43" s="33">
        <f ca="1">SUMIF(' PL '!B:E,B43,' PL '!E:E)</f>
        <v>12</v>
      </c>
      <c r="G43" s="36" t="s">
        <v>182</v>
      </c>
      <c r="H43" s="35">
        <f ca="1" t="shared" si="2"/>
        <v>2288.5</v>
      </c>
      <c r="I43" s="52">
        <f ca="1">SUMIF(' PL '!B:I,B:B,' PL '!I:I)</f>
        <v>34</v>
      </c>
      <c r="J43" s="3">
        <v>1300</v>
      </c>
      <c r="K43" s="3">
        <f ca="1" t="shared" si="3"/>
        <v>15600</v>
      </c>
      <c r="L43" s="4">
        <f t="shared" si="0"/>
        <v>1365</v>
      </c>
      <c r="M43" s="4">
        <f ca="1" t="shared" si="4"/>
        <v>16380</v>
      </c>
      <c r="Q43" s="1">
        <f ca="1" t="shared" si="5"/>
        <v>69.5001101091819</v>
      </c>
      <c r="R43" s="1">
        <f ca="1" t="shared" si="6"/>
        <v>16449.5001101092</v>
      </c>
      <c r="S43" s="1">
        <f ca="1" t="shared" si="7"/>
        <v>1370.79167584243</v>
      </c>
      <c r="T43" s="1">
        <f ca="1" t="shared" si="8"/>
        <v>1370.79</v>
      </c>
      <c r="U43" s="1">
        <f ca="1" t="shared" si="9"/>
        <v>190.707995381127</v>
      </c>
      <c r="V43" s="1">
        <f ca="1" t="shared" si="10"/>
        <v>190.708</v>
      </c>
      <c r="W43" s="59" t="s">
        <v>182</v>
      </c>
      <c r="X43" s="1" t="s">
        <v>98</v>
      </c>
      <c r="Y43" s="1" t="s">
        <v>173</v>
      </c>
      <c r="Z43" s="1" t="s">
        <v>181</v>
      </c>
    </row>
    <row r="44" ht="31" customHeight="1" spans="1:26">
      <c r="A44" s="27">
        <v>33</v>
      </c>
      <c r="B44" s="30" t="s">
        <v>100</v>
      </c>
      <c r="C44" s="31" t="str">
        <f>VLOOKUP(B44,' PL '!B:C,2,FALSE)</f>
        <v>物料架</v>
      </c>
      <c r="D44" s="31" t="str">
        <f>VLOOKUP(B44,' PL '!B:D,3,FALSE)</f>
        <v>/</v>
      </c>
      <c r="E44" s="32">
        <f ca="1" t="shared" ref="E44:E61" si="11">V44</f>
        <v>50.3012</v>
      </c>
      <c r="F44" s="33">
        <f ca="1">SUMIF(' PL '!B:E,B44,' PL '!E:E)</f>
        <v>9</v>
      </c>
      <c r="G44" s="36" t="s">
        <v>180</v>
      </c>
      <c r="H44" s="35">
        <f ca="1" t="shared" ref="H44:H61" si="12">ROUND(F44*E44,2)</f>
        <v>452.71</v>
      </c>
      <c r="I44" s="52">
        <f ca="1">SUMIF(' PL '!B:I,B:B,' PL '!I:I)</f>
        <v>205</v>
      </c>
      <c r="J44" s="3">
        <v>300</v>
      </c>
      <c r="K44" s="3">
        <f ca="1" t="shared" ref="K44:K61" si="13">J44*F44</f>
        <v>2700</v>
      </c>
      <c r="L44" s="4">
        <f t="shared" si="0"/>
        <v>315</v>
      </c>
      <c r="M44" s="4">
        <f ca="1" t="shared" ref="M44:M61" si="14">L44*F44</f>
        <v>2835</v>
      </c>
      <c r="Q44" s="1">
        <f ca="1" t="shared" ref="Q44:Q61" si="15">$P$12*I44</f>
        <v>419.044781540655</v>
      </c>
      <c r="R44" s="1">
        <f ca="1" t="shared" ref="R44:R61" si="16">Q44+M44</f>
        <v>3254.04478154066</v>
      </c>
      <c r="S44" s="1">
        <f ca="1" t="shared" ref="S44:S61" si="17">R44/F44</f>
        <v>361.560531282295</v>
      </c>
      <c r="T44" s="1">
        <f ca="1" t="shared" ref="T44:T61" si="18">ROUND(S44,2)</f>
        <v>361.56</v>
      </c>
      <c r="U44" s="1">
        <f ca="1" t="shared" ref="U44:U61" si="19">T44/$U$9</f>
        <v>50.3012006288346</v>
      </c>
      <c r="V44" s="1">
        <f ca="1" t="shared" ref="V44:V61" si="20">ROUND(U44,4)</f>
        <v>50.3012</v>
      </c>
      <c r="W44" s="59" t="s">
        <v>180</v>
      </c>
      <c r="X44" s="1" t="s">
        <v>101</v>
      </c>
      <c r="Y44" s="1" t="s">
        <v>173</v>
      </c>
      <c r="Z44" s="1" t="s">
        <v>181</v>
      </c>
    </row>
    <row r="45" ht="31" customHeight="1" spans="1:26">
      <c r="A45" s="27">
        <v>34</v>
      </c>
      <c r="B45" s="30" t="s">
        <v>103</v>
      </c>
      <c r="C45" s="31" t="str">
        <f>VLOOKUP(B45,' PL '!B:C,2,FALSE)</f>
        <v>屏蔽箱</v>
      </c>
      <c r="D45" s="31" t="str">
        <f>VLOOKUP(B45,' PL '!B:D,3,FALSE)</f>
        <v>/</v>
      </c>
      <c r="E45" s="32">
        <f ca="1" t="shared" si="11"/>
        <v>504.3462</v>
      </c>
      <c r="F45" s="33">
        <f ca="1">SUMIF(' PL '!B:E,B45,' PL '!E:E)</f>
        <v>10</v>
      </c>
      <c r="G45" s="36" t="s">
        <v>182</v>
      </c>
      <c r="H45" s="35">
        <f ca="1" t="shared" si="12"/>
        <v>5043.46</v>
      </c>
      <c r="I45" s="52">
        <f ca="1">SUMIF(' PL '!B:I,B:B,' PL '!I:I)</f>
        <v>270</v>
      </c>
      <c r="J45" s="3">
        <v>3400</v>
      </c>
      <c r="K45" s="3">
        <f ca="1" t="shared" si="13"/>
        <v>34000</v>
      </c>
      <c r="L45" s="4">
        <f t="shared" ref="L45:L61" si="21">J45*1.05</f>
        <v>3570</v>
      </c>
      <c r="M45" s="4">
        <f ca="1" t="shared" si="14"/>
        <v>35700</v>
      </c>
      <c r="Q45" s="1">
        <f ca="1" t="shared" si="15"/>
        <v>551.912639102327</v>
      </c>
      <c r="R45" s="1">
        <f ca="1" t="shared" si="16"/>
        <v>36251.9126391023</v>
      </c>
      <c r="S45" s="1">
        <f ca="1" t="shared" si="17"/>
        <v>3625.19126391023</v>
      </c>
      <c r="T45" s="1">
        <f ca="1" t="shared" si="18"/>
        <v>3625.19</v>
      </c>
      <c r="U45" s="1">
        <f ca="1" t="shared" si="19"/>
        <v>504.346192907525</v>
      </c>
      <c r="V45" s="1">
        <f ca="1" t="shared" si="20"/>
        <v>504.3462</v>
      </c>
      <c r="W45" s="59" t="s">
        <v>182</v>
      </c>
      <c r="X45" s="1" t="s">
        <v>104</v>
      </c>
      <c r="Y45" s="1" t="s">
        <v>176</v>
      </c>
      <c r="Z45" s="1" t="s">
        <v>179</v>
      </c>
    </row>
    <row r="46" ht="31" customHeight="1" spans="1:26">
      <c r="A46" s="27">
        <v>35</v>
      </c>
      <c r="B46" s="30" t="s">
        <v>106</v>
      </c>
      <c r="C46" s="31" t="str">
        <f>VLOOKUP(B46,' PL '!B:C,2,FALSE)</f>
        <v>屏蔽箱</v>
      </c>
      <c r="D46" s="31" t="str">
        <f>VLOOKUP(B46,' PL '!B:D,3,FALSE)</f>
        <v>/</v>
      </c>
      <c r="E46" s="32">
        <f ca="1" t="shared" si="11"/>
        <v>764.8187</v>
      </c>
      <c r="F46" s="33">
        <f ca="1">SUMIF(' PL '!B:E,B46,' PL '!E:E)</f>
        <v>10</v>
      </c>
      <c r="G46" s="36" t="s">
        <v>182</v>
      </c>
      <c r="H46" s="35">
        <f ca="1" t="shared" si="12"/>
        <v>7648.19</v>
      </c>
      <c r="I46" s="52">
        <f ca="1">SUMIF(' PL '!B:I,B:B,' PL '!I:I)</f>
        <v>440</v>
      </c>
      <c r="J46" s="3">
        <v>5150</v>
      </c>
      <c r="K46" s="3">
        <f ca="1" t="shared" si="13"/>
        <v>51500</v>
      </c>
      <c r="L46" s="4">
        <f t="shared" si="21"/>
        <v>5407.5</v>
      </c>
      <c r="M46" s="4">
        <f ca="1" t="shared" si="14"/>
        <v>54075</v>
      </c>
      <c r="Q46" s="1">
        <f ca="1" t="shared" si="15"/>
        <v>899.413189648236</v>
      </c>
      <c r="R46" s="1">
        <f ca="1" t="shared" si="16"/>
        <v>54974.4131896482</v>
      </c>
      <c r="S46" s="1">
        <f ca="1" t="shared" si="17"/>
        <v>5497.44131896482</v>
      </c>
      <c r="T46" s="1">
        <f ca="1" t="shared" si="18"/>
        <v>5497.44</v>
      </c>
      <c r="U46" s="1">
        <f ca="1" t="shared" si="19"/>
        <v>764.818653570584</v>
      </c>
      <c r="V46" s="1">
        <f ca="1" t="shared" si="20"/>
        <v>764.8187</v>
      </c>
      <c r="W46" s="59" t="s">
        <v>182</v>
      </c>
      <c r="X46" s="1" t="s">
        <v>104</v>
      </c>
      <c r="Y46" s="1" t="s">
        <v>176</v>
      </c>
      <c r="Z46" s="1" t="s">
        <v>179</v>
      </c>
    </row>
    <row r="47" ht="31" customHeight="1" spans="1:26">
      <c r="A47" s="27">
        <v>36</v>
      </c>
      <c r="B47" s="30" t="s">
        <v>108</v>
      </c>
      <c r="C47" s="31" t="str">
        <f>VLOOKUP(B47,' PL '!B:C,2,FALSE)</f>
        <v>马达</v>
      </c>
      <c r="D47" s="31" t="str">
        <f>VLOOKUP(B47,' PL '!B:D,3,FALSE)</f>
        <v>AEVF4</v>
      </c>
      <c r="E47" s="32">
        <f ca="1" t="shared" si="11"/>
        <v>140.8492</v>
      </c>
      <c r="F47" s="33">
        <f ca="1">SUMIF(' PL '!B:E,B47,' PL '!E:E)</f>
        <v>1</v>
      </c>
      <c r="G47" s="36" t="s">
        <v>172</v>
      </c>
      <c r="H47" s="35">
        <f ca="1" t="shared" si="12"/>
        <v>140.85</v>
      </c>
      <c r="I47" s="52">
        <f ca="1">SUMIF(' PL '!B:I,B:B,' PL '!I:I)</f>
        <v>15</v>
      </c>
      <c r="J47" s="3">
        <v>935</v>
      </c>
      <c r="K47" s="3">
        <f ca="1" t="shared" si="13"/>
        <v>935</v>
      </c>
      <c r="L47" s="4">
        <f t="shared" si="21"/>
        <v>981.75</v>
      </c>
      <c r="M47" s="4">
        <f ca="1" t="shared" si="14"/>
        <v>981.75</v>
      </c>
      <c r="Q47" s="1">
        <f ca="1" t="shared" si="15"/>
        <v>30.6618132834626</v>
      </c>
      <c r="R47" s="1">
        <f ca="1" t="shared" si="16"/>
        <v>1012.41181328346</v>
      </c>
      <c r="S47" s="1">
        <f ca="1" t="shared" si="17"/>
        <v>1012.41181328346</v>
      </c>
      <c r="T47" s="1">
        <f ca="1" t="shared" si="18"/>
        <v>1012.41</v>
      </c>
      <c r="U47" s="1">
        <f ca="1" t="shared" si="19"/>
        <v>140.849204913813</v>
      </c>
      <c r="V47" s="1">
        <f ca="1" t="shared" si="20"/>
        <v>140.8492</v>
      </c>
      <c r="W47" s="59" t="s">
        <v>172</v>
      </c>
      <c r="X47" s="1" t="s">
        <v>109</v>
      </c>
      <c r="Y47" s="1" t="s">
        <v>173</v>
      </c>
      <c r="Z47" s="1" t="s">
        <v>175</v>
      </c>
    </row>
    <row r="48" ht="31" customHeight="1" spans="1:26">
      <c r="A48" s="27">
        <v>37</v>
      </c>
      <c r="B48" s="30" t="s">
        <v>112</v>
      </c>
      <c r="C48" s="31" t="str">
        <f>VLOOKUP(B48,' PL '!B:C,2,FALSE)</f>
        <v>太阳片</v>
      </c>
      <c r="D48" s="31" t="str">
        <f>VLOOKUP(B48,' PL '!B:D,3,FALSE)</f>
        <v>/</v>
      </c>
      <c r="E48" s="32">
        <f ca="1" t="shared" si="11"/>
        <v>3.2165</v>
      </c>
      <c r="F48" s="33">
        <f ca="1">SUMIF(' PL '!B:E,B48,' PL '!E:E)</f>
        <v>10</v>
      </c>
      <c r="G48" s="36" t="s">
        <v>172</v>
      </c>
      <c r="H48" s="35">
        <f ca="1" t="shared" si="12"/>
        <v>32.17</v>
      </c>
      <c r="I48" s="52">
        <f ca="1">SUMIF(' PL '!B:I,B:B,' PL '!I:I)</f>
        <v>0.09</v>
      </c>
      <c r="J48" s="3">
        <v>22</v>
      </c>
      <c r="K48" s="3">
        <f ca="1" t="shared" si="13"/>
        <v>220</v>
      </c>
      <c r="L48" s="4">
        <f t="shared" si="21"/>
        <v>23.1</v>
      </c>
      <c r="M48" s="4">
        <f ca="1" t="shared" si="14"/>
        <v>231</v>
      </c>
      <c r="Q48" s="1">
        <f ca="1" t="shared" si="15"/>
        <v>0.183970879700776</v>
      </c>
      <c r="R48" s="1">
        <f ca="1" t="shared" si="16"/>
        <v>231.183970879701</v>
      </c>
      <c r="S48" s="1">
        <f ca="1" t="shared" si="17"/>
        <v>23.1183970879701</v>
      </c>
      <c r="T48" s="1">
        <f ca="1" t="shared" si="18"/>
        <v>23.12</v>
      </c>
      <c r="U48" s="1">
        <f ca="1" t="shared" si="19"/>
        <v>3.21651664603013</v>
      </c>
      <c r="V48" s="1">
        <f ca="1" t="shared" si="20"/>
        <v>3.2165</v>
      </c>
      <c r="W48" s="59" t="s">
        <v>172</v>
      </c>
      <c r="X48" s="1" t="s">
        <v>113</v>
      </c>
      <c r="Y48" s="1" t="s">
        <v>173</v>
      </c>
      <c r="Z48" s="1" t="s">
        <v>175</v>
      </c>
    </row>
    <row r="49" ht="31" customHeight="1" spans="1:26">
      <c r="A49" s="27">
        <v>38</v>
      </c>
      <c r="B49" s="30" t="s">
        <v>115</v>
      </c>
      <c r="C49" s="31" t="str">
        <f>VLOOKUP(B49,' PL '!B:C,2,FALSE)</f>
        <v>电机</v>
      </c>
      <c r="D49" s="31" t="str">
        <f>VLOOKUP(B49,' PL '!B:D,3,FALSE)</f>
        <v>TG-205A-FU</v>
      </c>
      <c r="E49" s="32">
        <f ca="1" t="shared" si="11"/>
        <v>51.1304</v>
      </c>
      <c r="F49" s="33">
        <f ca="1">SUMIF(' PL '!B:E,B49,' PL '!E:E)</f>
        <v>5</v>
      </c>
      <c r="G49" s="36" t="s">
        <v>172</v>
      </c>
      <c r="H49" s="35">
        <f ca="1" t="shared" si="12"/>
        <v>255.65</v>
      </c>
      <c r="I49" s="52">
        <f ca="1">SUMIF(' PL '!B:I,B:B,' PL '!I:I)</f>
        <v>0.04</v>
      </c>
      <c r="J49" s="3">
        <v>350</v>
      </c>
      <c r="K49" s="3">
        <f ca="1" t="shared" si="13"/>
        <v>1750</v>
      </c>
      <c r="L49" s="4">
        <f t="shared" si="21"/>
        <v>367.5</v>
      </c>
      <c r="M49" s="4">
        <f ca="1" t="shared" si="14"/>
        <v>1837.5</v>
      </c>
      <c r="Q49" s="1">
        <f ca="1" t="shared" si="15"/>
        <v>0.0817648354225669</v>
      </c>
      <c r="R49" s="1">
        <f ca="1" t="shared" si="16"/>
        <v>1837.58176483542</v>
      </c>
      <c r="S49" s="1">
        <f ca="1" t="shared" si="17"/>
        <v>367.516352967085</v>
      </c>
      <c r="T49" s="1">
        <f ca="1" t="shared" si="18"/>
        <v>367.52</v>
      </c>
      <c r="U49" s="1">
        <f ca="1" t="shared" si="19"/>
        <v>51.1303718749565</v>
      </c>
      <c r="V49" s="1">
        <f ca="1" t="shared" si="20"/>
        <v>51.1304</v>
      </c>
      <c r="W49" s="59" t="s">
        <v>172</v>
      </c>
      <c r="X49" s="1" t="s">
        <v>47</v>
      </c>
      <c r="Y49" s="1" t="s">
        <v>173</v>
      </c>
      <c r="Z49" s="1" t="s">
        <v>175</v>
      </c>
    </row>
    <row r="50" ht="31" customHeight="1" spans="1:26">
      <c r="A50" s="27">
        <v>39</v>
      </c>
      <c r="B50" s="30" t="s">
        <v>117</v>
      </c>
      <c r="C50" s="31" t="str">
        <f>VLOOKUP(B50,' PL '!B:C,2,FALSE)</f>
        <v>链夹</v>
      </c>
      <c r="D50" s="31" t="str">
        <f>VLOOKUP(B50,' PL '!B:D,3,FALSE)</f>
        <v>LS1D-01033</v>
      </c>
      <c r="E50" s="32">
        <f ca="1" t="shared" si="11"/>
        <v>1.1714</v>
      </c>
      <c r="F50" s="33">
        <f ca="1">SUMIF(' PL '!B:E,B50,' PL '!E:E)</f>
        <v>500</v>
      </c>
      <c r="G50" s="36" t="s">
        <v>172</v>
      </c>
      <c r="H50" s="35">
        <f ca="1" t="shared" si="12"/>
        <v>585.7</v>
      </c>
      <c r="I50" s="52">
        <f ca="1">SUMIF(' PL '!B:I,B:B,' PL '!I:I)</f>
        <v>4.5</v>
      </c>
      <c r="J50" s="3">
        <v>8</v>
      </c>
      <c r="K50" s="3">
        <f ca="1" t="shared" si="13"/>
        <v>4000</v>
      </c>
      <c r="L50" s="4">
        <f t="shared" si="21"/>
        <v>8.4</v>
      </c>
      <c r="M50" s="4">
        <f ca="1" t="shared" si="14"/>
        <v>4200</v>
      </c>
      <c r="Q50" s="1">
        <f ca="1" t="shared" si="15"/>
        <v>9.19854398503878</v>
      </c>
      <c r="R50" s="1">
        <f ca="1" t="shared" si="16"/>
        <v>4209.19854398504</v>
      </c>
      <c r="S50" s="1">
        <f ca="1" t="shared" si="17"/>
        <v>8.41839708797008</v>
      </c>
      <c r="T50" s="1">
        <f ca="1" t="shared" si="18"/>
        <v>8.42</v>
      </c>
      <c r="U50" s="1">
        <f ca="1" t="shared" si="19"/>
        <v>1.17141306918571</v>
      </c>
      <c r="V50" s="1">
        <f ca="1" t="shared" si="20"/>
        <v>1.1714</v>
      </c>
      <c r="W50" s="59" t="s">
        <v>172</v>
      </c>
      <c r="X50" s="1" t="s">
        <v>118</v>
      </c>
      <c r="Y50" s="1" t="s">
        <v>173</v>
      </c>
      <c r="Z50" s="1" t="s">
        <v>175</v>
      </c>
    </row>
    <row r="51" ht="31" customHeight="1" spans="1:26">
      <c r="A51" s="27">
        <v>40</v>
      </c>
      <c r="B51" s="30" t="s">
        <v>120</v>
      </c>
      <c r="C51" s="31" t="str">
        <f>VLOOKUP(B51,' PL '!B:C,2,FALSE)</f>
        <v>调节座</v>
      </c>
      <c r="D51" s="31" t="str">
        <f>VLOOKUP(B51,' PL '!B:D,3,FALSE)</f>
        <v>/</v>
      </c>
      <c r="E51" s="32">
        <f ca="1" t="shared" si="11"/>
        <v>16.0715</v>
      </c>
      <c r="F51" s="33">
        <f ca="1">SUMIF(' PL '!B:E,B51,' PL '!E:E)</f>
        <v>4</v>
      </c>
      <c r="G51" s="36" t="s">
        <v>172</v>
      </c>
      <c r="H51" s="35">
        <f ca="1" t="shared" si="12"/>
        <v>64.29</v>
      </c>
      <c r="I51" s="52">
        <f ca="1">SUMIF(' PL '!B:I,B:B,' PL '!I:I)</f>
        <v>0.04</v>
      </c>
      <c r="J51" s="3">
        <v>110</v>
      </c>
      <c r="K51" s="3">
        <f ca="1" t="shared" si="13"/>
        <v>440</v>
      </c>
      <c r="L51" s="4">
        <f t="shared" si="21"/>
        <v>115.5</v>
      </c>
      <c r="M51" s="4">
        <f ca="1" t="shared" si="14"/>
        <v>462</v>
      </c>
      <c r="Q51" s="1">
        <f ca="1" t="shared" si="15"/>
        <v>0.0817648354225669</v>
      </c>
      <c r="R51" s="1">
        <f ca="1" t="shared" si="16"/>
        <v>462.081764835423</v>
      </c>
      <c r="S51" s="1">
        <f ca="1" t="shared" si="17"/>
        <v>115.520441208856</v>
      </c>
      <c r="T51" s="1">
        <f ca="1" t="shared" si="18"/>
        <v>115.52</v>
      </c>
      <c r="U51" s="1">
        <f ca="1" t="shared" si="19"/>
        <v>16.0714534147665</v>
      </c>
      <c r="V51" s="1">
        <f ca="1" t="shared" si="20"/>
        <v>16.0715</v>
      </c>
      <c r="W51" s="59" t="s">
        <v>172</v>
      </c>
      <c r="X51" s="1" t="s">
        <v>121</v>
      </c>
      <c r="Y51" s="1" t="s">
        <v>173</v>
      </c>
      <c r="Z51" s="1" t="s">
        <v>175</v>
      </c>
    </row>
    <row r="52" ht="31" customHeight="1" spans="1:26">
      <c r="A52" s="27">
        <v>41</v>
      </c>
      <c r="B52" s="30" t="s">
        <v>122</v>
      </c>
      <c r="C52" s="31" t="str">
        <f>VLOOKUP(B52,' PL '!B:C,2,FALSE)</f>
        <v>模头</v>
      </c>
      <c r="D52" s="31" t="str">
        <f>VLOOKUP(B52,' PL '!B:D,3,FALSE)</f>
        <v>/</v>
      </c>
      <c r="E52" s="32">
        <f ca="1" t="shared" si="11"/>
        <v>27.2388</v>
      </c>
      <c r="F52" s="33">
        <f ca="1">SUMIF(' PL '!B:E,B52,' PL '!E:E)</f>
        <v>5</v>
      </c>
      <c r="G52" s="36" t="s">
        <v>172</v>
      </c>
      <c r="H52" s="35">
        <f ca="1" t="shared" si="12"/>
        <v>136.19</v>
      </c>
      <c r="I52" s="52">
        <f ca="1">SUMIF(' PL '!B:I,B:B,' PL '!I:I)</f>
        <v>0.04</v>
      </c>
      <c r="J52" s="3">
        <v>186.45</v>
      </c>
      <c r="K52" s="3">
        <f ca="1" t="shared" si="13"/>
        <v>932.25</v>
      </c>
      <c r="L52" s="4">
        <f t="shared" si="21"/>
        <v>195.7725</v>
      </c>
      <c r="M52" s="4">
        <f ca="1" t="shared" si="14"/>
        <v>978.8625</v>
      </c>
      <c r="Q52" s="1">
        <f ca="1" t="shared" si="15"/>
        <v>0.0817648354225669</v>
      </c>
      <c r="R52" s="1">
        <f ca="1" t="shared" si="16"/>
        <v>978.944264835423</v>
      </c>
      <c r="S52" s="1">
        <f ca="1" t="shared" si="17"/>
        <v>195.788852967085</v>
      </c>
      <c r="T52" s="1">
        <f ca="1" t="shared" si="18"/>
        <v>195.79</v>
      </c>
      <c r="U52" s="1">
        <f ca="1" t="shared" si="19"/>
        <v>27.2388319258754</v>
      </c>
      <c r="V52" s="1">
        <f ca="1" t="shared" si="20"/>
        <v>27.2388</v>
      </c>
      <c r="W52" s="59" t="s">
        <v>172</v>
      </c>
      <c r="X52" s="1" t="s">
        <v>123</v>
      </c>
      <c r="Y52" s="1" t="s">
        <v>173</v>
      </c>
      <c r="Z52" s="1" t="s">
        <v>175</v>
      </c>
    </row>
    <row r="53" ht="31" customHeight="1" spans="1:26">
      <c r="A53" s="27">
        <v>42</v>
      </c>
      <c r="B53" s="30" t="s">
        <v>124</v>
      </c>
      <c r="C53" s="31" t="str">
        <f>VLOOKUP(B53,' PL '!B:C,2,FALSE)</f>
        <v>电刷</v>
      </c>
      <c r="D53" s="31" t="str">
        <f>VLOOKUP(B53,' PL '!B:D,3,FALSE)</f>
        <v>KYB-M7027-001</v>
      </c>
      <c r="E53" s="32">
        <f ca="1" t="shared" si="11"/>
        <v>723.093</v>
      </c>
      <c r="F53" s="33">
        <f ca="1">SUMIF(' PL '!B:E,B53,' PL '!E:E)</f>
        <v>2</v>
      </c>
      <c r="G53" s="36" t="s">
        <v>172</v>
      </c>
      <c r="H53" s="35">
        <f ca="1" t="shared" si="12"/>
        <v>1446.19</v>
      </c>
      <c r="I53" s="52">
        <f ca="1">SUMIF(' PL '!B:I,B:B,' PL '!I:I)</f>
        <v>0.02</v>
      </c>
      <c r="J53" s="3">
        <v>4950</v>
      </c>
      <c r="K53" s="3">
        <f ca="1" t="shared" si="13"/>
        <v>9900</v>
      </c>
      <c r="L53" s="4">
        <f t="shared" si="21"/>
        <v>5197.5</v>
      </c>
      <c r="M53" s="4">
        <f ca="1" t="shared" si="14"/>
        <v>10395</v>
      </c>
      <c r="Q53" s="1">
        <f ca="1" t="shared" si="15"/>
        <v>0.0408824177112835</v>
      </c>
      <c r="R53" s="1">
        <f ca="1" t="shared" si="16"/>
        <v>10395.0408824177</v>
      </c>
      <c r="S53" s="1">
        <f ca="1" t="shared" si="17"/>
        <v>5197.52044120886</v>
      </c>
      <c r="T53" s="1">
        <f ca="1" t="shared" si="18"/>
        <v>5197.52</v>
      </c>
      <c r="U53" s="1">
        <f ca="1" t="shared" si="19"/>
        <v>723.092975695266</v>
      </c>
      <c r="V53" s="1">
        <f ca="1" t="shared" si="20"/>
        <v>723.093</v>
      </c>
      <c r="W53" s="59" t="s">
        <v>172</v>
      </c>
      <c r="X53" s="1" t="s">
        <v>125</v>
      </c>
      <c r="Y53" s="1" t="s">
        <v>173</v>
      </c>
      <c r="Z53" s="1" t="s">
        <v>175</v>
      </c>
    </row>
    <row r="54" ht="31" customHeight="1" spans="1:26">
      <c r="A54" s="27">
        <v>43</v>
      </c>
      <c r="B54" s="30" t="s">
        <v>127</v>
      </c>
      <c r="C54" s="31" t="str">
        <f>VLOOKUP(B54,' PL '!B:C,2,FALSE)</f>
        <v>密封圈</v>
      </c>
      <c r="D54" s="31" t="str">
        <f>VLOOKUP(B54,' PL '!B:D,3,FALSE)</f>
        <v>/</v>
      </c>
      <c r="E54" s="32">
        <f ca="1" t="shared" si="11"/>
        <v>0.9516</v>
      </c>
      <c r="F54" s="33">
        <f ca="1">SUMIF(' PL '!B:E,B54,' PL '!E:E)</f>
        <v>10</v>
      </c>
      <c r="G54" s="36" t="s">
        <v>172</v>
      </c>
      <c r="H54" s="35">
        <f ca="1" t="shared" si="12"/>
        <v>9.52</v>
      </c>
      <c r="I54" s="52">
        <f ca="1">SUMIF(' PL '!B:I,B:B,' PL '!I:I)</f>
        <v>0.09</v>
      </c>
      <c r="J54" s="3">
        <v>6.5</v>
      </c>
      <c r="K54" s="3">
        <f ca="1" t="shared" si="13"/>
        <v>65</v>
      </c>
      <c r="L54" s="4">
        <f t="shared" si="21"/>
        <v>6.825</v>
      </c>
      <c r="M54" s="4">
        <f ca="1" t="shared" si="14"/>
        <v>68.25</v>
      </c>
      <c r="Q54" s="1">
        <f ca="1" t="shared" si="15"/>
        <v>0.183970879700776</v>
      </c>
      <c r="R54" s="1">
        <f ca="1" t="shared" si="16"/>
        <v>68.4339708797008</v>
      </c>
      <c r="S54" s="1">
        <f ca="1" t="shared" si="17"/>
        <v>6.84339708797008</v>
      </c>
      <c r="T54" s="1">
        <f ca="1" t="shared" si="18"/>
        <v>6.84</v>
      </c>
      <c r="U54" s="1">
        <f ca="1" t="shared" si="19"/>
        <v>0.951599215348015</v>
      </c>
      <c r="V54" s="1">
        <f ca="1" t="shared" si="20"/>
        <v>0.9516</v>
      </c>
      <c r="W54" s="59" t="s">
        <v>172</v>
      </c>
      <c r="X54" s="1" t="s">
        <v>128</v>
      </c>
      <c r="Y54" s="1" t="s">
        <v>173</v>
      </c>
      <c r="Z54" s="1" t="s">
        <v>175</v>
      </c>
    </row>
    <row r="55" ht="31" customHeight="1" spans="1:26">
      <c r="A55" s="27">
        <v>44</v>
      </c>
      <c r="B55" s="30" t="s">
        <v>129</v>
      </c>
      <c r="C55" s="31" t="str">
        <f>VLOOKUP(B55,' PL '!B:C,2,FALSE)</f>
        <v>密封圈</v>
      </c>
      <c r="D55" s="31" t="str">
        <f>VLOOKUP(B55,' PL '!B:D,3,FALSE)</f>
        <v>/</v>
      </c>
      <c r="E55" s="32">
        <f ca="1" t="shared" si="11"/>
        <v>0.9516</v>
      </c>
      <c r="F55" s="33">
        <f ca="1">SUMIF(' PL '!B:E,B55,' PL '!E:E)</f>
        <v>10</v>
      </c>
      <c r="G55" s="36" t="s">
        <v>172</v>
      </c>
      <c r="H55" s="35">
        <f ca="1" t="shared" si="12"/>
        <v>9.52</v>
      </c>
      <c r="I55" s="52">
        <f ca="1">SUMIF(' PL '!B:I,B:B,' PL '!I:I)</f>
        <v>0.09</v>
      </c>
      <c r="J55" s="3">
        <v>6.5</v>
      </c>
      <c r="K55" s="3">
        <f ca="1" t="shared" si="13"/>
        <v>65</v>
      </c>
      <c r="L55" s="4">
        <f t="shared" si="21"/>
        <v>6.825</v>
      </c>
      <c r="M55" s="4">
        <f ca="1" t="shared" si="14"/>
        <v>68.25</v>
      </c>
      <c r="Q55" s="1">
        <f ca="1" t="shared" si="15"/>
        <v>0.183970879700776</v>
      </c>
      <c r="R55" s="1">
        <f ca="1" t="shared" si="16"/>
        <v>68.4339708797008</v>
      </c>
      <c r="S55" s="1">
        <f ca="1" t="shared" si="17"/>
        <v>6.84339708797008</v>
      </c>
      <c r="T55" s="1">
        <f ca="1" t="shared" si="18"/>
        <v>6.84</v>
      </c>
      <c r="U55" s="1">
        <f ca="1" t="shared" si="19"/>
        <v>0.951599215348015</v>
      </c>
      <c r="V55" s="1">
        <f ca="1" t="shared" si="20"/>
        <v>0.9516</v>
      </c>
      <c r="W55" s="59" t="s">
        <v>172</v>
      </c>
      <c r="X55" s="1" t="s">
        <v>128</v>
      </c>
      <c r="Y55" s="1" t="s">
        <v>173</v>
      </c>
      <c r="Z55" s="1" t="s">
        <v>175</v>
      </c>
    </row>
    <row r="56" ht="31" customHeight="1" spans="1:26">
      <c r="A56" s="27">
        <v>45</v>
      </c>
      <c r="B56" s="30" t="s">
        <v>130</v>
      </c>
      <c r="C56" s="31" t="str">
        <f>VLOOKUP(B56,' PL '!B:C,2,FALSE)</f>
        <v>齿轮</v>
      </c>
      <c r="D56" s="31" t="str">
        <f>VLOOKUP(B56,' PL '!B:D,3,FALSE)</f>
        <v>/</v>
      </c>
      <c r="E56" s="32">
        <f ca="1" t="shared" si="11"/>
        <v>32.1401</v>
      </c>
      <c r="F56" s="33">
        <f ca="1">SUMIF(' PL '!B:E,B56,' PL '!E:E)</f>
        <v>2</v>
      </c>
      <c r="G56" s="36" t="s">
        <v>172</v>
      </c>
      <c r="H56" s="35">
        <f ca="1" t="shared" si="12"/>
        <v>64.28</v>
      </c>
      <c r="I56" s="52">
        <f ca="1">SUMIF(' PL '!B:I,B:B,' PL '!I:I)</f>
        <v>0.02</v>
      </c>
      <c r="J56" s="3">
        <v>220</v>
      </c>
      <c r="K56" s="3">
        <f ca="1" t="shared" si="13"/>
        <v>440</v>
      </c>
      <c r="L56" s="4">
        <f t="shared" si="21"/>
        <v>231</v>
      </c>
      <c r="M56" s="4">
        <f ca="1" t="shared" si="14"/>
        <v>462</v>
      </c>
      <c r="Q56" s="1">
        <f ca="1" t="shared" si="15"/>
        <v>0.0408824177112835</v>
      </c>
      <c r="R56" s="1">
        <f ca="1" t="shared" si="16"/>
        <v>462.040882417711</v>
      </c>
      <c r="S56" s="1">
        <f ca="1" t="shared" si="17"/>
        <v>231.020441208856</v>
      </c>
      <c r="T56" s="1">
        <f ca="1" t="shared" si="18"/>
        <v>231.02</v>
      </c>
      <c r="U56" s="1">
        <f ca="1" t="shared" si="19"/>
        <v>32.1401243756869</v>
      </c>
      <c r="V56" s="1">
        <f ca="1" t="shared" si="20"/>
        <v>32.1401</v>
      </c>
      <c r="W56" s="59" t="s">
        <v>172</v>
      </c>
      <c r="X56" s="1" t="s">
        <v>131</v>
      </c>
      <c r="Y56" s="1" t="s">
        <v>173</v>
      </c>
      <c r="Z56" s="1" t="s">
        <v>175</v>
      </c>
    </row>
    <row r="57" ht="31" customHeight="1" spans="1:26">
      <c r="A57" s="27">
        <v>46</v>
      </c>
      <c r="B57" s="30" t="s">
        <v>132</v>
      </c>
      <c r="C57" s="31" t="str">
        <f>VLOOKUP(B57,' PL '!B:C,2,FALSE)</f>
        <v>齿轮</v>
      </c>
      <c r="D57" s="31" t="str">
        <f>VLOOKUP(B57,' PL '!B:D,3,FALSE)</f>
        <v>/</v>
      </c>
      <c r="E57" s="32">
        <f ca="1" t="shared" si="11"/>
        <v>32.1401</v>
      </c>
      <c r="F57" s="33">
        <f ca="1">SUMIF(' PL '!B:E,B57,' PL '!E:E)</f>
        <v>2</v>
      </c>
      <c r="G57" s="36" t="s">
        <v>172</v>
      </c>
      <c r="H57" s="35">
        <f ca="1" t="shared" si="12"/>
        <v>64.28</v>
      </c>
      <c r="I57" s="52">
        <f ca="1">SUMIF(' PL '!B:I,B:B,' PL '!I:I)</f>
        <v>0.02</v>
      </c>
      <c r="J57" s="3">
        <v>220</v>
      </c>
      <c r="K57" s="3">
        <f ca="1" t="shared" si="13"/>
        <v>440</v>
      </c>
      <c r="L57" s="4">
        <f t="shared" si="21"/>
        <v>231</v>
      </c>
      <c r="M57" s="4">
        <f ca="1" t="shared" si="14"/>
        <v>462</v>
      </c>
      <c r="Q57" s="1">
        <f ca="1" t="shared" si="15"/>
        <v>0.0408824177112835</v>
      </c>
      <c r="R57" s="1">
        <f ca="1" t="shared" si="16"/>
        <v>462.040882417711</v>
      </c>
      <c r="S57" s="1">
        <f ca="1" t="shared" si="17"/>
        <v>231.020441208856</v>
      </c>
      <c r="T57" s="1">
        <f ca="1" t="shared" si="18"/>
        <v>231.02</v>
      </c>
      <c r="U57" s="1">
        <f ca="1" t="shared" si="19"/>
        <v>32.1401243756869</v>
      </c>
      <c r="V57" s="1">
        <f ca="1" t="shared" si="20"/>
        <v>32.1401</v>
      </c>
      <c r="W57" s="59" t="s">
        <v>172</v>
      </c>
      <c r="X57" s="1" t="s">
        <v>131</v>
      </c>
      <c r="Y57" s="1" t="s">
        <v>173</v>
      </c>
      <c r="Z57" s="1" t="s">
        <v>175</v>
      </c>
    </row>
    <row r="58" ht="31" customHeight="1" spans="1:26">
      <c r="A58" s="27">
        <v>47</v>
      </c>
      <c r="B58" s="30" t="s">
        <v>133</v>
      </c>
      <c r="C58" s="31" t="str">
        <f>VLOOKUP(B58,' PL '!B:C,2,FALSE)</f>
        <v>齿轮</v>
      </c>
      <c r="D58" s="31" t="str">
        <f>VLOOKUP(B58,' PL '!B:D,3,FALSE)</f>
        <v>/</v>
      </c>
      <c r="E58" s="32">
        <f ca="1" t="shared" si="11"/>
        <v>32.1401</v>
      </c>
      <c r="F58" s="33">
        <f ca="1">SUMIF(' PL '!B:E,B58,' PL '!E:E)</f>
        <v>2</v>
      </c>
      <c r="G58" s="36" t="s">
        <v>172</v>
      </c>
      <c r="H58" s="35">
        <f ca="1" t="shared" si="12"/>
        <v>64.28</v>
      </c>
      <c r="I58" s="52">
        <f ca="1">SUMIF(' PL '!B:I,B:B,' PL '!I:I)</f>
        <v>0.02</v>
      </c>
      <c r="J58" s="3">
        <v>220</v>
      </c>
      <c r="K58" s="3">
        <f ca="1" t="shared" si="13"/>
        <v>440</v>
      </c>
      <c r="L58" s="4">
        <f t="shared" si="21"/>
        <v>231</v>
      </c>
      <c r="M58" s="4">
        <f ca="1" t="shared" si="14"/>
        <v>462</v>
      </c>
      <c r="Q58" s="1">
        <f ca="1" t="shared" si="15"/>
        <v>0.0408824177112835</v>
      </c>
      <c r="R58" s="1">
        <f ca="1" t="shared" si="16"/>
        <v>462.040882417711</v>
      </c>
      <c r="S58" s="1">
        <f ca="1" t="shared" si="17"/>
        <v>231.020441208856</v>
      </c>
      <c r="T58" s="1">
        <f ca="1" t="shared" si="18"/>
        <v>231.02</v>
      </c>
      <c r="U58" s="1">
        <f ca="1" t="shared" si="19"/>
        <v>32.1401243756869</v>
      </c>
      <c r="V58" s="1">
        <f ca="1" t="shared" si="20"/>
        <v>32.1401</v>
      </c>
      <c r="W58" s="59" t="s">
        <v>172</v>
      </c>
      <c r="X58" s="1" t="s">
        <v>131</v>
      </c>
      <c r="Y58" s="1" t="s">
        <v>173</v>
      </c>
      <c r="Z58" s="1" t="s">
        <v>175</v>
      </c>
    </row>
    <row r="59" ht="31" customHeight="1" spans="1:26">
      <c r="A59" s="27">
        <v>48</v>
      </c>
      <c r="B59" s="30" t="s">
        <v>134</v>
      </c>
      <c r="C59" s="31" t="str">
        <f>VLOOKUP(B59,' PL '!B:C,2,FALSE)</f>
        <v>齿轮</v>
      </c>
      <c r="D59" s="31" t="str">
        <f>VLOOKUP(B59,' PL '!B:D,3,FALSE)</f>
        <v>/</v>
      </c>
      <c r="E59" s="32">
        <f ca="1" t="shared" si="11"/>
        <v>32.1401</v>
      </c>
      <c r="F59" s="33">
        <f ca="1">SUMIF(' PL '!B:E,B59,' PL '!E:E)</f>
        <v>2</v>
      </c>
      <c r="G59" s="36" t="s">
        <v>172</v>
      </c>
      <c r="H59" s="35">
        <f ca="1" t="shared" si="12"/>
        <v>64.28</v>
      </c>
      <c r="I59" s="52">
        <f ca="1">SUMIF(' PL '!B:I,B:B,' PL '!I:I)</f>
        <v>0.02</v>
      </c>
      <c r="J59" s="3">
        <v>220</v>
      </c>
      <c r="K59" s="3">
        <f ca="1" t="shared" si="13"/>
        <v>440</v>
      </c>
      <c r="L59" s="4">
        <f t="shared" si="21"/>
        <v>231</v>
      </c>
      <c r="M59" s="4">
        <f ca="1" t="shared" si="14"/>
        <v>462</v>
      </c>
      <c r="Q59" s="1">
        <f ca="1" t="shared" si="15"/>
        <v>0.0408824177112835</v>
      </c>
      <c r="R59" s="1">
        <f ca="1" t="shared" si="16"/>
        <v>462.040882417711</v>
      </c>
      <c r="S59" s="1">
        <f ca="1" t="shared" si="17"/>
        <v>231.020441208856</v>
      </c>
      <c r="T59" s="1">
        <f ca="1" t="shared" si="18"/>
        <v>231.02</v>
      </c>
      <c r="U59" s="1">
        <f ca="1" t="shared" si="19"/>
        <v>32.1401243756869</v>
      </c>
      <c r="V59" s="1">
        <f ca="1" t="shared" si="20"/>
        <v>32.1401</v>
      </c>
      <c r="W59" s="59" t="s">
        <v>172</v>
      </c>
      <c r="X59" s="1" t="s">
        <v>131</v>
      </c>
      <c r="Y59" s="1" t="s">
        <v>173</v>
      </c>
      <c r="Z59" s="1" t="s">
        <v>175</v>
      </c>
    </row>
    <row r="60" ht="31" customHeight="1" spans="1:26">
      <c r="A60" s="27">
        <v>49</v>
      </c>
      <c r="B60" s="30" t="s">
        <v>135</v>
      </c>
      <c r="C60" s="31" t="str">
        <f>VLOOKUP(B60,' PL '!B:C,2,FALSE)</f>
        <v>发热板</v>
      </c>
      <c r="D60" s="31" t="str">
        <f>VLOOKUP(B60,' PL '!B:D,3,FALSE)</f>
        <v>/</v>
      </c>
      <c r="E60" s="32">
        <f ca="1" t="shared" si="11"/>
        <v>48.5107</v>
      </c>
      <c r="F60" s="33">
        <f ca="1">SUMIF(' PL '!B:E,B60,' PL '!E:E)</f>
        <v>2</v>
      </c>
      <c r="G60" s="36" t="s">
        <v>172</v>
      </c>
      <c r="H60" s="35">
        <f ca="1" t="shared" si="12"/>
        <v>97.02</v>
      </c>
      <c r="I60" s="52">
        <f ca="1">SUMIF(' PL '!B:I,B:B,' PL '!I:I)</f>
        <v>4.2</v>
      </c>
      <c r="J60" s="3">
        <v>328</v>
      </c>
      <c r="K60" s="3">
        <f ca="1" t="shared" si="13"/>
        <v>656</v>
      </c>
      <c r="L60" s="4">
        <f t="shared" si="21"/>
        <v>344.4</v>
      </c>
      <c r="M60" s="4">
        <f ca="1" t="shared" si="14"/>
        <v>688.8</v>
      </c>
      <c r="Q60" s="1">
        <f ca="1" t="shared" si="15"/>
        <v>8.58530771936953</v>
      </c>
      <c r="R60" s="1">
        <f ca="1" t="shared" si="16"/>
        <v>697.38530771937</v>
      </c>
      <c r="S60" s="1">
        <f ca="1" t="shared" si="17"/>
        <v>348.692653859685</v>
      </c>
      <c r="T60" s="1">
        <f ca="1" t="shared" si="18"/>
        <v>348.69</v>
      </c>
      <c r="U60" s="1">
        <f ca="1" t="shared" si="19"/>
        <v>48.5106915789034</v>
      </c>
      <c r="V60" s="1">
        <f ca="1" t="shared" si="20"/>
        <v>48.5107</v>
      </c>
      <c r="W60" s="59" t="s">
        <v>172</v>
      </c>
      <c r="X60" s="1" t="s">
        <v>136</v>
      </c>
      <c r="Y60" s="1" t="s">
        <v>173</v>
      </c>
      <c r="Z60" s="1" t="s">
        <v>175</v>
      </c>
    </row>
    <row r="61" ht="31" customHeight="1" spans="1:26">
      <c r="A61" s="27">
        <v>50</v>
      </c>
      <c r="B61" s="30" t="s">
        <v>138</v>
      </c>
      <c r="C61" s="31" t="str">
        <f>VLOOKUP(B61,' PL '!B:C,2,FALSE)</f>
        <v>发热板</v>
      </c>
      <c r="D61" s="31" t="str">
        <f>VLOOKUP(B61,' PL '!B:D,3,FALSE)</f>
        <v>/</v>
      </c>
      <c r="E61" s="32">
        <f ca="1" t="shared" si="11"/>
        <v>48.4829</v>
      </c>
      <c r="F61" s="33">
        <f ca="1">SUMIF(' PL '!B:E,B61,' PL '!E:E)</f>
        <v>2</v>
      </c>
      <c r="G61" s="36" t="s">
        <v>172</v>
      </c>
      <c r="H61" s="35">
        <f ca="1" t="shared" si="12"/>
        <v>96.97</v>
      </c>
      <c r="I61" s="52">
        <f ca="1">SUMIF(' PL '!B:I,B:B,' PL '!I:I)</f>
        <v>4</v>
      </c>
      <c r="J61" s="3">
        <v>328</v>
      </c>
      <c r="K61" s="3">
        <f ca="1" t="shared" si="13"/>
        <v>656</v>
      </c>
      <c r="L61" s="4">
        <f t="shared" si="21"/>
        <v>344.4</v>
      </c>
      <c r="M61" s="4">
        <f ca="1" t="shared" si="14"/>
        <v>688.8</v>
      </c>
      <c r="Q61" s="1">
        <f ca="1" t="shared" si="15"/>
        <v>8.17648354225669</v>
      </c>
      <c r="R61" s="1">
        <f ca="1" t="shared" si="16"/>
        <v>696.976483542257</v>
      </c>
      <c r="S61" s="1">
        <f ca="1" t="shared" si="17"/>
        <v>348.488241771128</v>
      </c>
      <c r="T61" s="1">
        <f ca="1" t="shared" si="18"/>
        <v>348.49</v>
      </c>
      <c r="U61" s="1">
        <f ca="1" t="shared" si="19"/>
        <v>48.482867040443</v>
      </c>
      <c r="V61" s="1">
        <f ca="1" t="shared" si="20"/>
        <v>48.4829</v>
      </c>
      <c r="W61" s="59" t="s">
        <v>172</v>
      </c>
      <c r="X61" s="1" t="s">
        <v>136</v>
      </c>
      <c r="Y61" s="1" t="s">
        <v>173</v>
      </c>
      <c r="Z61" s="1" t="s">
        <v>175</v>
      </c>
    </row>
    <row r="62" ht="34.5" customHeight="1" spans="1:13">
      <c r="A62" s="27"/>
      <c r="B62" s="31" t="s">
        <v>139</v>
      </c>
      <c r="C62" s="37"/>
      <c r="D62" s="37"/>
      <c r="E62" s="38"/>
      <c r="F62" s="33">
        <f ca="1">SUM(F12:F61)</f>
        <v>9206</v>
      </c>
      <c r="G62" s="33"/>
      <c r="H62" s="35">
        <f ca="1">SUM(H12:H61)</f>
        <v>29628.36</v>
      </c>
      <c r="I62" s="54">
        <f ca="1">SUM(I12:I61)</f>
        <v>3156.66</v>
      </c>
      <c r="K62" s="3">
        <f ca="1">SUM(K12:K61)</f>
        <v>196683.35</v>
      </c>
      <c r="M62" s="4">
        <f ca="1">SUM(M12:M61)</f>
        <v>206517.5175</v>
      </c>
    </row>
    <row r="63" ht="28" customHeight="1" spans="1:8">
      <c r="A63" s="39" t="s">
        <v>183</v>
      </c>
      <c r="B63" s="40"/>
      <c r="C63" s="40"/>
      <c r="D63" s="40"/>
      <c r="E63" s="40"/>
      <c r="F63" s="40"/>
      <c r="G63" s="40"/>
      <c r="H63" s="41"/>
    </row>
    <row r="64" ht="28" customHeight="1" spans="1:8">
      <c r="A64" s="42" t="s">
        <v>140</v>
      </c>
      <c r="B64" s="43"/>
      <c r="C64" s="44"/>
      <c r="D64" s="44"/>
      <c r="E64" s="44"/>
      <c r="F64" s="44"/>
      <c r="G64" s="44"/>
      <c r="H64" s="23"/>
    </row>
    <row r="65" ht="28" customHeight="1" spans="1:9">
      <c r="A65" s="42" t="s">
        <v>184</v>
      </c>
      <c r="B65" s="43"/>
      <c r="C65" s="44"/>
      <c r="D65" s="44"/>
      <c r="E65" s="44"/>
      <c r="F65" s="44"/>
      <c r="G65" s="44"/>
      <c r="H65" s="23"/>
      <c r="I65" s="54"/>
    </row>
    <row r="66" ht="28" customHeight="1" spans="1:9">
      <c r="A66" s="60" t="s">
        <v>185</v>
      </c>
      <c r="B66" s="61"/>
      <c r="C66" s="44"/>
      <c r="D66" s="44"/>
      <c r="E66" s="44"/>
      <c r="F66" s="44"/>
      <c r="G66" s="44"/>
      <c r="H66" s="23"/>
      <c r="I66" s="52"/>
    </row>
    <row r="67" ht="88" customHeight="1" spans="1:8">
      <c r="A67" s="62" t="s">
        <v>186</v>
      </c>
      <c r="B67" s="63"/>
      <c r="C67" s="63"/>
      <c r="D67" s="63"/>
      <c r="E67" s="63"/>
      <c r="F67" s="63"/>
      <c r="G67" s="63"/>
      <c r="H67" s="64"/>
    </row>
  </sheetData>
  <mergeCells count="34">
    <mergeCell ref="A1:H1"/>
    <mergeCell ref="A2:H2"/>
    <mergeCell ref="A3:H3"/>
    <mergeCell ref="F7:H7"/>
    <mergeCell ref="F8:H8"/>
    <mergeCell ref="J8:M8"/>
    <mergeCell ref="F9:H9"/>
    <mergeCell ref="A63:H63"/>
    <mergeCell ref="A67:H67"/>
    <mergeCell ref="A10:A11"/>
    <mergeCell ref="B10:B11"/>
    <mergeCell ref="C10:C11"/>
    <mergeCell ref="D10:D11"/>
    <mergeCell ref="F10:F11"/>
    <mergeCell ref="G10:G11"/>
    <mergeCell ref="I10:I11"/>
    <mergeCell ref="J10:J11"/>
    <mergeCell ref="K10:K11"/>
    <mergeCell ref="L10:L11"/>
    <mergeCell ref="M10:M11"/>
    <mergeCell ref="N10:N11"/>
    <mergeCell ref="O10:O11"/>
    <mergeCell ref="P10:P11"/>
    <mergeCell ref="Q10:Q11"/>
    <mergeCell ref="R10:R11"/>
    <mergeCell ref="S10:S11"/>
    <mergeCell ref="T10:T11"/>
    <mergeCell ref="U10:U11"/>
    <mergeCell ref="W10:W11"/>
    <mergeCell ref="X10:X11"/>
    <mergeCell ref="Y10:Y11"/>
    <mergeCell ref="Z10:Z11"/>
    <mergeCell ref="AA10:AA11"/>
    <mergeCell ref="A5:C6"/>
  </mergeCells>
  <conditionalFormatting sqref="B62">
    <cfRule type="duplicateValues" dxfId="0" priority="1"/>
  </conditionalFormatting>
  <conditionalFormatting sqref="B12:B61">
    <cfRule type="duplicateValues" dxfId="1" priority="2"/>
  </conditionalFormatting>
  <pageMargins left="0.392361111111111" right="0.156944444444444" top="0.511111111111111" bottom="0.195833333333333" header="0.431944444444444" footer="0.156944444444444"/>
  <pageSetup paperSize="9" scale="78" fitToHeight="0" orientation="portrait" horizontalDpi="600"/>
  <headerFooter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 PL </vt:lpstr>
      <vt:lpstr>CXCI2025012201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tanjh</cp:lastModifiedBy>
  <dcterms:created xsi:type="dcterms:W3CDTF">2006-09-13T11:21:00Z</dcterms:created>
  <cp:lastPrinted>2020-11-06T06:32:00Z</cp:lastPrinted>
  <dcterms:modified xsi:type="dcterms:W3CDTF">2025-03-18T06:47:07Z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5D02363B9CDD4DA9881949B6BA607880</vt:lpwstr>
  </property>
  <property fmtid="{D5CDD505-2E9C-101B-9397-08002B2CF9AE}" pid="4" name="KSOReadingLayout">
    <vt:bool>true</vt:bool>
  </property>
</Properties>
</file>