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S FILES\"/>
    </mc:Choice>
  </mc:AlternateContent>
  <xr:revisionPtr revIDLastSave="0" documentId="13_ncr:1_{CBC7E6D2-9677-4482-881E-65F9F0D1311B}" xr6:coauthVersionLast="46" xr6:coauthVersionMax="46" xr10:uidLastSave="{00000000-0000-0000-0000-000000000000}"/>
  <bookViews>
    <workbookView xWindow="-108" yWindow="-108" windowWidth="23256" windowHeight="12576" tabRatio="901" activeTab="1" xr2:uid="{A58C1A89-7E91-4FAF-AFCE-42E9001979F4}"/>
  </bookViews>
  <sheets>
    <sheet name="Original Budget Document" sheetId="1" r:id="rId1"/>
    <sheet name="Proposed Budget Format" sheetId="14" r:id="rId2"/>
    <sheet name="100% Program" sheetId="7" r:id="rId3"/>
    <sheet name="&lt;100% Program" sheetId="8" r:id="rId4"/>
    <sheet name="100% Non-Program" sheetId="9" r:id="rId5"/>
    <sheet name="&lt;100% Non-Programme" sheetId="10" r:id="rId6"/>
    <sheet name="Schemes with funds" sheetId="4" r:id="rId7"/>
    <sheet name="Ministrywise Expenditure" sheetId="2" r:id="rId8"/>
    <sheet name="Theme wise Expenditure" sheetId="12" r:id="rId9"/>
    <sheet name="Sheet11" sheetId="13" r:id="rId10"/>
    <sheet name="No. of schemes departmentwise" sheetId="5" r:id="rId11"/>
    <sheet name="Number of Schemes Ministrywise" sheetId="6" r:id="rId12"/>
  </sheets>
  <definedNames>
    <definedName name="_xlnm._FilterDatabase" localSheetId="4" hidden="1">'100% Non-Program'!$A$1:$F$40</definedName>
    <definedName name="_xlnm._FilterDatabase" localSheetId="2" hidden="1">'100% Program'!$A$1:$F$65</definedName>
    <definedName name="_xlnm._FilterDatabase" localSheetId="0" hidden="1">'Original Budget Document'!$A$1:$I$103</definedName>
    <definedName name="_xlnm._FilterDatabase" localSheetId="1" hidden="1">'Proposed Budget Format'!$A$1:$G$101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14" l="1"/>
  <c r="D101" i="14"/>
  <c r="C101" i="14"/>
  <c r="E99" i="14"/>
  <c r="D99" i="14"/>
  <c r="C99" i="14"/>
  <c r="E85" i="14"/>
  <c r="D85" i="14"/>
  <c r="C85" i="14"/>
  <c r="E84" i="14"/>
  <c r="D84" i="14"/>
  <c r="C84" i="14"/>
  <c r="E83" i="14"/>
  <c r="D83" i="14"/>
  <c r="C83" i="14"/>
  <c r="E4" i="14"/>
  <c r="D4" i="14"/>
  <c r="C4" i="14"/>
  <c r="E3" i="1"/>
  <c r="E3" i="7" s="1"/>
  <c r="E4" i="1"/>
  <c r="E2" i="10" s="1"/>
  <c r="E5" i="1"/>
  <c r="E3" i="10" s="1"/>
  <c r="E6" i="1"/>
  <c r="E7" i="1"/>
  <c r="E3" i="9" s="1"/>
  <c r="E9" i="1"/>
  <c r="E5" i="9" s="1"/>
  <c r="E10" i="1"/>
  <c r="E6" i="9" s="1"/>
  <c r="E11" i="1"/>
  <c r="E7" i="9" s="1"/>
  <c r="E12" i="1"/>
  <c r="E13" i="1"/>
  <c r="E9" i="9" s="1"/>
  <c r="E14" i="1"/>
  <c r="E10" i="9" s="1"/>
  <c r="E15" i="1"/>
  <c r="E11" i="9" s="1"/>
  <c r="E16" i="1"/>
  <c r="E12" i="9" s="1"/>
  <c r="E17" i="1"/>
  <c r="E13" i="9" s="1"/>
  <c r="E18" i="1"/>
  <c r="E14" i="9" s="1"/>
  <c r="E19" i="1"/>
  <c r="E15" i="9" s="1"/>
  <c r="E20" i="1"/>
  <c r="E16" i="9" s="1"/>
  <c r="E21" i="1"/>
  <c r="E17" i="9" s="1"/>
  <c r="E22" i="1"/>
  <c r="E18" i="9" s="1"/>
  <c r="E23" i="1"/>
  <c r="E19" i="9" s="1"/>
  <c r="E24" i="1"/>
  <c r="E20" i="9" s="1"/>
  <c r="E25" i="1"/>
  <c r="E21" i="9" s="1"/>
  <c r="E26" i="1"/>
  <c r="E5" i="7" s="1"/>
  <c r="E27" i="1"/>
  <c r="E22" i="9" s="1"/>
  <c r="E28" i="1"/>
  <c r="E23" i="9" s="1"/>
  <c r="E29" i="1"/>
  <c r="E24" i="9" s="1"/>
  <c r="E30" i="1"/>
  <c r="E7" i="7" s="1"/>
  <c r="E31" i="1"/>
  <c r="E25" i="9" s="1"/>
  <c r="E32" i="1"/>
  <c r="E4" i="10" s="1"/>
  <c r="E33" i="1"/>
  <c r="E5" i="10" s="1"/>
  <c r="E34" i="1"/>
  <c r="E6" i="10" s="1"/>
  <c r="E35" i="1"/>
  <c r="E9" i="7" s="1"/>
  <c r="E36" i="1"/>
  <c r="E7" i="10" s="1"/>
  <c r="E37" i="1"/>
  <c r="E10" i="7" s="1"/>
  <c r="E38" i="1"/>
  <c r="E39" i="1"/>
  <c r="E40" i="1"/>
  <c r="E3" i="8" s="1"/>
  <c r="E41" i="1"/>
  <c r="E11" i="7" s="1"/>
  <c r="E42" i="1"/>
  <c r="E12" i="7" s="1"/>
  <c r="E43" i="1"/>
  <c r="E13" i="7" s="1"/>
  <c r="E44" i="1"/>
  <c r="E14" i="7" s="1"/>
  <c r="E45" i="1"/>
  <c r="E15" i="7" s="1"/>
  <c r="E46" i="1"/>
  <c r="E16" i="7" s="1"/>
  <c r="E47" i="1"/>
  <c r="E48" i="1"/>
  <c r="E18" i="7" s="1"/>
  <c r="E49" i="1"/>
  <c r="E19" i="7" s="1"/>
  <c r="E50" i="1"/>
  <c r="E34" i="7" s="1"/>
  <c r="E51" i="1"/>
  <c r="E21" i="7" s="1"/>
  <c r="E52" i="1"/>
  <c r="E4" i="8" s="1"/>
  <c r="E53" i="1"/>
  <c r="E23" i="7" s="1"/>
  <c r="E54" i="1"/>
  <c r="E24" i="7" s="1"/>
  <c r="E55" i="1"/>
  <c r="E56" i="1"/>
  <c r="E26" i="7" s="1"/>
  <c r="E57" i="1"/>
  <c r="E27" i="7" s="1"/>
  <c r="E58" i="1"/>
  <c r="E28" i="7" s="1"/>
  <c r="E59" i="1"/>
  <c r="E29" i="7" s="1"/>
  <c r="E60" i="1"/>
  <c r="E30" i="7" s="1"/>
  <c r="E61" i="1"/>
  <c r="E31" i="7" s="1"/>
  <c r="E62" i="1"/>
  <c r="E32" i="7" s="1"/>
  <c r="E63" i="1"/>
  <c r="E33" i="7" s="1"/>
  <c r="E64" i="1"/>
  <c r="E29" i="9" s="1"/>
  <c r="E65" i="1"/>
  <c r="E66" i="1"/>
  <c r="E5" i="8" s="1"/>
  <c r="E67" i="1"/>
  <c r="E35" i="7" s="1"/>
  <c r="E68" i="1"/>
  <c r="E36" i="7" s="1"/>
  <c r="E69" i="1"/>
  <c r="E30" i="9" s="1"/>
  <c r="E70" i="1"/>
  <c r="E37" i="7" s="1"/>
  <c r="E71" i="1"/>
  <c r="E38" i="7" s="1"/>
  <c r="E72" i="1"/>
  <c r="E39" i="7" s="1"/>
  <c r="E73" i="1"/>
  <c r="E40" i="7" s="1"/>
  <c r="E74" i="1"/>
  <c r="E41" i="7" s="1"/>
  <c r="E75" i="1"/>
  <c r="E42" i="7" s="1"/>
  <c r="E76" i="1"/>
  <c r="E43" i="7" s="1"/>
  <c r="E77" i="1"/>
  <c r="E44" i="7" s="1"/>
  <c r="E78" i="1"/>
  <c r="E45" i="7" s="1"/>
  <c r="E79" i="1"/>
  <c r="E46" i="7" s="1"/>
  <c r="E80" i="1"/>
  <c r="E47" i="7" s="1"/>
  <c r="E81" i="1"/>
  <c r="E31" i="9" s="1"/>
  <c r="E82" i="1"/>
  <c r="E32" i="9" s="1"/>
  <c r="E84" i="1"/>
  <c r="E49" i="7" s="1"/>
  <c r="E85" i="1"/>
  <c r="E50" i="7" s="1"/>
  <c r="E86" i="1"/>
  <c r="E7" i="8" s="1"/>
  <c r="E88" i="1"/>
  <c r="E52" i="7" s="1"/>
  <c r="E89" i="1"/>
  <c r="E90" i="1"/>
  <c r="E54" i="7" s="1"/>
  <c r="E91" i="1"/>
  <c r="E55" i="7" s="1"/>
  <c r="E92" i="1"/>
  <c r="E56" i="7" s="1"/>
  <c r="E93" i="1"/>
  <c r="E34" i="9" s="1"/>
  <c r="E94" i="1"/>
  <c r="E57" i="7" s="1"/>
  <c r="E95" i="1"/>
  <c r="E35" i="9" s="1"/>
  <c r="E96" i="1"/>
  <c r="E58" i="7" s="1"/>
  <c r="E97" i="1"/>
  <c r="E98" i="1"/>
  <c r="E60" i="7" s="1"/>
  <c r="E99" i="1"/>
  <c r="E61" i="7" s="1"/>
  <c r="E100" i="1"/>
  <c r="E36" i="9" s="1"/>
  <c r="E101" i="1"/>
  <c r="E37" i="9" s="1"/>
  <c r="E102" i="1"/>
  <c r="E62" i="7" s="1"/>
  <c r="E2" i="1"/>
  <c r="E2" i="7" s="1"/>
  <c r="D3" i="1"/>
  <c r="D3" i="7" s="1"/>
  <c r="D4" i="1"/>
  <c r="D5" i="1"/>
  <c r="D3" i="10" s="1"/>
  <c r="D6" i="1"/>
  <c r="D2" i="9" s="1"/>
  <c r="D7" i="1"/>
  <c r="D3" i="9" s="1"/>
  <c r="D9" i="1"/>
  <c r="D5" i="9" s="1"/>
  <c r="D10" i="1"/>
  <c r="D6" i="9" s="1"/>
  <c r="D11" i="1"/>
  <c r="D7" i="9" s="1"/>
  <c r="D12" i="1"/>
  <c r="D13" i="1"/>
  <c r="D14" i="1"/>
  <c r="D10" i="9" s="1"/>
  <c r="D15" i="1"/>
  <c r="D11" i="9" s="1"/>
  <c r="D16" i="1"/>
  <c r="D12" i="9" s="1"/>
  <c r="D17" i="1"/>
  <c r="D13" i="9" s="1"/>
  <c r="D18" i="1"/>
  <c r="D14" i="9" s="1"/>
  <c r="D19" i="1"/>
  <c r="D15" i="9" s="1"/>
  <c r="D20" i="1"/>
  <c r="D16" i="9" s="1"/>
  <c r="D21" i="1"/>
  <c r="D17" i="9" s="1"/>
  <c r="D22" i="1"/>
  <c r="D18" i="9" s="1"/>
  <c r="D23" i="1"/>
  <c r="D19" i="9" s="1"/>
  <c r="D24" i="1"/>
  <c r="D20" i="9" s="1"/>
  <c r="D25" i="1"/>
  <c r="D21" i="9" s="1"/>
  <c r="D26" i="1"/>
  <c r="D5" i="7" s="1"/>
  <c r="D27" i="1"/>
  <c r="D22" i="9" s="1"/>
  <c r="D28" i="1"/>
  <c r="D6" i="7" s="1"/>
  <c r="D29" i="1"/>
  <c r="D24" i="9" s="1"/>
  <c r="D30" i="1"/>
  <c r="D7" i="7" s="1"/>
  <c r="D31" i="1"/>
  <c r="D25" i="9" s="1"/>
  <c r="D32" i="1"/>
  <c r="D26" i="9" s="1"/>
  <c r="D33" i="1"/>
  <c r="D5" i="10" s="1"/>
  <c r="D34" i="1"/>
  <c r="D6" i="10" s="1"/>
  <c r="D35" i="1"/>
  <c r="D9" i="7" s="1"/>
  <c r="D36" i="1"/>
  <c r="D7" i="10" s="1"/>
  <c r="D37" i="1"/>
  <c r="D10" i="7" s="1"/>
  <c r="D38" i="1"/>
  <c r="D27" i="9" s="1"/>
  <c r="D39" i="1"/>
  <c r="D2" i="8" s="1"/>
  <c r="D40" i="1"/>
  <c r="D3" i="8" s="1"/>
  <c r="D41" i="1"/>
  <c r="D11" i="7" s="1"/>
  <c r="D42" i="1"/>
  <c r="D12" i="7" s="1"/>
  <c r="D43" i="1"/>
  <c r="D13" i="7" s="1"/>
  <c r="D44" i="1"/>
  <c r="D14" i="7" s="1"/>
  <c r="D45" i="1"/>
  <c r="D46" i="1"/>
  <c r="D16" i="7" s="1"/>
  <c r="D47" i="1"/>
  <c r="D17" i="7" s="1"/>
  <c r="D48" i="1"/>
  <c r="D18" i="7" s="1"/>
  <c r="D49" i="1"/>
  <c r="D19" i="7" s="1"/>
  <c r="D50" i="1"/>
  <c r="D34" i="7" s="1"/>
  <c r="D51" i="1"/>
  <c r="D21" i="7" s="1"/>
  <c r="D52" i="1"/>
  <c r="D22" i="7" s="1"/>
  <c r="D53" i="1"/>
  <c r="D54" i="1"/>
  <c r="D24" i="7" s="1"/>
  <c r="D55" i="1"/>
  <c r="D25" i="7" s="1"/>
  <c r="D56" i="1"/>
  <c r="D26" i="7" s="1"/>
  <c r="D57" i="1"/>
  <c r="D27" i="7" s="1"/>
  <c r="D58" i="1"/>
  <c r="D28" i="7" s="1"/>
  <c r="D59" i="1"/>
  <c r="D29" i="7" s="1"/>
  <c r="D60" i="1"/>
  <c r="D30" i="7" s="1"/>
  <c r="D61" i="1"/>
  <c r="D62" i="1"/>
  <c r="D63" i="1"/>
  <c r="D33" i="7" s="1"/>
  <c r="D64" i="1"/>
  <c r="D29" i="9" s="1"/>
  <c r="D65" i="1"/>
  <c r="D66" i="1"/>
  <c r="D5" i="8" s="1"/>
  <c r="D67" i="1"/>
  <c r="D35" i="7" s="1"/>
  <c r="D68" i="1"/>
  <c r="D36" i="7" s="1"/>
  <c r="D69" i="1"/>
  <c r="D30" i="9" s="1"/>
  <c r="D70" i="1"/>
  <c r="D37" i="7" s="1"/>
  <c r="D71" i="1"/>
  <c r="D38" i="7" s="1"/>
  <c r="D72" i="1"/>
  <c r="D39" i="7" s="1"/>
  <c r="D73" i="1"/>
  <c r="D40" i="7" s="1"/>
  <c r="D74" i="1"/>
  <c r="D41" i="7" s="1"/>
  <c r="D75" i="1"/>
  <c r="D42" i="7" s="1"/>
  <c r="D76" i="1"/>
  <c r="D43" i="7" s="1"/>
  <c r="D77" i="1"/>
  <c r="D44" i="7" s="1"/>
  <c r="D78" i="1"/>
  <c r="D45" i="7" s="1"/>
  <c r="D79" i="1"/>
  <c r="D46" i="7" s="1"/>
  <c r="D80" i="1"/>
  <c r="D47" i="7" s="1"/>
  <c r="D81" i="1"/>
  <c r="D31" i="9" s="1"/>
  <c r="D82" i="1"/>
  <c r="D32" i="9" s="1"/>
  <c r="D84" i="1"/>
  <c r="D49" i="7" s="1"/>
  <c r="D85" i="1"/>
  <c r="D50" i="7" s="1"/>
  <c r="D86" i="1"/>
  <c r="D7" i="8" s="1"/>
  <c r="D88" i="1"/>
  <c r="D52" i="7" s="1"/>
  <c r="D89" i="1"/>
  <c r="D53" i="7" s="1"/>
  <c r="D90" i="1"/>
  <c r="D54" i="7" s="1"/>
  <c r="D91" i="1"/>
  <c r="D55" i="7" s="1"/>
  <c r="D92" i="1"/>
  <c r="D56" i="7" s="1"/>
  <c r="D93" i="1"/>
  <c r="D34" i="9" s="1"/>
  <c r="D94" i="1"/>
  <c r="D57" i="7" s="1"/>
  <c r="D95" i="1"/>
  <c r="D35" i="9" s="1"/>
  <c r="D96" i="1"/>
  <c r="D58" i="7" s="1"/>
  <c r="D97" i="1"/>
  <c r="D59" i="7" s="1"/>
  <c r="D98" i="1"/>
  <c r="D60" i="7" s="1"/>
  <c r="D99" i="1"/>
  <c r="D61" i="7" s="1"/>
  <c r="D100" i="1"/>
  <c r="D36" i="9" s="1"/>
  <c r="D101" i="1"/>
  <c r="D37" i="9" s="1"/>
  <c r="D102" i="1"/>
  <c r="D62" i="7" s="1"/>
  <c r="D2" i="1"/>
  <c r="C3" i="1"/>
  <c r="C3" i="7" s="1"/>
  <c r="C4" i="1"/>
  <c r="C2" i="10" s="1"/>
  <c r="C5" i="1"/>
  <c r="C3" i="10" s="1"/>
  <c r="C6" i="1"/>
  <c r="C4" i="7" s="1"/>
  <c r="C7" i="1"/>
  <c r="C3" i="9" s="1"/>
  <c r="C9" i="1"/>
  <c r="C5" i="9" s="1"/>
  <c r="C10" i="1"/>
  <c r="C6" i="9" s="1"/>
  <c r="C11" i="1"/>
  <c r="C12" i="1"/>
  <c r="C13" i="1"/>
  <c r="C9" i="9" s="1"/>
  <c r="C14" i="1"/>
  <c r="C10" i="9" s="1"/>
  <c r="C15" i="1"/>
  <c r="C11" i="9" s="1"/>
  <c r="C16" i="1"/>
  <c r="C12" i="9" s="1"/>
  <c r="C17" i="1"/>
  <c r="C13" i="9" s="1"/>
  <c r="C18" i="1"/>
  <c r="C14" i="9" s="1"/>
  <c r="C19" i="1"/>
  <c r="C20" i="1"/>
  <c r="C16" i="9" s="1"/>
  <c r="C21" i="1"/>
  <c r="C17" i="9" s="1"/>
  <c r="C22" i="1"/>
  <c r="C18" i="9" s="1"/>
  <c r="C23" i="1"/>
  <c r="C19" i="9" s="1"/>
  <c r="C24" i="1"/>
  <c r="C20" i="9" s="1"/>
  <c r="C25" i="1"/>
  <c r="C21" i="9" s="1"/>
  <c r="C26" i="1"/>
  <c r="C5" i="7" s="1"/>
  <c r="C27" i="1"/>
  <c r="C28" i="1"/>
  <c r="C6" i="7" s="1"/>
  <c r="C29" i="1"/>
  <c r="C24" i="9" s="1"/>
  <c r="C30" i="1"/>
  <c r="C7" i="7" s="1"/>
  <c r="C31" i="1"/>
  <c r="C25" i="9" s="1"/>
  <c r="C32" i="1"/>
  <c r="C8" i="7" s="1"/>
  <c r="C33" i="1"/>
  <c r="C5" i="10" s="1"/>
  <c r="C34" i="1"/>
  <c r="Q13" i="1" s="1"/>
  <c r="C35" i="1"/>
  <c r="C36" i="1"/>
  <c r="C7" i="10" s="1"/>
  <c r="C37" i="1"/>
  <c r="C10" i="7" s="1"/>
  <c r="C38" i="1"/>
  <c r="C27" i="9" s="1"/>
  <c r="C39" i="1"/>
  <c r="C2" i="8" s="1"/>
  <c r="C40" i="1"/>
  <c r="C3" i="8" s="1"/>
  <c r="C41" i="1"/>
  <c r="C11" i="7" s="1"/>
  <c r="C42" i="1"/>
  <c r="C12" i="7" s="1"/>
  <c r="C43" i="1"/>
  <c r="C13" i="7" s="1"/>
  <c r="C44" i="1"/>
  <c r="C14" i="7" s="1"/>
  <c r="C45" i="1"/>
  <c r="C15" i="7" s="1"/>
  <c r="C46" i="1"/>
  <c r="C16" i="7" s="1"/>
  <c r="C47" i="1"/>
  <c r="C17" i="7" s="1"/>
  <c r="C48" i="1"/>
  <c r="C18" i="7" s="1"/>
  <c r="C49" i="1"/>
  <c r="C19" i="7" s="1"/>
  <c r="C50" i="1"/>
  <c r="C34" i="7" s="1"/>
  <c r="C51" i="1"/>
  <c r="C21" i="7" s="1"/>
  <c r="C52" i="1"/>
  <c r="C22" i="7" s="1"/>
  <c r="C53" i="1"/>
  <c r="C23" i="7" s="1"/>
  <c r="C54" i="1"/>
  <c r="C24" i="7" s="1"/>
  <c r="C55" i="1"/>
  <c r="C25" i="7" s="1"/>
  <c r="C56" i="1"/>
  <c r="C26" i="7" s="1"/>
  <c r="C57" i="1"/>
  <c r="C27" i="7" s="1"/>
  <c r="C58" i="1"/>
  <c r="C28" i="7" s="1"/>
  <c r="C59" i="1"/>
  <c r="C29" i="7" s="1"/>
  <c r="C60" i="1"/>
  <c r="C30" i="7" s="1"/>
  <c r="C61" i="1"/>
  <c r="C31" i="7" s="1"/>
  <c r="C62" i="1"/>
  <c r="C32" i="7" s="1"/>
  <c r="C63" i="1"/>
  <c r="C33" i="7" s="1"/>
  <c r="C64" i="1"/>
  <c r="C29" i="9" s="1"/>
  <c r="C65" i="1"/>
  <c r="C66" i="1"/>
  <c r="C5" i="8" s="1"/>
  <c r="C67" i="1"/>
  <c r="C35" i="7" s="1"/>
  <c r="C68" i="1"/>
  <c r="C36" i="7" s="1"/>
  <c r="C69" i="1"/>
  <c r="C30" i="9" s="1"/>
  <c r="C70" i="1"/>
  <c r="C37" i="7" s="1"/>
  <c r="C71" i="1"/>
  <c r="C38" i="7" s="1"/>
  <c r="C72" i="1"/>
  <c r="C39" i="7" s="1"/>
  <c r="C73" i="1"/>
  <c r="C40" i="7" s="1"/>
  <c r="C74" i="1"/>
  <c r="C41" i="7" s="1"/>
  <c r="C75" i="1"/>
  <c r="C76" i="1"/>
  <c r="C43" i="7" s="1"/>
  <c r="C77" i="1"/>
  <c r="C44" i="7" s="1"/>
  <c r="C78" i="1"/>
  <c r="C45" i="7" s="1"/>
  <c r="C79" i="1"/>
  <c r="C46" i="7" s="1"/>
  <c r="C80" i="1"/>
  <c r="C47" i="7" s="1"/>
  <c r="C81" i="1"/>
  <c r="C31" i="9" s="1"/>
  <c r="C82" i="1"/>
  <c r="C32" i="9" s="1"/>
  <c r="C84" i="1"/>
  <c r="C85" i="1"/>
  <c r="C50" i="7" s="1"/>
  <c r="C86" i="1"/>
  <c r="C7" i="8" s="1"/>
  <c r="C88" i="1"/>
  <c r="C52" i="7" s="1"/>
  <c r="C89" i="1"/>
  <c r="C53" i="7" s="1"/>
  <c r="C90" i="1"/>
  <c r="C54" i="7" s="1"/>
  <c r="C91" i="1"/>
  <c r="C55" i="7" s="1"/>
  <c r="C92" i="1"/>
  <c r="C56" i="7" s="1"/>
  <c r="C93" i="1"/>
  <c r="C94" i="1"/>
  <c r="C57" i="7" s="1"/>
  <c r="C95" i="1"/>
  <c r="C35" i="9" s="1"/>
  <c r="C96" i="1"/>
  <c r="C58" i="7" s="1"/>
  <c r="C97" i="1"/>
  <c r="C59" i="7" s="1"/>
  <c r="C98" i="1"/>
  <c r="C60" i="7" s="1"/>
  <c r="C99" i="1"/>
  <c r="C61" i="7" s="1"/>
  <c r="C100" i="1"/>
  <c r="C36" i="9" s="1"/>
  <c r="C101" i="1"/>
  <c r="C102" i="1"/>
  <c r="C62" i="7" s="1"/>
  <c r="C2" i="1"/>
  <c r="C2" i="7" s="1"/>
  <c r="Q11" i="1"/>
  <c r="Q9" i="1"/>
  <c r="P13" i="1"/>
  <c r="P11" i="1"/>
  <c r="O12" i="1"/>
  <c r="O10" i="1"/>
  <c r="N13" i="1"/>
  <c r="Q2" i="1"/>
  <c r="O3" i="1"/>
  <c r="P4" i="1"/>
  <c r="Q4" i="1"/>
  <c r="O5" i="1"/>
  <c r="N6" i="1"/>
  <c r="P6" i="1"/>
  <c r="B9" i="2"/>
  <c r="F6" i="7"/>
  <c r="F3" i="10"/>
  <c r="F4" i="10"/>
  <c r="F5" i="10"/>
  <c r="F6" i="10"/>
  <c r="F7" i="10"/>
  <c r="F2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2" i="9"/>
  <c r="F3" i="8"/>
  <c r="F4" i="8"/>
  <c r="F5" i="8"/>
  <c r="F6" i="8"/>
  <c r="F7" i="8"/>
  <c r="F2" i="8"/>
  <c r="F3" i="7"/>
  <c r="F4" i="7"/>
  <c r="F5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9" i="7"/>
  <c r="F50" i="7"/>
  <c r="F52" i="7"/>
  <c r="F53" i="7"/>
  <c r="F54" i="7"/>
  <c r="F55" i="7"/>
  <c r="F56" i="7"/>
  <c r="F57" i="7"/>
  <c r="F58" i="7"/>
  <c r="F59" i="7"/>
  <c r="F60" i="7"/>
  <c r="F61" i="7"/>
  <c r="F62" i="7"/>
  <c r="F2" i="7"/>
  <c r="E2" i="8"/>
  <c r="E17" i="7"/>
  <c r="E25" i="7"/>
  <c r="E53" i="7"/>
  <c r="E59" i="7"/>
  <c r="D2" i="10"/>
  <c r="D9" i="9"/>
  <c r="D15" i="7"/>
  <c r="D23" i="7"/>
  <c r="D31" i="7"/>
  <c r="D32" i="7"/>
  <c r="C7" i="9"/>
  <c r="C15" i="9"/>
  <c r="C22" i="9"/>
  <c r="C9" i="7"/>
  <c r="C42" i="7"/>
  <c r="C49" i="7"/>
  <c r="C34" i="9"/>
  <c r="C37" i="9"/>
  <c r="F4" i="6"/>
  <c r="F5" i="6"/>
  <c r="F6" i="6"/>
  <c r="F7" i="6"/>
  <c r="F8" i="6"/>
  <c r="F3" i="6"/>
  <c r="F2" i="6"/>
  <c r="D25" i="5"/>
  <c r="D21" i="5"/>
  <c r="D14" i="5"/>
  <c r="E102" i="14" l="1"/>
  <c r="C102" i="14"/>
  <c r="D102" i="14"/>
  <c r="P5" i="1"/>
  <c r="C6" i="10"/>
  <c r="E27" i="9"/>
  <c r="P10" i="1"/>
  <c r="Q6" i="1"/>
  <c r="N4" i="1"/>
  <c r="Q5" i="1"/>
  <c r="N12" i="1"/>
  <c r="O4" i="1"/>
  <c r="N11" i="1"/>
  <c r="P9" i="1"/>
  <c r="Q12" i="1"/>
  <c r="N5" i="1"/>
  <c r="P2" i="1"/>
  <c r="O9" i="1"/>
  <c r="P12" i="1"/>
  <c r="O6" i="1"/>
  <c r="Q3" i="1"/>
  <c r="O2" i="1"/>
  <c r="P3" i="1"/>
  <c r="N2" i="1"/>
  <c r="O11" i="1"/>
  <c r="N9" i="1"/>
  <c r="N3" i="1"/>
  <c r="N10" i="1"/>
  <c r="O13" i="1"/>
  <c r="R13" i="1" s="1"/>
  <c r="Q10" i="1"/>
  <c r="L20" i="10"/>
  <c r="E9" i="2" s="1"/>
  <c r="L15" i="9"/>
  <c r="D4" i="2" s="1"/>
  <c r="L20" i="8"/>
  <c r="C7" i="2" s="1"/>
  <c r="L22" i="8"/>
  <c r="C9" i="2" s="1"/>
  <c r="L16" i="8"/>
  <c r="C3" i="2" s="1"/>
  <c r="L18" i="10"/>
  <c r="E7" i="2" s="1"/>
  <c r="L16" i="9"/>
  <c r="D8" i="2" s="1"/>
  <c r="K22" i="8"/>
  <c r="J15" i="9"/>
  <c r="J4" i="2" s="1"/>
  <c r="K16" i="9"/>
  <c r="L17" i="9"/>
  <c r="D5" i="2" s="1"/>
  <c r="L15" i="10"/>
  <c r="E4" i="2" s="1"/>
  <c r="J16" i="10"/>
  <c r="K8" i="2" s="1"/>
  <c r="L17" i="8"/>
  <c r="C4" i="2" s="1"/>
  <c r="K18" i="9"/>
  <c r="K16" i="10"/>
  <c r="J19" i="10"/>
  <c r="K6" i="2" s="1"/>
  <c r="K17" i="8"/>
  <c r="L18" i="8"/>
  <c r="C8" i="2" s="1"/>
  <c r="L20" i="9"/>
  <c r="D9" i="2" s="1"/>
  <c r="J14" i="10"/>
  <c r="K3" i="2" s="1"/>
  <c r="L16" i="10"/>
  <c r="E8" i="2" s="1"/>
  <c r="K19" i="10"/>
  <c r="K18" i="8"/>
  <c r="L19" i="8"/>
  <c r="C5" i="2" s="1"/>
  <c r="K20" i="9"/>
  <c r="K14" i="10"/>
  <c r="J17" i="10"/>
  <c r="K5" i="2" s="1"/>
  <c r="L19" i="10"/>
  <c r="E6" i="2" s="1"/>
  <c r="J16" i="9"/>
  <c r="J8" i="2" s="1"/>
  <c r="K19" i="8"/>
  <c r="L21" i="8"/>
  <c r="C6" i="2" s="1"/>
  <c r="J20" i="9"/>
  <c r="J9" i="2" s="1"/>
  <c r="L14" i="10"/>
  <c r="E3" i="2" s="1"/>
  <c r="K17" i="10"/>
  <c r="J20" i="10"/>
  <c r="K9" i="2" s="1"/>
  <c r="K20" i="8"/>
  <c r="J15" i="10"/>
  <c r="K4" i="2" s="1"/>
  <c r="L17" i="10"/>
  <c r="E5" i="2" s="1"/>
  <c r="K20" i="10"/>
  <c r="K21" i="8"/>
  <c r="K15" i="9"/>
  <c r="K15" i="10"/>
  <c r="O27" i="7"/>
  <c r="H7" i="2" s="1"/>
  <c r="N24" i="7"/>
  <c r="O24" i="7"/>
  <c r="H4" i="2" s="1"/>
  <c r="O25" i="7"/>
  <c r="H8" i="2" s="1"/>
  <c r="J22" i="8"/>
  <c r="I9" i="2" s="1"/>
  <c r="J17" i="8"/>
  <c r="I4" i="2" s="1"/>
  <c r="N26" i="7"/>
  <c r="O26" i="7"/>
  <c r="H5" i="2" s="1"/>
  <c r="J18" i="8"/>
  <c r="I8" i="2" s="1"/>
  <c r="J19" i="8"/>
  <c r="I5" i="2" s="1"/>
  <c r="O28" i="7"/>
  <c r="H6" i="2" s="1"/>
  <c r="J20" i="8"/>
  <c r="I7" i="2" s="1"/>
  <c r="C20" i="7"/>
  <c r="C63" i="7" s="1"/>
  <c r="E103" i="1"/>
  <c r="E9" i="10" s="1"/>
  <c r="E26" i="9"/>
  <c r="L18" i="9" s="1"/>
  <c r="D7" i="2" s="1"/>
  <c r="M24" i="7"/>
  <c r="B4" i="2" s="1"/>
  <c r="M25" i="7"/>
  <c r="B8" i="2" s="1"/>
  <c r="D20" i="7"/>
  <c r="N23" i="7" s="1"/>
  <c r="D4" i="7"/>
  <c r="E8" i="7"/>
  <c r="M27" i="7" s="1"/>
  <c r="B7" i="2" s="1"/>
  <c r="J21" i="8"/>
  <c r="I6" i="2" s="1"/>
  <c r="D4" i="8"/>
  <c r="D8" i="8" s="1"/>
  <c r="C4" i="4" s="1"/>
  <c r="C2" i="9"/>
  <c r="D8" i="9"/>
  <c r="K19" i="9" s="1"/>
  <c r="D4" i="10"/>
  <c r="D8" i="10" s="1"/>
  <c r="C28" i="9"/>
  <c r="J14" i="9" s="1"/>
  <c r="J3" i="2" s="1"/>
  <c r="D23" i="9"/>
  <c r="K17" i="9" s="1"/>
  <c r="E8" i="9"/>
  <c r="E22" i="7"/>
  <c r="E6" i="7"/>
  <c r="M26" i="7" s="1"/>
  <c r="B5" i="2" s="1"/>
  <c r="C4" i="8"/>
  <c r="C4" i="10"/>
  <c r="C8" i="10" s="1"/>
  <c r="C26" i="9"/>
  <c r="J18" i="9" s="1"/>
  <c r="J7" i="2" s="1"/>
  <c r="E2" i="9"/>
  <c r="C103" i="1"/>
  <c r="C9" i="10" s="1"/>
  <c r="D8" i="7"/>
  <c r="N27" i="7" s="1"/>
  <c r="E20" i="7"/>
  <c r="E4" i="7"/>
  <c r="D28" i="9"/>
  <c r="K14" i="9" s="1"/>
  <c r="C8" i="9"/>
  <c r="E28" i="9"/>
  <c r="L14" i="9" s="1"/>
  <c r="D3" i="2" s="1"/>
  <c r="D103" i="1"/>
  <c r="D9" i="10" s="1"/>
  <c r="D2" i="7"/>
  <c r="N25" i="7" s="1"/>
  <c r="C23" i="9"/>
  <c r="J17" i="9" s="1"/>
  <c r="J5" i="2" s="1"/>
  <c r="E8" i="8"/>
  <c r="E8" i="10"/>
  <c r="D5" i="4" s="1"/>
  <c r="R5" i="1" l="1"/>
  <c r="R6" i="1"/>
  <c r="R11" i="1"/>
  <c r="R12" i="1"/>
  <c r="R9" i="1"/>
  <c r="R3" i="1"/>
  <c r="R4" i="1"/>
  <c r="R2" i="1"/>
  <c r="R10" i="1"/>
  <c r="L8" i="2"/>
  <c r="L4" i="2"/>
  <c r="L5" i="2"/>
  <c r="L9" i="2"/>
  <c r="F9" i="2"/>
  <c r="F4" i="2"/>
  <c r="E9" i="8"/>
  <c r="E10" i="8" s="1"/>
  <c r="L19" i="9"/>
  <c r="D6" i="2" s="1"/>
  <c r="E64" i="7"/>
  <c r="J19" i="9"/>
  <c r="J6" i="2" s="1"/>
  <c r="L6" i="2" s="1"/>
  <c r="J18" i="10"/>
  <c r="K7" i="2" s="1"/>
  <c r="L7" i="2" s="1"/>
  <c r="N28" i="7"/>
  <c r="K18" i="10"/>
  <c r="F7" i="2"/>
  <c r="F8" i="2"/>
  <c r="K16" i="8"/>
  <c r="E39" i="9"/>
  <c r="M28" i="7"/>
  <c r="B6" i="2" s="1"/>
  <c r="C8" i="8"/>
  <c r="B4" i="4" s="1"/>
  <c r="F5" i="2"/>
  <c r="J16" i="8"/>
  <c r="I3" i="2" s="1"/>
  <c r="O23" i="7"/>
  <c r="H3" i="2" s="1"/>
  <c r="C10" i="10"/>
  <c r="B5" i="4"/>
  <c r="D38" i="9"/>
  <c r="C3" i="4" s="1"/>
  <c r="E38" i="9"/>
  <c r="D3" i="4" s="1"/>
  <c r="C38" i="9"/>
  <c r="B3" i="4" s="1"/>
  <c r="E63" i="7"/>
  <c r="M23" i="7"/>
  <c r="B3" i="2" s="1"/>
  <c r="F3" i="2" s="1"/>
  <c r="D63" i="7"/>
  <c r="C5" i="4"/>
  <c r="D10" i="10"/>
  <c r="C39" i="9"/>
  <c r="D39" i="9"/>
  <c r="D64" i="7"/>
  <c r="D9" i="8"/>
  <c r="D10" i="8" s="1"/>
  <c r="C64" i="7"/>
  <c r="C65" i="7" s="1"/>
  <c r="C9" i="8"/>
  <c r="E10" i="10"/>
  <c r="D4" i="4"/>
  <c r="B2" i="4"/>
  <c r="R14" i="1" l="1"/>
  <c r="S14" i="1" s="1"/>
  <c r="R7" i="1"/>
  <c r="S5" i="1" s="1"/>
  <c r="E65" i="7"/>
  <c r="F6" i="2"/>
  <c r="F10" i="2" s="1"/>
  <c r="L3" i="2"/>
  <c r="L10" i="2" s="1"/>
  <c r="L15" i="2" s="1"/>
  <c r="C10" i="8"/>
  <c r="D40" i="9"/>
  <c r="D2" i="4"/>
  <c r="D65" i="7"/>
  <c r="C40" i="9"/>
  <c r="E40" i="9"/>
  <c r="C2" i="4"/>
  <c r="S9" i="1" l="1"/>
  <c r="S10" i="1"/>
  <c r="S12" i="1"/>
  <c r="S11" i="1"/>
  <c r="S13" i="1"/>
  <c r="S6" i="1"/>
  <c r="S3" i="1"/>
  <c r="S2" i="1"/>
  <c r="S7" i="1"/>
  <c r="S4" i="1"/>
  <c r="M8" i="2"/>
  <c r="M7" i="2"/>
  <c r="M5" i="2"/>
  <c r="M9" i="2"/>
  <c r="M4" i="2"/>
  <c r="M6" i="2"/>
  <c r="M3" i="2"/>
  <c r="G8" i="2"/>
  <c r="G4" i="2"/>
  <c r="G5" i="2"/>
  <c r="G7" i="2"/>
  <c r="G6" i="2"/>
  <c r="G3" i="2"/>
  <c r="G9" i="2"/>
</calcChain>
</file>

<file path=xl/sharedStrings.xml><?xml version="1.0" encoding="utf-8"?>
<sst xmlns="http://schemas.openxmlformats.org/spreadsheetml/2006/main" count="1109" uniqueCount="267">
  <si>
    <t>Department Name/Scheme Name</t>
  </si>
  <si>
    <t>Scheme Code</t>
  </si>
  <si>
    <t>Actual Expenditure 2019-20</t>
  </si>
  <si>
    <t>RE 2020-21</t>
  </si>
  <si>
    <t>BE 2021-22</t>
  </si>
  <si>
    <t>Ministry</t>
  </si>
  <si>
    <t>Programme/Non-Programme</t>
  </si>
  <si>
    <t>100%/&lt;100%</t>
  </si>
  <si>
    <t>अल्पसंख्यक मामलात विभाग, जयपुर</t>
  </si>
  <si>
    <t>अल्पसंख्यक छात्रों को उत्तर मेट्रिक छात्रवृत्ति</t>
  </si>
  <si>
    <t>Programme</t>
  </si>
  <si>
    <t>आयुर्विज्ञान महाविद्यालय एवं सम्बद्ध चिकित्सालय समूह , कोटा</t>
  </si>
  <si>
    <t>जे. के. लोन अस्पताल , कोटा</t>
  </si>
  <si>
    <t>Non-Programme</t>
  </si>
  <si>
    <t>&lt;100%</t>
  </si>
  <si>
    <t>जनजाति क्षेत्र विकास विभाग, उदयपुर</t>
  </si>
  <si>
    <t>जनजाति कल्याण निधि के अंतर्गत अनुसूचित क्षेत्र के माध्यमिक शिक्षा स्तर के छात्र-छात्राओं को शैक्षणिक उत्प्रेरक</t>
  </si>
  <si>
    <t>जनजाति कल्याण निधि के अंतर्गत अनुसूचित क्षेत्र में आवासीय विद्यालयों का संचालन</t>
  </si>
  <si>
    <t>जनजाति कल्याण निधि के अंतर्गत अनुसूचित क्षेत्र में खेल छात्रवासों का संचालन</t>
  </si>
  <si>
    <t>जनजाति कल्याण निधि के अंतर्गत अनुसूचित क्षेत्र में पब्लिक स्कूलों का संचालन</t>
  </si>
  <si>
    <t>जनजाति कल्याण निधि के अंतर्गत अनुसूचित क्षेत्र में मा-बाडी केंद्रों का संचालन</t>
  </si>
  <si>
    <t>जनजाति कल्याण निधि के अंतर्गत अनुसूचित क्षेत्र में आश्रम छात्रावासों का संचालन</t>
  </si>
  <si>
    <t>जनजाति कल्याण निधि के अंतर्गत कक्षा 1 से 5 तक के सहरिया छात्र-छात्राओं को शैक्षणिक उत्प्रेरक</t>
  </si>
  <si>
    <t>जनजाति कल्याण निधि के अंतर्गत भिखरे क्षेत्र के माध्यमिक शिक्षा स्तर के छात्र-छात्राओं को शैक्षणिक उत्प्रेरक</t>
  </si>
  <si>
    <t>जनजाति कल्याण निधि के अंतर्गत भिखरे क्षेत्र में छत्रवासों का संचालन</t>
  </si>
  <si>
    <t>जनजाति कल्याण निधि के अंतर्गत माडा क्षेत्र के आश्रम छात्रावासों का संचालन</t>
  </si>
  <si>
    <t>जनजाति कल्याण निधि के अंतर्गत माडा क्षेत्र के माध्यमिक शिक्षा स्तर के छात्र-छात्राओं को शैक्षणिक उत्प्रेरक</t>
  </si>
  <si>
    <t>जनजाति कल्याण निधि के अंतर्गत माडा क्षेत्र में आवासीय विद्यालयों का संचालन</t>
  </si>
  <si>
    <t>जनजाति कल्याण निधि के अंतर्गत माडा क्षेत्र में मा-बाडी केंद्र का संचालन</t>
  </si>
  <si>
    <t>जनजाति कल्याण निधि के अंतर्गत समूह क्षेत्र के माध्यमिक शिक्षा स्तर के छात्र-छात्राओं को शैक्षणिक उत्प्रेरक</t>
  </si>
  <si>
    <t>जनजाति कल्याण निधि के अंतर्गत सहरिया क्षेत्र के माध्यमिक शिक्षा स्तर के छात्र-छात्राओं को शैक्षणिक उत्प्रेरक</t>
  </si>
  <si>
    <t>जनजाति कल्याण निधि के अंतर्गत सहरिया जनजाति के लिए आवासीय विद्यालयों का संचालन</t>
  </si>
  <si>
    <t>जनजाति कल्याण निधि के अंतर्गत सहरिया जनजाति के लिए छात्रावासों का संचालन</t>
  </si>
  <si>
    <t>जनजाति कल्याण निधि के अंतर्गत सहरिया जनजाति के लिए मा-बाडी केंद्रों का संचालन</t>
  </si>
  <si>
    <t>भारत के संविधान के अनुच्छेद 275(1) के अंतर्गत एकलव्य मॉडल आवासीय विद्यालयों का संचालन</t>
  </si>
  <si>
    <t>सहरिया विकास के सी. सी. डी. योजना अंतर्गत/नवाचार योजनयाएं</t>
  </si>
  <si>
    <t>सहरिया विकास के सी. सी. डी. योजना अंतर्गत/सहरिया मा बाडी केंडों का संचालन</t>
  </si>
  <si>
    <t>निदेशालय बाल अधिकारिता विभाग</t>
  </si>
  <si>
    <t>शिशु गृह/क्रेच का संचालन</t>
  </si>
  <si>
    <t>समेकित बाल संरक्षण योजना</t>
  </si>
  <si>
    <t>सम्प्रेषण/बाल गृह भवन</t>
  </si>
  <si>
    <t>निदेशयल विशेष योग्यआजन, जयपुर</t>
  </si>
  <si>
    <t>विकलांगों का छिनहिकारण</t>
  </si>
  <si>
    <t>विकलांगों के लिए खेल कूद कार्यक्रम</t>
  </si>
  <si>
    <t>विमण्डित मानसिक पीड़ित बच्चों के लिए गृह</t>
  </si>
  <si>
    <t>शारीरिक तथा मानसिक पीड़ितों के क्षेत्र में कार्यकारी स्वैच्छिक अभिकरणों को सहायता</t>
  </si>
  <si>
    <t>शारीरिक रूप से विकलांग छात्रों को छात्रवृत्ति</t>
  </si>
  <si>
    <t>संभागीय मुखलयों पर मानसिक विमन्दितों हेतु पुनर्वास गृह</t>
  </si>
  <si>
    <t>नैशनल कडेट कोर, जयपुर</t>
  </si>
  <si>
    <t>युवा सेवाएं</t>
  </si>
  <si>
    <t>परिवार कल्याण विभाग, जयपुर</t>
  </si>
  <si>
    <t>एडोलसेंट बालिकाओं के हेल्थ एंड हाइजीन की योजना</t>
  </si>
  <si>
    <t>राजकीय अस्पतालों में नवजात बालिकाओं को बेबी किट वितरण</t>
  </si>
  <si>
    <t>राजलक्ष्मी इकाई योजना / मुख्यमंत्री बालिका सम्बल योजना</t>
  </si>
  <si>
    <t>प्रारंभिक शिक्षा विभाग, बीकानेर</t>
  </si>
  <si>
    <t>प्राथमिक विद्यालय</t>
  </si>
  <si>
    <t>बालकों के लिए उच्च प्राथमिक विद्यालय</t>
  </si>
  <si>
    <t>राजकीय विद्यालयों के कक्षा 1 से 8 तक के विद्यार्थियों को पाठ्यपुस्तकों का निःशुल्क वितरण</t>
  </si>
  <si>
    <t>विभिन्न वर्गों के छात्रों हेतु पूर्व मैट्रिक छात्रवृत्ति</t>
  </si>
  <si>
    <t>महिला अधिकारिता विभाग, जयपुर</t>
  </si>
  <si>
    <t>बेटी बचाओ-बेटी पढ़ाओ</t>
  </si>
  <si>
    <t>माध्यमिक शिक्षा विभाग , बीकानेर</t>
  </si>
  <si>
    <t>अनुसूचित कान जनजाति के छात्रों को पूर्व मैट्रिक छात्रवृत्ति</t>
  </si>
  <si>
    <t>अनुसूचित जाती के छात्रों को पूर्व मैट्रिक छात्रवृत्ति</t>
  </si>
  <si>
    <t>अन्य पिछड़ी जाति के छात्रों को पूर्व मैट्रिक छात्रवृत्ति</t>
  </si>
  <si>
    <t>अन्य संस्थानों के छात्रों के लिए छात्रवृत्ति</t>
  </si>
  <si>
    <t>अस्वच्छ कार्य करने वालों के बालक एवं बालिकाओं को पूर्व मैट्रिक छात्रवृत्ति</t>
  </si>
  <si>
    <t>आर्थिक पिछड़ा सामान्य वर्ग के मेघावी छात्र-छात्राओं को एकमुश्त नकद पुरुस्कार एवं स्कूटी वितरण योजना</t>
  </si>
  <si>
    <t>कस्तूरबा विद्यालयों की छात्राओं के लिए बैंक मियादी जमा</t>
  </si>
  <si>
    <t>कारगिल पूर्व सैनिकों के बालक एवं बालिकाओं को पूर्व मैट्रिक छात्रवृत्ति</t>
  </si>
  <si>
    <t>ग्रामीण बालिकाओं के लिए साइकिल वितरण</t>
  </si>
  <si>
    <t>छात्र बीमा</t>
  </si>
  <si>
    <t>बालकों के लिए माध्यमिक विद्यालय</t>
  </si>
  <si>
    <t>बालिका छात्रावासों की स्थापना</t>
  </si>
  <si>
    <t>बालिकाओं के लिए माध्यमिक विद्यालय</t>
  </si>
  <si>
    <t>मूक, बधिर एवं अंध विद्यालयों हेतु सॉफ्टवेयर</t>
  </si>
  <si>
    <t>राजकीय विद्यालयों के कक्षा 9 से 12 तक के विद्यार्थियों को पाठ्यपुस्तकों का निःशुल्क वितरण</t>
  </si>
  <si>
    <t>राज्य प्रतिभा खोज परीक्षा छात्रवृत्ति</t>
  </si>
  <si>
    <t>राष्ट्रीय प्रतिभा खोज परीक्षा का आयोजन</t>
  </si>
  <si>
    <t>लैपटॉप वितरण (माध्यमिक शिक्षा )</t>
  </si>
  <si>
    <t>सराहनीय (मेरितोरियस) छात्राओं हेतु प्रोत्साहन</t>
  </si>
  <si>
    <t>सांस्कृतिक शैक्षिक भ्रमण</t>
  </si>
  <si>
    <t>सैनिक स्कूल चित्तोडगढ़</t>
  </si>
  <si>
    <t>सैनिक स्कूल झुनझुनू</t>
  </si>
  <si>
    <t>सैनिक स्कूलों के छात्रों के लिए छात्रवृत्ति</t>
  </si>
  <si>
    <t>मिड डे मील , राजस्थान</t>
  </si>
  <si>
    <t>राजस्थान दुग्ध पोषाहार कार्यक्रम (मिड डे मील )</t>
  </si>
  <si>
    <t>राष्ट्रीय पोषाहार सहायता कार्यक्रम - मिड डे मील</t>
  </si>
  <si>
    <t>राजस्थान वक्फ बोर्ड, जयपुर</t>
  </si>
  <si>
    <t>मदरसा स्कूल</t>
  </si>
  <si>
    <t>संस्कृत शिक्षा विभाग, जयपुर</t>
  </si>
  <si>
    <t>शिक्षा के अधिकार के अंतर्गत निजी विद्यालयों को पुनर्भरण ( आर. टी. आई. )</t>
  </si>
  <si>
    <t>समेकित बाल विकास सेवाएँ , जयपुर</t>
  </si>
  <si>
    <t>पूरक पोषाहार</t>
  </si>
  <si>
    <t>राजीव गांधी किशोरी बालिका सशक्तिकरण योजना (सबला )</t>
  </si>
  <si>
    <t>सर पादांपट मातृ एवं शिशु स्वास्थ्य संस्थान , जयपुर</t>
  </si>
  <si>
    <t>सामाजिक नये एवं अधिकारिता विभाग, जयपुर</t>
  </si>
  <si>
    <t>अजा / अजजा गैर अधिसूचित जातियों के बच्चों के लिए व्यक्तिगत या सामान्य छात्रावास</t>
  </si>
  <si>
    <t>अनुसूचित जनजाति के लिए उत्तर छात्रवृत्ति</t>
  </si>
  <si>
    <t>अनुसूचित जाति के लिए उत्तर छात्रवृत्ति</t>
  </si>
  <si>
    <t>अन्य पिछड़ा वर्ग के छात्रों के लिए उत्तर छात्रवृत्ति</t>
  </si>
  <si>
    <t>आर्थिक पिछड़े वर्ग के छात्रों के लिए उत्तर मेट्रिक छात्रवृत्ति योजना</t>
  </si>
  <si>
    <t>आवासीय विद्यालयों का संचालन</t>
  </si>
  <si>
    <t>छात्रवासियों को साइकिल वितरण योजना</t>
  </si>
  <si>
    <t>छात्रावासों का अनुरक्षण</t>
  </si>
  <si>
    <t>पशु पालकों के बच्चों के लिए योजना</t>
  </si>
  <si>
    <t>पशु पालकों के बच्चों के लिए आवासीय विद्यालय</t>
  </si>
  <si>
    <t>पालनहार योजना</t>
  </si>
  <si>
    <t>पुस्तक बैंक</t>
  </si>
  <si>
    <t>बालक छात्रावास भवन</t>
  </si>
  <si>
    <t>बालिका छात्रावास भवन</t>
  </si>
  <si>
    <t>रेबारी एवं अन्य भ्रमणशील समुदायों के परिवार के बच्चों के लिए आवासीय विद्यालय</t>
  </si>
  <si>
    <t>Themes</t>
  </si>
  <si>
    <t>Education</t>
  </si>
  <si>
    <t>Health</t>
  </si>
  <si>
    <t>Protection</t>
  </si>
  <si>
    <t>Participation</t>
  </si>
  <si>
    <t>Nutrition</t>
  </si>
  <si>
    <t>Minority Affairs</t>
  </si>
  <si>
    <t xml:space="preserve"> Ministry</t>
  </si>
  <si>
    <t>Tribal Affairs</t>
  </si>
  <si>
    <t>Defence</t>
  </si>
  <si>
    <t>Social Justice and Empowerment</t>
  </si>
  <si>
    <t>Child Centric Categories</t>
  </si>
  <si>
    <t>2018-19</t>
  </si>
  <si>
    <t>2019-20</t>
  </si>
  <si>
    <t>2020-21</t>
  </si>
  <si>
    <t>100% Child Centric Programmes</t>
  </si>
  <si>
    <t>100% Child Centric Non-Programmes</t>
  </si>
  <si>
    <t>Less than 100% Child Centric Programmes</t>
  </si>
  <si>
    <t>Less than 100% Child Centric Non-Programmes</t>
  </si>
  <si>
    <t>**Non-programmes include institutional set ups, establishments, infrastructure facilities and administrative support that benefit children</t>
  </si>
  <si>
    <t>***Beneficiaries of 100% Child Centric Programmes include pregnant or expectant mothers and lactating mothers</t>
  </si>
  <si>
    <t>Department</t>
  </si>
  <si>
    <t>Department Code</t>
  </si>
  <si>
    <t xml:space="preserve">Total Number of Schemes </t>
  </si>
  <si>
    <t xml:space="preserve">अल्पसंख्यक मामलात विभाग, जयपुर </t>
  </si>
  <si>
    <t xml:space="preserve">जनजाति क्षेत्र विकास विभाग, उदयपुर </t>
  </si>
  <si>
    <t xml:space="preserve">निदेशालय बाल अधिकारिता विभाग </t>
  </si>
  <si>
    <t xml:space="preserve">निदेशयल विशेष योग्यआजन, जयपुर </t>
  </si>
  <si>
    <t xml:space="preserve">परिवार कल्याण विभाग, जयपुर </t>
  </si>
  <si>
    <t xml:space="preserve">प्रारंभिक शिक्षा विभाग, बीकानेर </t>
  </si>
  <si>
    <t xml:space="preserve">महिला अधिकारिता विभाग, जयपुर </t>
  </si>
  <si>
    <t xml:space="preserve">माध्यमिक शिक्षा विभाग , बीकानेर </t>
  </si>
  <si>
    <t xml:space="preserve">मिड डे मील , राजस्थान </t>
  </si>
  <si>
    <t xml:space="preserve">राजस्थान वक्फ बोर्ड, जयपुर </t>
  </si>
  <si>
    <t xml:space="preserve">समेकित बाल विकास सेवाएँ , जयपुर </t>
  </si>
  <si>
    <t xml:space="preserve">सामाजिक नये एवं अधिकारिता विभाग, जयपुर </t>
  </si>
  <si>
    <t>Total</t>
  </si>
  <si>
    <t xml:space="preserve">संस्कृत शिक्षा विभाग, जयपुर </t>
  </si>
  <si>
    <t xml:space="preserve">नैशनल कडेट कोर, जयपुर </t>
  </si>
  <si>
    <t xml:space="preserve">आयुर्विज्ञान महाविद्यालय एवं सम्बद्ध चिकित्सालय समूह , कोटा </t>
  </si>
  <si>
    <t>100% Program</t>
  </si>
  <si>
    <t>&lt;100% Program</t>
  </si>
  <si>
    <t>&lt;100% Non-Program</t>
  </si>
  <si>
    <t>100% Non-Program</t>
  </si>
  <si>
    <t>Women and Child Development</t>
  </si>
  <si>
    <t xml:space="preserve">Ministry </t>
  </si>
  <si>
    <t xml:space="preserve">अल्पसंख्यक छात्रों को उत्तर मेट्रिक छात्रवृत्ति </t>
  </si>
  <si>
    <t xml:space="preserve">सहरिया विकास के सी. सी. डी. योजना अंतर्गत/नवाचार योजनयाएं </t>
  </si>
  <si>
    <t xml:space="preserve">समेकित बाल संरक्षण योजना </t>
  </si>
  <si>
    <t xml:space="preserve">विमण्डित मानसिक पीड़ित बच्चों के लिए गृह </t>
  </si>
  <si>
    <t xml:space="preserve">शारीरिक रूप से विकलांग छात्रों को छात्रवृत्ति </t>
  </si>
  <si>
    <t xml:space="preserve">एडोलसेंट बालिकाओं के हेल्थ एंड हाइजीन की योजना </t>
  </si>
  <si>
    <t xml:space="preserve">राजकीय अस्पतालों में नवजात बालिकाओं को बेबी किट वितरण </t>
  </si>
  <si>
    <t xml:space="preserve">राजलक्ष्मी इकाई  योजना / मुख्यमंत्री बालिका सम्बल योजना </t>
  </si>
  <si>
    <t xml:space="preserve">प्राथमिक विद्यालय </t>
  </si>
  <si>
    <t xml:space="preserve">बालकों के लिए उच्च प्राथमिक विद्यालय </t>
  </si>
  <si>
    <t xml:space="preserve">राजकीय विद्यालयों के कक्षा 1 से 8 तक के विद्यार्थियों को पाठ्यपुस्तकों का निःशुल्क वितरण </t>
  </si>
  <si>
    <t xml:space="preserve">विभिन्न वर्गों के छात्रों हेतु पूर्व मैट्रिक छात्रवृत्ति </t>
  </si>
  <si>
    <t xml:space="preserve">बेटी बचाओ-बेटी पढ़ाओ </t>
  </si>
  <si>
    <t xml:space="preserve">अनुसूचित कान जनजाति के छात्रों को पूर्व मैट्रिक छात्रवृत्ति </t>
  </si>
  <si>
    <t xml:space="preserve">अनुसूचित जाती के छात्रों को पूर्व मैट्रिक छात्रवृत्ति </t>
  </si>
  <si>
    <t xml:space="preserve">अन्य पिछड़ी जाति के छात्रों को पूर्व मैट्रिक छात्रवृत्ति </t>
  </si>
  <si>
    <t xml:space="preserve">अन्य संस्थानों के छात्रों के लिए छात्रवृत्ति </t>
  </si>
  <si>
    <t xml:space="preserve">अस्वच्छ कार्य करने वालों के बालक एवं बालिकाओं को पूर्व मैट्रिक छात्रवृत्ति </t>
  </si>
  <si>
    <t xml:space="preserve">आर्थिक पिछड़ा सामान्य वर्ग के मेघावी छात्र-छात्राओं को एकमुश्त नकद पुरुस्कार एवं स्कूटी वितरण योजना </t>
  </si>
  <si>
    <t xml:space="preserve">कस्तूरबा विद्यालयों की छात्राओं के लिए बैंक मियादी जमा </t>
  </si>
  <si>
    <t xml:space="preserve">कारगिल पूर्व सैनिकों के बालक एवं बालिकाओं को पूर्व मैट्रिक छात्रवृत्ति </t>
  </si>
  <si>
    <t xml:space="preserve">ग्रामीण बालिकाओं  के लिए साइकिल वितरण </t>
  </si>
  <si>
    <t xml:space="preserve">छात्र बीमा </t>
  </si>
  <si>
    <t xml:space="preserve">बालकों के लिए माध्यमिक विद्यालय </t>
  </si>
  <si>
    <t xml:space="preserve">बालिकाओं के लिए माध्यमिक विद्यालय </t>
  </si>
  <si>
    <t xml:space="preserve">राजकीय विद्यालयों के कक्षा 9 से 12 तक के विद्यार्थियों को पाठ्यपुस्तकों का निःशुल्क वितरण </t>
  </si>
  <si>
    <t xml:space="preserve">राज्य प्रतिभा खोज परीक्षा छात्रवृत्ति </t>
  </si>
  <si>
    <t xml:space="preserve">सराहनीय (मेरितोरियस) छात्राओं हेतु प्रोत्साहन </t>
  </si>
  <si>
    <t xml:space="preserve">सांस्कृतिक शैक्षिक भ्रमण </t>
  </si>
  <si>
    <t xml:space="preserve">सैनिक स्कूल चित्तोडगढ़ </t>
  </si>
  <si>
    <t xml:space="preserve">सैनिक स्कूल झुनझुनू </t>
  </si>
  <si>
    <t xml:space="preserve">सैनिक स्कूलों के छात्रों के लिए छात्रवृत्ति </t>
  </si>
  <si>
    <t xml:space="preserve">राष्ट्रीय पोषाहार सहायता कार्यक्रम - मिड डे मील </t>
  </si>
  <si>
    <t xml:space="preserve">मदरसा स्कूल </t>
  </si>
  <si>
    <t xml:space="preserve">पूरक पोषाहार </t>
  </si>
  <si>
    <t xml:space="preserve">अजा / अजजा गैर अधिसूचित जातियों के बच्चों के लिए व्यक्तिगत या सामान्य छात्रावास </t>
  </si>
  <si>
    <t xml:space="preserve">अनुसूचित जनजाति के लिए उत्तर छात्रवृत्ति </t>
  </si>
  <si>
    <t xml:space="preserve">अनुसूचित जाति के लिए उत्तर छात्रवृत्ति </t>
  </si>
  <si>
    <t xml:space="preserve">अन्य पिछड़ा वर्ग के छात्रों के लिए उत्तर छात्रवृत्ति </t>
  </si>
  <si>
    <t xml:space="preserve">आर्थिक पिछड़े वर्ग के छात्रों के लिए उत्तर मेट्रिक छात्रवृत्ति योजना </t>
  </si>
  <si>
    <t xml:space="preserve">छात्रवासियों को साइकिल वितरण योजना </t>
  </si>
  <si>
    <t xml:space="preserve">पशु पालकों के बच्चों के लिए योजना </t>
  </si>
  <si>
    <t xml:space="preserve">पशु पालकों के बच्चों के लिए आवासीय विद्यालय </t>
  </si>
  <si>
    <t xml:space="preserve">पालनहार योजना </t>
  </si>
  <si>
    <t xml:space="preserve">पुस्तक बैंक </t>
  </si>
  <si>
    <t xml:space="preserve">रेबारी एवं अन्य भ्रमणशील समुदायों के परिवार के बच्चों के लिए आवासीय विद्यालय </t>
  </si>
  <si>
    <t xml:space="preserve">युवा सेवाएं </t>
  </si>
  <si>
    <t xml:space="preserve">मूक, बधिर एवं अंध विद्यालयों हेतु सॉफ्टवेयर </t>
  </si>
  <si>
    <t xml:space="preserve">सर पादांपट मातृ एवं शिशु स्वास्थ्य संस्थान , जयपुर </t>
  </si>
  <si>
    <t xml:space="preserve">जनजाति कल्याण निधि के अंतर्गत अनुसूचित क्षेत्र के माध्यमिक शिक्षा स्तर के छात्र-छात्राओं को शैक्षणिक उत्प्रेरक </t>
  </si>
  <si>
    <t xml:space="preserve">जनजाति कल्याण निधि के अंतर्गत अनुसूचित क्षेत्र में आवासीय विद्यालयों का संचालन </t>
  </si>
  <si>
    <t xml:space="preserve">जनजाति कल्याण निधि के अंतर्गत अनुसूचित क्षेत्र में खेल छात्रवासों का संचालन </t>
  </si>
  <si>
    <t xml:space="preserve">जनजाति कल्याण निधि के अंतर्गत अनुसूचित क्षेत्र में पब्लिक स्कूलों का संचालन </t>
  </si>
  <si>
    <t xml:space="preserve">जनजाति कल्याण निधि के अंतर्गत अनुसूचित क्षेत्र में मा-बाडी केंद्रों का संचालन </t>
  </si>
  <si>
    <t xml:space="preserve">जनजाति कल्याण निधि के अंतर्गत अनुसूचित क्षेत्र में आश्रम छात्रावासों का संचालन </t>
  </si>
  <si>
    <t xml:space="preserve">जनजाति कल्याण निधि के अंतर्गत कक्षा 1 से 5 तक के सहरिया छात्र-छात्राओं को शैक्षणिक उत्प्रेरक </t>
  </si>
  <si>
    <t xml:space="preserve">जनजाति कल्याण निधि के अंतर्गत भिखरे क्षेत्र के माध्यमिक शिक्षा स्तर के छात्र-छात्राओं को  शैक्षणिक उत्प्रेरक </t>
  </si>
  <si>
    <t xml:space="preserve">जनजाति कल्याण निधि के अंतर्गत भिखरे क्षेत्र में छत्रवासों का संचालन </t>
  </si>
  <si>
    <t xml:space="preserve">जनजाति कल्याण निधि के अंतर्गत माडा क्षेत्र  के आश्रम छात्रावासों का संचालन </t>
  </si>
  <si>
    <t xml:space="preserve">जनजाति कल्याण निधि के अंतर्गत माडा क्षेत्र  के  माध्यमिक शिक्षा स्तर के छात्र-छात्राओं को  शैक्षणिक उत्प्रेरक </t>
  </si>
  <si>
    <t xml:space="preserve">जनजाति कल्याण निधि के अंतर्गत माडा क्षेत्र में आवासीय विद्यालयों का संचालन </t>
  </si>
  <si>
    <t xml:space="preserve">जनजाति कल्याण निधि के अंतर्गत माडा क्षेत्र में  मा-बाडी केंद्र का संचालन </t>
  </si>
  <si>
    <t xml:space="preserve">जनजाति कल्याण निधि के अंतर्गत समूह क्षेत्र  के  माध्यमिक शिक्षा स्तर के छात्र-छात्राओं को  शैक्षणिक उत्प्रेरक </t>
  </si>
  <si>
    <t xml:space="preserve">जनजाति कल्याण निधि के अंतर्गत सहरिया क्षेत्र  के  माध्यमिक शिक्षा स्तर के छात्र-छात्राओं को  शैक्षणिक उत्प्रेरक </t>
  </si>
  <si>
    <t xml:space="preserve">जनजाति कल्याण निधि के अंतर्गत सहरिया जनजाति के लिए मा-बाडी केंद्रों का संचालन </t>
  </si>
  <si>
    <t xml:space="preserve">भारत के संविधान के अनुच्छेद 275(1) के अंतर्गत एकलव्य मॉडल आवासीय विद्यालयों का संचालन </t>
  </si>
  <si>
    <t xml:space="preserve">सहरिया विकास के सी. सी. डी. योजना अंतर्गत/सहरिया मा बाडी केंडों का संचालन </t>
  </si>
  <si>
    <t xml:space="preserve">शिशु गृह/क्रेच का संचालन </t>
  </si>
  <si>
    <t xml:space="preserve">सम्प्रेषण/बाल गृह भवन </t>
  </si>
  <si>
    <t xml:space="preserve">संभागीय मुखलयों पर मानसिक विमन्दितों हेतु पुनर्वास गृह </t>
  </si>
  <si>
    <t xml:space="preserve">बालिका छात्रावासों की स्थापना </t>
  </si>
  <si>
    <t xml:space="preserve">राष्ट्रीय प्रतिभा खोज परीक्षा का आयोजन </t>
  </si>
  <si>
    <t>शिक्षा के अधिकार के अंतर्गत  निजी विद्यालयों को पुनर्भरण ( आर. टी. आई. )</t>
  </si>
  <si>
    <t xml:space="preserve">आवासीय विद्यालयों का संचालन </t>
  </si>
  <si>
    <t xml:space="preserve">छात्रावासों का अनुरक्षण </t>
  </si>
  <si>
    <t xml:space="preserve">बालक छात्रावास भवन </t>
  </si>
  <si>
    <t xml:space="preserve">बालिका छात्रावास भवन </t>
  </si>
  <si>
    <t xml:space="preserve">जे. के. लोन अस्पताल , कोटा </t>
  </si>
  <si>
    <t xml:space="preserve">विकलांगों का छिनहिकारण </t>
  </si>
  <si>
    <t xml:space="preserve">विकलांगों के लिए खेल कूद कार्यक्रम </t>
  </si>
  <si>
    <t xml:space="preserve">शारीरिक तथा मानसिक पीड़ितों के क्षेत्र में कार्यकारी स्वैच्छिक अभिकरणों को सहायता </t>
  </si>
  <si>
    <t>Actual Expenditure 2020-21</t>
  </si>
  <si>
    <t>7,77,60</t>
  </si>
  <si>
    <t>7,06,77</t>
  </si>
  <si>
    <t xml:space="preserve">Programme </t>
  </si>
  <si>
    <t xml:space="preserve">Non-Programme </t>
  </si>
  <si>
    <t>Child Budget Size</t>
  </si>
  <si>
    <t>Total Child Budget</t>
  </si>
  <si>
    <t>% of child budget</t>
  </si>
  <si>
    <t xml:space="preserve">Total </t>
  </si>
  <si>
    <t xml:space="preserve">Total Child Budget </t>
  </si>
  <si>
    <t>%age of child budget</t>
  </si>
  <si>
    <t>Theme</t>
  </si>
  <si>
    <t>Budget</t>
  </si>
  <si>
    <t>RE</t>
  </si>
  <si>
    <t>AE</t>
  </si>
  <si>
    <t>BE</t>
  </si>
  <si>
    <t>Budget Estimate</t>
  </si>
  <si>
    <t>%age</t>
  </si>
  <si>
    <t>Actual Expenditure</t>
  </si>
  <si>
    <t>100%/less than 100%</t>
  </si>
  <si>
    <t>less than 100% Program</t>
  </si>
  <si>
    <t>less than 100% Non-Program</t>
  </si>
  <si>
    <t>less than 100%</t>
  </si>
  <si>
    <t>Budget Estimate 2021-22</t>
  </si>
  <si>
    <t>Scheme Name</t>
  </si>
  <si>
    <t xml:space="preserve">Department Code </t>
  </si>
  <si>
    <t xml:space="preserve">Program Schemes </t>
  </si>
  <si>
    <t>Non-Program Schemes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</si>
</sst>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4" xfId="0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0" borderId="0" xfId="0" applyFont="1"/>
    <xf numFmtId="0" fontId="2" fillId="0" borderId="4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9" xfId="0" applyBorder="1" applyAlignment="1">
      <alignment wrapText="1"/>
    </xf>
    <xf numFmtId="9" fontId="0" fillId="0" borderId="9" xfId="0" applyNumberFormat="1" applyBorder="1" applyAlignment="1">
      <alignment horizontal="right" wrapText="1"/>
    </xf>
    <xf numFmtId="0" fontId="2" fillId="0" borderId="9" xfId="0" applyFont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0" fillId="0" borderId="7" xfId="0" applyBorder="1"/>
    <xf numFmtId="0" fontId="2" fillId="0" borderId="7" xfId="0" applyFont="1" applyBorder="1"/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2" fillId="0" borderId="7" xfId="0" applyNumberFormat="1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13" xfId="0" applyFont="1" applyBorder="1" applyAlignment="1">
      <alignment vertical="top" wrapText="1" readingOrder="1"/>
    </xf>
    <xf numFmtId="0" fontId="5" fillId="0" borderId="0" xfId="0" applyFont="1" applyAlignment="1">
      <alignment vertical="top" wrapText="1" readingOrder="1"/>
    </xf>
    <xf numFmtId="0" fontId="0" fillId="0" borderId="7" xfId="0" applyBorder="1" applyAlignment="1">
      <alignment wrapText="1"/>
    </xf>
    <xf numFmtId="0" fontId="0" fillId="0" borderId="11" xfId="0" applyFill="1" applyBorder="1"/>
    <xf numFmtId="0" fontId="2" fillId="0" borderId="11" xfId="0" applyFont="1" applyFill="1" applyBorder="1"/>
    <xf numFmtId="9" fontId="0" fillId="0" borderId="0" xfId="1" applyFont="1"/>
    <xf numFmtId="168" fontId="0" fillId="0" borderId="0" xfId="1" applyNumberFormat="1" applyFont="1"/>
    <xf numFmtId="0" fontId="2" fillId="0" borderId="0" xfId="0" applyFont="1" applyFill="1" applyBorder="1"/>
    <xf numFmtId="0" fontId="0" fillId="0" borderId="7" xfId="0" applyFill="1" applyBorder="1"/>
    <xf numFmtId="168" fontId="0" fillId="0" borderId="7" xfId="1" applyNumberFormat="1" applyFont="1" applyBorder="1"/>
    <xf numFmtId="0" fontId="2" fillId="0" borderId="7" xfId="0" applyFont="1" applyFill="1" applyBorder="1"/>
    <xf numFmtId="0" fontId="2" fillId="0" borderId="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0" fontId="0" fillId="0" borderId="7" xfId="1" applyNumberFormat="1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0" xfId="0" applyFont="1" applyAlignment="1"/>
    <xf numFmtId="0" fontId="2" fillId="0" borderId="6" xfId="0" applyFont="1" applyBorder="1" applyAlignment="1">
      <alignment horizontal="center"/>
    </xf>
    <xf numFmtId="0" fontId="2" fillId="0" borderId="17" xfId="0" applyFont="1" applyBorder="1" applyAlignment="1">
      <alignment wrapText="1"/>
    </xf>
    <xf numFmtId="0" fontId="0" fillId="0" borderId="0" xfId="0"/>
    <xf numFmtId="0" fontId="0" fillId="0" borderId="7" xfId="0" applyBorder="1"/>
    <xf numFmtId="0" fontId="2" fillId="0" borderId="7" xfId="0" applyFont="1" applyBorder="1"/>
    <xf numFmtId="9" fontId="0" fillId="0" borderId="7" xfId="0" applyNumberFormat="1" applyBorder="1"/>
    <xf numFmtId="0" fontId="0" fillId="0" borderId="7" xfId="0" applyBorder="1" applyAlignment="1">
      <alignment wrapText="1"/>
    </xf>
    <xf numFmtId="0" fontId="0" fillId="0" borderId="7" xfId="0" applyFont="1" applyBorder="1"/>
    <xf numFmtId="9" fontId="0" fillId="0" borderId="7" xfId="0" applyNumberFormat="1" applyFont="1" applyBorder="1"/>
    <xf numFmtId="9" fontId="2" fillId="0" borderId="7" xfId="0" applyNumberFormat="1" applyFont="1" applyBorder="1"/>
    <xf numFmtId="0" fontId="0" fillId="0" borderId="7" xfId="0" applyFill="1" applyBorder="1"/>
    <xf numFmtId="0" fontId="2" fillId="2" borderId="5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 wrapText="1"/>
    </xf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horizontal="right" wrapText="1"/>
    </xf>
    <xf numFmtId="0" fontId="0" fillId="0" borderId="18" xfId="0" applyBorder="1" applyAlignment="1">
      <alignment wrapText="1"/>
    </xf>
    <xf numFmtId="0" fontId="2" fillId="2" borderId="7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2" fillId="3" borderId="22" xfId="0" applyFont="1" applyFill="1" applyBorder="1" applyAlignment="1">
      <alignment horizontal="center" wrapText="1"/>
    </xf>
    <xf numFmtId="0" fontId="2" fillId="3" borderId="23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horizontal="right" wrapText="1"/>
    </xf>
    <xf numFmtId="0" fontId="0" fillId="0" borderId="25" xfId="0" applyBorder="1" applyAlignment="1">
      <alignment wrapText="1"/>
    </xf>
    <xf numFmtId="0" fontId="2" fillId="0" borderId="24" xfId="0" applyFont="1" applyBorder="1" applyAlignment="1">
      <alignment wrapText="1"/>
    </xf>
    <xf numFmtId="0" fontId="2" fillId="4" borderId="7" xfId="0" applyFont="1" applyFill="1" applyBorder="1" applyAlignment="1">
      <alignment horizontal="center" wrapText="1"/>
    </xf>
    <xf numFmtId="0" fontId="2" fillId="0" borderId="25" xfId="0" applyFont="1" applyBorder="1" applyAlignment="1">
      <alignment horizontal="right" wrapText="1"/>
    </xf>
    <xf numFmtId="0" fontId="2" fillId="5" borderId="7" xfId="0" applyFont="1" applyFill="1" applyBorder="1" applyAlignment="1">
      <alignment horizontal="center" wrapText="1"/>
    </xf>
    <xf numFmtId="0" fontId="2" fillId="5" borderId="26" xfId="0" applyFont="1" applyFill="1" applyBorder="1" applyAlignment="1">
      <alignment horizontal="center" wrapText="1"/>
    </xf>
    <xf numFmtId="0" fontId="2" fillId="5" borderId="27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horizontal="center" wrapText="1"/>
    </xf>
    <xf numFmtId="0" fontId="2" fillId="5" borderId="29" xfId="0" applyFont="1" applyFill="1" applyBorder="1" applyAlignment="1">
      <alignment horizontal="center" wrapText="1"/>
    </xf>
    <xf numFmtId="0" fontId="2" fillId="5" borderId="30" xfId="0" applyFont="1" applyFill="1" applyBorder="1" applyAlignment="1">
      <alignment horizontal="center" wrapText="1"/>
    </xf>
    <xf numFmtId="0" fontId="0" fillId="0" borderId="7" xfId="0" applyBorder="1" applyAlignment="1">
      <alignment horizontal="right" wrapText="1"/>
    </xf>
    <xf numFmtId="0" fontId="2" fillId="6" borderId="7" xfId="0" applyFont="1" applyFill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right" wrapText="1"/>
    </xf>
    <xf numFmtId="0" fontId="2" fillId="0" borderId="1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6A4B-13ED-4F07-A35C-8711005C1C5B}">
  <sheetPr filterMode="1"/>
  <dimension ref="A1:S103"/>
  <sheetViews>
    <sheetView zoomScale="66" zoomScaleNormal="99" workbookViewId="0">
      <selection activeCell="A32" sqref="A32:B32"/>
    </sheetView>
  </sheetViews>
  <sheetFormatPr defaultRowHeight="14.4" x14ac:dyDescent="0.3"/>
  <cols>
    <col min="1" max="1" width="32.77734375" bestFit="1" customWidth="1"/>
    <col min="3" max="3" width="17.5546875" bestFit="1" customWidth="1"/>
    <col min="4" max="4" width="10.5546875" bestFit="1" customWidth="1"/>
    <col min="5" max="5" width="10.109375" bestFit="1" customWidth="1"/>
    <col min="6" max="6" width="22" customWidth="1"/>
    <col min="7" max="7" width="13.77734375" customWidth="1"/>
    <col min="8" max="8" width="11.44140625" bestFit="1" customWidth="1"/>
    <col min="9" max="9" width="28.33203125" bestFit="1" customWidth="1"/>
    <col min="13" max="13" width="11.77734375" bestFit="1" customWidth="1"/>
    <col min="14" max="14" width="13.33203125" bestFit="1" customWidth="1"/>
    <col min="15" max="15" width="21.33203125" bestFit="1" customWidth="1"/>
    <col min="16" max="16" width="17.77734375" bestFit="1" customWidth="1"/>
    <col min="17" max="17" width="25.77734375" bestFit="1" customWidth="1"/>
    <col min="18" max="18" width="10.109375" bestFit="1" customWidth="1"/>
  </cols>
  <sheetData>
    <row r="1" spans="1:19" ht="40.200000000000003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10" t="s">
        <v>258</v>
      </c>
      <c r="H1" s="14" t="s">
        <v>112</v>
      </c>
      <c r="I1" s="14" t="s">
        <v>119</v>
      </c>
      <c r="M1" s="16" t="s">
        <v>250</v>
      </c>
      <c r="N1" s="16" t="s">
        <v>152</v>
      </c>
      <c r="O1" s="16" t="s">
        <v>259</v>
      </c>
      <c r="P1" s="22" t="s">
        <v>155</v>
      </c>
      <c r="Q1" s="16" t="s">
        <v>260</v>
      </c>
      <c r="R1" s="16" t="s">
        <v>148</v>
      </c>
      <c r="S1" s="35" t="s">
        <v>256</v>
      </c>
    </row>
    <row r="2" spans="1:19" ht="15" thickBot="1" x14ac:dyDescent="0.35">
      <c r="A2" s="4" t="s">
        <v>8</v>
      </c>
      <c r="B2" s="5">
        <v>58</v>
      </c>
      <c r="C2" s="6">
        <f>VLOOKUP(B2,Sheet11!$B$2:$C$110,2,FALSE)</f>
        <v>0</v>
      </c>
      <c r="D2" s="6">
        <f>VLOOKUP(B2,Sheet11!$B$2:$D$110,3,FALSE)</f>
        <v>0</v>
      </c>
      <c r="E2" s="6">
        <f>VLOOKUP(B2,Sheet11!$B$2:$E$110,3,FALSE)</f>
        <v>0</v>
      </c>
      <c r="F2" s="6"/>
      <c r="G2" s="11"/>
      <c r="H2" s="15"/>
      <c r="I2" s="15" t="s">
        <v>118</v>
      </c>
      <c r="M2" s="16" t="s">
        <v>113</v>
      </c>
      <c r="N2" s="15">
        <f>SUMIFS($E$2:$E$102,$F$2:$F$102,"Programme",$G$2:$G$102,"100%",$H$2:$H$102,"Education")</f>
        <v>73319935</v>
      </c>
      <c r="O2" s="15">
        <f>SUMIFS($E$2:$E$102,$F$2:$F$102,"Programme",$G$2:$G$102,"less than 100%",$H$2:$H$102,"Education")</f>
        <v>9639</v>
      </c>
      <c r="P2" s="15">
        <f>SUMIFS($E$2:$E$102,$F$2:$F$102,"Non-Programme",$G$2:$G$102,"100%",$H$2:$H$102,"Education")</f>
        <v>2940723</v>
      </c>
      <c r="Q2" s="15">
        <f>SUMIFS($E$2:$E$102,$F$2:$F$102,"Non-Programme",$G$2:$G$102,"less than 100%",$H$2:$H$102,"Education")</f>
        <v>0</v>
      </c>
      <c r="R2" s="15">
        <f>SUM(N2:Q2)</f>
        <v>76270297</v>
      </c>
      <c r="S2" s="38">
        <f>R2/$R$7</f>
        <v>0.74597074912101813</v>
      </c>
    </row>
    <row r="3" spans="1:19" ht="29.4" hidden="1" thickBot="1" x14ac:dyDescent="0.35">
      <c r="A3" s="3" t="s">
        <v>9</v>
      </c>
      <c r="B3" s="5">
        <v>1067</v>
      </c>
      <c r="C3" s="6">
        <f>VLOOKUP(B3,Sheet11!$B$2:$C$110,2,FALSE)</f>
        <v>1539</v>
      </c>
      <c r="D3" s="6">
        <f>VLOOKUP(B3,Sheet11!$B$2:$D$110,3,FALSE)</f>
        <v>2074</v>
      </c>
      <c r="E3" s="6">
        <f>VLOOKUP(B3,Sheet11!$B$2:$E$110,3,FALSE)</f>
        <v>2074</v>
      </c>
      <c r="F3" s="6" t="s">
        <v>10</v>
      </c>
      <c r="G3" s="12">
        <v>1</v>
      </c>
      <c r="H3" s="15" t="s">
        <v>113</v>
      </c>
      <c r="I3" s="15" t="s">
        <v>118</v>
      </c>
      <c r="M3" s="16" t="s">
        <v>117</v>
      </c>
      <c r="N3" s="15">
        <f>SUMIFS($E$2:$E$102,$F$2:$F$102,"Programme",$G$2:$G$102,"100%",$H$2:$H$102,"Nutrition")</f>
        <v>18025730</v>
      </c>
      <c r="O3" s="15">
        <f>SUMIFS($E$2:$E$102,$F$2:$F$102,"Programme",$G$2:$G$102,"less than 100%",$H$2:$H$102,"Nutrition")</f>
        <v>0</v>
      </c>
      <c r="P3" s="15">
        <f>SUMIFS($E$2:$E$102,$F$2:$F$102,"Non-Programme",$G$2:$G$102,"100%",$H$2:$H$102,"Health")</f>
        <v>1105632</v>
      </c>
      <c r="Q3" s="15">
        <f>SUMIFS($E$2:$E$102,$F$2:$F$102,"Non-Programme",$G$2:$G$102,"less than 100%",$H$2:$H$102,"Health")</f>
        <v>129053</v>
      </c>
      <c r="R3" s="15">
        <f>SUM(N3:Q3)</f>
        <v>19260415</v>
      </c>
      <c r="S3" s="38">
        <f t="shared" ref="S3:S6" si="0">R3/$R$7</f>
        <v>0.18837878926748763</v>
      </c>
    </row>
    <row r="4" spans="1:19" ht="29.4" thickBot="1" x14ac:dyDescent="0.35">
      <c r="A4" s="4" t="s">
        <v>11</v>
      </c>
      <c r="B4" s="5">
        <v>5</v>
      </c>
      <c r="C4" s="6">
        <f>VLOOKUP(B4,Sheet11!$B$2:$C$110,2,FALSE)</f>
        <v>0</v>
      </c>
      <c r="D4" s="6">
        <f>VLOOKUP(B4,Sheet11!$B$2:$D$110,3,FALSE)</f>
        <v>0</v>
      </c>
      <c r="E4" s="6">
        <f>VLOOKUP(B4,Sheet11!$B$2:$E$110,3,FALSE)</f>
        <v>0</v>
      </c>
      <c r="F4" s="6"/>
      <c r="G4" s="11"/>
      <c r="H4" s="15"/>
      <c r="I4" s="15" t="s">
        <v>114</v>
      </c>
      <c r="M4" s="16" t="s">
        <v>114</v>
      </c>
      <c r="N4" s="15">
        <f t="shared" ref="N4" si="1">SUMIFS($E$2:$E$102,$F$2:$F$102,"Programme",$G$2:$G$102,"100%",$H$2:$H$102,"Health")</f>
        <v>113309</v>
      </c>
      <c r="O4" s="15">
        <f>SUMIFS($E$2:$E$102,$F$2:$F$102,"Programme",$G$2:$G$102,"less than 100%",$H$2:$H$102,"Health")</f>
        <v>94007</v>
      </c>
      <c r="P4" s="15">
        <f>SUMIFS($E$2:$E$102,$F$2:$F$102,"Non-Programme",$G$2:$G$102,"100%",$H$2:$H$102,"Nutrition")</f>
        <v>0</v>
      </c>
      <c r="Q4" s="15">
        <f>SUMIFS($E$2:$E$102,$F$2:$F$102,"Non-Programme",$G$2:$G$102,"less than 100%",$H$2:$H$102,"Nutrition")</f>
        <v>0</v>
      </c>
      <c r="R4" s="15">
        <f t="shared" ref="R4:R6" si="2">SUM(N4:Q4)</f>
        <v>207316</v>
      </c>
      <c r="S4" s="38">
        <f t="shared" si="0"/>
        <v>2.0276788987038164E-3</v>
      </c>
    </row>
    <row r="5" spans="1:19" ht="15" hidden="1" thickBot="1" x14ac:dyDescent="0.35">
      <c r="A5" s="3" t="s">
        <v>12</v>
      </c>
      <c r="B5" s="5">
        <v>1119</v>
      </c>
      <c r="C5" s="6">
        <f>VLOOKUP(B5,Sheet11!$B$2:$C$110,2,FALSE)</f>
        <v>130619</v>
      </c>
      <c r="D5" s="6">
        <f>VLOOKUP(B5,Sheet11!$B$2:$D$110,3,FALSE)</f>
        <v>129053</v>
      </c>
      <c r="E5" s="6">
        <f>VLOOKUP(B5,Sheet11!$B$2:$E$110,3,FALSE)</f>
        <v>129053</v>
      </c>
      <c r="F5" s="6" t="s">
        <v>13</v>
      </c>
      <c r="G5" s="11" t="s">
        <v>261</v>
      </c>
      <c r="H5" s="15" t="s">
        <v>114</v>
      </c>
      <c r="I5" s="15" t="s">
        <v>114</v>
      </c>
      <c r="M5" s="16" t="s">
        <v>115</v>
      </c>
      <c r="N5" s="15">
        <f>SUMIFS($E$2:$E$102,$F$2:$F$102,"Programme",$G$2:$G$102,"100%",$H$2:$H$102,"Protection")</f>
        <v>6347658</v>
      </c>
      <c r="O5" s="15">
        <f>SUMIFS($E$2:$E$102,$F$2:$F$102,"Programme",$G$2:$G$102,"less than 100%",$H$2:$H$102,"Protection")</f>
        <v>0</v>
      </c>
      <c r="P5" s="15">
        <f>SUMIFS($E$2:$E$102,$F$2:$F$102,"Non-Programme",$G$2:$G$102,"100%",$H$2:$H$102,"Protection")</f>
        <v>142301</v>
      </c>
      <c r="Q5" s="15">
        <f>SUMIFS($E$2:$E$102,$F$2:$F$102,"Non-Programme",$G$2:$G$102,"less than 100%",$H$2:$H$102,"Protection")</f>
        <v>2302</v>
      </c>
      <c r="R5" s="15">
        <f t="shared" si="2"/>
        <v>6492261</v>
      </c>
      <c r="S5" s="38">
        <f t="shared" si="0"/>
        <v>6.349833411110449E-2</v>
      </c>
    </row>
    <row r="6" spans="1:19" ht="18" customHeight="1" thickBot="1" x14ac:dyDescent="0.35">
      <c r="A6" s="4" t="s">
        <v>15</v>
      </c>
      <c r="B6" s="5">
        <v>59</v>
      </c>
      <c r="C6" s="6">
        <f>VLOOKUP(B6,Sheet11!$B$2:$C$110,2,FALSE)</f>
        <v>0</v>
      </c>
      <c r="D6" s="6">
        <f>VLOOKUP(B6,Sheet11!$B$2:$D$110,3,FALSE)</f>
        <v>0</v>
      </c>
      <c r="E6" s="6">
        <f>VLOOKUP(B6,Sheet11!$B$2:$E$110,3,FALSE)</f>
        <v>0</v>
      </c>
      <c r="F6" s="6"/>
      <c r="G6" s="11"/>
      <c r="H6" s="15"/>
      <c r="I6" s="15" t="s">
        <v>120</v>
      </c>
      <c r="M6" s="16" t="s">
        <v>116</v>
      </c>
      <c r="N6" s="15">
        <f>SUMIFS($E$2:$E$102,$F$2:$F$102,"Programme",$G$2:$G$102,"100%",$H$2:$H$102,"Participation")</f>
        <v>0</v>
      </c>
      <c r="O6" s="15">
        <f>SUMIFS($E$2:$E$102,$F$2:$F$102,"Programme",$G$2:$G$102,"less than 100%",$H$2:$H$102,"Participation")</f>
        <v>12614</v>
      </c>
      <c r="P6" s="15">
        <f>SUMIFS($E$2:$E$102,$F$2:$F$102,"Non-Programme",$G$2:$G$102,"100%",$H$2:$H$102,"Participation")</f>
        <v>0</v>
      </c>
      <c r="Q6" s="15">
        <f>SUMIFS($E$2:$E$102,$F$2:$F$102,"Non-Programme",$G$2:$G$102,"less than 100%",$H$2:$H$102,"Participation")</f>
        <v>110</v>
      </c>
      <c r="R6" s="15">
        <f t="shared" si="2"/>
        <v>12724</v>
      </c>
      <c r="S6" s="38">
        <f t="shared" si="0"/>
        <v>1.2444860168586775E-4</v>
      </c>
    </row>
    <row r="7" spans="1:19" ht="43.8" hidden="1" thickBot="1" x14ac:dyDescent="0.35">
      <c r="A7" s="3" t="s">
        <v>16</v>
      </c>
      <c r="B7" s="5">
        <v>1515</v>
      </c>
      <c r="C7" s="6">
        <f>VLOOKUP(B7,Sheet11!$B$2:$C$110,2,FALSE)</f>
        <v>214500</v>
      </c>
      <c r="D7" s="6">
        <f>VLOOKUP(B7,Sheet11!$B$2:$D$110,3,FALSE)</f>
        <v>285070</v>
      </c>
      <c r="E7" s="6">
        <f>VLOOKUP(B7,Sheet11!$B$2:$E$110,3,FALSE)</f>
        <v>285070</v>
      </c>
      <c r="F7" s="6" t="s">
        <v>13</v>
      </c>
      <c r="G7" s="12">
        <v>1</v>
      </c>
      <c r="H7" s="15" t="s">
        <v>113</v>
      </c>
      <c r="I7" s="15" t="s">
        <v>120</v>
      </c>
      <c r="M7" s="16" t="s">
        <v>148</v>
      </c>
      <c r="N7" s="15"/>
      <c r="O7" s="15"/>
      <c r="P7" s="15"/>
      <c r="Q7" s="15"/>
      <c r="R7" s="15">
        <f>SUM(R2:R6)</f>
        <v>102243013</v>
      </c>
      <c r="S7" s="38">
        <f>R7/$R$7</f>
        <v>1</v>
      </c>
    </row>
    <row r="8" spans="1:19" ht="43.8" hidden="1" thickBot="1" x14ac:dyDescent="0.35">
      <c r="A8" s="3" t="s">
        <v>17</v>
      </c>
      <c r="B8" s="5">
        <v>1514</v>
      </c>
      <c r="C8" s="6">
        <v>77760</v>
      </c>
      <c r="D8" s="6">
        <v>70677</v>
      </c>
      <c r="E8" s="6">
        <v>70677</v>
      </c>
      <c r="F8" s="6" t="s">
        <v>13</v>
      </c>
      <c r="G8" s="12">
        <v>1</v>
      </c>
      <c r="H8" s="15" t="s">
        <v>113</v>
      </c>
      <c r="I8" s="15" t="s">
        <v>120</v>
      </c>
      <c r="M8" s="16" t="s">
        <v>250</v>
      </c>
      <c r="N8" s="16" t="s">
        <v>152</v>
      </c>
      <c r="O8" s="16" t="s">
        <v>259</v>
      </c>
      <c r="P8" s="22" t="s">
        <v>155</v>
      </c>
      <c r="Q8" s="16" t="s">
        <v>260</v>
      </c>
      <c r="R8" s="16" t="s">
        <v>148</v>
      </c>
      <c r="S8" s="35" t="s">
        <v>256</v>
      </c>
    </row>
    <row r="9" spans="1:19" ht="43.8" hidden="1" thickBot="1" x14ac:dyDescent="0.35">
      <c r="A9" s="3" t="s">
        <v>18</v>
      </c>
      <c r="B9" s="5">
        <v>1513</v>
      </c>
      <c r="C9" s="6">
        <f>VLOOKUP(B9,Sheet11!$B$2:$C$110,2,FALSE)</f>
        <v>49750</v>
      </c>
      <c r="D9" s="6">
        <f>VLOOKUP(B9,Sheet11!$B$2:$D$110,3,FALSE)</f>
        <v>38000</v>
      </c>
      <c r="E9" s="6">
        <f>VLOOKUP(B9,Sheet11!$B$2:$E$110,3,FALSE)</f>
        <v>38000</v>
      </c>
      <c r="F9" s="6" t="s">
        <v>13</v>
      </c>
      <c r="G9" s="12">
        <v>1</v>
      </c>
      <c r="H9" s="15" t="s">
        <v>113</v>
      </c>
      <c r="I9" s="15" t="s">
        <v>120</v>
      </c>
      <c r="M9" s="16" t="s">
        <v>113</v>
      </c>
      <c r="N9" s="15">
        <f>SUMIFS($C$2:$C$102,$F$2:$F$102,"Programme",$G$2:$G$102,"100%",$H$2:$H$102,"Education")</f>
        <v>73943690</v>
      </c>
      <c r="O9" s="15">
        <f>SUMIFS($C$2:$C$102,$F$2:$F$102,"Programme",$G$2:$G$102,"less than 100%",$H$2:$H$102,"Education")</f>
        <v>11221</v>
      </c>
      <c r="P9" s="15">
        <f>SUMIFS($C$2:$C$102,$F$2:$F$102,"Non-Programme",$G$2:$G$102,"100%",$H$2:$H$102,"Education")</f>
        <v>3627617</v>
      </c>
      <c r="Q9" s="15">
        <f>SUMIFS($C$2:$C$102,$F$2:$F$102,"Non-Programme",$G$2:$G$102,"less than 100%",$H$2:$H$102,"Education")</f>
        <v>0</v>
      </c>
      <c r="R9" s="15">
        <f>SUM(N9:Q9)</f>
        <v>77582528</v>
      </c>
      <c r="S9" s="38">
        <f>R9/$R$14</f>
        <v>0.74490900140386485</v>
      </c>
    </row>
    <row r="10" spans="1:19" ht="43.8" hidden="1" thickBot="1" x14ac:dyDescent="0.35">
      <c r="A10" s="3" t="s">
        <v>19</v>
      </c>
      <c r="B10" s="5">
        <v>1512</v>
      </c>
      <c r="C10" s="6">
        <f>VLOOKUP(B10,Sheet11!$B$2:$C$110,2,FALSE)</f>
        <v>50050</v>
      </c>
      <c r="D10" s="6">
        <f>VLOOKUP(B10,Sheet11!$B$2:$D$110,3,FALSE)</f>
        <v>41994</v>
      </c>
      <c r="E10" s="6">
        <f>VLOOKUP(B10,Sheet11!$B$2:$E$110,3,FALSE)</f>
        <v>41994</v>
      </c>
      <c r="F10" s="6" t="s">
        <v>13</v>
      </c>
      <c r="G10" s="12">
        <v>1</v>
      </c>
      <c r="H10" s="15" t="s">
        <v>113</v>
      </c>
      <c r="I10" s="15" t="s">
        <v>120</v>
      </c>
      <c r="M10" s="16" t="s">
        <v>117</v>
      </c>
      <c r="N10" s="15">
        <f>SUMIFS($C$2:$C$102,$F$2:$F$102,"Programme",$G$2:$G$102,"100%",$H$2:$H$102,"Nutrition")</f>
        <v>21610444</v>
      </c>
      <c r="O10" s="15">
        <f>SUMIFS($C$2:$C$102,$F$2:$F$102,"Programme",$G$2:$G$102,"less than 100%",$H$2:$H$102,"Nutrition")</f>
        <v>0</v>
      </c>
      <c r="P10" s="15">
        <f>SUMIFS($C$2:$C$102,$F$2:$F$102,"Non-Programme",$G$2:$G$102,"100%",$H$2:$H$102,"Health")</f>
        <v>1216510</v>
      </c>
      <c r="Q10" s="15">
        <f>SUMIFS($C$2:$C$102,$F$2:$F$102,"Non-Programme",$G$2:$G$102,"less than 100%",$H$2:$H$102,"Health")</f>
        <v>130619</v>
      </c>
      <c r="R10" s="15">
        <f>SUM(N10:Q10)</f>
        <v>22957573</v>
      </c>
      <c r="S10" s="38">
        <f t="shared" ref="S10:S14" si="3">R10/$R$14</f>
        <v>0.22042724333610692</v>
      </c>
    </row>
    <row r="11" spans="1:19" ht="43.8" hidden="1" thickBot="1" x14ac:dyDescent="0.35">
      <c r="A11" s="3" t="s">
        <v>20</v>
      </c>
      <c r="B11" s="5">
        <v>1511</v>
      </c>
      <c r="C11" s="6">
        <f>VLOOKUP(B11,Sheet11!$B$2:$C$110,2,FALSE)</f>
        <v>920000</v>
      </c>
      <c r="D11" s="6">
        <f>VLOOKUP(B11,Sheet11!$B$2:$D$110,3,FALSE)</f>
        <v>870000</v>
      </c>
      <c r="E11" s="6">
        <f>VLOOKUP(B11,Sheet11!$B$2:$E$110,3,FALSE)</f>
        <v>870000</v>
      </c>
      <c r="F11" s="6" t="s">
        <v>13</v>
      </c>
      <c r="G11" s="12">
        <v>1</v>
      </c>
      <c r="H11" s="15" t="s">
        <v>114</v>
      </c>
      <c r="I11" s="15" t="s">
        <v>120</v>
      </c>
      <c r="M11" s="16" t="s">
        <v>114</v>
      </c>
      <c r="N11" s="15">
        <f>SUMIFS($C$2:$C$102,$F$2:$F$102,"Programme",$G$2:$G$102,"100%",$H$2:$H$102,"Health")</f>
        <v>158073</v>
      </c>
      <c r="O11" s="15">
        <f>SUMIFS($C$2:$C$102,$F$2:$F$102,"Programme",$G$2:$G$102,"less than 100%",$H$2:$H$102,"Health")</f>
        <v>79007</v>
      </c>
      <c r="P11" s="15">
        <f>SUMIFS($C$2:$C$102,$F$2:$F$102,"Non-Programme",$G$2:$G$102,"100%",$H$2:$H$102,"Nutrition")</f>
        <v>0</v>
      </c>
      <c r="Q11" s="15">
        <f>SUMIFS($C$2:$C$102,$F$2:$F$102,"Non-Programme",$G$2:$G$102,"less than 100%",$H$2:$H$102,"Nutrition")</f>
        <v>0</v>
      </c>
      <c r="R11" s="15">
        <f t="shared" ref="R11:R13" si="4">SUM(N11:Q11)</f>
        <v>237080</v>
      </c>
      <c r="S11" s="38">
        <f t="shared" si="3"/>
        <v>2.2763247164726092E-3</v>
      </c>
    </row>
    <row r="12" spans="1:19" ht="43.8" hidden="1" thickBot="1" x14ac:dyDescent="0.35">
      <c r="A12" s="3" t="s">
        <v>21</v>
      </c>
      <c r="B12" s="5">
        <v>42</v>
      </c>
      <c r="C12" s="6">
        <f>VLOOKUP(B12,Sheet11!$B$2:$C$110,2,FALSE)</f>
        <v>779464</v>
      </c>
      <c r="D12" s="6">
        <f>VLOOKUP(B12,Sheet11!$B$2:$D$110,3,FALSE)</f>
        <v>748230</v>
      </c>
      <c r="E12" s="6">
        <f>VLOOKUP(B12,Sheet11!$B$2:$E$110,3,FALSE)</f>
        <v>748230</v>
      </c>
      <c r="F12" s="6" t="s">
        <v>13</v>
      </c>
      <c r="G12" s="12">
        <v>1</v>
      </c>
      <c r="H12" s="15" t="s">
        <v>113</v>
      </c>
      <c r="I12" s="15" t="s">
        <v>120</v>
      </c>
      <c r="M12" s="16" t="s">
        <v>115</v>
      </c>
      <c r="N12" s="15">
        <f>SUMIFS($C$2:$C$102,$F$2:$F$102,"Programme",$G$2:$G$102,"100%",$H$2:$H$102,"Protection")</f>
        <v>3233781</v>
      </c>
      <c r="O12" s="15">
        <f>SUMIFS($C$2:$C$102,$F$2:$F$102,"Programme",$G$2:$G$102,"less than 100%",$H$2:$H$102,"Protection")</f>
        <v>0</v>
      </c>
      <c r="P12" s="15">
        <f>SUMIFS($C$2:$C$102,$F$2:$F$102,"Non-Programme",$G$2:$G$102,"100%",$H$2:$H$102,"Protection")</f>
        <v>122700</v>
      </c>
      <c r="Q12" s="15">
        <f>SUMIFS($C$2:$C$102,$F$2:$F$102,"Non-Programme",$G$2:$G$102,"less than 100%",$H$2:$H$102,"Protection")</f>
        <v>2352</v>
      </c>
      <c r="R12" s="15">
        <f t="shared" si="4"/>
        <v>3358833</v>
      </c>
      <c r="S12" s="38">
        <f t="shared" si="3"/>
        <v>3.2249850583785405E-2</v>
      </c>
    </row>
    <row r="13" spans="1:19" ht="43.8" hidden="1" thickBot="1" x14ac:dyDescent="0.35">
      <c r="A13" s="3" t="s">
        <v>22</v>
      </c>
      <c r="B13" s="5">
        <v>1568</v>
      </c>
      <c r="C13" s="6">
        <f>VLOOKUP(B13,Sheet11!$B$2:$C$110,2,FALSE)</f>
        <v>6000</v>
      </c>
      <c r="D13" s="6">
        <f>VLOOKUP(B13,Sheet11!$B$2:$D$110,3,FALSE)</f>
        <v>6000</v>
      </c>
      <c r="E13" s="6">
        <f>VLOOKUP(B13,Sheet11!$B$2:$E$110,3,FALSE)</f>
        <v>6000</v>
      </c>
      <c r="F13" s="6" t="s">
        <v>13</v>
      </c>
      <c r="G13" s="12">
        <v>1</v>
      </c>
      <c r="H13" s="15" t="s">
        <v>113</v>
      </c>
      <c r="I13" s="15" t="s">
        <v>120</v>
      </c>
      <c r="M13" s="16" t="s">
        <v>116</v>
      </c>
      <c r="N13" s="15">
        <f>SUMIFS($C$2:$C$102,$F$2:$F$102,"Programme",$G$2:$G$102,"100%",$H$2:$H$102,"Participation")</f>
        <v>0</v>
      </c>
      <c r="O13" s="15">
        <f>SUMIFS($C$2:$C$102,$F$2:$F$102,"Programme",$G$2:$G$102,"less than 100%",$H$2:$H$102,"Participation")</f>
        <v>13329</v>
      </c>
      <c r="P13" s="15">
        <f>SUMIFS($C$2:$C$102,$F$2:$F$102,"Non-Programme",$G$2:$G$102,"100%",$H$2:$H$102,"Participation")</f>
        <v>0</v>
      </c>
      <c r="Q13" s="15">
        <f>SUMIFS($C$2:$C$102,$F$2:$F$102,"Non-Programme",$G$2:$G$102,"less than 100%",$H$2:$H$102,"Participation")</f>
        <v>1000</v>
      </c>
      <c r="R13" s="15">
        <f t="shared" si="4"/>
        <v>14329</v>
      </c>
      <c r="S13" s="38">
        <f t="shared" si="3"/>
        <v>1.375799597702717E-4</v>
      </c>
    </row>
    <row r="14" spans="1:19" ht="43.8" hidden="1" thickBot="1" x14ac:dyDescent="0.35">
      <c r="A14" s="3" t="s">
        <v>23</v>
      </c>
      <c r="B14" s="5">
        <v>1601</v>
      </c>
      <c r="C14" s="6">
        <f>VLOOKUP(B14,Sheet11!$B$2:$C$110,2,FALSE)</f>
        <v>29500</v>
      </c>
      <c r="D14" s="6">
        <f>VLOOKUP(B14,Sheet11!$B$2:$D$110,3,FALSE)</f>
        <v>51000</v>
      </c>
      <c r="E14" s="6">
        <f>VLOOKUP(B14,Sheet11!$B$2:$E$110,3,FALSE)</f>
        <v>51000</v>
      </c>
      <c r="F14" s="6" t="s">
        <v>13</v>
      </c>
      <c r="G14" s="12">
        <v>1</v>
      </c>
      <c r="H14" s="15" t="s">
        <v>113</v>
      </c>
      <c r="I14" s="15" t="s">
        <v>120</v>
      </c>
      <c r="M14" s="16" t="s">
        <v>148</v>
      </c>
      <c r="N14" s="15"/>
      <c r="O14" s="15"/>
      <c r="P14" s="15"/>
      <c r="Q14" s="15"/>
      <c r="R14" s="15">
        <f>SUM(R9:R13)</f>
        <v>104150343</v>
      </c>
      <c r="S14" s="38">
        <f t="shared" si="3"/>
        <v>1</v>
      </c>
    </row>
    <row r="15" spans="1:19" ht="29.4" hidden="1" thickBot="1" x14ac:dyDescent="0.35">
      <c r="A15" s="3" t="s">
        <v>24</v>
      </c>
      <c r="B15" s="5">
        <v>1595</v>
      </c>
      <c r="C15" s="6">
        <f>VLOOKUP(B15,Sheet11!$B$2:$C$110,2,FALSE)</f>
        <v>45610</v>
      </c>
      <c r="D15" s="6">
        <f>VLOOKUP(B15,Sheet11!$B$2:$D$110,3,FALSE)</f>
        <v>34360</v>
      </c>
      <c r="E15" s="6">
        <f>VLOOKUP(B15,Sheet11!$B$2:$E$110,3,FALSE)</f>
        <v>34360</v>
      </c>
      <c r="F15" s="6" t="s">
        <v>13</v>
      </c>
      <c r="G15" s="12">
        <v>1</v>
      </c>
      <c r="H15" s="15" t="s">
        <v>113</v>
      </c>
      <c r="I15" s="15" t="s">
        <v>120</v>
      </c>
    </row>
    <row r="16" spans="1:19" ht="43.8" hidden="1" thickBot="1" x14ac:dyDescent="0.35">
      <c r="A16" s="3" t="s">
        <v>25</v>
      </c>
      <c r="B16" s="5">
        <v>1564</v>
      </c>
      <c r="C16" s="6">
        <f>VLOOKUP(B16,Sheet11!$B$2:$C$110,2,FALSE)</f>
        <v>156750</v>
      </c>
      <c r="D16" s="6">
        <f>VLOOKUP(B16,Sheet11!$B$2:$D$110,3,FALSE)</f>
        <v>119034</v>
      </c>
      <c r="E16" s="6">
        <f>VLOOKUP(B16,Sheet11!$B$2:$E$110,3,FALSE)</f>
        <v>119034</v>
      </c>
      <c r="F16" s="6" t="s">
        <v>13</v>
      </c>
      <c r="G16" s="12">
        <v>1</v>
      </c>
      <c r="H16" s="15" t="s">
        <v>113</v>
      </c>
      <c r="I16" s="15" t="s">
        <v>120</v>
      </c>
    </row>
    <row r="17" spans="1:9" ht="43.8" hidden="1" thickBot="1" x14ac:dyDescent="0.35">
      <c r="A17" s="3" t="s">
        <v>26</v>
      </c>
      <c r="B17" s="5">
        <v>1569</v>
      </c>
      <c r="C17" s="6">
        <f>VLOOKUP(B17,Sheet11!$B$2:$C$110,2,FALSE)</f>
        <v>29400</v>
      </c>
      <c r="D17" s="6">
        <f>VLOOKUP(B17,Sheet11!$B$2:$D$110,3,FALSE)</f>
        <v>71000</v>
      </c>
      <c r="E17" s="6">
        <f>VLOOKUP(B17,Sheet11!$B$2:$E$110,3,FALSE)</f>
        <v>71000</v>
      </c>
      <c r="F17" s="6" t="s">
        <v>13</v>
      </c>
      <c r="G17" s="12">
        <v>1</v>
      </c>
      <c r="H17" s="15" t="s">
        <v>113</v>
      </c>
      <c r="I17" s="15" t="s">
        <v>120</v>
      </c>
    </row>
    <row r="18" spans="1:9" ht="43.8" hidden="1" thickBot="1" x14ac:dyDescent="0.35">
      <c r="A18" s="3" t="s">
        <v>27</v>
      </c>
      <c r="B18" s="5">
        <v>1565</v>
      </c>
      <c r="C18" s="6">
        <f>VLOOKUP(B18,Sheet11!$B$2:$C$110,2,FALSE)</f>
        <v>45030</v>
      </c>
      <c r="D18" s="6">
        <f>VLOOKUP(B18,Sheet11!$B$2:$D$110,3,FALSE)</f>
        <v>35212</v>
      </c>
      <c r="E18" s="6">
        <f>VLOOKUP(B18,Sheet11!$B$2:$E$110,3,FALSE)</f>
        <v>35212</v>
      </c>
      <c r="F18" s="6" t="s">
        <v>13</v>
      </c>
      <c r="G18" s="12">
        <v>1</v>
      </c>
      <c r="H18" s="15" t="s">
        <v>114</v>
      </c>
      <c r="I18" s="15" t="s">
        <v>120</v>
      </c>
    </row>
    <row r="19" spans="1:9" ht="29.4" hidden="1" thickBot="1" x14ac:dyDescent="0.35">
      <c r="A19" s="3" t="s">
        <v>28</v>
      </c>
      <c r="B19" s="5">
        <v>1829</v>
      </c>
      <c r="C19" s="6">
        <f>VLOOKUP(B19,Sheet11!$B$2:$C$110,2,FALSE)</f>
        <v>55000</v>
      </c>
      <c r="D19" s="6">
        <f>VLOOKUP(B19,Sheet11!$B$2:$D$110,3,FALSE)</f>
        <v>55000</v>
      </c>
      <c r="E19" s="6">
        <f>VLOOKUP(B19,Sheet11!$B$2:$E$110,3,FALSE)</f>
        <v>55000</v>
      </c>
      <c r="F19" s="6" t="s">
        <v>13</v>
      </c>
      <c r="G19" s="12">
        <v>1</v>
      </c>
      <c r="H19" s="15" t="s">
        <v>114</v>
      </c>
      <c r="I19" s="15" t="s">
        <v>120</v>
      </c>
    </row>
    <row r="20" spans="1:9" ht="43.8" hidden="1" thickBot="1" x14ac:dyDescent="0.35">
      <c r="A20" s="3" t="s">
        <v>29</v>
      </c>
      <c r="B20" s="5">
        <v>1582</v>
      </c>
      <c r="C20" s="6">
        <f>VLOOKUP(B20,Sheet11!$B$2:$C$110,2,FALSE)</f>
        <v>1224</v>
      </c>
      <c r="D20" s="6">
        <f>VLOOKUP(B20,Sheet11!$B$2:$D$110,3,FALSE)</f>
        <v>1530</v>
      </c>
      <c r="E20" s="6">
        <f>VLOOKUP(B20,Sheet11!$B$2:$E$110,3,FALSE)</f>
        <v>1530</v>
      </c>
      <c r="F20" s="6" t="s">
        <v>13</v>
      </c>
      <c r="G20" s="12">
        <v>1</v>
      </c>
      <c r="H20" s="15" t="s">
        <v>113</v>
      </c>
      <c r="I20" s="15" t="s">
        <v>120</v>
      </c>
    </row>
    <row r="21" spans="1:9" ht="43.8" hidden="1" thickBot="1" x14ac:dyDescent="0.35">
      <c r="A21" s="3" t="s">
        <v>30</v>
      </c>
      <c r="B21" s="5">
        <v>1571</v>
      </c>
      <c r="C21" s="6">
        <f>VLOOKUP(B21,Sheet11!$B$2:$C$110,2,FALSE)</f>
        <v>11500</v>
      </c>
      <c r="D21" s="6">
        <f>VLOOKUP(B21,Sheet11!$B$2:$D$110,3,FALSE)</f>
        <v>11400</v>
      </c>
      <c r="E21" s="6">
        <f>VLOOKUP(B21,Sheet11!$B$2:$E$110,3,FALSE)</f>
        <v>11400</v>
      </c>
      <c r="F21" s="6" t="s">
        <v>13</v>
      </c>
      <c r="G21" s="12">
        <v>1</v>
      </c>
      <c r="H21" s="15" t="s">
        <v>113</v>
      </c>
      <c r="I21" s="15" t="s">
        <v>120</v>
      </c>
    </row>
    <row r="22" spans="1:9" ht="43.8" hidden="1" thickBot="1" x14ac:dyDescent="0.35">
      <c r="A22" s="3" t="s">
        <v>31</v>
      </c>
      <c r="B22" s="5">
        <v>1566</v>
      </c>
      <c r="C22" s="6">
        <f>VLOOKUP(B22,Sheet11!$B$2:$C$110,2,FALSE)</f>
        <v>83250</v>
      </c>
      <c r="D22" s="6">
        <f>VLOOKUP(B22,Sheet11!$B$2:$D$110,3,FALSE)</f>
        <v>76010</v>
      </c>
      <c r="E22" s="6">
        <f>VLOOKUP(B22,Sheet11!$B$2:$E$110,3,FALSE)</f>
        <v>76010</v>
      </c>
      <c r="F22" s="6" t="s">
        <v>13</v>
      </c>
      <c r="G22" s="12">
        <v>1</v>
      </c>
      <c r="H22" s="15" t="s">
        <v>113</v>
      </c>
      <c r="I22" s="15" t="s">
        <v>120</v>
      </c>
    </row>
    <row r="23" spans="1:9" ht="43.8" hidden="1" thickBot="1" x14ac:dyDescent="0.35">
      <c r="A23" s="3" t="s">
        <v>32</v>
      </c>
      <c r="B23" s="5">
        <v>1607</v>
      </c>
      <c r="C23" s="6">
        <f>VLOOKUP(B23,Sheet11!$B$2:$C$110,2,FALSE)</f>
        <v>63458</v>
      </c>
      <c r="D23" s="6">
        <f>VLOOKUP(B23,Sheet11!$B$2:$D$110,3,FALSE)</f>
        <v>48376</v>
      </c>
      <c r="E23" s="6">
        <f>VLOOKUP(B23,Sheet11!$B$2:$E$110,3,FALSE)</f>
        <v>48376</v>
      </c>
      <c r="F23" s="6" t="s">
        <v>13</v>
      </c>
      <c r="G23" s="12">
        <v>1</v>
      </c>
      <c r="H23" s="15" t="s">
        <v>113</v>
      </c>
      <c r="I23" s="15" t="s">
        <v>120</v>
      </c>
    </row>
    <row r="24" spans="1:9" ht="43.8" hidden="1" thickBot="1" x14ac:dyDescent="0.35">
      <c r="A24" s="3" t="s">
        <v>33</v>
      </c>
      <c r="B24" s="5">
        <v>1577</v>
      </c>
      <c r="C24" s="6">
        <f>VLOOKUP(B24,Sheet11!$B$2:$C$110,2,FALSE)</f>
        <v>110000</v>
      </c>
      <c r="D24" s="6">
        <f>VLOOKUP(B24,Sheet11!$B$2:$D$110,3,FALSE)</f>
        <v>75000</v>
      </c>
      <c r="E24" s="6">
        <f>VLOOKUP(B24,Sheet11!$B$2:$E$110,3,FALSE)</f>
        <v>75000</v>
      </c>
      <c r="F24" s="6" t="s">
        <v>13</v>
      </c>
      <c r="G24" s="12">
        <v>1</v>
      </c>
      <c r="H24" s="15" t="s">
        <v>114</v>
      </c>
      <c r="I24" s="15" t="s">
        <v>120</v>
      </c>
    </row>
    <row r="25" spans="1:9" ht="43.8" hidden="1" thickBot="1" x14ac:dyDescent="0.35">
      <c r="A25" s="3" t="s">
        <v>34</v>
      </c>
      <c r="B25" s="5">
        <v>1591</v>
      </c>
      <c r="C25" s="6">
        <f>VLOOKUP(B25,Sheet11!$B$2:$C$110,2,FALSE)</f>
        <v>438889</v>
      </c>
      <c r="D25" s="6">
        <f>VLOOKUP(B25,Sheet11!$B$2:$D$110,3,FALSE)</f>
        <v>189085</v>
      </c>
      <c r="E25" s="6">
        <f>VLOOKUP(B25,Sheet11!$B$2:$E$110,3,FALSE)</f>
        <v>189085</v>
      </c>
      <c r="F25" s="6" t="s">
        <v>13</v>
      </c>
      <c r="G25" s="12">
        <v>1</v>
      </c>
      <c r="H25" s="15" t="s">
        <v>113</v>
      </c>
      <c r="I25" s="15" t="s">
        <v>120</v>
      </c>
    </row>
    <row r="26" spans="1:9" ht="29.4" hidden="1" thickBot="1" x14ac:dyDescent="0.35">
      <c r="A26" s="3" t="s">
        <v>35</v>
      </c>
      <c r="B26" s="5">
        <v>1724</v>
      </c>
      <c r="C26" s="6">
        <f>VLOOKUP(B26,Sheet11!$B$2:$C$110,2,FALSE)</f>
        <v>1000</v>
      </c>
      <c r="D26" s="6">
        <f>VLOOKUP(B26,Sheet11!$B$2:$D$110,3,FALSE)</f>
        <v>2000</v>
      </c>
      <c r="E26" s="6">
        <f>VLOOKUP(B26,Sheet11!$B$2:$E$110,3,FALSE)</f>
        <v>2000</v>
      </c>
      <c r="F26" s="6" t="s">
        <v>10</v>
      </c>
      <c r="G26" s="12">
        <v>1</v>
      </c>
      <c r="H26" s="15" t="s">
        <v>113</v>
      </c>
      <c r="I26" s="15" t="s">
        <v>120</v>
      </c>
    </row>
    <row r="27" spans="1:9" ht="43.8" hidden="1" thickBot="1" x14ac:dyDescent="0.35">
      <c r="A27" s="3" t="s">
        <v>36</v>
      </c>
      <c r="B27" s="5">
        <v>1725</v>
      </c>
      <c r="C27" s="6">
        <f>VLOOKUP(B27,Sheet11!$B$2:$C$110,2,FALSE)</f>
        <v>86480</v>
      </c>
      <c r="D27" s="6">
        <f>VLOOKUP(B27,Sheet11!$B$2:$D$110,3,FALSE)</f>
        <v>70420</v>
      </c>
      <c r="E27" s="6">
        <f>VLOOKUP(B27,Sheet11!$B$2:$E$110,3,FALSE)</f>
        <v>70420</v>
      </c>
      <c r="F27" s="6" t="s">
        <v>13</v>
      </c>
      <c r="G27" s="12">
        <v>1</v>
      </c>
      <c r="H27" s="15" t="s">
        <v>114</v>
      </c>
      <c r="I27" s="15" t="s">
        <v>120</v>
      </c>
    </row>
    <row r="28" spans="1:9" ht="15" thickBot="1" x14ac:dyDescent="0.35">
      <c r="A28" s="4" t="s">
        <v>37</v>
      </c>
      <c r="B28" s="7">
        <v>259</v>
      </c>
      <c r="C28" s="6">
        <f>VLOOKUP(B28,Sheet11!$B$2:$C$110,2,FALSE)</f>
        <v>0</v>
      </c>
      <c r="D28" s="6">
        <f>VLOOKUP(B28,Sheet11!$B$2:$D$110,3,FALSE)</f>
        <v>0</v>
      </c>
      <c r="E28" s="6">
        <f>VLOOKUP(B28,Sheet11!$B$2:$E$110,3,FALSE)</f>
        <v>0</v>
      </c>
      <c r="F28" s="9"/>
      <c r="G28" s="13"/>
      <c r="H28" s="15"/>
      <c r="I28" s="15" t="s">
        <v>156</v>
      </c>
    </row>
    <row r="29" spans="1:9" ht="15" hidden="1" thickBot="1" x14ac:dyDescent="0.35">
      <c r="A29" s="3" t="s">
        <v>38</v>
      </c>
      <c r="B29" s="5">
        <v>2543</v>
      </c>
      <c r="C29" s="6">
        <f>VLOOKUP(B29,Sheet11!$B$2:$C$110,2,FALSE)</f>
        <v>30000</v>
      </c>
      <c r="D29" s="6">
        <f>VLOOKUP(B29,Sheet11!$B$2:$D$110,3,FALSE)</f>
        <v>25000</v>
      </c>
      <c r="E29" s="6">
        <f>VLOOKUP(B29,Sheet11!$B$2:$E$110,3,FALSE)</f>
        <v>25000</v>
      </c>
      <c r="F29" s="6" t="s">
        <v>13</v>
      </c>
      <c r="G29" s="12">
        <v>1</v>
      </c>
      <c r="H29" s="15" t="s">
        <v>115</v>
      </c>
      <c r="I29" s="15" t="s">
        <v>156</v>
      </c>
    </row>
    <row r="30" spans="1:9" ht="15" hidden="1" thickBot="1" x14ac:dyDescent="0.35">
      <c r="A30" s="3" t="s">
        <v>39</v>
      </c>
      <c r="B30" s="5">
        <v>1219</v>
      </c>
      <c r="C30" s="6">
        <f>VLOOKUP(B30,Sheet11!$B$2:$C$110,2,FALSE)</f>
        <v>593400</v>
      </c>
      <c r="D30" s="6">
        <f>VLOOKUP(B30,Sheet11!$B$2:$D$110,3,FALSE)</f>
        <v>600000</v>
      </c>
      <c r="E30" s="6">
        <f>VLOOKUP(B30,Sheet11!$B$2:$E$110,3,FALSE)</f>
        <v>600000</v>
      </c>
      <c r="F30" s="6" t="s">
        <v>10</v>
      </c>
      <c r="G30" s="12">
        <v>1</v>
      </c>
      <c r="H30" s="15" t="s">
        <v>115</v>
      </c>
      <c r="I30" s="15" t="s">
        <v>156</v>
      </c>
    </row>
    <row r="31" spans="1:9" ht="15" hidden="1" thickBot="1" x14ac:dyDescent="0.35">
      <c r="A31" s="3" t="s">
        <v>40</v>
      </c>
      <c r="B31" s="5">
        <v>986</v>
      </c>
      <c r="C31" s="6">
        <f>VLOOKUP(B31,Sheet11!$B$2:$C$110,2,FALSE)</f>
        <v>12700</v>
      </c>
      <c r="D31" s="6">
        <f>VLOOKUP(B31,Sheet11!$B$2:$D$110,3,FALSE)</f>
        <v>301</v>
      </c>
      <c r="E31" s="6">
        <f>VLOOKUP(B31,Sheet11!$B$2:$E$110,3,FALSE)</f>
        <v>301</v>
      </c>
      <c r="F31" s="6" t="s">
        <v>13</v>
      </c>
      <c r="G31" s="12">
        <v>1</v>
      </c>
      <c r="H31" s="15" t="s">
        <v>115</v>
      </c>
      <c r="I31" s="15" t="s">
        <v>156</v>
      </c>
    </row>
    <row r="32" spans="1:9" ht="15" thickBot="1" x14ac:dyDescent="0.35">
      <c r="A32" s="4" t="s">
        <v>41</v>
      </c>
      <c r="B32" s="7">
        <v>244</v>
      </c>
      <c r="C32" s="6">
        <f>VLOOKUP(B32,Sheet11!$B$2:$C$110,2,FALSE)</f>
        <v>0</v>
      </c>
      <c r="D32" s="6">
        <f>VLOOKUP(B32,Sheet11!$B$2:$D$110,3,FALSE)</f>
        <v>0</v>
      </c>
      <c r="E32" s="6">
        <f>VLOOKUP(B32,Sheet11!$B$2:$E$110,3,FALSE)</f>
        <v>0</v>
      </c>
      <c r="F32" s="9"/>
      <c r="G32" s="13"/>
      <c r="H32" s="15"/>
      <c r="I32" s="15" t="s">
        <v>122</v>
      </c>
    </row>
    <row r="33" spans="1:9" ht="15" hidden="1" thickBot="1" x14ac:dyDescent="0.35">
      <c r="A33" s="3" t="s">
        <v>42</v>
      </c>
      <c r="B33" s="5">
        <v>366</v>
      </c>
      <c r="C33" s="6">
        <f>VLOOKUP(B33,Sheet11!$B$2:$C$110,2,FALSE)</f>
        <v>2102</v>
      </c>
      <c r="D33" s="6">
        <f>VLOOKUP(B33,Sheet11!$B$2:$D$110,3,FALSE)</f>
        <v>2052</v>
      </c>
      <c r="E33" s="6">
        <f>VLOOKUP(B33,Sheet11!$B$2:$E$110,3,FALSE)</f>
        <v>2052</v>
      </c>
      <c r="F33" s="6" t="s">
        <v>13</v>
      </c>
      <c r="G33" s="11" t="s">
        <v>261</v>
      </c>
      <c r="H33" s="15" t="s">
        <v>115</v>
      </c>
      <c r="I33" s="15" t="s">
        <v>122</v>
      </c>
    </row>
    <row r="34" spans="1:9" ht="15" thickBot="1" x14ac:dyDescent="0.35">
      <c r="A34" s="3" t="s">
        <v>43</v>
      </c>
      <c r="B34" s="5">
        <v>338</v>
      </c>
      <c r="C34" s="6">
        <f>VLOOKUP(B34,Sheet11!$B$2:$C$110,2,FALSE)</f>
        <v>1000</v>
      </c>
      <c r="D34" s="6">
        <f>VLOOKUP(B34,Sheet11!$B$2:$D$110,3,FALSE)</f>
        <v>110</v>
      </c>
      <c r="E34" s="6">
        <f>VLOOKUP(B34,Sheet11!$B$2:$E$110,3,FALSE)</f>
        <v>110</v>
      </c>
      <c r="F34" s="6" t="s">
        <v>13</v>
      </c>
      <c r="G34" s="11" t="s">
        <v>261</v>
      </c>
      <c r="H34" s="15" t="s">
        <v>116</v>
      </c>
      <c r="I34" s="15" t="s">
        <v>122</v>
      </c>
    </row>
    <row r="35" spans="1:9" ht="29.4" hidden="1" thickBot="1" x14ac:dyDescent="0.35">
      <c r="A35" s="3" t="s">
        <v>44</v>
      </c>
      <c r="B35" s="5">
        <v>2591</v>
      </c>
      <c r="C35" s="6">
        <f>VLOOKUP(B35,Sheet11!$B$2:$C$110,2,FALSE)</f>
        <v>40381</v>
      </c>
      <c r="D35" s="6">
        <f>VLOOKUP(B35,Sheet11!$B$2:$D$110,3,FALSE)</f>
        <v>37831</v>
      </c>
      <c r="E35" s="6">
        <f>VLOOKUP(B35,Sheet11!$B$2:$E$110,3,FALSE)</f>
        <v>37831</v>
      </c>
      <c r="F35" s="6" t="s">
        <v>10</v>
      </c>
      <c r="G35" s="12">
        <v>1</v>
      </c>
      <c r="H35" s="15" t="s">
        <v>115</v>
      </c>
      <c r="I35" s="15" t="s">
        <v>122</v>
      </c>
    </row>
    <row r="36" spans="1:9" ht="43.8" hidden="1" thickBot="1" x14ac:dyDescent="0.35">
      <c r="A36" s="3" t="s">
        <v>45</v>
      </c>
      <c r="B36" s="5">
        <v>2589</v>
      </c>
      <c r="C36" s="6">
        <f>VLOOKUP(B36,Sheet11!$B$2:$C$110,2,FALSE)</f>
        <v>250</v>
      </c>
      <c r="D36" s="6">
        <f>VLOOKUP(B36,Sheet11!$B$2:$D$110,3,FALSE)</f>
        <v>250</v>
      </c>
      <c r="E36" s="6">
        <f>VLOOKUP(B36,Sheet11!$B$2:$E$110,3,FALSE)</f>
        <v>250</v>
      </c>
      <c r="F36" s="6" t="s">
        <v>13</v>
      </c>
      <c r="G36" s="11" t="s">
        <v>261</v>
      </c>
      <c r="H36" s="15" t="s">
        <v>115</v>
      </c>
      <c r="I36" s="15" t="s">
        <v>122</v>
      </c>
    </row>
    <row r="37" spans="1:9" ht="29.4" hidden="1" thickBot="1" x14ac:dyDescent="0.35">
      <c r="A37" s="3" t="s">
        <v>46</v>
      </c>
      <c r="B37" s="5">
        <v>335</v>
      </c>
      <c r="C37" s="6">
        <f>VLOOKUP(B37,Sheet11!$B$2:$C$110,2,FALSE)</f>
        <v>600</v>
      </c>
      <c r="D37" s="6">
        <f>VLOOKUP(B37,Sheet11!$B$2:$D$110,3,FALSE)</f>
        <v>20</v>
      </c>
      <c r="E37" s="6">
        <f>VLOOKUP(B37,Sheet11!$B$2:$E$110,3,FALSE)</f>
        <v>20</v>
      </c>
      <c r="F37" s="6" t="s">
        <v>10</v>
      </c>
      <c r="G37" s="12">
        <v>1</v>
      </c>
      <c r="H37" s="15" t="s">
        <v>113</v>
      </c>
      <c r="I37" s="15" t="s">
        <v>122</v>
      </c>
    </row>
    <row r="38" spans="1:9" ht="29.4" hidden="1" thickBot="1" x14ac:dyDescent="0.35">
      <c r="A38" s="3" t="s">
        <v>47</v>
      </c>
      <c r="B38" s="5">
        <v>1383</v>
      </c>
      <c r="C38" s="6">
        <f>VLOOKUP(B38,Sheet11!$B$2:$C$110,2,FALSE)</f>
        <v>80000</v>
      </c>
      <c r="D38" s="6">
        <f>VLOOKUP(B38,Sheet11!$B$2:$D$110,3,FALSE)</f>
        <v>117000</v>
      </c>
      <c r="E38" s="6">
        <f>VLOOKUP(B38,Sheet11!$B$2:$E$110,3,FALSE)</f>
        <v>117000</v>
      </c>
      <c r="F38" s="6" t="s">
        <v>13</v>
      </c>
      <c r="G38" s="12">
        <v>1</v>
      </c>
      <c r="H38" s="15" t="s">
        <v>115</v>
      </c>
      <c r="I38" s="15" t="s">
        <v>122</v>
      </c>
    </row>
    <row r="39" spans="1:9" ht="15" thickBot="1" x14ac:dyDescent="0.35">
      <c r="A39" s="4" t="s">
        <v>48</v>
      </c>
      <c r="B39" s="7">
        <v>8</v>
      </c>
      <c r="C39" s="6">
        <f>VLOOKUP(B39,Sheet11!$B$2:$C$110,2,FALSE)</f>
        <v>0</v>
      </c>
      <c r="D39" s="6">
        <f>VLOOKUP(B39,Sheet11!$B$2:$D$110,3,FALSE)</f>
        <v>0</v>
      </c>
      <c r="E39" s="6">
        <f>VLOOKUP(B39,Sheet11!$B$2:$E$110,3,FALSE)</f>
        <v>0</v>
      </c>
      <c r="F39" s="9"/>
      <c r="G39" s="13"/>
      <c r="H39" s="15"/>
      <c r="I39" s="15" t="s">
        <v>121</v>
      </c>
    </row>
    <row r="40" spans="1:9" ht="15" thickBot="1" x14ac:dyDescent="0.35">
      <c r="A40" s="3" t="s">
        <v>49</v>
      </c>
      <c r="B40" s="5">
        <v>1507</v>
      </c>
      <c r="C40" s="6">
        <f>VLOOKUP(B40,Sheet11!$B$2:$C$110,2,FALSE)</f>
        <v>13329</v>
      </c>
      <c r="D40" s="6">
        <f>VLOOKUP(B40,Sheet11!$B$2:$D$110,3,FALSE)</f>
        <v>12614</v>
      </c>
      <c r="E40" s="6">
        <f>VLOOKUP(B40,Sheet11!$B$2:$E$110,3,FALSE)</f>
        <v>12614</v>
      </c>
      <c r="F40" s="6" t="s">
        <v>10</v>
      </c>
      <c r="G40" s="11" t="s">
        <v>261</v>
      </c>
      <c r="H40" s="15" t="s">
        <v>116</v>
      </c>
      <c r="I40" s="15" t="s">
        <v>121</v>
      </c>
    </row>
    <row r="41" spans="1:9" ht="15" thickBot="1" x14ac:dyDescent="0.35">
      <c r="A41" s="4" t="s">
        <v>50</v>
      </c>
      <c r="B41" s="7">
        <v>30</v>
      </c>
      <c r="C41" s="6">
        <f>VLOOKUP(B41,Sheet11!$B$2:$C$110,2,FALSE)</f>
        <v>0</v>
      </c>
      <c r="D41" s="6">
        <f>VLOOKUP(B41,Sheet11!$B$2:$D$110,3,FALSE)</f>
        <v>0</v>
      </c>
      <c r="E41" s="6">
        <f>VLOOKUP(B41,Sheet11!$B$2:$E$110,3,FALSE)</f>
        <v>0</v>
      </c>
      <c r="F41" s="9"/>
      <c r="G41" s="13"/>
      <c r="H41" s="15"/>
      <c r="I41" s="15" t="s">
        <v>114</v>
      </c>
    </row>
    <row r="42" spans="1:9" ht="29.4" hidden="1" thickBot="1" x14ac:dyDescent="0.35">
      <c r="A42" s="3" t="s">
        <v>51</v>
      </c>
      <c r="B42" s="5">
        <v>2372</v>
      </c>
      <c r="C42" s="6">
        <f>VLOOKUP(B42,Sheet11!$B$2:$C$110,2,FALSE)</f>
        <v>6</v>
      </c>
      <c r="D42" s="6">
        <f>VLOOKUP(B42,Sheet11!$B$2:$D$110,3,FALSE)</f>
        <v>6</v>
      </c>
      <c r="E42" s="6">
        <f>VLOOKUP(B42,Sheet11!$B$2:$E$110,3,FALSE)</f>
        <v>6</v>
      </c>
      <c r="F42" s="6" t="s">
        <v>10</v>
      </c>
      <c r="G42" s="12">
        <v>1</v>
      </c>
      <c r="H42" s="15" t="s">
        <v>114</v>
      </c>
      <c r="I42" s="15" t="s">
        <v>114</v>
      </c>
    </row>
    <row r="43" spans="1:9" ht="29.4" hidden="1" thickBot="1" x14ac:dyDescent="0.35">
      <c r="A43" s="3" t="s">
        <v>52</v>
      </c>
      <c r="B43" s="5">
        <v>2738</v>
      </c>
      <c r="C43" s="6">
        <f>VLOOKUP(B43,Sheet11!$B$2:$C$110,2,FALSE)</f>
        <v>3</v>
      </c>
      <c r="D43" s="6">
        <f>VLOOKUP(B43,Sheet11!$B$2:$D$110,3,FALSE)</f>
        <v>3</v>
      </c>
      <c r="E43" s="6">
        <f>VLOOKUP(B43,Sheet11!$B$2:$E$110,3,FALSE)</f>
        <v>3</v>
      </c>
      <c r="F43" s="6" t="s">
        <v>10</v>
      </c>
      <c r="G43" s="12">
        <v>1</v>
      </c>
      <c r="H43" s="15" t="s">
        <v>114</v>
      </c>
      <c r="I43" s="15" t="s">
        <v>114</v>
      </c>
    </row>
    <row r="44" spans="1:9" ht="29.4" hidden="1" thickBot="1" x14ac:dyDescent="0.35">
      <c r="A44" s="3" t="s">
        <v>53</v>
      </c>
      <c r="B44" s="5">
        <v>189</v>
      </c>
      <c r="C44" s="6">
        <f>VLOOKUP(B44,Sheet11!$B$2:$C$110,2,FALSE)</f>
        <v>4000</v>
      </c>
      <c r="D44" s="6">
        <f>VLOOKUP(B44,Sheet11!$B$2:$D$110,3,FALSE)</f>
        <v>4000</v>
      </c>
      <c r="E44" s="6">
        <f>VLOOKUP(B44,Sheet11!$B$2:$E$110,3,FALSE)</f>
        <v>4000</v>
      </c>
      <c r="F44" s="6" t="s">
        <v>10</v>
      </c>
      <c r="G44" s="12">
        <v>1</v>
      </c>
      <c r="H44" s="15" t="s">
        <v>114</v>
      </c>
      <c r="I44" s="15" t="s">
        <v>114</v>
      </c>
    </row>
    <row r="45" spans="1:9" ht="15" thickBot="1" x14ac:dyDescent="0.35">
      <c r="A45" s="4" t="s">
        <v>54</v>
      </c>
      <c r="B45" s="7">
        <v>29</v>
      </c>
      <c r="C45" s="6">
        <f>VLOOKUP(B45,Sheet11!$B$2:$C$110,2,FALSE)</f>
        <v>0</v>
      </c>
      <c r="D45" s="6">
        <f>VLOOKUP(B45,Sheet11!$B$2:$D$110,3,FALSE)</f>
        <v>0</v>
      </c>
      <c r="E45" s="6">
        <f>VLOOKUP(B45,Sheet11!$B$2:$E$110,3,FALSE)</f>
        <v>0</v>
      </c>
      <c r="F45" s="9"/>
      <c r="G45" s="13"/>
      <c r="H45" s="15"/>
      <c r="I45" s="15" t="s">
        <v>113</v>
      </c>
    </row>
    <row r="46" spans="1:9" ht="15" hidden="1" thickBot="1" x14ac:dyDescent="0.35">
      <c r="A46" s="3" t="s">
        <v>55</v>
      </c>
      <c r="B46" s="5">
        <v>2170</v>
      </c>
      <c r="C46" s="6">
        <f>VLOOKUP(B46,Sheet11!$B$2:$C$110,2,FALSE)</f>
        <v>880021</v>
      </c>
      <c r="D46" s="6">
        <f>VLOOKUP(B46,Sheet11!$B$2:$D$110,3,FALSE)</f>
        <v>229491</v>
      </c>
      <c r="E46" s="6">
        <f>VLOOKUP(B46,Sheet11!$B$2:$E$110,3,FALSE)</f>
        <v>229491</v>
      </c>
      <c r="F46" s="6" t="s">
        <v>10</v>
      </c>
      <c r="G46" s="12">
        <v>1</v>
      </c>
      <c r="H46" s="15" t="s">
        <v>113</v>
      </c>
      <c r="I46" s="15" t="s">
        <v>113</v>
      </c>
    </row>
    <row r="47" spans="1:9" ht="15" hidden="1" thickBot="1" x14ac:dyDescent="0.35">
      <c r="A47" s="3" t="s">
        <v>56</v>
      </c>
      <c r="B47" s="5">
        <v>34</v>
      </c>
      <c r="C47" s="6">
        <f>VLOOKUP(B47,Sheet11!$B$2:$C$110,2,FALSE)</f>
        <v>2105962</v>
      </c>
      <c r="D47" s="6">
        <f>VLOOKUP(B47,Sheet11!$B$2:$D$110,3,FALSE)</f>
        <v>559110</v>
      </c>
      <c r="E47" s="6">
        <f>VLOOKUP(B47,Sheet11!$B$2:$E$110,3,FALSE)</f>
        <v>559110</v>
      </c>
      <c r="F47" s="6" t="s">
        <v>10</v>
      </c>
      <c r="G47" s="12">
        <v>1</v>
      </c>
      <c r="H47" s="15" t="s">
        <v>113</v>
      </c>
      <c r="I47" s="15" t="s">
        <v>113</v>
      </c>
    </row>
    <row r="48" spans="1:9" ht="43.8" hidden="1" thickBot="1" x14ac:dyDescent="0.35">
      <c r="A48" s="3" t="s">
        <v>57</v>
      </c>
      <c r="B48" s="5">
        <v>2479</v>
      </c>
      <c r="C48" s="6">
        <f>VLOOKUP(B48,Sheet11!$B$2:$C$110,2,FALSE)</f>
        <v>700000</v>
      </c>
      <c r="D48" s="6">
        <f>VLOOKUP(B48,Sheet11!$B$2:$D$110,3,FALSE)</f>
        <v>700000</v>
      </c>
      <c r="E48" s="6">
        <f>VLOOKUP(B48,Sheet11!$B$2:$E$110,3,FALSE)</f>
        <v>700000</v>
      </c>
      <c r="F48" s="6" t="s">
        <v>10</v>
      </c>
      <c r="G48" s="12">
        <v>1</v>
      </c>
      <c r="H48" s="15" t="s">
        <v>113</v>
      </c>
      <c r="I48" s="15" t="s">
        <v>113</v>
      </c>
    </row>
    <row r="49" spans="1:9" ht="29.4" hidden="1" thickBot="1" x14ac:dyDescent="0.35">
      <c r="A49" s="3" t="s">
        <v>58</v>
      </c>
      <c r="B49" s="5">
        <v>2477</v>
      </c>
      <c r="C49" s="6">
        <f>VLOOKUP(B49,Sheet11!$B$2:$C$110,2,FALSE)</f>
        <v>262000</v>
      </c>
      <c r="D49" s="6">
        <f>VLOOKUP(B49,Sheet11!$B$2:$D$110,3,FALSE)</f>
        <v>265030</v>
      </c>
      <c r="E49" s="6">
        <f>VLOOKUP(B49,Sheet11!$B$2:$E$110,3,FALSE)</f>
        <v>265030</v>
      </c>
      <c r="F49" s="6" t="s">
        <v>10</v>
      </c>
      <c r="G49" s="12">
        <v>1</v>
      </c>
      <c r="H49" s="15" t="s">
        <v>113</v>
      </c>
      <c r="I49" s="15" t="s">
        <v>113</v>
      </c>
    </row>
    <row r="50" spans="1:9" ht="21" customHeight="1" thickBot="1" x14ac:dyDescent="0.35">
      <c r="A50" s="4" t="s">
        <v>59</v>
      </c>
      <c r="B50" s="7">
        <v>56</v>
      </c>
      <c r="C50" s="6">
        <f>VLOOKUP(B50,Sheet11!$B$2:$C$110,2,FALSE)</f>
        <v>0</v>
      </c>
      <c r="D50" s="6">
        <f>VLOOKUP(B50,Sheet11!$B$2:$D$110,3,FALSE)</f>
        <v>0</v>
      </c>
      <c r="E50" s="6">
        <f>VLOOKUP(B50,Sheet11!$B$2:$E$110,3,FALSE)</f>
        <v>0</v>
      </c>
      <c r="F50" s="9"/>
      <c r="G50" s="13"/>
      <c r="H50" s="15"/>
      <c r="I50" s="15" t="s">
        <v>113</v>
      </c>
    </row>
    <row r="51" spans="1:9" ht="15" hidden="1" thickBot="1" x14ac:dyDescent="0.35">
      <c r="A51" s="3" t="s">
        <v>60</v>
      </c>
      <c r="B51" s="5">
        <v>2352</v>
      </c>
      <c r="C51" s="6">
        <f>VLOOKUP(B51,Sheet11!$B$2:$C$110,2,FALSE)</f>
        <v>2567</v>
      </c>
      <c r="D51" s="6">
        <f>VLOOKUP(B51,Sheet11!$B$2:$D$110,3,FALSE)</f>
        <v>7460</v>
      </c>
      <c r="E51" s="6">
        <f>VLOOKUP(B51,Sheet11!$B$2:$E$110,3,FALSE)</f>
        <v>7460</v>
      </c>
      <c r="F51" s="6" t="s">
        <v>10</v>
      </c>
      <c r="G51" s="12">
        <v>1</v>
      </c>
      <c r="H51" s="15" t="s">
        <v>113</v>
      </c>
      <c r="I51" s="15" t="s">
        <v>113</v>
      </c>
    </row>
    <row r="52" spans="1:9" ht="15" thickBot="1" x14ac:dyDescent="0.35">
      <c r="A52" s="4" t="s">
        <v>61</v>
      </c>
      <c r="B52" s="7">
        <v>13</v>
      </c>
      <c r="C52" s="6">
        <f>VLOOKUP(B52,Sheet11!$B$2:$C$110,2,FALSE)</f>
        <v>0</v>
      </c>
      <c r="D52" s="6">
        <f>VLOOKUP(B52,Sheet11!$B$2:$D$110,3,FALSE)</f>
        <v>0</v>
      </c>
      <c r="E52" s="6">
        <f>VLOOKUP(B52,Sheet11!$B$2:$E$110,3,FALSE)</f>
        <v>0</v>
      </c>
      <c r="F52" s="9"/>
      <c r="G52" s="11"/>
      <c r="H52" s="15"/>
      <c r="I52" s="15" t="s">
        <v>113</v>
      </c>
    </row>
    <row r="53" spans="1:9" ht="29.4" hidden="1" thickBot="1" x14ac:dyDescent="0.35">
      <c r="A53" s="3" t="s">
        <v>62</v>
      </c>
      <c r="B53" s="5">
        <v>52</v>
      </c>
      <c r="C53" s="6">
        <f>VLOOKUP(B53,Sheet11!$B$2:$C$110,2,FALSE)</f>
        <v>718865</v>
      </c>
      <c r="D53" s="6">
        <f>VLOOKUP(B53,Sheet11!$B$2:$D$110,3,FALSE)</f>
        <v>855452</v>
      </c>
      <c r="E53" s="6">
        <f>VLOOKUP(B53,Sheet11!$B$2:$E$110,3,FALSE)</f>
        <v>855452</v>
      </c>
      <c r="F53" s="6" t="s">
        <v>10</v>
      </c>
      <c r="G53" s="12">
        <v>1</v>
      </c>
      <c r="H53" s="15" t="s">
        <v>113</v>
      </c>
      <c r="I53" s="15" t="s">
        <v>113</v>
      </c>
    </row>
    <row r="54" spans="1:9" ht="29.4" hidden="1" thickBot="1" x14ac:dyDescent="0.35">
      <c r="A54" s="3" t="s">
        <v>63</v>
      </c>
      <c r="B54" s="5">
        <v>51</v>
      </c>
      <c r="C54" s="6">
        <f>VLOOKUP(B54,Sheet11!$B$2:$C$110,2,FALSE)</f>
        <v>858000</v>
      </c>
      <c r="D54" s="6">
        <f>VLOOKUP(B54,Sheet11!$B$2:$D$110,3,FALSE)</f>
        <v>1110000</v>
      </c>
      <c r="E54" s="6">
        <f>VLOOKUP(B54,Sheet11!$B$2:$E$110,3,FALSE)</f>
        <v>1110000</v>
      </c>
      <c r="F54" s="6" t="s">
        <v>10</v>
      </c>
      <c r="G54" s="12">
        <v>1</v>
      </c>
      <c r="H54" s="15" t="s">
        <v>113</v>
      </c>
      <c r="I54" s="15" t="s">
        <v>113</v>
      </c>
    </row>
    <row r="55" spans="1:9" ht="29.4" hidden="1" thickBot="1" x14ac:dyDescent="0.35">
      <c r="A55" s="3" t="s">
        <v>64</v>
      </c>
      <c r="B55" s="5">
        <v>53</v>
      </c>
      <c r="C55" s="6">
        <f>VLOOKUP(B55,Sheet11!$B$2:$C$110,2,FALSE)</f>
        <v>350000</v>
      </c>
      <c r="D55" s="6">
        <f>VLOOKUP(B55,Sheet11!$B$2:$D$110,3,FALSE)</f>
        <v>684000</v>
      </c>
      <c r="E55" s="6">
        <f>VLOOKUP(B55,Sheet11!$B$2:$E$110,3,FALSE)</f>
        <v>684000</v>
      </c>
      <c r="F55" s="6" t="s">
        <v>10</v>
      </c>
      <c r="G55" s="12">
        <v>1</v>
      </c>
      <c r="H55" s="15" t="s">
        <v>113</v>
      </c>
      <c r="I55" s="15" t="s">
        <v>113</v>
      </c>
    </row>
    <row r="56" spans="1:9" ht="15" hidden="1" thickBot="1" x14ac:dyDescent="0.35">
      <c r="A56" s="3" t="s">
        <v>65</v>
      </c>
      <c r="B56" s="5">
        <v>2500</v>
      </c>
      <c r="C56" s="6">
        <f>VLOOKUP(B56,Sheet11!$B$2:$C$110,2,FALSE)</f>
        <v>2000</v>
      </c>
      <c r="D56" s="6">
        <f>VLOOKUP(B56,Sheet11!$B$2:$D$110,3,FALSE)</f>
        <v>6300</v>
      </c>
      <c r="E56" s="6">
        <f>VLOOKUP(B56,Sheet11!$B$2:$E$110,3,FALSE)</f>
        <v>6300</v>
      </c>
      <c r="F56" s="6" t="s">
        <v>10</v>
      </c>
      <c r="G56" s="12">
        <v>1</v>
      </c>
      <c r="H56" s="15" t="s">
        <v>113</v>
      </c>
      <c r="I56" s="15" t="s">
        <v>113</v>
      </c>
    </row>
    <row r="57" spans="1:9" ht="29.4" hidden="1" thickBot="1" x14ac:dyDescent="0.35">
      <c r="A57" s="3" t="s">
        <v>66</v>
      </c>
      <c r="B57" s="5">
        <v>1162</v>
      </c>
      <c r="C57" s="6">
        <f>VLOOKUP(B57,Sheet11!$B$2:$C$110,2,FALSE)</f>
        <v>15000</v>
      </c>
      <c r="D57" s="6">
        <f>VLOOKUP(B57,Sheet11!$B$2:$D$110,3,FALSE)</f>
        <v>25000</v>
      </c>
      <c r="E57" s="6">
        <f>VLOOKUP(B57,Sheet11!$B$2:$E$110,3,FALSE)</f>
        <v>25000</v>
      </c>
      <c r="F57" s="6" t="s">
        <v>10</v>
      </c>
      <c r="G57" s="12">
        <v>1</v>
      </c>
      <c r="H57" s="15" t="s">
        <v>113</v>
      </c>
      <c r="I57" s="15" t="s">
        <v>113</v>
      </c>
    </row>
    <row r="58" spans="1:9" ht="43.8" hidden="1" thickBot="1" x14ac:dyDescent="0.35">
      <c r="A58" s="3" t="s">
        <v>67</v>
      </c>
      <c r="B58" s="5">
        <v>2553</v>
      </c>
      <c r="C58" s="6">
        <f>VLOOKUP(B58,Sheet11!$B$2:$C$110,2,FALSE)</f>
        <v>38500</v>
      </c>
      <c r="D58" s="6">
        <f>VLOOKUP(B58,Sheet11!$B$2:$D$110,3,FALSE)</f>
        <v>54500</v>
      </c>
      <c r="E58" s="6">
        <f>VLOOKUP(B58,Sheet11!$B$2:$E$110,3,FALSE)</f>
        <v>54500</v>
      </c>
      <c r="F58" s="6" t="s">
        <v>10</v>
      </c>
      <c r="G58" s="12">
        <v>1</v>
      </c>
      <c r="H58" s="15" t="s">
        <v>113</v>
      </c>
      <c r="I58" s="15" t="s">
        <v>113</v>
      </c>
    </row>
    <row r="59" spans="1:9" ht="29.4" hidden="1" thickBot="1" x14ac:dyDescent="0.35">
      <c r="A59" s="3" t="s">
        <v>68</v>
      </c>
      <c r="B59" s="5">
        <v>1451</v>
      </c>
      <c r="C59" s="6">
        <f>VLOOKUP(B59,Sheet11!$B$2:$C$110,2,FALSE)</f>
        <v>100</v>
      </c>
      <c r="D59" s="6">
        <f>VLOOKUP(B59,Sheet11!$B$2:$D$110,3,FALSE)</f>
        <v>408</v>
      </c>
      <c r="E59" s="6">
        <f>VLOOKUP(B59,Sheet11!$B$2:$E$110,3,FALSE)</f>
        <v>408</v>
      </c>
      <c r="F59" s="6" t="s">
        <v>10</v>
      </c>
      <c r="G59" s="12">
        <v>1</v>
      </c>
      <c r="H59" s="15" t="s">
        <v>113</v>
      </c>
      <c r="I59" s="15" t="s">
        <v>113</v>
      </c>
    </row>
    <row r="60" spans="1:9" ht="29.4" hidden="1" thickBot="1" x14ac:dyDescent="0.35">
      <c r="A60" s="3" t="s">
        <v>69</v>
      </c>
      <c r="B60" s="5">
        <v>54</v>
      </c>
      <c r="C60" s="6">
        <f>VLOOKUP(B60,Sheet11!$B$2:$C$110,2,FALSE)</f>
        <v>10</v>
      </c>
      <c r="D60" s="6">
        <f>VLOOKUP(B60,Sheet11!$B$2:$D$110,3,FALSE)</f>
        <v>4</v>
      </c>
      <c r="E60" s="6">
        <f>VLOOKUP(B60,Sheet11!$B$2:$E$110,3,FALSE)</f>
        <v>4</v>
      </c>
      <c r="F60" s="6" t="s">
        <v>10</v>
      </c>
      <c r="G60" s="12">
        <v>1</v>
      </c>
      <c r="H60" s="15" t="s">
        <v>113</v>
      </c>
      <c r="I60" s="15" t="s">
        <v>113</v>
      </c>
    </row>
    <row r="61" spans="1:9" ht="29.4" hidden="1" thickBot="1" x14ac:dyDescent="0.35">
      <c r="A61" s="3" t="s">
        <v>70</v>
      </c>
      <c r="B61" s="5">
        <v>1457</v>
      </c>
      <c r="C61" s="6">
        <f>VLOOKUP(B61,Sheet11!$B$2:$C$110,2,FALSE)</f>
        <v>1150000</v>
      </c>
      <c r="D61" s="6">
        <f>VLOOKUP(B61,Sheet11!$B$2:$D$110,3,FALSE)</f>
        <v>484358</v>
      </c>
      <c r="E61" s="6">
        <f>VLOOKUP(B61,Sheet11!$B$2:$E$110,3,FALSE)</f>
        <v>484358</v>
      </c>
      <c r="F61" s="6" t="s">
        <v>10</v>
      </c>
      <c r="G61" s="12">
        <v>1</v>
      </c>
      <c r="H61" s="15" t="s">
        <v>113</v>
      </c>
      <c r="I61" s="15" t="s">
        <v>113</v>
      </c>
    </row>
    <row r="62" spans="1:9" ht="15" hidden="1" thickBot="1" x14ac:dyDescent="0.35">
      <c r="A62" s="3" t="s">
        <v>71</v>
      </c>
      <c r="B62" s="5">
        <v>1459</v>
      </c>
      <c r="C62" s="6">
        <f>VLOOKUP(B62,Sheet11!$B$2:$C$110,2,FALSE)</f>
        <v>26249</v>
      </c>
      <c r="D62" s="6">
        <f>VLOOKUP(B62,Sheet11!$B$2:$D$110,3,FALSE)</f>
        <v>26249</v>
      </c>
      <c r="E62" s="6">
        <f>VLOOKUP(B62,Sheet11!$B$2:$E$110,3,FALSE)</f>
        <v>26249</v>
      </c>
      <c r="F62" s="6" t="s">
        <v>10</v>
      </c>
      <c r="G62" s="12">
        <v>1</v>
      </c>
      <c r="H62" s="15" t="s">
        <v>113</v>
      </c>
      <c r="I62" s="15" t="s">
        <v>113</v>
      </c>
    </row>
    <row r="63" spans="1:9" ht="15" hidden="1" thickBot="1" x14ac:dyDescent="0.35">
      <c r="A63" s="3" t="s">
        <v>72</v>
      </c>
      <c r="B63" s="5">
        <v>55</v>
      </c>
      <c r="C63" s="6">
        <f>VLOOKUP(B63,Sheet11!$B$2:$C$110,2,FALSE)</f>
        <v>56257700</v>
      </c>
      <c r="D63" s="6">
        <f>VLOOKUP(B63,Sheet11!$B$2:$D$110,3,FALSE)</f>
        <v>57563594</v>
      </c>
      <c r="E63" s="6">
        <f>VLOOKUP(B63,Sheet11!$B$2:$E$110,3,FALSE)</f>
        <v>57563594</v>
      </c>
      <c r="F63" s="6" t="s">
        <v>10</v>
      </c>
      <c r="G63" s="12">
        <v>1</v>
      </c>
      <c r="H63" s="15" t="s">
        <v>113</v>
      </c>
      <c r="I63" s="15" t="s">
        <v>113</v>
      </c>
    </row>
    <row r="64" spans="1:9" ht="15" hidden="1" thickBot="1" x14ac:dyDescent="0.35">
      <c r="A64" s="3" t="s">
        <v>73</v>
      </c>
      <c r="B64" s="5">
        <v>1455</v>
      </c>
      <c r="C64" s="6">
        <f>VLOOKUP(B64,Sheet11!$B$2:$C$110,2,FALSE)</f>
        <v>2000</v>
      </c>
      <c r="D64" s="6">
        <f>VLOOKUP(B64,Sheet11!$B$2:$D$110,3,FALSE)</f>
        <v>1200</v>
      </c>
      <c r="E64" s="6">
        <f>VLOOKUP(B64,Sheet11!$B$2:$E$110,3,FALSE)</f>
        <v>1200</v>
      </c>
      <c r="F64" s="6" t="s">
        <v>13</v>
      </c>
      <c r="G64" s="12">
        <v>1</v>
      </c>
      <c r="H64" s="15" t="s">
        <v>113</v>
      </c>
      <c r="I64" s="15" t="s">
        <v>113</v>
      </c>
    </row>
    <row r="65" spans="1:9" ht="15" hidden="1" thickBot="1" x14ac:dyDescent="0.35">
      <c r="A65" s="3" t="s">
        <v>74</v>
      </c>
      <c r="B65" s="5">
        <v>56</v>
      </c>
      <c r="C65" s="6">
        <f>VLOOKUP(B65,Sheet11!$B$2:$C$110,2,FALSE)</f>
        <v>0</v>
      </c>
      <c r="D65" s="6">
        <f>VLOOKUP(B65,Sheet11!$B$2:$D$110,3,FALSE)</f>
        <v>0</v>
      </c>
      <c r="E65" s="6">
        <f>VLOOKUP(B65,Sheet11!$B$2:$E$110,3,FALSE)</f>
        <v>0</v>
      </c>
      <c r="F65" s="6" t="s">
        <v>10</v>
      </c>
      <c r="G65" s="12">
        <v>1</v>
      </c>
      <c r="H65" s="15" t="s">
        <v>113</v>
      </c>
      <c r="I65" s="15" t="s">
        <v>113</v>
      </c>
    </row>
    <row r="66" spans="1:9" ht="29.4" hidden="1" thickBot="1" x14ac:dyDescent="0.35">
      <c r="A66" s="3" t="s">
        <v>75</v>
      </c>
      <c r="B66" s="5">
        <v>1875</v>
      </c>
      <c r="C66" s="6">
        <f>VLOOKUP(B66,Sheet11!$B$2:$C$110,2,FALSE)</f>
        <v>11221</v>
      </c>
      <c r="D66" s="6">
        <f>VLOOKUP(B66,Sheet11!$B$2:$D$110,3,FALSE)</f>
        <v>9639</v>
      </c>
      <c r="E66" s="6">
        <f>VLOOKUP(B66,Sheet11!$B$2:$E$110,3,FALSE)</f>
        <v>9639</v>
      </c>
      <c r="F66" s="6" t="s">
        <v>10</v>
      </c>
      <c r="G66" s="11" t="s">
        <v>261</v>
      </c>
      <c r="H66" s="15" t="s">
        <v>113</v>
      </c>
      <c r="I66" s="15" t="s">
        <v>113</v>
      </c>
    </row>
    <row r="67" spans="1:9" ht="43.8" hidden="1" thickBot="1" x14ac:dyDescent="0.35">
      <c r="A67" s="3" t="s">
        <v>76</v>
      </c>
      <c r="B67" s="5">
        <v>2492</v>
      </c>
      <c r="C67" s="6">
        <f>VLOOKUP(B67,Sheet11!$B$2:$C$110,2,FALSE)</f>
        <v>300000</v>
      </c>
      <c r="D67" s="6">
        <f>VLOOKUP(B67,Sheet11!$B$2:$D$110,3,FALSE)</f>
        <v>480001</v>
      </c>
      <c r="E67" s="6">
        <f>VLOOKUP(B67,Sheet11!$B$2:$E$110,3,FALSE)</f>
        <v>480001</v>
      </c>
      <c r="F67" s="6" t="s">
        <v>10</v>
      </c>
      <c r="G67" s="12">
        <v>1</v>
      </c>
      <c r="H67" s="15" t="s">
        <v>113</v>
      </c>
      <c r="I67" s="15" t="s">
        <v>113</v>
      </c>
    </row>
    <row r="68" spans="1:9" ht="15" hidden="1" thickBot="1" x14ac:dyDescent="0.35">
      <c r="A68" s="3" t="s">
        <v>77</v>
      </c>
      <c r="B68" s="5">
        <v>2316</v>
      </c>
      <c r="C68" s="6">
        <f>VLOOKUP(B68,Sheet11!$B$2:$C$110,2,FALSE)</f>
        <v>2000</v>
      </c>
      <c r="D68" s="6">
        <f>VLOOKUP(B68,Sheet11!$B$2:$D$110,3,FALSE)</f>
        <v>2000</v>
      </c>
      <c r="E68" s="6">
        <f>VLOOKUP(B68,Sheet11!$B$2:$E$110,3,FALSE)</f>
        <v>2000</v>
      </c>
      <c r="F68" s="6" t="s">
        <v>10</v>
      </c>
      <c r="G68" s="12">
        <v>1</v>
      </c>
      <c r="H68" s="15" t="s">
        <v>113</v>
      </c>
      <c r="I68" s="15" t="s">
        <v>113</v>
      </c>
    </row>
    <row r="69" spans="1:9" ht="15" hidden="1" thickBot="1" x14ac:dyDescent="0.35">
      <c r="A69" s="3" t="s">
        <v>78</v>
      </c>
      <c r="B69" s="5">
        <v>1166</v>
      </c>
      <c r="C69" s="6">
        <f>VLOOKUP(B69,Sheet11!$B$2:$C$110,2,FALSE)</f>
        <v>3000</v>
      </c>
      <c r="D69" s="6">
        <f>VLOOKUP(B69,Sheet11!$B$2:$D$110,3,FALSE)</f>
        <v>3000</v>
      </c>
      <c r="E69" s="6">
        <f>VLOOKUP(B69,Sheet11!$B$2:$E$110,3,FALSE)</f>
        <v>3000</v>
      </c>
      <c r="F69" s="6" t="s">
        <v>13</v>
      </c>
      <c r="G69" s="12">
        <v>1</v>
      </c>
      <c r="H69" s="15" t="s">
        <v>113</v>
      </c>
      <c r="I69" s="15" t="s">
        <v>113</v>
      </c>
    </row>
    <row r="70" spans="1:9" ht="15" hidden="1" thickBot="1" x14ac:dyDescent="0.35">
      <c r="A70" s="3" t="s">
        <v>79</v>
      </c>
      <c r="B70" s="5">
        <v>1733</v>
      </c>
      <c r="C70" s="6">
        <f>VLOOKUP(B70,Sheet11!$B$2:$C$110,2,FALSE)</f>
        <v>480000</v>
      </c>
      <c r="D70" s="6">
        <f>VLOOKUP(B70,Sheet11!$B$2:$D$110,3,FALSE)</f>
        <v>3</v>
      </c>
      <c r="E70" s="6">
        <f>VLOOKUP(B70,Sheet11!$B$2:$E$110,3,FALSE)</f>
        <v>3</v>
      </c>
      <c r="F70" s="6" t="s">
        <v>10</v>
      </c>
      <c r="G70" s="12">
        <v>1</v>
      </c>
      <c r="H70" s="15" t="s">
        <v>113</v>
      </c>
      <c r="I70" s="15" t="s">
        <v>113</v>
      </c>
    </row>
    <row r="71" spans="1:9" ht="29.4" hidden="1" thickBot="1" x14ac:dyDescent="0.35">
      <c r="A71" s="3" t="s">
        <v>80</v>
      </c>
      <c r="B71" s="5">
        <v>1450</v>
      </c>
      <c r="C71" s="6">
        <f>VLOOKUP(B71,Sheet11!$B$2:$C$110,2,FALSE)</f>
        <v>500000</v>
      </c>
      <c r="D71" s="6">
        <f>VLOOKUP(B71,Sheet11!$B$2:$D$110,3,FALSE)</f>
        <v>45070</v>
      </c>
      <c r="E71" s="6">
        <f>VLOOKUP(B71,Sheet11!$B$2:$E$110,3,FALSE)</f>
        <v>45070</v>
      </c>
      <c r="F71" s="6" t="s">
        <v>10</v>
      </c>
      <c r="G71" s="12">
        <v>1</v>
      </c>
      <c r="H71" s="15" t="s">
        <v>113</v>
      </c>
      <c r="I71" s="15" t="s">
        <v>113</v>
      </c>
    </row>
    <row r="72" spans="1:9" ht="15" hidden="1" thickBot="1" x14ac:dyDescent="0.35">
      <c r="A72" s="3" t="s">
        <v>81</v>
      </c>
      <c r="B72" s="5">
        <v>1460</v>
      </c>
      <c r="C72" s="6">
        <f>VLOOKUP(B72,Sheet11!$B$2:$C$110,2,FALSE)</f>
        <v>2500</v>
      </c>
      <c r="D72" s="6">
        <f>VLOOKUP(B72,Sheet11!$B$2:$D$110,3,FALSE)</f>
        <v>1</v>
      </c>
      <c r="E72" s="6">
        <f>VLOOKUP(B72,Sheet11!$B$2:$E$110,3,FALSE)</f>
        <v>1</v>
      </c>
      <c r="F72" s="6" t="s">
        <v>10</v>
      </c>
      <c r="G72" s="12">
        <v>1</v>
      </c>
      <c r="H72" s="15" t="s">
        <v>113</v>
      </c>
      <c r="I72" s="15" t="s">
        <v>113</v>
      </c>
    </row>
    <row r="73" spans="1:9" ht="15" hidden="1" thickBot="1" x14ac:dyDescent="0.35">
      <c r="A73" s="3" t="s">
        <v>82</v>
      </c>
      <c r="B73" s="5">
        <v>2654</v>
      </c>
      <c r="C73" s="6">
        <f>VLOOKUP(B73,Sheet11!$B$2:$C$110,2,FALSE)</f>
        <v>45000</v>
      </c>
      <c r="D73" s="6">
        <f>VLOOKUP(B73,Sheet11!$B$2:$D$110,3,FALSE)</f>
        <v>10000</v>
      </c>
      <c r="E73" s="6">
        <f>VLOOKUP(B73,Sheet11!$B$2:$E$110,3,FALSE)</f>
        <v>10000</v>
      </c>
      <c r="F73" s="6" t="s">
        <v>10</v>
      </c>
      <c r="G73" s="12">
        <v>1</v>
      </c>
      <c r="H73" s="15" t="s">
        <v>113</v>
      </c>
      <c r="I73" s="15" t="s">
        <v>113</v>
      </c>
    </row>
    <row r="74" spans="1:9" ht="15" hidden="1" thickBot="1" x14ac:dyDescent="0.35">
      <c r="A74" s="3" t="s">
        <v>83</v>
      </c>
      <c r="B74" s="5">
        <v>2655</v>
      </c>
      <c r="C74" s="6">
        <f>VLOOKUP(B74,Sheet11!$B$2:$C$110,2,FALSE)</f>
        <v>360000</v>
      </c>
      <c r="D74" s="6">
        <f>VLOOKUP(B74,Sheet11!$B$2:$D$110,3,FALSE)</f>
        <v>360000</v>
      </c>
      <c r="E74" s="6">
        <f>VLOOKUP(B74,Sheet11!$B$2:$E$110,3,FALSE)</f>
        <v>360000</v>
      </c>
      <c r="F74" s="6" t="s">
        <v>10</v>
      </c>
      <c r="G74" s="12">
        <v>1</v>
      </c>
      <c r="H74" s="15" t="s">
        <v>113</v>
      </c>
      <c r="I74" s="15" t="s">
        <v>113</v>
      </c>
    </row>
    <row r="75" spans="1:9" ht="15" hidden="1" thickBot="1" x14ac:dyDescent="0.35">
      <c r="A75" s="3" t="s">
        <v>84</v>
      </c>
      <c r="B75" s="5">
        <v>2499</v>
      </c>
      <c r="C75" s="6">
        <f>VLOOKUP(B75,Sheet11!$B$2:$C$110,2,FALSE)</f>
        <v>21393</v>
      </c>
      <c r="D75" s="6">
        <f>VLOOKUP(B75,Sheet11!$B$2:$D$110,3,FALSE)</f>
        <v>21393</v>
      </c>
      <c r="E75" s="6">
        <f>VLOOKUP(B75,Sheet11!$B$2:$E$110,3,FALSE)</f>
        <v>21393</v>
      </c>
      <c r="F75" s="6" t="s">
        <v>10</v>
      </c>
      <c r="G75" s="12">
        <v>1</v>
      </c>
      <c r="H75" s="15" t="s">
        <v>113</v>
      </c>
      <c r="I75" s="15" t="s">
        <v>113</v>
      </c>
    </row>
    <row r="76" spans="1:9" ht="15" thickBot="1" x14ac:dyDescent="0.35">
      <c r="A76" s="4" t="s">
        <v>85</v>
      </c>
      <c r="B76" s="7">
        <v>284</v>
      </c>
      <c r="C76" s="6">
        <f>VLOOKUP(B76,Sheet11!$B$2:$C$110,2,FALSE)</f>
        <v>0</v>
      </c>
      <c r="D76" s="6">
        <f>VLOOKUP(B76,Sheet11!$B$2:$D$110,3,FALSE)</f>
        <v>0</v>
      </c>
      <c r="E76" s="6">
        <f>VLOOKUP(B76,Sheet11!$B$2:$E$110,3,FALSE)</f>
        <v>0</v>
      </c>
      <c r="F76" s="9"/>
      <c r="G76" s="13"/>
      <c r="H76" s="15"/>
      <c r="I76" s="15" t="s">
        <v>113</v>
      </c>
    </row>
    <row r="77" spans="1:9" ht="29.4" hidden="1" thickBot="1" x14ac:dyDescent="0.35">
      <c r="A77" s="3" t="s">
        <v>86</v>
      </c>
      <c r="B77" s="5">
        <v>2670</v>
      </c>
      <c r="C77" s="6">
        <f>VLOOKUP(B77,Sheet11!$B$2:$C$110,2,FALSE)</f>
        <v>7260000</v>
      </c>
      <c r="D77" s="6">
        <f>VLOOKUP(B77,Sheet11!$B$2:$D$110,3,FALSE)</f>
        <v>500000</v>
      </c>
      <c r="E77" s="6">
        <f>VLOOKUP(B77,Sheet11!$B$2:$E$110,3,FALSE)</f>
        <v>500000</v>
      </c>
      <c r="F77" s="6" t="s">
        <v>10</v>
      </c>
      <c r="G77" s="12">
        <v>1</v>
      </c>
      <c r="H77" s="15" t="s">
        <v>117</v>
      </c>
      <c r="I77" s="15" t="s">
        <v>113</v>
      </c>
    </row>
    <row r="78" spans="1:9" ht="29.4" hidden="1" thickBot="1" x14ac:dyDescent="0.35">
      <c r="A78" s="3" t="s">
        <v>87</v>
      </c>
      <c r="B78" s="5">
        <v>530</v>
      </c>
      <c r="C78" s="6">
        <f>VLOOKUP(B78,Sheet11!$B$2:$C$110,2,FALSE)</f>
        <v>8149020</v>
      </c>
      <c r="D78" s="6">
        <f>VLOOKUP(B78,Sheet11!$B$2:$D$110,3,FALSE)</f>
        <v>9525730</v>
      </c>
      <c r="E78" s="6">
        <f>VLOOKUP(B78,Sheet11!$B$2:$E$110,3,FALSE)</f>
        <v>9525730</v>
      </c>
      <c r="F78" s="6" t="s">
        <v>10</v>
      </c>
      <c r="G78" s="12">
        <v>1</v>
      </c>
      <c r="H78" s="15" t="s">
        <v>117</v>
      </c>
      <c r="I78" s="15" t="s">
        <v>113</v>
      </c>
    </row>
    <row r="79" spans="1:9" ht="15" thickBot="1" x14ac:dyDescent="0.35">
      <c r="A79" s="4" t="s">
        <v>88</v>
      </c>
      <c r="B79" s="7">
        <v>229</v>
      </c>
      <c r="C79" s="6">
        <f>VLOOKUP(B79,Sheet11!$B$2:$C$110,2,FALSE)</f>
        <v>0</v>
      </c>
      <c r="D79" s="6">
        <f>VLOOKUP(B79,Sheet11!$B$2:$D$110,3,FALSE)</f>
        <v>0</v>
      </c>
      <c r="E79" s="6">
        <f>VLOOKUP(B79,Sheet11!$B$2:$E$110,3,FALSE)</f>
        <v>0</v>
      </c>
      <c r="F79" s="9"/>
      <c r="G79" s="13"/>
      <c r="H79" s="15"/>
      <c r="I79" s="15" t="s">
        <v>118</v>
      </c>
    </row>
    <row r="80" spans="1:9" ht="15" hidden="1" thickBot="1" x14ac:dyDescent="0.35">
      <c r="A80" s="3" t="s">
        <v>89</v>
      </c>
      <c r="B80" s="5">
        <v>43</v>
      </c>
      <c r="C80" s="6">
        <f>VLOOKUP(B80,Sheet11!$B$2:$C$110,2,FALSE)</f>
        <v>627400</v>
      </c>
      <c r="D80" s="6">
        <f>VLOOKUP(B80,Sheet11!$B$2:$D$110,3,FALSE)</f>
        <v>648000</v>
      </c>
      <c r="E80" s="6">
        <f>VLOOKUP(B80,Sheet11!$B$2:$E$110,3,FALSE)</f>
        <v>648000</v>
      </c>
      <c r="F80" s="6" t="s">
        <v>10</v>
      </c>
      <c r="G80" s="12">
        <v>1</v>
      </c>
      <c r="H80" s="15" t="s">
        <v>113</v>
      </c>
      <c r="I80" s="15" t="s">
        <v>118</v>
      </c>
    </row>
    <row r="81" spans="1:9" ht="15" thickBot="1" x14ac:dyDescent="0.35">
      <c r="A81" s="4" t="s">
        <v>90</v>
      </c>
      <c r="B81" s="7">
        <v>11</v>
      </c>
      <c r="C81" s="6">
        <f>VLOOKUP(B81,Sheet11!$B$2:$C$110,2,FALSE)</f>
        <v>0</v>
      </c>
      <c r="D81" s="6">
        <f>VLOOKUP(B81,Sheet11!$B$2:$D$110,3,FALSE)</f>
        <v>0</v>
      </c>
      <c r="E81" s="6">
        <f>VLOOKUP(B81,Sheet11!$B$2:$E$110,3,FALSE)</f>
        <v>0</v>
      </c>
      <c r="F81" s="9"/>
      <c r="G81" s="13"/>
      <c r="H81" s="15"/>
      <c r="I81" s="15" t="s">
        <v>113</v>
      </c>
    </row>
    <row r="82" spans="1:9" ht="29.4" hidden="1" thickBot="1" x14ac:dyDescent="0.35">
      <c r="A82" s="3" t="s">
        <v>91</v>
      </c>
      <c r="B82" s="5">
        <v>1486</v>
      </c>
      <c r="C82" s="6">
        <f>VLOOKUP(B82,Sheet11!$B$2:$C$110,2,FALSE)</f>
        <v>18000</v>
      </c>
      <c r="D82" s="6">
        <f>VLOOKUP(B82,Sheet11!$B$2:$D$110,3,FALSE)</f>
        <v>15300</v>
      </c>
      <c r="E82" s="6">
        <f>VLOOKUP(B82,Sheet11!$B$2:$E$110,3,FALSE)</f>
        <v>15300</v>
      </c>
      <c r="F82" s="6" t="s">
        <v>13</v>
      </c>
      <c r="G82" s="12">
        <v>1</v>
      </c>
      <c r="H82" s="15" t="s">
        <v>113</v>
      </c>
      <c r="I82" s="15" t="s">
        <v>113</v>
      </c>
    </row>
    <row r="83" spans="1:9" ht="15" thickBot="1" x14ac:dyDescent="0.35">
      <c r="A83" s="4" t="s">
        <v>92</v>
      </c>
      <c r="B83" s="7">
        <v>42</v>
      </c>
      <c r="C83" s="6"/>
      <c r="D83" s="6"/>
      <c r="E83" s="6"/>
      <c r="F83" s="9"/>
      <c r="G83" s="13"/>
      <c r="H83" s="15"/>
      <c r="I83" s="15" t="s">
        <v>156</v>
      </c>
    </row>
    <row r="84" spans="1:9" ht="15" hidden="1" thickBot="1" x14ac:dyDescent="0.35">
      <c r="A84" s="3" t="s">
        <v>93</v>
      </c>
      <c r="B84" s="5">
        <v>391</v>
      </c>
      <c r="C84" s="6">
        <f>VLOOKUP(B84,Sheet11!$B$2:$C$110,2,FALSE)</f>
        <v>6201424</v>
      </c>
      <c r="D84" s="6">
        <f>VLOOKUP(B84,Sheet11!$B$2:$D$110,3,FALSE)</f>
        <v>8000000</v>
      </c>
      <c r="E84" s="6">
        <f>VLOOKUP(B84,Sheet11!$B$2:$E$110,3,FALSE)</f>
        <v>8000000</v>
      </c>
      <c r="F84" s="6" t="s">
        <v>10</v>
      </c>
      <c r="G84" s="12">
        <v>1</v>
      </c>
      <c r="H84" s="15" t="s">
        <v>117</v>
      </c>
      <c r="I84" s="15" t="s">
        <v>156</v>
      </c>
    </row>
    <row r="85" spans="1:9" ht="29.4" hidden="1" thickBot="1" x14ac:dyDescent="0.35">
      <c r="A85" s="3" t="s">
        <v>94</v>
      </c>
      <c r="B85" s="5">
        <v>1072</v>
      </c>
      <c r="C85" s="6">
        <f>VLOOKUP(B85,Sheet11!$B$2:$C$110,2,FALSE)</f>
        <v>154064</v>
      </c>
      <c r="D85" s="6">
        <f>VLOOKUP(B85,Sheet11!$B$2:$D$110,3,FALSE)</f>
        <v>109300</v>
      </c>
      <c r="E85" s="6">
        <f>VLOOKUP(B85,Sheet11!$B$2:$E$110,3,FALSE)</f>
        <v>109300</v>
      </c>
      <c r="F85" s="6" t="s">
        <v>10</v>
      </c>
      <c r="G85" s="12">
        <v>1</v>
      </c>
      <c r="H85" s="15" t="s">
        <v>114</v>
      </c>
      <c r="I85" s="15" t="s">
        <v>156</v>
      </c>
    </row>
    <row r="86" spans="1:9" ht="29.4" hidden="1" thickBot="1" x14ac:dyDescent="0.35">
      <c r="A86" s="3" t="s">
        <v>95</v>
      </c>
      <c r="B86" s="5">
        <v>1112</v>
      </c>
      <c r="C86" s="6">
        <f>VLOOKUP(B86,Sheet11!$B$2:$C$110,2,FALSE)</f>
        <v>79007</v>
      </c>
      <c r="D86" s="6">
        <f>VLOOKUP(B86,Sheet11!$B$2:$D$110,3,FALSE)</f>
        <v>94007</v>
      </c>
      <c r="E86" s="6">
        <f>VLOOKUP(B86,Sheet11!$B$2:$E$110,3,FALSE)</f>
        <v>94007</v>
      </c>
      <c r="F86" s="6" t="s">
        <v>10</v>
      </c>
      <c r="G86" s="11" t="s">
        <v>261</v>
      </c>
      <c r="H86" s="15" t="s">
        <v>114</v>
      </c>
      <c r="I86" s="15" t="s">
        <v>156</v>
      </c>
    </row>
    <row r="87" spans="1:9" ht="29.4" thickBot="1" x14ac:dyDescent="0.35">
      <c r="A87" s="4" t="s">
        <v>96</v>
      </c>
      <c r="B87" s="7">
        <v>43</v>
      </c>
      <c r="C87" s="6"/>
      <c r="D87" s="6"/>
      <c r="E87" s="6"/>
      <c r="F87" s="9"/>
      <c r="G87" s="13"/>
      <c r="H87" s="15"/>
      <c r="I87" s="15" t="s">
        <v>122</v>
      </c>
    </row>
    <row r="88" spans="1:9" ht="43.8" hidden="1" thickBot="1" x14ac:dyDescent="0.35">
      <c r="A88" s="3" t="s">
        <v>97</v>
      </c>
      <c r="B88" s="5">
        <v>379</v>
      </c>
      <c r="C88" s="6">
        <f>VLOOKUP(B88,Sheet11!$B$2:$C$110,2,FALSE)</f>
        <v>11000</v>
      </c>
      <c r="D88" s="6">
        <f>VLOOKUP(B88,Sheet11!$B$2:$D$110,3,FALSE)</f>
        <v>5000</v>
      </c>
      <c r="E88" s="6">
        <f>VLOOKUP(B88,Sheet11!$B$2:$E$110,3,FALSE)</f>
        <v>5000</v>
      </c>
      <c r="F88" s="6" t="s">
        <v>10</v>
      </c>
      <c r="G88" s="12">
        <v>1</v>
      </c>
      <c r="H88" s="15" t="s">
        <v>113</v>
      </c>
      <c r="I88" s="15" t="s">
        <v>122</v>
      </c>
    </row>
    <row r="89" spans="1:9" ht="29.4" hidden="1" thickBot="1" x14ac:dyDescent="0.35">
      <c r="A89" s="3" t="s">
        <v>98</v>
      </c>
      <c r="B89" s="5">
        <v>2529</v>
      </c>
      <c r="C89" s="6">
        <f>VLOOKUP(B89,Sheet11!$B$2:$C$110,2,FALSE)</f>
        <v>2850000</v>
      </c>
      <c r="D89" s="6">
        <f>VLOOKUP(B89,Sheet11!$B$2:$D$110,3,FALSE)</f>
        <v>2850000</v>
      </c>
      <c r="E89" s="6">
        <f>VLOOKUP(B89,Sheet11!$B$2:$E$110,3,FALSE)</f>
        <v>2850000</v>
      </c>
      <c r="F89" s="6" t="s">
        <v>10</v>
      </c>
      <c r="G89" s="12">
        <v>1</v>
      </c>
      <c r="H89" s="15" t="s">
        <v>113</v>
      </c>
      <c r="I89" s="15" t="s">
        <v>122</v>
      </c>
    </row>
    <row r="90" spans="1:9" ht="15" hidden="1" thickBot="1" x14ac:dyDescent="0.35">
      <c r="A90" s="3" t="s">
        <v>99</v>
      </c>
      <c r="B90" s="5">
        <v>2528</v>
      </c>
      <c r="C90" s="6">
        <f>VLOOKUP(B90,Sheet11!$B$2:$C$110,2,FALSE)</f>
        <v>4473200</v>
      </c>
      <c r="D90" s="6">
        <f>VLOOKUP(B90,Sheet11!$B$2:$D$110,3,FALSE)</f>
        <v>5313200</v>
      </c>
      <c r="E90" s="6">
        <f>VLOOKUP(B90,Sheet11!$B$2:$E$110,3,FALSE)</f>
        <v>5313200</v>
      </c>
      <c r="F90" s="6" t="s">
        <v>10</v>
      </c>
      <c r="G90" s="12">
        <v>1</v>
      </c>
      <c r="H90" s="15" t="s">
        <v>113</v>
      </c>
      <c r="I90" s="15" t="s">
        <v>122</v>
      </c>
    </row>
    <row r="91" spans="1:9" ht="29.4" hidden="1" thickBot="1" x14ac:dyDescent="0.35">
      <c r="A91" s="3" t="s">
        <v>100</v>
      </c>
      <c r="B91" s="5">
        <v>2530</v>
      </c>
      <c r="C91" s="6">
        <f>VLOOKUP(B91,Sheet11!$B$2:$C$110,2,FALSE)</f>
        <v>817464</v>
      </c>
      <c r="D91" s="6">
        <f>VLOOKUP(B91,Sheet11!$B$2:$D$110,3,FALSE)</f>
        <v>917664</v>
      </c>
      <c r="E91" s="6">
        <f>VLOOKUP(B91,Sheet11!$B$2:$E$110,3,FALSE)</f>
        <v>917664</v>
      </c>
      <c r="F91" s="6" t="s">
        <v>10</v>
      </c>
      <c r="G91" s="12">
        <v>1</v>
      </c>
      <c r="H91" s="15" t="s">
        <v>113</v>
      </c>
      <c r="I91" s="15" t="s">
        <v>122</v>
      </c>
    </row>
    <row r="92" spans="1:9" ht="29.4" hidden="1" thickBot="1" x14ac:dyDescent="0.35">
      <c r="A92" s="3" t="s">
        <v>101</v>
      </c>
      <c r="B92" s="5">
        <v>2700</v>
      </c>
      <c r="C92" s="6">
        <f>VLOOKUP(B92,Sheet11!$B$2:$C$110,2,FALSE)</f>
        <v>500</v>
      </c>
      <c r="D92" s="6">
        <f>VLOOKUP(B92,Sheet11!$B$2:$D$110,3,FALSE)</f>
        <v>1</v>
      </c>
      <c r="E92" s="6">
        <f>VLOOKUP(B92,Sheet11!$B$2:$E$110,3,FALSE)</f>
        <v>1</v>
      </c>
      <c r="F92" s="6" t="s">
        <v>10</v>
      </c>
      <c r="G92" s="12">
        <v>1</v>
      </c>
      <c r="H92" s="15" t="s">
        <v>113</v>
      </c>
      <c r="I92" s="15" t="s">
        <v>122</v>
      </c>
    </row>
    <row r="93" spans="1:9" ht="15" hidden="1" thickBot="1" x14ac:dyDescent="0.35">
      <c r="A93" s="3" t="s">
        <v>102</v>
      </c>
      <c r="B93" s="5">
        <v>2567</v>
      </c>
      <c r="C93" s="6">
        <f>VLOOKUP(B93,Sheet11!$B$2:$C$110,2,FALSE)</f>
        <v>320305</v>
      </c>
      <c r="D93" s="6">
        <f>VLOOKUP(B93,Sheet11!$B$2:$D$110,3,FALSE)</f>
        <v>245055</v>
      </c>
      <c r="E93" s="6">
        <f>VLOOKUP(B93,Sheet11!$B$2:$E$110,3,FALSE)</f>
        <v>245055</v>
      </c>
      <c r="F93" s="6" t="s">
        <v>13</v>
      </c>
      <c r="G93" s="12">
        <v>1</v>
      </c>
      <c r="H93" s="15" t="s">
        <v>113</v>
      </c>
      <c r="I93" s="15" t="s">
        <v>122</v>
      </c>
    </row>
    <row r="94" spans="1:9" ht="15" hidden="1" thickBot="1" x14ac:dyDescent="0.35">
      <c r="A94" s="3" t="s">
        <v>103</v>
      </c>
      <c r="B94" s="5">
        <v>2541</v>
      </c>
      <c r="C94" s="6">
        <f>VLOOKUP(B94,Sheet11!$B$2:$C$110,2,FALSE)</f>
        <v>10001</v>
      </c>
      <c r="D94" s="6">
        <f>VLOOKUP(B94,Sheet11!$B$2:$D$110,3,FALSE)</f>
        <v>1</v>
      </c>
      <c r="E94" s="6">
        <f>VLOOKUP(B94,Sheet11!$B$2:$E$110,3,FALSE)</f>
        <v>1</v>
      </c>
      <c r="F94" s="6" t="s">
        <v>10</v>
      </c>
      <c r="G94" s="12">
        <v>1</v>
      </c>
      <c r="H94" s="15" t="s">
        <v>113</v>
      </c>
      <c r="I94" s="15" t="s">
        <v>122</v>
      </c>
    </row>
    <row r="95" spans="1:9" ht="15" hidden="1" thickBot="1" x14ac:dyDescent="0.35">
      <c r="A95" s="3" t="s">
        <v>104</v>
      </c>
      <c r="B95" s="5">
        <v>277</v>
      </c>
      <c r="C95" s="6">
        <f>VLOOKUP(B95,Sheet11!$B$2:$C$110,2,FALSE)</f>
        <v>1069702</v>
      </c>
      <c r="D95" s="6">
        <f>VLOOKUP(B95,Sheet11!$B$2:$D$110,3,FALSE)</f>
        <v>780923</v>
      </c>
      <c r="E95" s="6">
        <f>VLOOKUP(B95,Sheet11!$B$2:$E$110,3,FALSE)</f>
        <v>780923</v>
      </c>
      <c r="F95" s="6" t="s">
        <v>13</v>
      </c>
      <c r="G95" s="12">
        <v>1</v>
      </c>
      <c r="H95" s="15" t="s">
        <v>113</v>
      </c>
      <c r="I95" s="15" t="s">
        <v>122</v>
      </c>
    </row>
    <row r="96" spans="1:9" ht="15" hidden="1" thickBot="1" x14ac:dyDescent="0.35">
      <c r="A96" s="3" t="s">
        <v>105</v>
      </c>
      <c r="B96" s="5">
        <v>2453</v>
      </c>
      <c r="C96" s="6">
        <f>VLOOKUP(B96,Sheet11!$B$2:$C$110,2,FALSE)</f>
        <v>1700</v>
      </c>
      <c r="D96" s="6">
        <f>VLOOKUP(B96,Sheet11!$B$2:$D$110,3,FALSE)</f>
        <v>1</v>
      </c>
      <c r="E96" s="6">
        <f>VLOOKUP(B96,Sheet11!$B$2:$E$110,3,FALSE)</f>
        <v>1</v>
      </c>
      <c r="F96" s="6" t="s">
        <v>10</v>
      </c>
      <c r="G96" s="12">
        <v>1</v>
      </c>
      <c r="H96" s="15" t="s">
        <v>113</v>
      </c>
      <c r="I96" s="15" t="s">
        <v>122</v>
      </c>
    </row>
    <row r="97" spans="1:9" ht="29.4" hidden="1" thickBot="1" x14ac:dyDescent="0.35">
      <c r="A97" s="3" t="s">
        <v>106</v>
      </c>
      <c r="B97" s="5">
        <v>373</v>
      </c>
      <c r="C97" s="6">
        <f>VLOOKUP(B97,Sheet11!$B$2:$C$110,2,FALSE)</f>
        <v>43551</v>
      </c>
      <c r="D97" s="6">
        <f>VLOOKUP(B97,Sheet11!$B$2:$D$110,3,FALSE)</f>
        <v>46650</v>
      </c>
      <c r="E97" s="6">
        <f>VLOOKUP(B97,Sheet11!$B$2:$E$110,3,FALSE)</f>
        <v>46650</v>
      </c>
      <c r="F97" s="6" t="s">
        <v>10</v>
      </c>
      <c r="G97" s="12">
        <v>1</v>
      </c>
      <c r="H97" s="15" t="s">
        <v>113</v>
      </c>
      <c r="I97" s="15" t="s">
        <v>122</v>
      </c>
    </row>
    <row r="98" spans="1:9" ht="15" hidden="1" thickBot="1" x14ac:dyDescent="0.35">
      <c r="A98" s="3" t="s">
        <v>107</v>
      </c>
      <c r="B98" s="5">
        <v>288</v>
      </c>
      <c r="C98" s="6">
        <f>VLOOKUP(B98,Sheet11!$B$2:$C$110,2,FALSE)</f>
        <v>2600000</v>
      </c>
      <c r="D98" s="6">
        <f>VLOOKUP(B98,Sheet11!$B$2:$D$110,3,FALSE)</f>
        <v>5709827</v>
      </c>
      <c r="E98" s="6">
        <f>VLOOKUP(B98,Sheet11!$B$2:$E$110,3,FALSE)</f>
        <v>5709827</v>
      </c>
      <c r="F98" s="6" t="s">
        <v>10</v>
      </c>
      <c r="G98" s="12">
        <v>1</v>
      </c>
      <c r="H98" s="15" t="s">
        <v>115</v>
      </c>
      <c r="I98" s="15" t="s">
        <v>122</v>
      </c>
    </row>
    <row r="99" spans="1:9" ht="15" hidden="1" thickBot="1" x14ac:dyDescent="0.35">
      <c r="A99" s="3" t="s">
        <v>108</v>
      </c>
      <c r="B99" s="5">
        <v>279</v>
      </c>
      <c r="C99" s="6">
        <f>VLOOKUP(B99,Sheet11!$B$2:$C$110,2,FALSE)</f>
        <v>1200</v>
      </c>
      <c r="D99" s="6">
        <f>VLOOKUP(B99,Sheet11!$B$2:$D$110,3,FALSE)</f>
        <v>900</v>
      </c>
      <c r="E99" s="6">
        <f>VLOOKUP(B99,Sheet11!$B$2:$E$110,3,FALSE)</f>
        <v>900</v>
      </c>
      <c r="F99" s="6" t="s">
        <v>10</v>
      </c>
      <c r="G99" s="12">
        <v>1</v>
      </c>
      <c r="H99" s="15" t="s">
        <v>113</v>
      </c>
      <c r="I99" s="15" t="s">
        <v>122</v>
      </c>
    </row>
    <row r="100" spans="1:9" ht="15" hidden="1" thickBot="1" x14ac:dyDescent="0.35">
      <c r="A100" s="3" t="s">
        <v>109</v>
      </c>
      <c r="B100" s="5">
        <v>305</v>
      </c>
      <c r="C100" s="6">
        <f>VLOOKUP(B100,Sheet11!$B$2:$C$110,2,FALSE)</f>
        <v>147502</v>
      </c>
      <c r="D100" s="6">
        <f>VLOOKUP(B100,Sheet11!$B$2:$D$110,3,FALSE)</f>
        <v>84326</v>
      </c>
      <c r="E100" s="6">
        <f>VLOOKUP(B100,Sheet11!$B$2:$E$110,3,FALSE)</f>
        <v>84326</v>
      </c>
      <c r="F100" s="6" t="s">
        <v>13</v>
      </c>
      <c r="G100" s="12">
        <v>1</v>
      </c>
      <c r="H100" s="15" t="s">
        <v>113</v>
      </c>
      <c r="I100" s="15" t="s">
        <v>122</v>
      </c>
    </row>
    <row r="101" spans="1:9" ht="15" hidden="1" thickBot="1" x14ac:dyDescent="0.35">
      <c r="A101" s="3" t="s">
        <v>110</v>
      </c>
      <c r="B101" s="5">
        <v>304</v>
      </c>
      <c r="C101" s="6">
        <f>VLOOKUP(B101,Sheet11!$B$2:$C$110,2,FALSE)</f>
        <v>30003</v>
      </c>
      <c r="D101" s="6">
        <f>VLOOKUP(B101,Sheet11!$B$2:$D$110,3,FALSE)</f>
        <v>19153</v>
      </c>
      <c r="E101" s="6">
        <f>VLOOKUP(B101,Sheet11!$B$2:$E$110,3,FALSE)</f>
        <v>19153</v>
      </c>
      <c r="F101" s="6" t="s">
        <v>13</v>
      </c>
      <c r="G101" s="12">
        <v>1</v>
      </c>
      <c r="H101" s="15" t="s">
        <v>113</v>
      </c>
      <c r="I101" s="15" t="s">
        <v>122</v>
      </c>
    </row>
    <row r="102" spans="1:9" ht="43.8" hidden="1" thickBot="1" x14ac:dyDescent="0.35">
      <c r="A102" s="3" t="s">
        <v>111</v>
      </c>
      <c r="B102" s="5">
        <v>388</v>
      </c>
      <c r="C102" s="6">
        <f>VLOOKUP(B102,Sheet11!$B$2:$C$110,2,FALSE)</f>
        <v>26668</v>
      </c>
      <c r="D102" s="6">
        <f>VLOOKUP(B102,Sheet11!$B$2:$D$110,3,FALSE)</f>
        <v>45000</v>
      </c>
      <c r="E102" s="6">
        <f>VLOOKUP(B102,Sheet11!$B$2:$E$110,3,FALSE)</f>
        <v>45000</v>
      </c>
      <c r="F102" s="6" t="s">
        <v>10</v>
      </c>
      <c r="G102" s="12">
        <v>1</v>
      </c>
      <c r="H102" s="15" t="s">
        <v>113</v>
      </c>
      <c r="I102" s="15" t="s">
        <v>122</v>
      </c>
    </row>
    <row r="103" spans="1:9" x14ac:dyDescent="0.3">
      <c r="C103">
        <f>SUM(C2:C102)</f>
        <v>104150343</v>
      </c>
      <c r="D103">
        <f>SUM(D2:D102)</f>
        <v>102243013</v>
      </c>
      <c r="E103">
        <f>SUM(E2:E102)</f>
        <v>102243013</v>
      </c>
    </row>
  </sheetData>
  <autoFilter ref="A1:I103" xr:uid="{A27072E9-69C1-4B4E-B760-01E6ED2BA151}">
    <filterColumn colId="7">
      <filters blank="1">
        <filter val="Participation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6FC2-6DE1-4E44-9A03-32E651212BBB}">
  <dimension ref="A1:H102"/>
  <sheetViews>
    <sheetView workbookViewId="0">
      <selection sqref="A1:H102"/>
    </sheetView>
  </sheetViews>
  <sheetFormatPr defaultRowHeight="14.4" x14ac:dyDescent="0.3"/>
  <sheetData>
    <row r="1" spans="1:8" x14ac:dyDescent="0.3">
      <c r="A1" s="47" t="s">
        <v>0</v>
      </c>
      <c r="B1" s="47" t="s">
        <v>1</v>
      </c>
      <c r="C1" s="47" t="s">
        <v>239</v>
      </c>
      <c r="D1" s="47" t="s">
        <v>3</v>
      </c>
      <c r="E1" s="47" t="s">
        <v>4</v>
      </c>
      <c r="F1" s="47" t="s">
        <v>157</v>
      </c>
      <c r="G1" s="47" t="s">
        <v>6</v>
      </c>
      <c r="H1" s="47" t="s">
        <v>7</v>
      </c>
    </row>
    <row r="2" spans="1:8" x14ac:dyDescent="0.3">
      <c r="A2" s="47" t="s">
        <v>136</v>
      </c>
      <c r="B2" s="46">
        <v>58</v>
      </c>
      <c r="C2" s="46"/>
      <c r="D2" s="46"/>
      <c r="E2" s="46"/>
      <c r="F2" s="46"/>
      <c r="G2" s="46"/>
      <c r="H2" s="46"/>
    </row>
    <row r="3" spans="1:8" x14ac:dyDescent="0.3">
      <c r="A3" s="46" t="s">
        <v>158</v>
      </c>
      <c r="B3" s="46">
        <v>1067</v>
      </c>
      <c r="C3" s="46">
        <v>1539</v>
      </c>
      <c r="D3" s="46">
        <v>2074</v>
      </c>
      <c r="E3" s="46">
        <v>2914</v>
      </c>
      <c r="F3" s="45"/>
      <c r="G3" s="46" t="s">
        <v>10</v>
      </c>
      <c r="H3" s="48">
        <v>1</v>
      </c>
    </row>
    <row r="4" spans="1:8" x14ac:dyDescent="0.3">
      <c r="A4" s="47" t="s">
        <v>151</v>
      </c>
      <c r="B4" s="46">
        <v>5</v>
      </c>
      <c r="C4" s="45"/>
      <c r="D4" s="45"/>
      <c r="E4" s="45"/>
      <c r="F4" s="45"/>
      <c r="G4" s="45"/>
      <c r="H4" s="45"/>
    </row>
    <row r="5" spans="1:8" x14ac:dyDescent="0.3">
      <c r="A5" s="46" t="s">
        <v>235</v>
      </c>
      <c r="B5" s="46">
        <v>1119</v>
      </c>
      <c r="C5" s="46">
        <v>130619</v>
      </c>
      <c r="D5" s="46">
        <v>129053</v>
      </c>
      <c r="E5" s="46">
        <v>142653</v>
      </c>
      <c r="F5" s="45"/>
      <c r="G5" s="46" t="s">
        <v>13</v>
      </c>
      <c r="H5" s="46" t="s">
        <v>14</v>
      </c>
    </row>
    <row r="6" spans="1:8" x14ac:dyDescent="0.3">
      <c r="A6" s="47" t="s">
        <v>137</v>
      </c>
      <c r="B6" s="46">
        <v>59</v>
      </c>
      <c r="C6" s="45"/>
      <c r="D6" s="45"/>
      <c r="E6" s="45"/>
      <c r="F6" s="45"/>
      <c r="G6" s="45"/>
      <c r="H6" s="45"/>
    </row>
    <row r="7" spans="1:8" ht="201.6" x14ac:dyDescent="0.3">
      <c r="A7" s="49" t="s">
        <v>207</v>
      </c>
      <c r="B7" s="46">
        <v>1515</v>
      </c>
      <c r="C7" s="46">
        <v>214500</v>
      </c>
      <c r="D7" s="46">
        <v>285070</v>
      </c>
      <c r="E7" s="46">
        <v>288930</v>
      </c>
      <c r="F7" s="45"/>
      <c r="G7" s="46" t="s">
        <v>13</v>
      </c>
      <c r="H7" s="48">
        <v>1</v>
      </c>
    </row>
    <row r="8" spans="1:8" ht="144" x14ac:dyDescent="0.3">
      <c r="A8" s="49" t="s">
        <v>208</v>
      </c>
      <c r="B8" s="46">
        <v>1514</v>
      </c>
      <c r="C8" s="46" t="s">
        <v>240</v>
      </c>
      <c r="D8" s="46" t="s">
        <v>241</v>
      </c>
      <c r="E8" s="46">
        <v>93100</v>
      </c>
      <c r="F8" s="45"/>
      <c r="G8" s="46" t="s">
        <v>13</v>
      </c>
      <c r="H8" s="48">
        <v>1</v>
      </c>
    </row>
    <row r="9" spans="1:8" ht="144" x14ac:dyDescent="0.3">
      <c r="A9" s="49" t="s">
        <v>209</v>
      </c>
      <c r="B9" s="46">
        <v>1513</v>
      </c>
      <c r="C9" s="46">
        <v>49750</v>
      </c>
      <c r="D9" s="46">
        <v>38000</v>
      </c>
      <c r="E9" s="46">
        <v>52941</v>
      </c>
      <c r="F9" s="45"/>
      <c r="G9" s="46" t="s">
        <v>13</v>
      </c>
      <c r="H9" s="48">
        <v>1</v>
      </c>
    </row>
    <row r="10" spans="1:8" ht="129.6" x14ac:dyDescent="0.3">
      <c r="A10" s="49" t="s">
        <v>210</v>
      </c>
      <c r="B10" s="46">
        <v>1512</v>
      </c>
      <c r="C10" s="46">
        <v>50050</v>
      </c>
      <c r="D10" s="46">
        <v>41994</v>
      </c>
      <c r="E10" s="46">
        <v>55000</v>
      </c>
      <c r="F10" s="45"/>
      <c r="G10" s="46" t="s">
        <v>13</v>
      </c>
      <c r="H10" s="48">
        <v>1</v>
      </c>
    </row>
    <row r="11" spans="1:8" ht="129.6" x14ac:dyDescent="0.3">
      <c r="A11" s="49" t="s">
        <v>211</v>
      </c>
      <c r="B11" s="46">
        <v>1511</v>
      </c>
      <c r="C11" s="46">
        <v>920000</v>
      </c>
      <c r="D11" s="46">
        <v>870000</v>
      </c>
      <c r="E11" s="46">
        <v>900000</v>
      </c>
      <c r="F11" s="45"/>
      <c r="G11" s="46" t="s">
        <v>13</v>
      </c>
      <c r="H11" s="48">
        <v>1</v>
      </c>
    </row>
    <row r="12" spans="1:8" x14ac:dyDescent="0.3">
      <c r="A12" s="46" t="s">
        <v>212</v>
      </c>
      <c r="B12" s="46">
        <v>42</v>
      </c>
      <c r="C12" s="46">
        <v>779464</v>
      </c>
      <c r="D12" s="46">
        <v>748230</v>
      </c>
      <c r="E12" s="46">
        <v>907635</v>
      </c>
      <c r="F12" s="45"/>
      <c r="G12" s="46" t="s">
        <v>13</v>
      </c>
      <c r="H12" s="48">
        <v>1</v>
      </c>
    </row>
    <row r="13" spans="1:8" x14ac:dyDescent="0.3">
      <c r="A13" s="46" t="s">
        <v>213</v>
      </c>
      <c r="B13" s="46">
        <v>1568</v>
      </c>
      <c r="C13" s="46">
        <v>6000</v>
      </c>
      <c r="D13" s="46">
        <v>6000</v>
      </c>
      <c r="E13" s="46">
        <v>6000</v>
      </c>
      <c r="F13" s="45"/>
      <c r="G13" s="46" t="s">
        <v>13</v>
      </c>
      <c r="H13" s="48">
        <v>1</v>
      </c>
    </row>
    <row r="14" spans="1:8" x14ac:dyDescent="0.3">
      <c r="A14" s="46" t="s">
        <v>214</v>
      </c>
      <c r="B14" s="46">
        <v>1601</v>
      </c>
      <c r="C14" s="46">
        <v>29500</v>
      </c>
      <c r="D14" s="46">
        <v>51000</v>
      </c>
      <c r="E14" s="46">
        <v>47500</v>
      </c>
      <c r="F14" s="45"/>
      <c r="G14" s="46" t="s">
        <v>13</v>
      </c>
      <c r="H14" s="48">
        <v>1</v>
      </c>
    </row>
    <row r="15" spans="1:8" x14ac:dyDescent="0.3">
      <c r="A15" s="46" t="s">
        <v>215</v>
      </c>
      <c r="B15" s="46">
        <v>1595</v>
      </c>
      <c r="C15" s="46">
        <v>45610</v>
      </c>
      <c r="D15" s="46">
        <v>34360</v>
      </c>
      <c r="E15" s="46">
        <v>53105</v>
      </c>
      <c r="F15" s="45"/>
      <c r="G15" s="46" t="s">
        <v>13</v>
      </c>
      <c r="H15" s="48">
        <v>1</v>
      </c>
    </row>
    <row r="16" spans="1:8" x14ac:dyDescent="0.3">
      <c r="A16" s="46" t="s">
        <v>216</v>
      </c>
      <c r="B16" s="46">
        <v>1564</v>
      </c>
      <c r="C16" s="46">
        <v>156750</v>
      </c>
      <c r="D16" s="46">
        <v>119034</v>
      </c>
      <c r="E16" s="46">
        <v>166640</v>
      </c>
      <c r="F16" s="45"/>
      <c r="G16" s="46" t="s">
        <v>13</v>
      </c>
      <c r="H16" s="48">
        <v>1</v>
      </c>
    </row>
    <row r="17" spans="1:8" x14ac:dyDescent="0.3">
      <c r="A17" s="46" t="s">
        <v>217</v>
      </c>
      <c r="B17" s="46">
        <v>1569</v>
      </c>
      <c r="C17" s="46">
        <v>29400</v>
      </c>
      <c r="D17" s="46">
        <v>71000</v>
      </c>
      <c r="E17" s="46">
        <v>71000</v>
      </c>
      <c r="F17" s="45"/>
      <c r="G17" s="46" t="s">
        <v>13</v>
      </c>
      <c r="H17" s="48">
        <v>1</v>
      </c>
    </row>
    <row r="18" spans="1:8" x14ac:dyDescent="0.3">
      <c r="A18" s="46" t="s">
        <v>218</v>
      </c>
      <c r="B18" s="46">
        <v>1565</v>
      </c>
      <c r="C18" s="46">
        <v>45030</v>
      </c>
      <c r="D18" s="46">
        <v>35212</v>
      </c>
      <c r="E18" s="46">
        <v>52750</v>
      </c>
      <c r="F18" s="45"/>
      <c r="G18" s="46" t="s">
        <v>13</v>
      </c>
      <c r="H18" s="48">
        <v>1</v>
      </c>
    </row>
    <row r="19" spans="1:8" x14ac:dyDescent="0.3">
      <c r="A19" s="46" t="s">
        <v>219</v>
      </c>
      <c r="B19" s="46">
        <v>1829</v>
      </c>
      <c r="C19" s="46">
        <v>55000</v>
      </c>
      <c r="D19" s="46">
        <v>55000</v>
      </c>
      <c r="E19" s="46">
        <v>60000</v>
      </c>
      <c r="F19" s="45"/>
      <c r="G19" s="46" t="s">
        <v>13</v>
      </c>
      <c r="H19" s="48">
        <v>1</v>
      </c>
    </row>
    <row r="20" spans="1:8" x14ac:dyDescent="0.3">
      <c r="A20" s="46" t="s">
        <v>220</v>
      </c>
      <c r="B20" s="46">
        <v>1582</v>
      </c>
      <c r="C20" s="46">
        <v>1224</v>
      </c>
      <c r="D20" s="46">
        <v>1530</v>
      </c>
      <c r="E20" s="46">
        <v>1070</v>
      </c>
      <c r="F20" s="45"/>
      <c r="G20" s="46" t="s">
        <v>13</v>
      </c>
      <c r="H20" s="48">
        <v>1</v>
      </c>
    </row>
    <row r="21" spans="1:8" x14ac:dyDescent="0.3">
      <c r="A21" s="46" t="s">
        <v>221</v>
      </c>
      <c r="B21" s="46">
        <v>1571</v>
      </c>
      <c r="C21" s="46">
        <v>11500</v>
      </c>
      <c r="D21" s="46">
        <v>11400</v>
      </c>
      <c r="E21" s="46">
        <v>11500</v>
      </c>
      <c r="F21" s="45"/>
      <c r="G21" s="46" t="s">
        <v>13</v>
      </c>
      <c r="H21" s="48">
        <v>1</v>
      </c>
    </row>
    <row r="22" spans="1:8" x14ac:dyDescent="0.3">
      <c r="A22" s="46" t="s">
        <v>31</v>
      </c>
      <c r="B22" s="46">
        <v>1566</v>
      </c>
      <c r="C22" s="46">
        <v>83250</v>
      </c>
      <c r="D22" s="46">
        <v>76010</v>
      </c>
      <c r="E22" s="46">
        <v>104150</v>
      </c>
      <c r="F22" s="45"/>
      <c r="G22" s="46" t="s">
        <v>13</v>
      </c>
      <c r="H22" s="48">
        <v>1</v>
      </c>
    </row>
    <row r="23" spans="1:8" x14ac:dyDescent="0.3">
      <c r="A23" s="46" t="s">
        <v>32</v>
      </c>
      <c r="B23" s="46">
        <v>1607</v>
      </c>
      <c r="C23" s="46">
        <v>63458</v>
      </c>
      <c r="D23" s="46">
        <v>48376</v>
      </c>
      <c r="E23" s="46">
        <v>72620</v>
      </c>
      <c r="F23" s="45"/>
      <c r="G23" s="46" t="s">
        <v>13</v>
      </c>
      <c r="H23" s="48">
        <v>1</v>
      </c>
    </row>
    <row r="24" spans="1:8" x14ac:dyDescent="0.3">
      <c r="A24" s="46" t="s">
        <v>222</v>
      </c>
      <c r="B24" s="46">
        <v>1577</v>
      </c>
      <c r="C24" s="46">
        <v>110000</v>
      </c>
      <c r="D24" s="46">
        <v>75000</v>
      </c>
      <c r="E24" s="46">
        <v>100000</v>
      </c>
      <c r="F24" s="45"/>
      <c r="G24" s="46" t="s">
        <v>13</v>
      </c>
      <c r="H24" s="48">
        <v>1</v>
      </c>
    </row>
    <row r="25" spans="1:8" x14ac:dyDescent="0.3">
      <c r="A25" s="46" t="s">
        <v>223</v>
      </c>
      <c r="B25" s="46">
        <v>1591</v>
      </c>
      <c r="C25" s="46">
        <v>438889</v>
      </c>
      <c r="D25" s="46">
        <v>189085</v>
      </c>
      <c r="E25" s="46">
        <v>98</v>
      </c>
      <c r="F25" s="45"/>
      <c r="G25" s="46" t="s">
        <v>13</v>
      </c>
      <c r="H25" s="48">
        <v>1</v>
      </c>
    </row>
    <row r="26" spans="1:8" x14ac:dyDescent="0.3">
      <c r="A26" s="46" t="s">
        <v>159</v>
      </c>
      <c r="B26" s="46">
        <v>1724</v>
      </c>
      <c r="C26" s="46">
        <v>1000</v>
      </c>
      <c r="D26" s="46">
        <v>2000</v>
      </c>
      <c r="E26" s="46">
        <v>2000</v>
      </c>
      <c r="F26" s="45"/>
      <c r="G26" s="46" t="s">
        <v>10</v>
      </c>
      <c r="H26" s="48">
        <v>1</v>
      </c>
    </row>
    <row r="27" spans="1:8" x14ac:dyDescent="0.3">
      <c r="A27" s="46" t="s">
        <v>224</v>
      </c>
      <c r="B27" s="46">
        <v>1725</v>
      </c>
      <c r="C27" s="46">
        <v>86480</v>
      </c>
      <c r="D27" s="46">
        <v>70420</v>
      </c>
      <c r="E27" s="46">
        <v>78974</v>
      </c>
      <c r="F27" s="45"/>
      <c r="G27" s="46" t="s">
        <v>13</v>
      </c>
      <c r="H27" s="48">
        <v>1</v>
      </c>
    </row>
    <row r="28" spans="1:8" x14ac:dyDescent="0.3">
      <c r="A28" s="47" t="s">
        <v>138</v>
      </c>
      <c r="B28" s="47">
        <v>259</v>
      </c>
      <c r="C28" s="47"/>
      <c r="D28" s="47"/>
      <c r="E28" s="47"/>
      <c r="F28" s="47"/>
      <c r="G28" s="47"/>
      <c r="H28" s="47"/>
    </row>
    <row r="29" spans="1:8" x14ac:dyDescent="0.3">
      <c r="A29" s="46" t="s">
        <v>225</v>
      </c>
      <c r="B29" s="46">
        <v>2543</v>
      </c>
      <c r="C29" s="46">
        <v>30000</v>
      </c>
      <c r="D29" s="46">
        <v>25000</v>
      </c>
      <c r="E29" s="46">
        <v>25000</v>
      </c>
      <c r="F29" s="45"/>
      <c r="G29" s="46" t="s">
        <v>13</v>
      </c>
      <c r="H29" s="48">
        <v>1</v>
      </c>
    </row>
    <row r="30" spans="1:8" x14ac:dyDescent="0.3">
      <c r="A30" s="46" t="s">
        <v>160</v>
      </c>
      <c r="B30" s="46">
        <v>1219</v>
      </c>
      <c r="C30" s="46">
        <v>593400</v>
      </c>
      <c r="D30" s="46">
        <v>600000</v>
      </c>
      <c r="E30" s="46">
        <v>663000</v>
      </c>
      <c r="F30" s="45"/>
      <c r="G30" s="46" t="s">
        <v>10</v>
      </c>
      <c r="H30" s="48">
        <v>1</v>
      </c>
    </row>
    <row r="31" spans="1:8" x14ac:dyDescent="0.3">
      <c r="A31" s="46" t="s">
        <v>226</v>
      </c>
      <c r="B31" s="46">
        <v>986</v>
      </c>
      <c r="C31" s="46">
        <v>12700</v>
      </c>
      <c r="D31" s="46">
        <v>301</v>
      </c>
      <c r="E31" s="46">
        <v>2</v>
      </c>
      <c r="F31" s="45"/>
      <c r="G31" s="46" t="s">
        <v>13</v>
      </c>
      <c r="H31" s="48">
        <v>1</v>
      </c>
    </row>
    <row r="32" spans="1:8" x14ac:dyDescent="0.3">
      <c r="A32" s="47" t="s">
        <v>139</v>
      </c>
      <c r="B32" s="47">
        <v>244</v>
      </c>
      <c r="C32" s="47"/>
      <c r="D32" s="47"/>
      <c r="E32" s="47"/>
      <c r="F32" s="47"/>
      <c r="G32" s="47"/>
      <c r="H32" s="47"/>
    </row>
    <row r="33" spans="1:8" x14ac:dyDescent="0.3">
      <c r="A33" s="46" t="s">
        <v>236</v>
      </c>
      <c r="B33" s="46">
        <v>366</v>
      </c>
      <c r="C33" s="46">
        <v>2102</v>
      </c>
      <c r="D33" s="46">
        <v>2052</v>
      </c>
      <c r="E33" s="46">
        <v>2102</v>
      </c>
      <c r="F33" s="45"/>
      <c r="G33" s="46" t="s">
        <v>13</v>
      </c>
      <c r="H33" s="46" t="s">
        <v>14</v>
      </c>
    </row>
    <row r="34" spans="1:8" x14ac:dyDescent="0.3">
      <c r="A34" s="46" t="s">
        <v>237</v>
      </c>
      <c r="B34" s="46">
        <v>338</v>
      </c>
      <c r="C34" s="46">
        <v>1000</v>
      </c>
      <c r="D34" s="46">
        <v>110</v>
      </c>
      <c r="E34" s="46">
        <v>500</v>
      </c>
      <c r="F34" s="45"/>
      <c r="G34" s="46" t="s">
        <v>13</v>
      </c>
      <c r="H34" s="46" t="s">
        <v>14</v>
      </c>
    </row>
    <row r="35" spans="1:8" x14ac:dyDescent="0.3">
      <c r="A35" s="46" t="s">
        <v>161</v>
      </c>
      <c r="B35" s="46">
        <v>2591</v>
      </c>
      <c r="C35" s="46">
        <v>40381</v>
      </c>
      <c r="D35" s="46">
        <v>37831</v>
      </c>
      <c r="E35" s="46">
        <v>40393</v>
      </c>
      <c r="F35" s="45"/>
      <c r="G35" s="46" t="s">
        <v>10</v>
      </c>
      <c r="H35" s="48">
        <v>1</v>
      </c>
    </row>
    <row r="36" spans="1:8" x14ac:dyDescent="0.3">
      <c r="A36" s="46" t="s">
        <v>238</v>
      </c>
      <c r="B36" s="46">
        <v>2589</v>
      </c>
      <c r="C36" s="46">
        <v>250</v>
      </c>
      <c r="D36" s="46">
        <v>250</v>
      </c>
      <c r="E36" s="46">
        <v>250</v>
      </c>
      <c r="F36" s="45"/>
      <c r="G36" s="46" t="s">
        <v>13</v>
      </c>
      <c r="H36" s="46" t="s">
        <v>14</v>
      </c>
    </row>
    <row r="37" spans="1:8" x14ac:dyDescent="0.3">
      <c r="A37" s="46" t="s">
        <v>162</v>
      </c>
      <c r="B37" s="46">
        <v>335</v>
      </c>
      <c r="C37" s="46">
        <v>600</v>
      </c>
      <c r="D37" s="46">
        <v>20</v>
      </c>
      <c r="E37" s="46">
        <v>5100</v>
      </c>
      <c r="F37" s="45"/>
      <c r="G37" s="46" t="s">
        <v>10</v>
      </c>
      <c r="H37" s="48">
        <v>1</v>
      </c>
    </row>
    <row r="38" spans="1:8" x14ac:dyDescent="0.3">
      <c r="A38" s="46" t="s">
        <v>227</v>
      </c>
      <c r="B38" s="46">
        <v>1383</v>
      </c>
      <c r="C38" s="46">
        <v>80000</v>
      </c>
      <c r="D38" s="46">
        <v>117000</v>
      </c>
      <c r="E38" s="46">
        <v>120000</v>
      </c>
      <c r="F38" s="45"/>
      <c r="G38" s="46" t="s">
        <v>13</v>
      </c>
      <c r="H38" s="48">
        <v>1</v>
      </c>
    </row>
    <row r="39" spans="1:8" x14ac:dyDescent="0.3">
      <c r="A39" s="47" t="s">
        <v>150</v>
      </c>
      <c r="B39" s="47">
        <v>8</v>
      </c>
      <c r="C39" s="47"/>
      <c r="D39" s="47"/>
      <c r="E39" s="47"/>
      <c r="F39" s="47"/>
      <c r="G39" s="47"/>
      <c r="H39" s="47"/>
    </row>
    <row r="40" spans="1:8" x14ac:dyDescent="0.3">
      <c r="A40" s="46" t="s">
        <v>204</v>
      </c>
      <c r="B40" s="46">
        <v>1507</v>
      </c>
      <c r="C40" s="46">
        <v>13329</v>
      </c>
      <c r="D40" s="46">
        <v>12614</v>
      </c>
      <c r="E40" s="46">
        <v>14429</v>
      </c>
      <c r="F40" s="45"/>
      <c r="G40" s="46" t="s">
        <v>10</v>
      </c>
      <c r="H40" s="46" t="s">
        <v>14</v>
      </c>
    </row>
    <row r="41" spans="1:8" x14ac:dyDescent="0.3">
      <c r="A41" s="47" t="s">
        <v>140</v>
      </c>
      <c r="B41" s="47">
        <v>30</v>
      </c>
      <c r="C41" s="47"/>
      <c r="D41" s="47"/>
      <c r="E41" s="47"/>
      <c r="F41" s="47"/>
      <c r="G41" s="47"/>
      <c r="H41" s="47"/>
    </row>
    <row r="42" spans="1:8" x14ac:dyDescent="0.3">
      <c r="A42" s="46" t="s">
        <v>163</v>
      </c>
      <c r="B42" s="46">
        <v>2372</v>
      </c>
      <c r="C42" s="46">
        <v>6</v>
      </c>
      <c r="D42" s="46">
        <v>6</v>
      </c>
      <c r="E42" s="46">
        <v>6</v>
      </c>
      <c r="F42" s="45"/>
      <c r="G42" s="46" t="s">
        <v>10</v>
      </c>
      <c r="H42" s="48">
        <v>1</v>
      </c>
    </row>
    <row r="43" spans="1:8" x14ac:dyDescent="0.3">
      <c r="A43" s="46" t="s">
        <v>164</v>
      </c>
      <c r="B43" s="46">
        <v>2738</v>
      </c>
      <c r="C43" s="46">
        <v>3</v>
      </c>
      <c r="D43" s="46">
        <v>3</v>
      </c>
      <c r="E43" s="46">
        <v>3</v>
      </c>
      <c r="F43" s="45"/>
      <c r="G43" s="46" t="s">
        <v>10</v>
      </c>
      <c r="H43" s="48">
        <v>1</v>
      </c>
    </row>
    <row r="44" spans="1:8" x14ac:dyDescent="0.3">
      <c r="A44" s="46" t="s">
        <v>165</v>
      </c>
      <c r="B44" s="46">
        <v>189</v>
      </c>
      <c r="C44" s="46">
        <v>4000</v>
      </c>
      <c r="D44" s="46">
        <v>4000</v>
      </c>
      <c r="E44" s="46">
        <v>4000</v>
      </c>
      <c r="F44" s="45"/>
      <c r="G44" s="46" t="s">
        <v>10</v>
      </c>
      <c r="H44" s="48">
        <v>1</v>
      </c>
    </row>
    <row r="45" spans="1:8" x14ac:dyDescent="0.3">
      <c r="A45" s="47" t="s">
        <v>141</v>
      </c>
      <c r="B45" s="47">
        <v>29</v>
      </c>
      <c r="C45" s="47"/>
      <c r="D45" s="47"/>
      <c r="E45" s="47"/>
      <c r="F45" s="47"/>
      <c r="G45" s="47"/>
      <c r="H45" s="47"/>
    </row>
    <row r="46" spans="1:8" x14ac:dyDescent="0.3">
      <c r="A46" s="50" t="s">
        <v>166</v>
      </c>
      <c r="B46" s="50">
        <v>2170</v>
      </c>
      <c r="C46" s="50">
        <v>880021</v>
      </c>
      <c r="D46" s="50">
        <v>229491</v>
      </c>
      <c r="E46" s="50">
        <v>2</v>
      </c>
      <c r="F46" s="50"/>
      <c r="G46" s="50" t="s">
        <v>10</v>
      </c>
      <c r="H46" s="51">
        <v>1</v>
      </c>
    </row>
    <row r="47" spans="1:8" x14ac:dyDescent="0.3">
      <c r="A47" s="46" t="s">
        <v>167</v>
      </c>
      <c r="B47" s="46">
        <v>34</v>
      </c>
      <c r="C47" s="46">
        <v>2105962</v>
      </c>
      <c r="D47" s="46">
        <v>559110</v>
      </c>
      <c r="E47" s="46">
        <v>52269</v>
      </c>
      <c r="F47" s="45"/>
      <c r="G47" s="46" t="s">
        <v>10</v>
      </c>
      <c r="H47" s="48">
        <v>1</v>
      </c>
    </row>
    <row r="48" spans="1:8" x14ac:dyDescent="0.3">
      <c r="A48" s="46" t="s">
        <v>168</v>
      </c>
      <c r="B48" s="46">
        <v>2479</v>
      </c>
      <c r="C48" s="46">
        <v>700000</v>
      </c>
      <c r="D48" s="46">
        <v>700000</v>
      </c>
      <c r="E48" s="46">
        <v>720000</v>
      </c>
      <c r="F48" s="45"/>
      <c r="G48" s="46" t="s">
        <v>10</v>
      </c>
      <c r="H48" s="48">
        <v>1</v>
      </c>
    </row>
    <row r="49" spans="1:8" x14ac:dyDescent="0.3">
      <c r="A49" s="46" t="s">
        <v>169</v>
      </c>
      <c r="B49" s="46">
        <v>2477</v>
      </c>
      <c r="C49" s="46">
        <v>262000</v>
      </c>
      <c r="D49" s="46">
        <v>265030</v>
      </c>
      <c r="E49" s="46">
        <v>265100</v>
      </c>
      <c r="F49" s="45"/>
      <c r="G49" s="46" t="s">
        <v>10</v>
      </c>
      <c r="H49" s="48">
        <v>1</v>
      </c>
    </row>
    <row r="50" spans="1:8" x14ac:dyDescent="0.3">
      <c r="A50" s="47" t="s">
        <v>142</v>
      </c>
      <c r="B50" s="47">
        <v>56</v>
      </c>
      <c r="C50" s="47"/>
      <c r="D50" s="47"/>
      <c r="E50" s="47"/>
      <c r="F50" s="47"/>
      <c r="G50" s="47"/>
      <c r="H50" s="47"/>
    </row>
    <row r="51" spans="1:8" x14ac:dyDescent="0.3">
      <c r="A51" s="46" t="s">
        <v>170</v>
      </c>
      <c r="B51" s="46">
        <v>2352</v>
      </c>
      <c r="C51" s="46">
        <v>2567</v>
      </c>
      <c r="D51" s="46">
        <v>7460</v>
      </c>
      <c r="E51" s="46">
        <v>2567</v>
      </c>
      <c r="F51" s="45"/>
      <c r="G51" s="46" t="s">
        <v>242</v>
      </c>
      <c r="H51" s="48">
        <v>1</v>
      </c>
    </row>
    <row r="52" spans="1:8" x14ac:dyDescent="0.3">
      <c r="A52" s="47" t="s">
        <v>143</v>
      </c>
      <c r="B52" s="47">
        <v>13</v>
      </c>
      <c r="C52" s="47"/>
      <c r="D52" s="47"/>
      <c r="E52" s="47"/>
      <c r="F52" s="47"/>
      <c r="G52" s="47"/>
      <c r="H52" s="52"/>
    </row>
    <row r="53" spans="1:8" x14ac:dyDescent="0.3">
      <c r="A53" s="46" t="s">
        <v>171</v>
      </c>
      <c r="B53" s="46">
        <v>52</v>
      </c>
      <c r="C53" s="46">
        <v>718865</v>
      </c>
      <c r="D53" s="46">
        <v>855452</v>
      </c>
      <c r="E53" s="46">
        <v>910000</v>
      </c>
      <c r="F53" s="45"/>
      <c r="G53" s="46" t="s">
        <v>242</v>
      </c>
      <c r="H53" s="48">
        <v>1</v>
      </c>
    </row>
    <row r="54" spans="1:8" x14ac:dyDescent="0.3">
      <c r="A54" s="46" t="s">
        <v>172</v>
      </c>
      <c r="B54" s="46">
        <v>51</v>
      </c>
      <c r="C54" s="46">
        <v>858000</v>
      </c>
      <c r="D54" s="46">
        <v>1110000</v>
      </c>
      <c r="E54" s="46">
        <v>942000</v>
      </c>
      <c r="F54" s="45"/>
      <c r="G54" s="46" t="s">
        <v>242</v>
      </c>
      <c r="H54" s="48">
        <v>1</v>
      </c>
    </row>
    <row r="55" spans="1:8" x14ac:dyDescent="0.3">
      <c r="A55" s="46" t="s">
        <v>173</v>
      </c>
      <c r="B55" s="46">
        <v>53</v>
      </c>
      <c r="C55" s="46">
        <v>350000</v>
      </c>
      <c r="D55" s="46">
        <v>684000</v>
      </c>
      <c r="E55" s="46">
        <v>540000</v>
      </c>
      <c r="F55" s="45"/>
      <c r="G55" s="46" t="s">
        <v>242</v>
      </c>
      <c r="H55" s="48">
        <v>1</v>
      </c>
    </row>
    <row r="56" spans="1:8" x14ac:dyDescent="0.3">
      <c r="A56" s="46" t="s">
        <v>174</v>
      </c>
      <c r="B56" s="46">
        <v>2500</v>
      </c>
      <c r="C56" s="46">
        <v>2000</v>
      </c>
      <c r="D56" s="46">
        <v>6300</v>
      </c>
      <c r="E56" s="46">
        <v>6000</v>
      </c>
      <c r="F56" s="45"/>
      <c r="G56" s="46" t="s">
        <v>242</v>
      </c>
      <c r="H56" s="48">
        <v>1</v>
      </c>
    </row>
    <row r="57" spans="1:8" x14ac:dyDescent="0.3">
      <c r="A57" s="46" t="s">
        <v>175</v>
      </c>
      <c r="B57" s="46">
        <v>1162</v>
      </c>
      <c r="C57" s="46">
        <v>15000</v>
      </c>
      <c r="D57" s="46">
        <v>25000</v>
      </c>
      <c r="E57" s="46">
        <v>25000</v>
      </c>
      <c r="F57" s="45"/>
      <c r="G57" s="46" t="s">
        <v>242</v>
      </c>
      <c r="H57" s="48">
        <v>1</v>
      </c>
    </row>
    <row r="58" spans="1:8" x14ac:dyDescent="0.3">
      <c r="A58" s="46" t="s">
        <v>176</v>
      </c>
      <c r="B58" s="46">
        <v>2553</v>
      </c>
      <c r="C58" s="46">
        <v>38500</v>
      </c>
      <c r="D58" s="46">
        <v>54500</v>
      </c>
      <c r="E58" s="46">
        <v>92000</v>
      </c>
      <c r="F58" s="45"/>
      <c r="G58" s="46" t="s">
        <v>242</v>
      </c>
      <c r="H58" s="48">
        <v>1</v>
      </c>
    </row>
    <row r="59" spans="1:8" x14ac:dyDescent="0.3">
      <c r="A59" s="46" t="s">
        <v>177</v>
      </c>
      <c r="B59" s="46">
        <v>1451</v>
      </c>
      <c r="C59" s="46">
        <v>100</v>
      </c>
      <c r="D59" s="46">
        <v>408</v>
      </c>
      <c r="E59" s="46">
        <v>300</v>
      </c>
      <c r="F59" s="45"/>
      <c r="G59" s="46" t="s">
        <v>242</v>
      </c>
      <c r="H59" s="48">
        <v>1</v>
      </c>
    </row>
    <row r="60" spans="1:8" x14ac:dyDescent="0.3">
      <c r="A60" s="46" t="s">
        <v>178</v>
      </c>
      <c r="B60" s="46">
        <v>54</v>
      </c>
      <c r="C60" s="46">
        <v>10</v>
      </c>
      <c r="D60" s="46">
        <v>4</v>
      </c>
      <c r="E60" s="46">
        <v>10</v>
      </c>
      <c r="F60" s="45"/>
      <c r="G60" s="46" t="s">
        <v>242</v>
      </c>
      <c r="H60" s="48">
        <v>1</v>
      </c>
    </row>
    <row r="61" spans="1:8" x14ac:dyDescent="0.3">
      <c r="A61" s="46" t="s">
        <v>179</v>
      </c>
      <c r="B61" s="46">
        <v>1457</v>
      </c>
      <c r="C61" s="46">
        <v>1150000</v>
      </c>
      <c r="D61" s="46">
        <v>484358</v>
      </c>
      <c r="E61" s="46">
        <v>2500000</v>
      </c>
      <c r="F61" s="45"/>
      <c r="G61" s="46" t="s">
        <v>242</v>
      </c>
      <c r="H61" s="48">
        <v>1</v>
      </c>
    </row>
    <row r="62" spans="1:8" x14ac:dyDescent="0.3">
      <c r="A62" s="46" t="s">
        <v>180</v>
      </c>
      <c r="B62" s="46">
        <v>1459</v>
      </c>
      <c r="C62" s="46">
        <v>26249</v>
      </c>
      <c r="D62" s="46">
        <v>26249</v>
      </c>
      <c r="E62" s="46">
        <v>26249</v>
      </c>
      <c r="F62" s="45"/>
      <c r="G62" s="46" t="s">
        <v>242</v>
      </c>
      <c r="H62" s="48">
        <v>1</v>
      </c>
    </row>
    <row r="63" spans="1:8" x14ac:dyDescent="0.3">
      <c r="A63" s="46" t="s">
        <v>181</v>
      </c>
      <c r="B63" s="46">
        <v>55</v>
      </c>
      <c r="C63" s="46">
        <v>56257700</v>
      </c>
      <c r="D63" s="46">
        <v>57563594</v>
      </c>
      <c r="E63" s="46">
        <v>64603894</v>
      </c>
      <c r="F63" s="45"/>
      <c r="G63" s="46" t="s">
        <v>242</v>
      </c>
      <c r="H63" s="48">
        <v>1</v>
      </c>
    </row>
    <row r="64" spans="1:8" x14ac:dyDescent="0.3">
      <c r="A64" s="46" t="s">
        <v>228</v>
      </c>
      <c r="B64" s="46">
        <v>1455</v>
      </c>
      <c r="C64" s="46">
        <v>2000</v>
      </c>
      <c r="D64" s="46">
        <v>1200</v>
      </c>
      <c r="E64" s="46">
        <v>2000</v>
      </c>
      <c r="F64" s="45"/>
      <c r="G64" s="46" t="s">
        <v>243</v>
      </c>
      <c r="H64" s="48">
        <v>1</v>
      </c>
    </row>
    <row r="65" spans="1:8" x14ac:dyDescent="0.3">
      <c r="A65" s="46" t="s">
        <v>182</v>
      </c>
      <c r="B65" s="46">
        <v>56</v>
      </c>
      <c r="C65" s="46">
        <v>6854459</v>
      </c>
      <c r="D65" s="46">
        <v>6404359</v>
      </c>
      <c r="E65" s="46">
        <v>7174619</v>
      </c>
      <c r="F65" s="45"/>
      <c r="G65" s="46" t="s">
        <v>242</v>
      </c>
      <c r="H65" s="48">
        <v>1</v>
      </c>
    </row>
    <row r="66" spans="1:8" x14ac:dyDescent="0.3">
      <c r="A66" s="46" t="s">
        <v>205</v>
      </c>
      <c r="B66" s="46">
        <v>1875</v>
      </c>
      <c r="C66" s="46">
        <v>11221</v>
      </c>
      <c r="D66" s="46">
        <v>9639</v>
      </c>
      <c r="E66" s="46">
        <v>11021</v>
      </c>
      <c r="F66" s="45"/>
      <c r="G66" s="46" t="s">
        <v>242</v>
      </c>
      <c r="H66" s="46" t="s">
        <v>14</v>
      </c>
    </row>
    <row r="67" spans="1:8" x14ac:dyDescent="0.3">
      <c r="A67" s="46" t="s">
        <v>183</v>
      </c>
      <c r="B67" s="46">
        <v>2492</v>
      </c>
      <c r="C67" s="46">
        <v>300000</v>
      </c>
      <c r="D67" s="46">
        <v>480001</v>
      </c>
      <c r="E67" s="46">
        <v>600001</v>
      </c>
      <c r="F67" s="45"/>
      <c r="G67" s="46" t="s">
        <v>242</v>
      </c>
      <c r="H67" s="48">
        <v>1</v>
      </c>
    </row>
    <row r="68" spans="1:8" x14ac:dyDescent="0.3">
      <c r="A68" s="46" t="s">
        <v>184</v>
      </c>
      <c r="B68" s="46">
        <v>2316</v>
      </c>
      <c r="C68" s="46">
        <v>2000</v>
      </c>
      <c r="D68" s="46">
        <v>2000</v>
      </c>
      <c r="E68" s="46">
        <v>2000</v>
      </c>
      <c r="F68" s="45"/>
      <c r="G68" s="46" t="s">
        <v>242</v>
      </c>
      <c r="H68" s="48">
        <v>1</v>
      </c>
    </row>
    <row r="69" spans="1:8" x14ac:dyDescent="0.3">
      <c r="A69" s="46" t="s">
        <v>229</v>
      </c>
      <c r="B69" s="46">
        <v>1166</v>
      </c>
      <c r="C69" s="46">
        <v>3000</v>
      </c>
      <c r="D69" s="46">
        <v>3000</v>
      </c>
      <c r="E69" s="46">
        <v>3000</v>
      </c>
      <c r="F69" s="45"/>
      <c r="G69" s="46" t="s">
        <v>243</v>
      </c>
      <c r="H69" s="48">
        <v>1</v>
      </c>
    </row>
    <row r="70" spans="1:8" x14ac:dyDescent="0.3">
      <c r="A70" s="46" t="s">
        <v>79</v>
      </c>
      <c r="B70" s="46">
        <v>1733</v>
      </c>
      <c r="C70" s="46">
        <v>480000</v>
      </c>
      <c r="D70" s="46">
        <v>3</v>
      </c>
      <c r="E70" s="46">
        <v>1200000</v>
      </c>
      <c r="F70" s="45"/>
      <c r="G70" s="46" t="s">
        <v>242</v>
      </c>
      <c r="H70" s="48">
        <v>1</v>
      </c>
    </row>
    <row r="71" spans="1:8" x14ac:dyDescent="0.3">
      <c r="A71" s="46" t="s">
        <v>185</v>
      </c>
      <c r="B71" s="46">
        <v>1450</v>
      </c>
      <c r="C71" s="46">
        <v>500000</v>
      </c>
      <c r="D71" s="46">
        <v>45070</v>
      </c>
      <c r="E71" s="46">
        <v>1400000</v>
      </c>
      <c r="F71" s="45"/>
      <c r="G71" s="46" t="s">
        <v>242</v>
      </c>
      <c r="H71" s="48">
        <v>1</v>
      </c>
    </row>
    <row r="72" spans="1:8" x14ac:dyDescent="0.3">
      <c r="A72" s="46" t="s">
        <v>186</v>
      </c>
      <c r="B72" s="46">
        <v>1460</v>
      </c>
      <c r="C72" s="46">
        <v>2500</v>
      </c>
      <c r="D72" s="46">
        <v>1</v>
      </c>
      <c r="E72" s="46">
        <v>2500</v>
      </c>
      <c r="F72" s="45"/>
      <c r="G72" s="46" t="s">
        <v>242</v>
      </c>
      <c r="H72" s="48">
        <v>1</v>
      </c>
    </row>
    <row r="73" spans="1:8" x14ac:dyDescent="0.3">
      <c r="A73" s="46" t="s">
        <v>187</v>
      </c>
      <c r="B73" s="46">
        <v>2654</v>
      </c>
      <c r="C73" s="46">
        <v>45000</v>
      </c>
      <c r="D73" s="46">
        <v>10000</v>
      </c>
      <c r="E73" s="46">
        <v>127500</v>
      </c>
      <c r="F73" s="45"/>
      <c r="G73" s="46" t="s">
        <v>242</v>
      </c>
      <c r="H73" s="48">
        <v>1</v>
      </c>
    </row>
    <row r="74" spans="1:8" x14ac:dyDescent="0.3">
      <c r="A74" s="46" t="s">
        <v>188</v>
      </c>
      <c r="B74" s="46">
        <v>2655</v>
      </c>
      <c r="C74" s="46">
        <v>360000</v>
      </c>
      <c r="D74" s="46">
        <v>360000</v>
      </c>
      <c r="E74" s="46">
        <v>355000</v>
      </c>
      <c r="F74" s="45"/>
      <c r="G74" s="46" t="s">
        <v>242</v>
      </c>
      <c r="H74" s="48">
        <v>1</v>
      </c>
    </row>
    <row r="75" spans="1:8" x14ac:dyDescent="0.3">
      <c r="A75" s="46" t="s">
        <v>189</v>
      </c>
      <c r="B75" s="46">
        <v>2499</v>
      </c>
      <c r="C75" s="46">
        <v>21393</v>
      </c>
      <c r="D75" s="46">
        <v>21393</v>
      </c>
      <c r="E75" s="46">
        <v>21393</v>
      </c>
      <c r="F75" s="45"/>
      <c r="G75" s="46" t="s">
        <v>242</v>
      </c>
      <c r="H75" s="48">
        <v>1</v>
      </c>
    </row>
    <row r="76" spans="1:8" x14ac:dyDescent="0.3">
      <c r="A76" s="47" t="s">
        <v>144</v>
      </c>
      <c r="B76" s="47">
        <v>284</v>
      </c>
      <c r="C76" s="47"/>
      <c r="D76" s="47"/>
      <c r="E76" s="47"/>
      <c r="F76" s="47"/>
      <c r="G76" s="47"/>
      <c r="H76" s="47"/>
    </row>
    <row r="77" spans="1:8" x14ac:dyDescent="0.3">
      <c r="A77" s="46" t="s">
        <v>86</v>
      </c>
      <c r="B77" s="46">
        <v>2670</v>
      </c>
      <c r="C77" s="46">
        <v>7260000</v>
      </c>
      <c r="D77" s="46">
        <v>500000</v>
      </c>
      <c r="E77" s="46">
        <v>3</v>
      </c>
      <c r="F77" s="45"/>
      <c r="G77" s="46" t="s">
        <v>242</v>
      </c>
      <c r="H77" s="48">
        <v>1</v>
      </c>
    </row>
    <row r="78" spans="1:8" x14ac:dyDescent="0.3">
      <c r="A78" s="46" t="s">
        <v>190</v>
      </c>
      <c r="B78" s="46">
        <v>530</v>
      </c>
      <c r="C78" s="46">
        <v>8149020</v>
      </c>
      <c r="D78" s="46">
        <v>9525730</v>
      </c>
      <c r="E78" s="46">
        <v>10619550</v>
      </c>
      <c r="F78" s="45"/>
      <c r="G78" s="46" t="s">
        <v>242</v>
      </c>
      <c r="H78" s="48">
        <v>1</v>
      </c>
    </row>
    <row r="79" spans="1:8" x14ac:dyDescent="0.3">
      <c r="A79" s="47" t="s">
        <v>145</v>
      </c>
      <c r="B79" s="47">
        <v>229</v>
      </c>
      <c r="C79" s="47"/>
      <c r="D79" s="47"/>
      <c r="E79" s="47"/>
      <c r="F79" s="47"/>
      <c r="G79" s="47"/>
      <c r="H79" s="47"/>
    </row>
    <row r="80" spans="1:8" x14ac:dyDescent="0.3">
      <c r="A80" s="46" t="s">
        <v>191</v>
      </c>
      <c r="B80" s="46">
        <v>43</v>
      </c>
      <c r="C80" s="46">
        <v>627400</v>
      </c>
      <c r="D80" s="46">
        <v>648000</v>
      </c>
      <c r="E80" s="46">
        <v>683000</v>
      </c>
      <c r="F80" s="45"/>
      <c r="G80" s="46" t="s">
        <v>10</v>
      </c>
      <c r="H80" s="48">
        <v>1</v>
      </c>
    </row>
    <row r="81" spans="1:8" x14ac:dyDescent="0.3">
      <c r="A81" s="47" t="s">
        <v>149</v>
      </c>
      <c r="B81" s="47">
        <v>11</v>
      </c>
      <c r="C81" s="47"/>
      <c r="D81" s="47"/>
      <c r="E81" s="47"/>
      <c r="F81" s="47"/>
      <c r="G81" s="47"/>
      <c r="H81" s="47"/>
    </row>
    <row r="82" spans="1:8" x14ac:dyDescent="0.3">
      <c r="A82" s="46" t="s">
        <v>230</v>
      </c>
      <c r="B82" s="46">
        <v>1486</v>
      </c>
      <c r="C82" s="46">
        <v>18000</v>
      </c>
      <c r="D82" s="46">
        <v>15300</v>
      </c>
      <c r="E82" s="46">
        <v>15300</v>
      </c>
      <c r="F82" s="45"/>
      <c r="G82" s="46" t="s">
        <v>243</v>
      </c>
      <c r="H82" s="48">
        <v>1</v>
      </c>
    </row>
    <row r="83" spans="1:8" x14ac:dyDescent="0.3">
      <c r="A83" s="47" t="s">
        <v>146</v>
      </c>
      <c r="B83" s="47">
        <v>42</v>
      </c>
      <c r="C83" s="47"/>
      <c r="D83" s="47"/>
      <c r="E83" s="47"/>
      <c r="F83" s="47"/>
      <c r="G83" s="47"/>
      <c r="H83" s="47"/>
    </row>
    <row r="84" spans="1:8" x14ac:dyDescent="0.3">
      <c r="A84" s="46" t="s">
        <v>192</v>
      </c>
      <c r="B84" s="46">
        <v>391</v>
      </c>
      <c r="C84" s="46">
        <v>6201424</v>
      </c>
      <c r="D84" s="46">
        <v>8000000</v>
      </c>
      <c r="E84" s="46">
        <v>8000000</v>
      </c>
      <c r="F84" s="45"/>
      <c r="G84" s="46" t="s">
        <v>10</v>
      </c>
      <c r="H84" s="48">
        <v>1</v>
      </c>
    </row>
    <row r="85" spans="1:8" x14ac:dyDescent="0.3">
      <c r="A85" s="46" t="s">
        <v>94</v>
      </c>
      <c r="B85" s="46">
        <v>1072</v>
      </c>
      <c r="C85" s="46">
        <v>154064</v>
      </c>
      <c r="D85" s="46">
        <v>109300</v>
      </c>
      <c r="E85" s="46">
        <v>133440</v>
      </c>
      <c r="F85" s="45"/>
      <c r="G85" s="46" t="s">
        <v>10</v>
      </c>
      <c r="H85" s="48">
        <v>1</v>
      </c>
    </row>
    <row r="86" spans="1:8" x14ac:dyDescent="0.3">
      <c r="A86" s="53" t="s">
        <v>206</v>
      </c>
      <c r="B86" s="53">
        <v>1112</v>
      </c>
      <c r="C86" s="46">
        <v>79007</v>
      </c>
      <c r="D86" s="46">
        <v>94007</v>
      </c>
      <c r="E86" s="46">
        <v>107007</v>
      </c>
      <c r="F86" s="45"/>
      <c r="G86" s="46" t="s">
        <v>10</v>
      </c>
      <c r="H86" s="46" t="s">
        <v>14</v>
      </c>
    </row>
    <row r="87" spans="1:8" x14ac:dyDescent="0.3">
      <c r="A87" s="47" t="s">
        <v>147</v>
      </c>
      <c r="B87" s="47">
        <v>43</v>
      </c>
      <c r="C87" s="47"/>
      <c r="D87" s="47"/>
      <c r="E87" s="47"/>
      <c r="F87" s="47"/>
      <c r="G87" s="47"/>
      <c r="H87" s="47"/>
    </row>
    <row r="88" spans="1:8" x14ac:dyDescent="0.3">
      <c r="A88" s="46" t="s">
        <v>193</v>
      </c>
      <c r="B88" s="46">
        <v>379</v>
      </c>
      <c r="C88" s="46">
        <v>11000</v>
      </c>
      <c r="D88" s="46">
        <v>5000</v>
      </c>
      <c r="E88" s="46">
        <v>11000</v>
      </c>
      <c r="F88" s="45"/>
      <c r="G88" s="46" t="s">
        <v>10</v>
      </c>
      <c r="H88" s="48">
        <v>1</v>
      </c>
    </row>
    <row r="89" spans="1:8" x14ac:dyDescent="0.3">
      <c r="A89" s="46" t="s">
        <v>194</v>
      </c>
      <c r="B89" s="46">
        <v>2529</v>
      </c>
      <c r="C89" s="46">
        <v>2850000</v>
      </c>
      <c r="D89" s="46">
        <v>2850000</v>
      </c>
      <c r="E89" s="46">
        <v>3050000</v>
      </c>
      <c r="F89" s="45"/>
      <c r="G89" s="46" t="s">
        <v>10</v>
      </c>
      <c r="H89" s="48">
        <v>1</v>
      </c>
    </row>
    <row r="90" spans="1:8" x14ac:dyDescent="0.3">
      <c r="A90" s="46" t="s">
        <v>195</v>
      </c>
      <c r="B90" s="46">
        <v>2528</v>
      </c>
      <c r="C90" s="46">
        <v>4473200</v>
      </c>
      <c r="D90" s="46">
        <v>5313200</v>
      </c>
      <c r="E90" s="46">
        <v>4673200</v>
      </c>
      <c r="F90" s="45"/>
      <c r="G90" s="46" t="s">
        <v>10</v>
      </c>
      <c r="H90" s="48">
        <v>1</v>
      </c>
    </row>
    <row r="91" spans="1:8" x14ac:dyDescent="0.3">
      <c r="A91" s="46" t="s">
        <v>196</v>
      </c>
      <c r="B91" s="46">
        <v>2530</v>
      </c>
      <c r="C91" s="46">
        <v>817464</v>
      </c>
      <c r="D91" s="46">
        <v>917664</v>
      </c>
      <c r="E91" s="46">
        <v>877664</v>
      </c>
      <c r="F91" s="45"/>
      <c r="G91" s="46" t="s">
        <v>10</v>
      </c>
      <c r="H91" s="48">
        <v>1</v>
      </c>
    </row>
    <row r="92" spans="1:8" x14ac:dyDescent="0.3">
      <c r="A92" s="46" t="s">
        <v>197</v>
      </c>
      <c r="B92" s="46">
        <v>2700</v>
      </c>
      <c r="C92" s="46">
        <v>500</v>
      </c>
      <c r="D92" s="46">
        <v>1</v>
      </c>
      <c r="E92" s="46">
        <v>1</v>
      </c>
      <c r="F92" s="45"/>
      <c r="G92" s="46" t="s">
        <v>10</v>
      </c>
      <c r="H92" s="48">
        <v>1</v>
      </c>
    </row>
    <row r="93" spans="1:8" x14ac:dyDescent="0.3">
      <c r="A93" s="46" t="s">
        <v>231</v>
      </c>
      <c r="B93" s="46">
        <v>2567</v>
      </c>
      <c r="C93" s="46">
        <v>320305</v>
      </c>
      <c r="D93" s="46">
        <v>245055</v>
      </c>
      <c r="E93" s="46">
        <v>350605</v>
      </c>
      <c r="F93" s="45"/>
      <c r="G93" s="46" t="s">
        <v>13</v>
      </c>
      <c r="H93" s="48">
        <v>1</v>
      </c>
    </row>
    <row r="94" spans="1:8" x14ac:dyDescent="0.3">
      <c r="A94" s="46" t="s">
        <v>198</v>
      </c>
      <c r="B94" s="46">
        <v>2541</v>
      </c>
      <c r="C94" s="46">
        <v>10001</v>
      </c>
      <c r="D94" s="46">
        <v>1</v>
      </c>
      <c r="E94" s="46">
        <v>1</v>
      </c>
      <c r="F94" s="45"/>
      <c r="G94" s="46" t="s">
        <v>10</v>
      </c>
      <c r="H94" s="48">
        <v>1</v>
      </c>
    </row>
    <row r="95" spans="1:8" x14ac:dyDescent="0.3">
      <c r="A95" s="46" t="s">
        <v>232</v>
      </c>
      <c r="B95" s="46">
        <v>277</v>
      </c>
      <c r="C95" s="46">
        <v>1069702</v>
      </c>
      <c r="D95" s="46">
        <v>780923</v>
      </c>
      <c r="E95" s="46">
        <v>1187213</v>
      </c>
      <c r="F95" s="45"/>
      <c r="G95" s="46" t="s">
        <v>13</v>
      </c>
      <c r="H95" s="48">
        <v>1</v>
      </c>
    </row>
    <row r="96" spans="1:8" x14ac:dyDescent="0.3">
      <c r="A96" s="46" t="s">
        <v>199</v>
      </c>
      <c r="B96" s="46">
        <v>2453</v>
      </c>
      <c r="C96" s="46">
        <v>1700</v>
      </c>
      <c r="D96" s="46">
        <v>1</v>
      </c>
      <c r="E96" s="46">
        <v>1</v>
      </c>
      <c r="F96" s="45"/>
      <c r="G96" s="46" t="s">
        <v>10</v>
      </c>
      <c r="H96" s="48">
        <v>1</v>
      </c>
    </row>
    <row r="97" spans="1:8" x14ac:dyDescent="0.3">
      <c r="A97" s="46" t="s">
        <v>200</v>
      </c>
      <c r="B97" s="46">
        <v>373</v>
      </c>
      <c r="C97" s="46">
        <v>43551</v>
      </c>
      <c r="D97" s="46">
        <v>46650</v>
      </c>
      <c r="E97" s="46">
        <v>58250</v>
      </c>
      <c r="F97" s="45"/>
      <c r="G97" s="46" t="s">
        <v>10</v>
      </c>
      <c r="H97" s="48">
        <v>1</v>
      </c>
    </row>
    <row r="98" spans="1:8" x14ac:dyDescent="0.3">
      <c r="A98" s="46" t="s">
        <v>201</v>
      </c>
      <c r="B98" s="46">
        <v>288</v>
      </c>
      <c r="C98" s="46">
        <v>2600000</v>
      </c>
      <c r="D98" s="46">
        <v>5709827</v>
      </c>
      <c r="E98" s="46">
        <v>5500000</v>
      </c>
      <c r="F98" s="45"/>
      <c r="G98" s="46" t="s">
        <v>10</v>
      </c>
      <c r="H98" s="48">
        <v>1</v>
      </c>
    </row>
    <row r="99" spans="1:8" x14ac:dyDescent="0.3">
      <c r="A99" s="46" t="s">
        <v>202</v>
      </c>
      <c r="B99" s="46">
        <v>279</v>
      </c>
      <c r="C99" s="46">
        <v>1200</v>
      </c>
      <c r="D99" s="46">
        <v>900</v>
      </c>
      <c r="E99" s="46">
        <v>901</v>
      </c>
      <c r="F99" s="45"/>
      <c r="G99" s="46" t="s">
        <v>10</v>
      </c>
      <c r="H99" s="48">
        <v>1</v>
      </c>
    </row>
    <row r="100" spans="1:8" x14ac:dyDescent="0.3">
      <c r="A100" s="46" t="s">
        <v>233</v>
      </c>
      <c r="B100" s="46">
        <v>305</v>
      </c>
      <c r="C100" s="46">
        <v>147502</v>
      </c>
      <c r="D100" s="46">
        <v>84326</v>
      </c>
      <c r="E100" s="46">
        <v>90510</v>
      </c>
      <c r="F100" s="45"/>
      <c r="G100" s="46" t="s">
        <v>13</v>
      </c>
      <c r="H100" s="48">
        <v>1</v>
      </c>
    </row>
    <row r="101" spans="1:8" x14ac:dyDescent="0.3">
      <c r="A101" s="46" t="s">
        <v>234</v>
      </c>
      <c r="B101" s="46">
        <v>304</v>
      </c>
      <c r="C101" s="46">
        <v>30003</v>
      </c>
      <c r="D101" s="46">
        <v>19153</v>
      </c>
      <c r="E101" s="46">
        <v>13848</v>
      </c>
      <c r="F101" s="45"/>
      <c r="G101" s="46" t="s">
        <v>13</v>
      </c>
      <c r="H101" s="48">
        <v>1</v>
      </c>
    </row>
    <row r="102" spans="1:8" x14ac:dyDescent="0.3">
      <c r="A102" s="46" t="s">
        <v>203</v>
      </c>
      <c r="B102" s="46">
        <v>388</v>
      </c>
      <c r="C102" s="46">
        <v>26668</v>
      </c>
      <c r="D102" s="46">
        <v>45000</v>
      </c>
      <c r="E102" s="46">
        <v>30000</v>
      </c>
      <c r="F102" s="45"/>
      <c r="G102" s="46" t="s">
        <v>10</v>
      </c>
      <c r="H102" s="4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0D24-425E-4D63-842A-BC828DEBF878}">
  <dimension ref="A1:D28"/>
  <sheetViews>
    <sheetView workbookViewId="0">
      <selection activeCell="D11" sqref="D11"/>
    </sheetView>
  </sheetViews>
  <sheetFormatPr defaultRowHeight="14.4" x14ac:dyDescent="0.3"/>
  <cols>
    <col min="1" max="1" width="39.6640625" bestFit="1" customWidth="1"/>
    <col min="2" max="2" width="50.77734375" bestFit="1" customWidth="1"/>
    <col min="3" max="3" width="16" bestFit="1" customWidth="1"/>
    <col min="4" max="4" width="23.44140625" bestFit="1" customWidth="1"/>
  </cols>
  <sheetData>
    <row r="1" spans="1:4" x14ac:dyDescent="0.3">
      <c r="A1" s="16" t="s">
        <v>123</v>
      </c>
      <c r="B1" s="16" t="s">
        <v>133</v>
      </c>
      <c r="C1" s="16" t="s">
        <v>134</v>
      </c>
      <c r="D1" s="16" t="s">
        <v>135</v>
      </c>
    </row>
    <row r="2" spans="1:4" x14ac:dyDescent="0.3">
      <c r="A2" s="17" t="s">
        <v>127</v>
      </c>
      <c r="B2" s="15" t="s">
        <v>136</v>
      </c>
      <c r="C2" s="18">
        <v>58</v>
      </c>
      <c r="D2" s="18">
        <v>1</v>
      </c>
    </row>
    <row r="3" spans="1:4" x14ac:dyDescent="0.3">
      <c r="A3" s="19"/>
      <c r="B3" s="15" t="s">
        <v>137</v>
      </c>
      <c r="C3" s="18">
        <v>59</v>
      </c>
      <c r="D3" s="18">
        <v>1</v>
      </c>
    </row>
    <row r="4" spans="1:4" x14ac:dyDescent="0.3">
      <c r="A4" s="19"/>
      <c r="B4" s="15" t="s">
        <v>138</v>
      </c>
      <c r="C4" s="18">
        <v>259</v>
      </c>
      <c r="D4" s="18">
        <v>1</v>
      </c>
    </row>
    <row r="5" spans="1:4" x14ac:dyDescent="0.3">
      <c r="A5" s="19"/>
      <c r="B5" s="15" t="s">
        <v>139</v>
      </c>
      <c r="C5" s="18">
        <v>244</v>
      </c>
      <c r="D5" s="18">
        <v>2</v>
      </c>
    </row>
    <row r="6" spans="1:4" x14ac:dyDescent="0.3">
      <c r="A6" s="19"/>
      <c r="B6" s="15" t="s">
        <v>140</v>
      </c>
      <c r="C6" s="18">
        <v>30</v>
      </c>
      <c r="D6" s="18">
        <v>3</v>
      </c>
    </row>
    <row r="7" spans="1:4" x14ac:dyDescent="0.3">
      <c r="A7" s="19"/>
      <c r="B7" s="15" t="s">
        <v>141</v>
      </c>
      <c r="C7" s="18">
        <v>29</v>
      </c>
      <c r="D7" s="18">
        <v>4</v>
      </c>
    </row>
    <row r="8" spans="1:4" x14ac:dyDescent="0.3">
      <c r="A8" s="19"/>
      <c r="B8" s="15" t="s">
        <v>142</v>
      </c>
      <c r="C8" s="18">
        <v>56</v>
      </c>
      <c r="D8" s="18">
        <v>1</v>
      </c>
    </row>
    <row r="9" spans="1:4" x14ac:dyDescent="0.3">
      <c r="A9" s="19"/>
      <c r="B9" s="15" t="s">
        <v>143</v>
      </c>
      <c r="C9" s="18">
        <v>13</v>
      </c>
      <c r="D9" s="18">
        <v>20</v>
      </c>
    </row>
    <row r="10" spans="1:4" x14ac:dyDescent="0.3">
      <c r="A10" s="19"/>
      <c r="B10" s="15" t="s">
        <v>144</v>
      </c>
      <c r="C10" s="18">
        <v>284</v>
      </c>
      <c r="D10" s="18">
        <v>2</v>
      </c>
    </row>
    <row r="11" spans="1:4" x14ac:dyDescent="0.3">
      <c r="A11" s="19"/>
      <c r="B11" s="15" t="s">
        <v>145</v>
      </c>
      <c r="C11" s="18">
        <v>229</v>
      </c>
      <c r="D11" s="18">
        <v>1</v>
      </c>
    </row>
    <row r="12" spans="1:4" x14ac:dyDescent="0.3">
      <c r="A12" s="19"/>
      <c r="B12" s="15" t="s">
        <v>146</v>
      </c>
      <c r="C12" s="18">
        <v>42</v>
      </c>
      <c r="D12" s="18">
        <v>2</v>
      </c>
    </row>
    <row r="13" spans="1:4" x14ac:dyDescent="0.3">
      <c r="A13" s="20"/>
      <c r="B13" s="15" t="s">
        <v>147</v>
      </c>
      <c r="C13" s="18">
        <v>43</v>
      </c>
      <c r="D13" s="18">
        <v>11</v>
      </c>
    </row>
    <row r="14" spans="1:4" x14ac:dyDescent="0.3">
      <c r="A14" s="15"/>
      <c r="B14" s="15"/>
      <c r="C14" s="15" t="s">
        <v>148</v>
      </c>
      <c r="D14" s="18">
        <f>SUM(D2:D13)</f>
        <v>49</v>
      </c>
    </row>
    <row r="15" spans="1:4" x14ac:dyDescent="0.3">
      <c r="A15" s="17" t="s">
        <v>128</v>
      </c>
      <c r="B15" s="15" t="s">
        <v>137</v>
      </c>
      <c r="C15" s="15">
        <v>59</v>
      </c>
      <c r="D15" s="15">
        <v>20</v>
      </c>
    </row>
    <row r="16" spans="1:4" x14ac:dyDescent="0.3">
      <c r="A16" s="19"/>
      <c r="B16" s="15" t="s">
        <v>138</v>
      </c>
      <c r="C16" s="15">
        <v>259</v>
      </c>
      <c r="D16" s="15">
        <v>2</v>
      </c>
    </row>
    <row r="17" spans="1:4" x14ac:dyDescent="0.3">
      <c r="A17" s="19"/>
      <c r="B17" s="15" t="s">
        <v>139</v>
      </c>
      <c r="C17" s="15">
        <v>244</v>
      </c>
      <c r="D17" s="15">
        <v>1</v>
      </c>
    </row>
    <row r="18" spans="1:4" x14ac:dyDescent="0.3">
      <c r="A18" s="19"/>
      <c r="B18" s="15" t="s">
        <v>143</v>
      </c>
      <c r="C18" s="15">
        <v>13</v>
      </c>
      <c r="D18" s="15">
        <v>2</v>
      </c>
    </row>
    <row r="19" spans="1:4" x14ac:dyDescent="0.3">
      <c r="A19" s="19"/>
      <c r="B19" s="15" t="s">
        <v>149</v>
      </c>
      <c r="C19" s="15">
        <v>11</v>
      </c>
      <c r="D19" s="15">
        <v>1</v>
      </c>
    </row>
    <row r="20" spans="1:4" x14ac:dyDescent="0.3">
      <c r="A20" s="20"/>
      <c r="B20" s="15" t="s">
        <v>147</v>
      </c>
      <c r="C20" s="15">
        <v>43</v>
      </c>
      <c r="D20" s="15">
        <v>4</v>
      </c>
    </row>
    <row r="21" spans="1:4" x14ac:dyDescent="0.3">
      <c r="A21" s="15"/>
      <c r="B21" s="15"/>
      <c r="C21" s="15" t="s">
        <v>148</v>
      </c>
      <c r="D21" s="15">
        <f>SUM(D15:D20)</f>
        <v>30</v>
      </c>
    </row>
    <row r="22" spans="1:4" x14ac:dyDescent="0.3">
      <c r="A22" s="17" t="s">
        <v>129</v>
      </c>
      <c r="B22" s="15" t="s">
        <v>150</v>
      </c>
      <c r="C22" s="15">
        <v>8</v>
      </c>
      <c r="D22" s="15">
        <v>1</v>
      </c>
    </row>
    <row r="23" spans="1:4" x14ac:dyDescent="0.3">
      <c r="A23" s="19"/>
      <c r="B23" s="15" t="s">
        <v>143</v>
      </c>
      <c r="C23" s="15">
        <v>13</v>
      </c>
      <c r="D23" s="15">
        <v>1</v>
      </c>
    </row>
    <row r="24" spans="1:4" x14ac:dyDescent="0.3">
      <c r="A24" s="20"/>
      <c r="B24" s="15" t="s">
        <v>146</v>
      </c>
      <c r="C24" s="15">
        <v>42</v>
      </c>
      <c r="D24" s="15">
        <v>1</v>
      </c>
    </row>
    <row r="25" spans="1:4" x14ac:dyDescent="0.3">
      <c r="A25" s="15"/>
      <c r="B25" s="15"/>
      <c r="C25" s="15" t="s">
        <v>148</v>
      </c>
      <c r="D25" s="15">
        <f>SUM(D22:D24)</f>
        <v>3</v>
      </c>
    </row>
    <row r="26" spans="1:4" x14ac:dyDescent="0.3">
      <c r="A26" s="21" t="s">
        <v>130</v>
      </c>
      <c r="B26" s="15" t="s">
        <v>151</v>
      </c>
      <c r="C26" s="15">
        <v>5</v>
      </c>
      <c r="D26" s="15">
        <v>1</v>
      </c>
    </row>
    <row r="27" spans="1:4" x14ac:dyDescent="0.3">
      <c r="A27" s="21"/>
      <c r="B27" s="15" t="s">
        <v>139</v>
      </c>
      <c r="C27" s="15">
        <v>244</v>
      </c>
      <c r="D27" s="15">
        <v>3</v>
      </c>
    </row>
    <row r="28" spans="1:4" x14ac:dyDescent="0.3">
      <c r="A28" s="15"/>
      <c r="B28" s="15"/>
      <c r="C28" s="15" t="s">
        <v>148</v>
      </c>
      <c r="D28" s="15">
        <v>4</v>
      </c>
    </row>
  </sheetData>
  <mergeCells count="4">
    <mergeCell ref="A2:A13"/>
    <mergeCell ref="A15:A20"/>
    <mergeCell ref="A22:A24"/>
    <mergeCell ref="A26:A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D86A-65EE-457D-9FDB-E646745AE8B4}">
  <dimension ref="A1:F8"/>
  <sheetViews>
    <sheetView workbookViewId="0">
      <selection sqref="A1:F8"/>
    </sheetView>
  </sheetViews>
  <sheetFormatPr defaultRowHeight="14.4" x14ac:dyDescent="0.3"/>
  <cols>
    <col min="1" max="1" width="28" bestFit="1" customWidth="1"/>
    <col min="2" max="2" width="12.77734375" bestFit="1" customWidth="1"/>
    <col min="3" max="3" width="13.88671875" bestFit="1" customWidth="1"/>
    <col min="4" max="4" width="17" bestFit="1" customWidth="1"/>
    <col min="5" max="5" width="18.109375" bestFit="1" customWidth="1"/>
  </cols>
  <sheetData>
    <row r="1" spans="1:6" x14ac:dyDescent="0.3">
      <c r="A1" s="16" t="s">
        <v>5</v>
      </c>
      <c r="B1" s="16" t="s">
        <v>152</v>
      </c>
      <c r="C1" s="16" t="s">
        <v>153</v>
      </c>
      <c r="D1" s="22" t="s">
        <v>155</v>
      </c>
      <c r="E1" s="16" t="s">
        <v>154</v>
      </c>
      <c r="F1" s="16" t="s">
        <v>148</v>
      </c>
    </row>
    <row r="2" spans="1:6" x14ac:dyDescent="0.3">
      <c r="A2" s="16" t="s">
        <v>113</v>
      </c>
      <c r="B2" s="15">
        <v>27</v>
      </c>
      <c r="C2" s="15">
        <v>1</v>
      </c>
      <c r="D2" s="15">
        <v>3</v>
      </c>
      <c r="E2" s="15">
        <v>0</v>
      </c>
      <c r="F2" s="15">
        <f>SUM(B2:E2)</f>
        <v>31</v>
      </c>
    </row>
    <row r="3" spans="1:6" x14ac:dyDescent="0.3">
      <c r="A3" s="16" t="s">
        <v>114</v>
      </c>
      <c r="B3" s="15">
        <v>3</v>
      </c>
      <c r="C3" s="15">
        <v>0</v>
      </c>
      <c r="D3" s="15">
        <v>0</v>
      </c>
      <c r="E3" s="15">
        <v>1</v>
      </c>
      <c r="F3" s="15">
        <f>SUM(B3:E3)</f>
        <v>4</v>
      </c>
    </row>
    <row r="4" spans="1:6" x14ac:dyDescent="0.3">
      <c r="A4" s="16" t="s">
        <v>156</v>
      </c>
      <c r="B4" s="15">
        <v>3</v>
      </c>
      <c r="C4" s="15">
        <v>1</v>
      </c>
      <c r="D4" s="15">
        <v>2</v>
      </c>
      <c r="E4" s="15">
        <v>0</v>
      </c>
      <c r="F4" s="15">
        <f t="shared" ref="F4:F8" si="0">SUM(B4:E4)</f>
        <v>6</v>
      </c>
    </row>
    <row r="5" spans="1:6" x14ac:dyDescent="0.3">
      <c r="A5" s="16" t="s">
        <v>120</v>
      </c>
      <c r="B5" s="15">
        <v>1</v>
      </c>
      <c r="C5" s="15">
        <v>0</v>
      </c>
      <c r="D5" s="15">
        <v>20</v>
      </c>
      <c r="E5" s="15">
        <v>0</v>
      </c>
      <c r="F5" s="15">
        <f t="shared" si="0"/>
        <v>21</v>
      </c>
    </row>
    <row r="6" spans="1:6" x14ac:dyDescent="0.3">
      <c r="A6" s="16" t="s">
        <v>122</v>
      </c>
      <c r="B6" s="15">
        <v>13</v>
      </c>
      <c r="C6" s="15">
        <v>0</v>
      </c>
      <c r="D6" s="15">
        <v>5</v>
      </c>
      <c r="E6" s="15">
        <v>3</v>
      </c>
      <c r="F6" s="15">
        <f t="shared" si="0"/>
        <v>21</v>
      </c>
    </row>
    <row r="7" spans="1:6" x14ac:dyDescent="0.3">
      <c r="A7" s="16" t="s">
        <v>118</v>
      </c>
      <c r="B7" s="15">
        <v>2</v>
      </c>
      <c r="C7" s="15">
        <v>1</v>
      </c>
      <c r="D7" s="15">
        <v>0</v>
      </c>
      <c r="E7" s="15">
        <v>0</v>
      </c>
      <c r="F7" s="15">
        <f t="shared" si="0"/>
        <v>3</v>
      </c>
    </row>
    <row r="8" spans="1:6" x14ac:dyDescent="0.3">
      <c r="A8" s="16" t="s">
        <v>121</v>
      </c>
      <c r="B8" s="15">
        <v>0</v>
      </c>
      <c r="C8" s="15">
        <v>1</v>
      </c>
      <c r="D8" s="15">
        <v>0</v>
      </c>
      <c r="E8" s="15">
        <v>0</v>
      </c>
      <c r="F8" s="15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8A62-AE16-41F5-A9C1-FAAEC1EF98B7}">
  <dimension ref="A1:G102"/>
  <sheetViews>
    <sheetView tabSelected="1" topLeftCell="A90" zoomScale="92" workbookViewId="0">
      <selection activeCell="A106" sqref="A106"/>
    </sheetView>
  </sheetViews>
  <sheetFormatPr defaultRowHeight="14.4" x14ac:dyDescent="0.3"/>
  <cols>
    <col min="1" max="1" width="32.77734375" bestFit="1" customWidth="1"/>
    <col min="3" max="3" width="17.5546875" bestFit="1" customWidth="1"/>
    <col min="4" max="4" width="12.44140625" bestFit="1" customWidth="1"/>
    <col min="5" max="5" width="11.109375" bestFit="1" customWidth="1"/>
    <col min="6" max="6" width="32.77734375" bestFit="1" customWidth="1"/>
    <col min="7" max="7" width="28" bestFit="1" customWidth="1"/>
  </cols>
  <sheetData>
    <row r="1" spans="1:7" ht="28.8" x14ac:dyDescent="0.3">
      <c r="A1" s="57" t="s">
        <v>263</v>
      </c>
      <c r="B1" s="58" t="s">
        <v>1</v>
      </c>
      <c r="C1" s="58" t="s">
        <v>2</v>
      </c>
      <c r="D1" s="58" t="s">
        <v>3</v>
      </c>
      <c r="E1" s="58" t="s">
        <v>4</v>
      </c>
      <c r="F1" s="59" t="s">
        <v>133</v>
      </c>
      <c r="G1" s="59" t="s">
        <v>264</v>
      </c>
    </row>
    <row r="2" spans="1:7" s="45" customFormat="1" x14ac:dyDescent="0.3">
      <c r="A2" s="63" t="s">
        <v>113</v>
      </c>
      <c r="B2" s="63"/>
      <c r="C2" s="63"/>
      <c r="D2" s="63"/>
      <c r="E2" s="63"/>
      <c r="F2" s="63"/>
      <c r="G2" s="63"/>
    </row>
    <row r="3" spans="1:7" s="45" customFormat="1" x14ac:dyDescent="0.3">
      <c r="A3" s="64" t="s">
        <v>265</v>
      </c>
      <c r="B3" s="65"/>
      <c r="C3" s="65"/>
      <c r="D3" s="65"/>
      <c r="E3" s="65"/>
      <c r="F3" s="65"/>
      <c r="G3" s="66"/>
    </row>
    <row r="4" spans="1:7" ht="27" customHeight="1" thickBot="1" x14ac:dyDescent="0.35">
      <c r="A4" s="60" t="s">
        <v>9</v>
      </c>
      <c r="B4" s="61">
        <v>1067</v>
      </c>
      <c r="C4" s="62">
        <f>VLOOKUP(B4,Sheet11!$B$2:$C$110,2,FALSE)</f>
        <v>1539</v>
      </c>
      <c r="D4" s="62">
        <f>VLOOKUP(B4,Sheet11!$B$2:$D$110,3,FALSE)</f>
        <v>2074</v>
      </c>
      <c r="E4" s="62">
        <f>VLOOKUP(B4,Sheet11!$B$2:$E$110,3,FALSE)</f>
        <v>2074</v>
      </c>
      <c r="F4" s="44" t="s">
        <v>8</v>
      </c>
      <c r="G4" s="90">
        <v>58</v>
      </c>
    </row>
    <row r="5" spans="1:7" ht="29.4" thickBot="1" x14ac:dyDescent="0.35">
      <c r="A5" s="3" t="s">
        <v>35</v>
      </c>
      <c r="B5" s="5">
        <v>1724</v>
      </c>
      <c r="C5" s="6">
        <v>1000</v>
      </c>
      <c r="D5" s="6">
        <v>2000</v>
      </c>
      <c r="E5" s="6">
        <v>2000</v>
      </c>
      <c r="F5" s="4" t="s">
        <v>15</v>
      </c>
      <c r="G5" s="47">
        <v>59</v>
      </c>
    </row>
    <row r="6" spans="1:7" ht="29.4" thickBot="1" x14ac:dyDescent="0.35">
      <c r="A6" s="3" t="s">
        <v>46</v>
      </c>
      <c r="B6" s="5">
        <v>335</v>
      </c>
      <c r="C6" s="6">
        <v>600</v>
      </c>
      <c r="D6" s="6">
        <v>20</v>
      </c>
      <c r="E6" s="6">
        <v>20</v>
      </c>
      <c r="F6" s="4" t="s">
        <v>41</v>
      </c>
      <c r="G6" s="7">
        <v>244</v>
      </c>
    </row>
    <row r="7" spans="1:7" ht="29.4" thickBot="1" x14ac:dyDescent="0.35">
      <c r="A7" s="3" t="s">
        <v>55</v>
      </c>
      <c r="B7" s="5">
        <v>2170</v>
      </c>
      <c r="C7" s="6">
        <v>880021</v>
      </c>
      <c r="D7" s="6">
        <v>229491</v>
      </c>
      <c r="E7" s="6">
        <v>229491</v>
      </c>
      <c r="F7" s="4" t="s">
        <v>54</v>
      </c>
      <c r="G7" s="7">
        <v>29</v>
      </c>
    </row>
    <row r="8" spans="1:7" ht="29.4" thickBot="1" x14ac:dyDescent="0.35">
      <c r="A8" s="3" t="s">
        <v>56</v>
      </c>
      <c r="B8" s="5">
        <v>34</v>
      </c>
      <c r="C8" s="6">
        <v>2105962</v>
      </c>
      <c r="D8" s="6">
        <v>559110</v>
      </c>
      <c r="E8" s="6">
        <v>559110</v>
      </c>
      <c r="F8" s="4" t="s">
        <v>54</v>
      </c>
      <c r="G8" s="7">
        <v>29</v>
      </c>
    </row>
    <row r="9" spans="1:7" ht="43.8" thickBot="1" x14ac:dyDescent="0.35">
      <c r="A9" s="3" t="s">
        <v>57</v>
      </c>
      <c r="B9" s="5">
        <v>2479</v>
      </c>
      <c r="C9" s="6">
        <v>700000</v>
      </c>
      <c r="D9" s="6">
        <v>700000</v>
      </c>
      <c r="E9" s="6">
        <v>700000</v>
      </c>
      <c r="F9" s="4" t="s">
        <v>54</v>
      </c>
      <c r="G9" s="7">
        <v>29</v>
      </c>
    </row>
    <row r="10" spans="1:7" ht="29.4" thickBot="1" x14ac:dyDescent="0.35">
      <c r="A10" s="3" t="s">
        <v>58</v>
      </c>
      <c r="B10" s="5">
        <v>2477</v>
      </c>
      <c r="C10" s="6">
        <v>262000</v>
      </c>
      <c r="D10" s="6">
        <v>265030</v>
      </c>
      <c r="E10" s="6">
        <v>265030</v>
      </c>
      <c r="F10" s="4" t="s">
        <v>54</v>
      </c>
      <c r="G10" s="7">
        <v>29</v>
      </c>
    </row>
    <row r="11" spans="1:7" ht="29.4" thickBot="1" x14ac:dyDescent="0.35">
      <c r="A11" s="3" t="s">
        <v>60</v>
      </c>
      <c r="B11" s="5">
        <v>2352</v>
      </c>
      <c r="C11" s="6">
        <v>2567</v>
      </c>
      <c r="D11" s="6">
        <v>7460</v>
      </c>
      <c r="E11" s="6">
        <v>7460</v>
      </c>
      <c r="F11" s="4" t="s">
        <v>59</v>
      </c>
      <c r="G11" s="7">
        <v>56</v>
      </c>
    </row>
    <row r="12" spans="1:7" ht="29.4" thickBot="1" x14ac:dyDescent="0.35">
      <c r="A12" s="3" t="s">
        <v>62</v>
      </c>
      <c r="B12" s="5">
        <v>52</v>
      </c>
      <c r="C12" s="6">
        <v>718865</v>
      </c>
      <c r="D12" s="6">
        <v>855452</v>
      </c>
      <c r="E12" s="6">
        <v>855452</v>
      </c>
      <c r="F12" s="4" t="s">
        <v>61</v>
      </c>
      <c r="G12" s="7">
        <v>13</v>
      </c>
    </row>
    <row r="13" spans="1:7" ht="29.4" thickBot="1" x14ac:dyDescent="0.35">
      <c r="A13" s="3" t="s">
        <v>63</v>
      </c>
      <c r="B13" s="5">
        <v>51</v>
      </c>
      <c r="C13" s="6">
        <v>858000</v>
      </c>
      <c r="D13" s="6">
        <v>1110000</v>
      </c>
      <c r="E13" s="6">
        <v>1110000</v>
      </c>
      <c r="F13" s="4" t="s">
        <v>61</v>
      </c>
      <c r="G13" s="7">
        <v>14</v>
      </c>
    </row>
    <row r="14" spans="1:7" ht="29.4" thickBot="1" x14ac:dyDescent="0.35">
      <c r="A14" s="3" t="s">
        <v>64</v>
      </c>
      <c r="B14" s="5">
        <v>53</v>
      </c>
      <c r="C14" s="6">
        <v>350000</v>
      </c>
      <c r="D14" s="6">
        <v>684000</v>
      </c>
      <c r="E14" s="6">
        <v>684000</v>
      </c>
      <c r="F14" s="4" t="s">
        <v>61</v>
      </c>
      <c r="G14" s="7">
        <v>15</v>
      </c>
    </row>
    <row r="15" spans="1:7" ht="29.4" thickBot="1" x14ac:dyDescent="0.35">
      <c r="A15" s="3" t="s">
        <v>65</v>
      </c>
      <c r="B15" s="5">
        <v>2500</v>
      </c>
      <c r="C15" s="6">
        <v>2000</v>
      </c>
      <c r="D15" s="6">
        <v>6300</v>
      </c>
      <c r="E15" s="6">
        <v>6300</v>
      </c>
      <c r="F15" s="4" t="s">
        <v>61</v>
      </c>
      <c r="G15" s="7">
        <v>16</v>
      </c>
    </row>
    <row r="16" spans="1:7" ht="29.4" thickBot="1" x14ac:dyDescent="0.35">
      <c r="A16" s="3" t="s">
        <v>66</v>
      </c>
      <c r="B16" s="5">
        <v>1162</v>
      </c>
      <c r="C16" s="6">
        <v>15000</v>
      </c>
      <c r="D16" s="6">
        <v>25000</v>
      </c>
      <c r="E16" s="6">
        <v>25000</v>
      </c>
      <c r="F16" s="4" t="s">
        <v>61</v>
      </c>
      <c r="G16" s="7">
        <v>17</v>
      </c>
    </row>
    <row r="17" spans="1:7" ht="43.8" thickBot="1" x14ac:dyDescent="0.35">
      <c r="A17" s="3" t="s">
        <v>67</v>
      </c>
      <c r="B17" s="5">
        <v>2553</v>
      </c>
      <c r="C17" s="6">
        <v>38500</v>
      </c>
      <c r="D17" s="6">
        <v>54500</v>
      </c>
      <c r="E17" s="6">
        <v>54500</v>
      </c>
      <c r="F17" s="4" t="s">
        <v>61</v>
      </c>
      <c r="G17" s="7">
        <v>18</v>
      </c>
    </row>
    <row r="18" spans="1:7" ht="29.4" thickBot="1" x14ac:dyDescent="0.35">
      <c r="A18" s="3" t="s">
        <v>68</v>
      </c>
      <c r="B18" s="5">
        <v>1451</v>
      </c>
      <c r="C18" s="6">
        <v>100</v>
      </c>
      <c r="D18" s="6">
        <v>408</v>
      </c>
      <c r="E18" s="6">
        <v>408</v>
      </c>
      <c r="F18" s="4" t="s">
        <v>61</v>
      </c>
      <c r="G18" s="7">
        <v>19</v>
      </c>
    </row>
    <row r="19" spans="1:7" ht="29.4" thickBot="1" x14ac:dyDescent="0.35">
      <c r="A19" s="3" t="s">
        <v>69</v>
      </c>
      <c r="B19" s="5">
        <v>54</v>
      </c>
      <c r="C19" s="6">
        <v>10</v>
      </c>
      <c r="D19" s="6">
        <v>4</v>
      </c>
      <c r="E19" s="6">
        <v>4</v>
      </c>
      <c r="F19" s="4" t="s">
        <v>61</v>
      </c>
      <c r="G19" s="7">
        <v>20</v>
      </c>
    </row>
    <row r="20" spans="1:7" ht="29.4" thickBot="1" x14ac:dyDescent="0.35">
      <c r="A20" s="3" t="s">
        <v>70</v>
      </c>
      <c r="B20" s="5">
        <v>1457</v>
      </c>
      <c r="C20" s="6">
        <v>1150000</v>
      </c>
      <c r="D20" s="6">
        <v>484358</v>
      </c>
      <c r="E20" s="6">
        <v>484358</v>
      </c>
      <c r="F20" s="4" t="s">
        <v>61</v>
      </c>
      <c r="G20" s="7">
        <v>21</v>
      </c>
    </row>
    <row r="21" spans="1:7" ht="29.4" thickBot="1" x14ac:dyDescent="0.35">
      <c r="A21" s="3" t="s">
        <v>71</v>
      </c>
      <c r="B21" s="5">
        <v>1459</v>
      </c>
      <c r="C21" s="6">
        <v>26249</v>
      </c>
      <c r="D21" s="6">
        <v>26249</v>
      </c>
      <c r="E21" s="6">
        <v>26249</v>
      </c>
      <c r="F21" s="4" t="s">
        <v>61</v>
      </c>
      <c r="G21" s="7">
        <v>22</v>
      </c>
    </row>
    <row r="22" spans="1:7" ht="29.4" thickBot="1" x14ac:dyDescent="0.35">
      <c r="A22" s="3" t="s">
        <v>72</v>
      </c>
      <c r="B22" s="5">
        <v>55</v>
      </c>
      <c r="C22" s="6">
        <v>56257700</v>
      </c>
      <c r="D22" s="6">
        <v>57563594</v>
      </c>
      <c r="E22" s="6">
        <v>57563594</v>
      </c>
      <c r="F22" s="4" t="s">
        <v>61</v>
      </c>
      <c r="G22" s="7">
        <v>23</v>
      </c>
    </row>
    <row r="23" spans="1:7" ht="29.4" thickBot="1" x14ac:dyDescent="0.35">
      <c r="A23" s="3" t="s">
        <v>74</v>
      </c>
      <c r="B23" s="5">
        <v>56</v>
      </c>
      <c r="C23" s="6">
        <v>0</v>
      </c>
      <c r="D23" s="6">
        <v>0</v>
      </c>
      <c r="E23" s="6">
        <v>0</v>
      </c>
      <c r="F23" s="4" t="s">
        <v>61</v>
      </c>
      <c r="G23" s="7">
        <v>24</v>
      </c>
    </row>
    <row r="24" spans="1:7" ht="29.4" thickBot="1" x14ac:dyDescent="0.35">
      <c r="A24" s="3" t="s">
        <v>75</v>
      </c>
      <c r="B24" s="5">
        <v>1875</v>
      </c>
      <c r="C24" s="6">
        <v>11221</v>
      </c>
      <c r="D24" s="6">
        <v>9639</v>
      </c>
      <c r="E24" s="6">
        <v>9639</v>
      </c>
      <c r="F24" s="4" t="s">
        <v>61</v>
      </c>
      <c r="G24" s="7">
        <v>25</v>
      </c>
    </row>
    <row r="25" spans="1:7" ht="43.8" thickBot="1" x14ac:dyDescent="0.35">
      <c r="A25" s="3" t="s">
        <v>76</v>
      </c>
      <c r="B25" s="5">
        <v>2492</v>
      </c>
      <c r="C25" s="6">
        <v>300000</v>
      </c>
      <c r="D25" s="6">
        <v>480001</v>
      </c>
      <c r="E25" s="6">
        <v>480001</v>
      </c>
      <c r="F25" s="4" t="s">
        <v>61</v>
      </c>
      <c r="G25" s="7">
        <v>26</v>
      </c>
    </row>
    <row r="26" spans="1:7" ht="29.4" thickBot="1" x14ac:dyDescent="0.35">
      <c r="A26" s="3" t="s">
        <v>77</v>
      </c>
      <c r="B26" s="5">
        <v>2316</v>
      </c>
      <c r="C26" s="6">
        <v>2000</v>
      </c>
      <c r="D26" s="6">
        <v>2000</v>
      </c>
      <c r="E26" s="6">
        <v>2000</v>
      </c>
      <c r="F26" s="4" t="s">
        <v>61</v>
      </c>
      <c r="G26" s="7">
        <v>27</v>
      </c>
    </row>
    <row r="27" spans="1:7" ht="29.4" thickBot="1" x14ac:dyDescent="0.35">
      <c r="A27" s="3" t="s">
        <v>79</v>
      </c>
      <c r="B27" s="5">
        <v>1733</v>
      </c>
      <c r="C27" s="6">
        <v>480000</v>
      </c>
      <c r="D27" s="6">
        <v>3</v>
      </c>
      <c r="E27" s="6">
        <v>3</v>
      </c>
      <c r="F27" s="4" t="s">
        <v>61</v>
      </c>
      <c r="G27" s="7">
        <v>28</v>
      </c>
    </row>
    <row r="28" spans="1:7" ht="29.4" thickBot="1" x14ac:dyDescent="0.35">
      <c r="A28" s="3" t="s">
        <v>80</v>
      </c>
      <c r="B28" s="5">
        <v>1450</v>
      </c>
      <c r="C28" s="6">
        <v>500000</v>
      </c>
      <c r="D28" s="6">
        <v>45070</v>
      </c>
      <c r="E28" s="6">
        <v>45070</v>
      </c>
      <c r="F28" s="4" t="s">
        <v>61</v>
      </c>
      <c r="G28" s="7">
        <v>29</v>
      </c>
    </row>
    <row r="29" spans="1:7" ht="29.4" thickBot="1" x14ac:dyDescent="0.35">
      <c r="A29" s="3" t="s">
        <v>81</v>
      </c>
      <c r="B29" s="5">
        <v>1460</v>
      </c>
      <c r="C29" s="6">
        <v>2500</v>
      </c>
      <c r="D29" s="6">
        <v>1</v>
      </c>
      <c r="E29" s="6">
        <v>1</v>
      </c>
      <c r="F29" s="4" t="s">
        <v>61</v>
      </c>
      <c r="G29" s="7">
        <v>30</v>
      </c>
    </row>
    <row r="30" spans="1:7" ht="29.4" thickBot="1" x14ac:dyDescent="0.35">
      <c r="A30" s="3" t="s">
        <v>82</v>
      </c>
      <c r="B30" s="5">
        <v>2654</v>
      </c>
      <c r="C30" s="6">
        <v>45000</v>
      </c>
      <c r="D30" s="6">
        <v>10000</v>
      </c>
      <c r="E30" s="6">
        <v>10000</v>
      </c>
      <c r="F30" s="4" t="s">
        <v>61</v>
      </c>
      <c r="G30" s="7">
        <v>31</v>
      </c>
    </row>
    <row r="31" spans="1:7" ht="29.4" thickBot="1" x14ac:dyDescent="0.35">
      <c r="A31" s="3" t="s">
        <v>83</v>
      </c>
      <c r="B31" s="5">
        <v>2655</v>
      </c>
      <c r="C31" s="6">
        <v>360000</v>
      </c>
      <c r="D31" s="6">
        <v>360000</v>
      </c>
      <c r="E31" s="6">
        <v>360000</v>
      </c>
      <c r="F31" s="4" t="s">
        <v>61</v>
      </c>
      <c r="G31" s="7">
        <v>32</v>
      </c>
    </row>
    <row r="32" spans="1:7" ht="29.4" thickBot="1" x14ac:dyDescent="0.35">
      <c r="A32" s="3" t="s">
        <v>84</v>
      </c>
      <c r="B32" s="5">
        <v>2499</v>
      </c>
      <c r="C32" s="6">
        <v>21393</v>
      </c>
      <c r="D32" s="6">
        <v>21393</v>
      </c>
      <c r="E32" s="6">
        <v>21393</v>
      </c>
      <c r="F32" s="4" t="s">
        <v>61</v>
      </c>
      <c r="G32" s="7">
        <v>33</v>
      </c>
    </row>
    <row r="33" spans="1:7" ht="29.4" thickBot="1" x14ac:dyDescent="0.35">
      <c r="A33" s="3" t="s">
        <v>89</v>
      </c>
      <c r="B33" s="5">
        <v>43</v>
      </c>
      <c r="C33" s="6">
        <v>627400</v>
      </c>
      <c r="D33" s="6">
        <v>648000</v>
      </c>
      <c r="E33" s="6">
        <v>648000</v>
      </c>
      <c r="F33" s="4" t="s">
        <v>88</v>
      </c>
      <c r="G33" s="7">
        <v>229</v>
      </c>
    </row>
    <row r="34" spans="1:7" ht="43.8" thickBot="1" x14ac:dyDescent="0.35">
      <c r="A34" s="3" t="s">
        <v>97</v>
      </c>
      <c r="B34" s="5">
        <v>379</v>
      </c>
      <c r="C34" s="6">
        <v>11000</v>
      </c>
      <c r="D34" s="6">
        <v>5000</v>
      </c>
      <c r="E34" s="6">
        <v>5000</v>
      </c>
      <c r="F34" s="4" t="s">
        <v>96</v>
      </c>
      <c r="G34" s="7">
        <v>43</v>
      </c>
    </row>
    <row r="35" spans="1:7" ht="43.8" thickBot="1" x14ac:dyDescent="0.35">
      <c r="A35" s="3" t="s">
        <v>98</v>
      </c>
      <c r="B35" s="5">
        <v>2529</v>
      </c>
      <c r="C35" s="6">
        <v>2850000</v>
      </c>
      <c r="D35" s="6">
        <v>2850000</v>
      </c>
      <c r="E35" s="6">
        <v>2850000</v>
      </c>
      <c r="F35" s="4" t="s">
        <v>96</v>
      </c>
      <c r="G35" s="7">
        <v>44</v>
      </c>
    </row>
    <row r="36" spans="1:7" ht="43.8" thickBot="1" x14ac:dyDescent="0.35">
      <c r="A36" s="3" t="s">
        <v>99</v>
      </c>
      <c r="B36" s="5">
        <v>2528</v>
      </c>
      <c r="C36" s="6">
        <v>4473200</v>
      </c>
      <c r="D36" s="6">
        <v>5313200</v>
      </c>
      <c r="E36" s="6">
        <v>5313200</v>
      </c>
      <c r="F36" s="4" t="s">
        <v>96</v>
      </c>
      <c r="G36" s="7">
        <v>45</v>
      </c>
    </row>
    <row r="37" spans="1:7" ht="43.8" thickBot="1" x14ac:dyDescent="0.35">
      <c r="A37" s="3" t="s">
        <v>100</v>
      </c>
      <c r="B37" s="5">
        <v>2530</v>
      </c>
      <c r="C37" s="6">
        <v>817464</v>
      </c>
      <c r="D37" s="6">
        <v>917664</v>
      </c>
      <c r="E37" s="6">
        <v>917664</v>
      </c>
      <c r="F37" s="4" t="s">
        <v>96</v>
      </c>
      <c r="G37" s="7">
        <v>46</v>
      </c>
    </row>
    <row r="38" spans="1:7" ht="43.8" thickBot="1" x14ac:dyDescent="0.35">
      <c r="A38" s="3" t="s">
        <v>101</v>
      </c>
      <c r="B38" s="5">
        <v>2700</v>
      </c>
      <c r="C38" s="6">
        <v>500</v>
      </c>
      <c r="D38" s="6">
        <v>1</v>
      </c>
      <c r="E38" s="6">
        <v>1</v>
      </c>
      <c r="F38" s="4" t="s">
        <v>96</v>
      </c>
      <c r="G38" s="7">
        <v>47</v>
      </c>
    </row>
    <row r="39" spans="1:7" ht="43.8" thickBot="1" x14ac:dyDescent="0.35">
      <c r="A39" s="3" t="s">
        <v>103</v>
      </c>
      <c r="B39" s="5">
        <v>2541</v>
      </c>
      <c r="C39" s="6">
        <v>10001</v>
      </c>
      <c r="D39" s="6">
        <v>1</v>
      </c>
      <c r="E39" s="6">
        <v>1</v>
      </c>
      <c r="F39" s="4" t="s">
        <v>96</v>
      </c>
      <c r="G39" s="7">
        <v>48</v>
      </c>
    </row>
    <row r="40" spans="1:7" ht="43.8" thickBot="1" x14ac:dyDescent="0.35">
      <c r="A40" s="3" t="s">
        <v>105</v>
      </c>
      <c r="B40" s="5">
        <v>2453</v>
      </c>
      <c r="C40" s="6">
        <v>1700</v>
      </c>
      <c r="D40" s="6">
        <v>1</v>
      </c>
      <c r="E40" s="6">
        <v>1</v>
      </c>
      <c r="F40" s="4" t="s">
        <v>96</v>
      </c>
      <c r="G40" s="7">
        <v>49</v>
      </c>
    </row>
    <row r="41" spans="1:7" ht="43.8" thickBot="1" x14ac:dyDescent="0.35">
      <c r="A41" s="3" t="s">
        <v>106</v>
      </c>
      <c r="B41" s="5">
        <v>373</v>
      </c>
      <c r="C41" s="6">
        <v>43551</v>
      </c>
      <c r="D41" s="6">
        <v>46650</v>
      </c>
      <c r="E41" s="6">
        <v>46650</v>
      </c>
      <c r="F41" s="4" t="s">
        <v>96</v>
      </c>
      <c r="G41" s="7">
        <v>50</v>
      </c>
    </row>
    <row r="42" spans="1:7" ht="29.4" thickBot="1" x14ac:dyDescent="0.35">
      <c r="A42" s="3" t="s">
        <v>108</v>
      </c>
      <c r="B42" s="5">
        <v>279</v>
      </c>
      <c r="C42" s="6">
        <v>1200</v>
      </c>
      <c r="D42" s="6">
        <v>900</v>
      </c>
      <c r="E42" s="6">
        <v>900</v>
      </c>
      <c r="F42" s="4" t="s">
        <v>96</v>
      </c>
      <c r="G42" s="7">
        <v>51</v>
      </c>
    </row>
    <row r="43" spans="1:7" ht="43.8" thickBot="1" x14ac:dyDescent="0.35">
      <c r="A43" s="3" t="s">
        <v>111</v>
      </c>
      <c r="B43" s="5">
        <v>388</v>
      </c>
      <c r="C43" s="6">
        <v>26668</v>
      </c>
      <c r="D43" s="6">
        <v>45000</v>
      </c>
      <c r="E43" s="6">
        <v>45000</v>
      </c>
      <c r="F43" s="4" t="s">
        <v>96</v>
      </c>
      <c r="G43" s="7">
        <v>52</v>
      </c>
    </row>
    <row r="44" spans="1:7" s="45" customFormat="1" ht="15" thickBot="1" x14ac:dyDescent="0.35">
      <c r="A44" s="54" t="s">
        <v>266</v>
      </c>
      <c r="B44" s="55"/>
      <c r="C44" s="55"/>
      <c r="D44" s="55"/>
      <c r="E44" s="55"/>
      <c r="F44" s="55"/>
      <c r="G44" s="56"/>
    </row>
    <row r="45" spans="1:7" ht="43.8" thickBot="1" x14ac:dyDescent="0.35">
      <c r="A45" s="3" t="s">
        <v>16</v>
      </c>
      <c r="B45" s="5">
        <v>1515</v>
      </c>
      <c r="C45" s="6">
        <v>214500</v>
      </c>
      <c r="D45" s="6">
        <v>285070</v>
      </c>
      <c r="E45" s="6">
        <v>285070</v>
      </c>
      <c r="F45" s="4" t="s">
        <v>15</v>
      </c>
      <c r="G45" s="5">
        <v>59</v>
      </c>
    </row>
    <row r="46" spans="1:7" ht="43.8" thickBot="1" x14ac:dyDescent="0.35">
      <c r="A46" s="3" t="s">
        <v>17</v>
      </c>
      <c r="B46" s="5">
        <v>1514</v>
      </c>
      <c r="C46" s="6">
        <v>77760</v>
      </c>
      <c r="D46" s="6">
        <v>70677</v>
      </c>
      <c r="E46" s="6">
        <v>70677</v>
      </c>
      <c r="F46" s="4" t="s">
        <v>15</v>
      </c>
      <c r="G46" s="5">
        <v>60</v>
      </c>
    </row>
    <row r="47" spans="1:7" ht="43.8" thickBot="1" x14ac:dyDescent="0.35">
      <c r="A47" s="3" t="s">
        <v>18</v>
      </c>
      <c r="B47" s="5">
        <v>1513</v>
      </c>
      <c r="C47" s="6">
        <v>49750</v>
      </c>
      <c r="D47" s="6">
        <v>38000</v>
      </c>
      <c r="E47" s="6">
        <v>38000</v>
      </c>
      <c r="F47" s="4" t="s">
        <v>15</v>
      </c>
      <c r="G47" s="5">
        <v>61</v>
      </c>
    </row>
    <row r="48" spans="1:7" ht="43.8" thickBot="1" x14ac:dyDescent="0.35">
      <c r="A48" s="3" t="s">
        <v>19</v>
      </c>
      <c r="B48" s="5">
        <v>1512</v>
      </c>
      <c r="C48" s="6">
        <v>50050</v>
      </c>
      <c r="D48" s="6">
        <v>41994</v>
      </c>
      <c r="E48" s="6">
        <v>41994</v>
      </c>
      <c r="F48" s="4" t="s">
        <v>15</v>
      </c>
      <c r="G48" s="5">
        <v>62</v>
      </c>
    </row>
    <row r="49" spans="1:7" ht="43.8" thickBot="1" x14ac:dyDescent="0.35">
      <c r="A49" s="3" t="s">
        <v>21</v>
      </c>
      <c r="B49" s="5">
        <v>42</v>
      </c>
      <c r="C49" s="6">
        <v>779464</v>
      </c>
      <c r="D49" s="6">
        <v>748230</v>
      </c>
      <c r="E49" s="6">
        <v>748230</v>
      </c>
      <c r="F49" s="4" t="s">
        <v>15</v>
      </c>
      <c r="G49" s="5">
        <v>63</v>
      </c>
    </row>
    <row r="50" spans="1:7" ht="43.8" thickBot="1" x14ac:dyDescent="0.35">
      <c r="A50" s="3" t="s">
        <v>22</v>
      </c>
      <c r="B50" s="5">
        <v>1568</v>
      </c>
      <c r="C50" s="6">
        <v>6000</v>
      </c>
      <c r="D50" s="6">
        <v>6000</v>
      </c>
      <c r="E50" s="6">
        <v>6000</v>
      </c>
      <c r="F50" s="4" t="s">
        <v>15</v>
      </c>
      <c r="G50" s="5">
        <v>64</v>
      </c>
    </row>
    <row r="51" spans="1:7" ht="43.8" thickBot="1" x14ac:dyDescent="0.35">
      <c r="A51" s="3" t="s">
        <v>23</v>
      </c>
      <c r="B51" s="5">
        <v>1601</v>
      </c>
      <c r="C51" s="6">
        <v>29500</v>
      </c>
      <c r="D51" s="6">
        <v>51000</v>
      </c>
      <c r="E51" s="6">
        <v>51000</v>
      </c>
      <c r="F51" s="4" t="s">
        <v>15</v>
      </c>
      <c r="G51" s="5">
        <v>65</v>
      </c>
    </row>
    <row r="52" spans="1:7" ht="29.4" thickBot="1" x14ac:dyDescent="0.35">
      <c r="A52" s="3" t="s">
        <v>24</v>
      </c>
      <c r="B52" s="5">
        <v>1595</v>
      </c>
      <c r="C52" s="6">
        <v>45610</v>
      </c>
      <c r="D52" s="6">
        <v>34360</v>
      </c>
      <c r="E52" s="6">
        <v>34360</v>
      </c>
      <c r="F52" s="4" t="s">
        <v>15</v>
      </c>
      <c r="G52" s="5">
        <v>66</v>
      </c>
    </row>
    <row r="53" spans="1:7" ht="43.8" thickBot="1" x14ac:dyDescent="0.35">
      <c r="A53" s="3" t="s">
        <v>25</v>
      </c>
      <c r="B53" s="5">
        <v>1564</v>
      </c>
      <c r="C53" s="6">
        <v>156750</v>
      </c>
      <c r="D53" s="6">
        <v>119034</v>
      </c>
      <c r="E53" s="6">
        <v>119034</v>
      </c>
      <c r="F53" s="4" t="s">
        <v>15</v>
      </c>
      <c r="G53" s="5">
        <v>67</v>
      </c>
    </row>
    <row r="54" spans="1:7" ht="43.8" thickBot="1" x14ac:dyDescent="0.35">
      <c r="A54" s="3" t="s">
        <v>26</v>
      </c>
      <c r="B54" s="5">
        <v>1569</v>
      </c>
      <c r="C54" s="6">
        <v>29400</v>
      </c>
      <c r="D54" s="6">
        <v>71000</v>
      </c>
      <c r="E54" s="6">
        <v>71000</v>
      </c>
      <c r="F54" s="4" t="s">
        <v>15</v>
      </c>
      <c r="G54" s="5">
        <v>68</v>
      </c>
    </row>
    <row r="55" spans="1:7" ht="43.8" thickBot="1" x14ac:dyDescent="0.35">
      <c r="A55" s="3" t="s">
        <v>29</v>
      </c>
      <c r="B55" s="5">
        <v>1582</v>
      </c>
      <c r="C55" s="6">
        <v>1224</v>
      </c>
      <c r="D55" s="6">
        <v>1530</v>
      </c>
      <c r="E55" s="6">
        <v>1530</v>
      </c>
      <c r="F55" s="4" t="s">
        <v>15</v>
      </c>
      <c r="G55" s="5">
        <v>69</v>
      </c>
    </row>
    <row r="56" spans="1:7" ht="43.8" thickBot="1" x14ac:dyDescent="0.35">
      <c r="A56" s="3" t="s">
        <v>30</v>
      </c>
      <c r="B56" s="5">
        <v>1571</v>
      </c>
      <c r="C56" s="6">
        <v>11500</v>
      </c>
      <c r="D56" s="6">
        <v>11400</v>
      </c>
      <c r="E56" s="6">
        <v>11400</v>
      </c>
      <c r="F56" s="4" t="s">
        <v>15</v>
      </c>
      <c r="G56" s="5">
        <v>70</v>
      </c>
    </row>
    <row r="57" spans="1:7" ht="43.8" thickBot="1" x14ac:dyDescent="0.35">
      <c r="A57" s="3" t="s">
        <v>31</v>
      </c>
      <c r="B57" s="5">
        <v>1566</v>
      </c>
      <c r="C57" s="6">
        <v>83250</v>
      </c>
      <c r="D57" s="6">
        <v>76010</v>
      </c>
      <c r="E57" s="6">
        <v>76010</v>
      </c>
      <c r="F57" s="4" t="s">
        <v>15</v>
      </c>
      <c r="G57" s="5">
        <v>71</v>
      </c>
    </row>
    <row r="58" spans="1:7" ht="43.8" thickBot="1" x14ac:dyDescent="0.35">
      <c r="A58" s="3" t="s">
        <v>32</v>
      </c>
      <c r="B58" s="5">
        <v>1607</v>
      </c>
      <c r="C58" s="6">
        <v>63458</v>
      </c>
      <c r="D58" s="6">
        <v>48376</v>
      </c>
      <c r="E58" s="6">
        <v>48376</v>
      </c>
      <c r="F58" s="4" t="s">
        <v>15</v>
      </c>
      <c r="G58" s="5">
        <v>72</v>
      </c>
    </row>
    <row r="59" spans="1:7" ht="43.8" thickBot="1" x14ac:dyDescent="0.35">
      <c r="A59" s="3" t="s">
        <v>34</v>
      </c>
      <c r="B59" s="5">
        <v>1591</v>
      </c>
      <c r="C59" s="6">
        <v>438889</v>
      </c>
      <c r="D59" s="6">
        <v>189085</v>
      </c>
      <c r="E59" s="6">
        <v>189085</v>
      </c>
      <c r="F59" s="4" t="s">
        <v>15</v>
      </c>
      <c r="G59" s="5">
        <v>73</v>
      </c>
    </row>
    <row r="60" spans="1:7" ht="15" thickBot="1" x14ac:dyDescent="0.35">
      <c r="A60" s="3" t="s">
        <v>73</v>
      </c>
      <c r="B60" s="5">
        <v>1455</v>
      </c>
      <c r="C60" s="6">
        <v>2000</v>
      </c>
      <c r="D60" s="6">
        <v>1200</v>
      </c>
      <c r="E60" s="6">
        <v>1200</v>
      </c>
      <c r="F60" s="4" t="s">
        <v>61</v>
      </c>
      <c r="G60" s="7">
        <v>13</v>
      </c>
    </row>
    <row r="61" spans="1:7" ht="15" thickBot="1" x14ac:dyDescent="0.35">
      <c r="A61" s="3" t="s">
        <v>78</v>
      </c>
      <c r="B61" s="5">
        <v>1166</v>
      </c>
      <c r="C61" s="6">
        <v>3000</v>
      </c>
      <c r="D61" s="6">
        <v>3000</v>
      </c>
      <c r="E61" s="6">
        <v>3000</v>
      </c>
      <c r="F61" s="4" t="s">
        <v>61</v>
      </c>
      <c r="G61" s="7">
        <v>14</v>
      </c>
    </row>
    <row r="62" spans="1:7" ht="29.4" thickBot="1" x14ac:dyDescent="0.35">
      <c r="A62" s="3" t="s">
        <v>91</v>
      </c>
      <c r="B62" s="5">
        <v>1486</v>
      </c>
      <c r="C62" s="6">
        <v>18000</v>
      </c>
      <c r="D62" s="6">
        <v>15300</v>
      </c>
      <c r="E62" s="6">
        <v>15300</v>
      </c>
      <c r="F62" s="4" t="s">
        <v>90</v>
      </c>
      <c r="G62" s="7">
        <v>11</v>
      </c>
    </row>
    <row r="63" spans="1:7" ht="29.4" thickBot="1" x14ac:dyDescent="0.35">
      <c r="A63" s="3" t="s">
        <v>102</v>
      </c>
      <c r="B63" s="5">
        <v>2567</v>
      </c>
      <c r="C63" s="6">
        <v>320305</v>
      </c>
      <c r="D63" s="6">
        <v>245055</v>
      </c>
      <c r="E63" s="6">
        <v>245055</v>
      </c>
      <c r="F63" s="4" t="s">
        <v>96</v>
      </c>
      <c r="G63" s="7">
        <v>43</v>
      </c>
    </row>
    <row r="64" spans="1:7" ht="29.4" thickBot="1" x14ac:dyDescent="0.35">
      <c r="A64" s="3" t="s">
        <v>104</v>
      </c>
      <c r="B64" s="5">
        <v>277</v>
      </c>
      <c r="C64" s="6">
        <v>1069702</v>
      </c>
      <c r="D64" s="6">
        <v>780923</v>
      </c>
      <c r="E64" s="6">
        <v>780923</v>
      </c>
      <c r="F64" s="4" t="s">
        <v>96</v>
      </c>
      <c r="G64" s="7">
        <v>43</v>
      </c>
    </row>
    <row r="65" spans="1:7" ht="29.4" thickBot="1" x14ac:dyDescent="0.35">
      <c r="A65" s="3" t="s">
        <v>109</v>
      </c>
      <c r="B65" s="5">
        <v>305</v>
      </c>
      <c r="C65" s="6">
        <v>147502</v>
      </c>
      <c r="D65" s="6">
        <v>84326</v>
      </c>
      <c r="E65" s="6">
        <v>84326</v>
      </c>
      <c r="F65" s="4" t="s">
        <v>96</v>
      </c>
      <c r="G65" s="7">
        <v>43</v>
      </c>
    </row>
    <row r="66" spans="1:7" ht="29.4" thickBot="1" x14ac:dyDescent="0.35">
      <c r="A66" s="3" t="s">
        <v>110</v>
      </c>
      <c r="B66" s="5">
        <v>304</v>
      </c>
      <c r="C66" s="6">
        <v>30003</v>
      </c>
      <c r="D66" s="6">
        <v>19153</v>
      </c>
      <c r="E66" s="6">
        <v>19153</v>
      </c>
      <c r="F66" s="4" t="s">
        <v>96</v>
      </c>
      <c r="G66" s="7">
        <v>43</v>
      </c>
    </row>
    <row r="67" spans="1:7" s="45" customFormat="1" x14ac:dyDescent="0.3">
      <c r="A67" s="67" t="s">
        <v>114</v>
      </c>
      <c r="B67" s="68"/>
      <c r="C67" s="68"/>
      <c r="D67" s="68"/>
      <c r="E67" s="68"/>
      <c r="F67" s="68"/>
      <c r="G67" s="68"/>
    </row>
    <row r="68" spans="1:7" s="45" customFormat="1" ht="15" thickBot="1" x14ac:dyDescent="0.35">
      <c r="A68" s="69" t="s">
        <v>265</v>
      </c>
      <c r="B68" s="70"/>
      <c r="C68" s="70"/>
      <c r="D68" s="70"/>
      <c r="E68" s="70"/>
      <c r="F68" s="70"/>
      <c r="G68" s="71"/>
    </row>
    <row r="69" spans="1:7" ht="29.4" thickBot="1" x14ac:dyDescent="0.35">
      <c r="A69" s="3" t="s">
        <v>51</v>
      </c>
      <c r="B69" s="5">
        <v>2372</v>
      </c>
      <c r="C69" s="6">
        <v>6</v>
      </c>
      <c r="D69" s="6">
        <v>6</v>
      </c>
      <c r="E69" s="6">
        <v>6</v>
      </c>
      <c r="F69" s="4" t="s">
        <v>50</v>
      </c>
      <c r="G69" s="7">
        <v>30</v>
      </c>
    </row>
    <row r="70" spans="1:7" ht="29.4" thickBot="1" x14ac:dyDescent="0.35">
      <c r="A70" s="3" t="s">
        <v>52</v>
      </c>
      <c r="B70" s="5">
        <v>2738</v>
      </c>
      <c r="C70" s="6">
        <v>3</v>
      </c>
      <c r="D70" s="6">
        <v>3</v>
      </c>
      <c r="E70" s="6">
        <v>3</v>
      </c>
      <c r="F70" s="4" t="s">
        <v>50</v>
      </c>
      <c r="G70" s="7">
        <v>30</v>
      </c>
    </row>
    <row r="71" spans="1:7" ht="29.4" thickBot="1" x14ac:dyDescent="0.35">
      <c r="A71" s="3" t="s">
        <v>53</v>
      </c>
      <c r="B71" s="5">
        <v>189</v>
      </c>
      <c r="C71" s="6">
        <v>4000</v>
      </c>
      <c r="D71" s="6">
        <v>4000</v>
      </c>
      <c r="E71" s="6">
        <v>4000</v>
      </c>
      <c r="F71" s="4" t="s">
        <v>50</v>
      </c>
      <c r="G71" s="7">
        <v>30</v>
      </c>
    </row>
    <row r="72" spans="1:7" ht="29.4" thickBot="1" x14ac:dyDescent="0.35">
      <c r="A72" s="3" t="s">
        <v>94</v>
      </c>
      <c r="B72" s="5">
        <v>1072</v>
      </c>
      <c r="C72" s="6">
        <v>154064</v>
      </c>
      <c r="D72" s="6">
        <v>109300</v>
      </c>
      <c r="E72" s="6">
        <v>109300</v>
      </c>
      <c r="F72" s="4" t="s">
        <v>92</v>
      </c>
      <c r="G72" s="7">
        <v>42</v>
      </c>
    </row>
    <row r="73" spans="1:7" ht="29.4" thickBot="1" x14ac:dyDescent="0.35">
      <c r="A73" s="3" t="s">
        <v>95</v>
      </c>
      <c r="B73" s="5">
        <v>1112</v>
      </c>
      <c r="C73" s="6">
        <v>79007</v>
      </c>
      <c r="D73" s="6">
        <v>94007</v>
      </c>
      <c r="E73" s="6">
        <v>94007</v>
      </c>
      <c r="F73" s="4" t="s">
        <v>92</v>
      </c>
      <c r="G73" s="7">
        <v>42</v>
      </c>
    </row>
    <row r="74" spans="1:7" s="45" customFormat="1" ht="15" thickBot="1" x14ac:dyDescent="0.35">
      <c r="A74" s="67" t="s">
        <v>266</v>
      </c>
      <c r="B74" s="68"/>
      <c r="C74" s="68"/>
      <c r="D74" s="68"/>
      <c r="E74" s="68"/>
      <c r="F74" s="68"/>
      <c r="G74" s="68"/>
    </row>
    <row r="75" spans="1:7" ht="29.4" thickBot="1" x14ac:dyDescent="0.35">
      <c r="A75" s="3" t="s">
        <v>12</v>
      </c>
      <c r="B75" s="5">
        <v>1119</v>
      </c>
      <c r="C75" s="6">
        <v>130619</v>
      </c>
      <c r="D75" s="6">
        <v>129053</v>
      </c>
      <c r="E75" s="6">
        <v>129053</v>
      </c>
      <c r="F75" s="4" t="s">
        <v>11</v>
      </c>
      <c r="G75" s="5">
        <v>5</v>
      </c>
    </row>
    <row r="76" spans="1:7" ht="43.8" thickBot="1" x14ac:dyDescent="0.35">
      <c r="A76" s="3" t="s">
        <v>20</v>
      </c>
      <c r="B76" s="5">
        <v>1511</v>
      </c>
      <c r="C76" s="6">
        <v>920000</v>
      </c>
      <c r="D76" s="6">
        <v>870000</v>
      </c>
      <c r="E76" s="6">
        <v>870000</v>
      </c>
      <c r="F76" s="4" t="s">
        <v>15</v>
      </c>
      <c r="G76" s="5">
        <v>59</v>
      </c>
    </row>
    <row r="77" spans="1:7" ht="43.8" thickBot="1" x14ac:dyDescent="0.35">
      <c r="A77" s="3" t="s">
        <v>27</v>
      </c>
      <c r="B77" s="5">
        <v>1565</v>
      </c>
      <c r="C77" s="6">
        <v>45030</v>
      </c>
      <c r="D77" s="6">
        <v>35212</v>
      </c>
      <c r="E77" s="6">
        <v>35212</v>
      </c>
      <c r="F77" s="4" t="s">
        <v>15</v>
      </c>
      <c r="G77" s="5">
        <v>59</v>
      </c>
    </row>
    <row r="78" spans="1:7" ht="29.4" thickBot="1" x14ac:dyDescent="0.35">
      <c r="A78" s="3" t="s">
        <v>28</v>
      </c>
      <c r="B78" s="5">
        <v>1829</v>
      </c>
      <c r="C78" s="6">
        <v>55000</v>
      </c>
      <c r="D78" s="6">
        <v>55000</v>
      </c>
      <c r="E78" s="6">
        <v>55000</v>
      </c>
      <c r="F78" s="4" t="s">
        <v>15</v>
      </c>
      <c r="G78" s="5">
        <v>59</v>
      </c>
    </row>
    <row r="79" spans="1:7" ht="43.8" thickBot="1" x14ac:dyDescent="0.35">
      <c r="A79" s="3" t="s">
        <v>33</v>
      </c>
      <c r="B79" s="5">
        <v>1577</v>
      </c>
      <c r="C79" s="6">
        <v>110000</v>
      </c>
      <c r="D79" s="6">
        <v>75000</v>
      </c>
      <c r="E79" s="6">
        <v>75000</v>
      </c>
      <c r="F79" s="4" t="s">
        <v>15</v>
      </c>
      <c r="G79" s="5">
        <v>59</v>
      </c>
    </row>
    <row r="80" spans="1:7" ht="43.2" x14ac:dyDescent="0.3">
      <c r="A80" s="74" t="s">
        <v>36</v>
      </c>
      <c r="B80" s="75">
        <v>1725</v>
      </c>
      <c r="C80" s="76">
        <v>86480</v>
      </c>
      <c r="D80" s="76">
        <v>70420</v>
      </c>
      <c r="E80" s="76">
        <v>70420</v>
      </c>
      <c r="F80" s="77" t="s">
        <v>15</v>
      </c>
      <c r="G80" s="75">
        <v>59</v>
      </c>
    </row>
    <row r="81" spans="1:7" s="45" customFormat="1" x14ac:dyDescent="0.3">
      <c r="A81" s="78" t="s">
        <v>117</v>
      </c>
      <c r="B81" s="78"/>
      <c r="C81" s="78"/>
      <c r="D81" s="78"/>
      <c r="E81" s="78"/>
      <c r="F81" s="78"/>
      <c r="G81" s="78"/>
    </row>
    <row r="82" spans="1:7" s="45" customFormat="1" ht="15" thickBot="1" x14ac:dyDescent="0.35">
      <c r="A82" s="72" t="s">
        <v>265</v>
      </c>
      <c r="B82" s="73"/>
      <c r="C82" s="73"/>
      <c r="D82" s="73"/>
      <c r="E82" s="73"/>
      <c r="F82" s="73"/>
      <c r="G82" s="73"/>
    </row>
    <row r="83" spans="1:7" ht="29.4" thickBot="1" x14ac:dyDescent="0.35">
      <c r="A83" s="3" t="s">
        <v>86</v>
      </c>
      <c r="B83" s="5">
        <v>2670</v>
      </c>
      <c r="C83" s="6">
        <f>VLOOKUP(B83,Sheet11!$B$2:$C$110,2,FALSE)</f>
        <v>7260000</v>
      </c>
      <c r="D83" s="6">
        <f>VLOOKUP(B83,Sheet11!$B$2:$D$110,3,FALSE)</f>
        <v>500000</v>
      </c>
      <c r="E83" s="6">
        <f>VLOOKUP(B83,Sheet11!$B$2:$E$110,3,FALSE)</f>
        <v>500000</v>
      </c>
      <c r="F83" s="4" t="s">
        <v>85</v>
      </c>
      <c r="G83" s="7">
        <v>284</v>
      </c>
    </row>
    <row r="84" spans="1:7" ht="29.4" thickBot="1" x14ac:dyDescent="0.35">
      <c r="A84" s="3" t="s">
        <v>87</v>
      </c>
      <c r="B84" s="5">
        <v>530</v>
      </c>
      <c r="C84" s="6">
        <f>VLOOKUP(B84,Sheet11!$B$2:$C$110,2,FALSE)</f>
        <v>8149020</v>
      </c>
      <c r="D84" s="6">
        <f>VLOOKUP(B84,Sheet11!$B$2:$D$110,3,FALSE)</f>
        <v>9525730</v>
      </c>
      <c r="E84" s="6">
        <f>VLOOKUP(B84,Sheet11!$B$2:$E$110,3,FALSE)</f>
        <v>9525730</v>
      </c>
      <c r="F84" s="4" t="s">
        <v>85</v>
      </c>
      <c r="G84" s="7">
        <v>284</v>
      </c>
    </row>
    <row r="85" spans="1:7" x14ac:dyDescent="0.3">
      <c r="A85" s="74" t="s">
        <v>93</v>
      </c>
      <c r="B85" s="75">
        <v>391</v>
      </c>
      <c r="C85" s="76">
        <f>VLOOKUP(B85,Sheet11!$B$2:$C$110,2,FALSE)</f>
        <v>6201424</v>
      </c>
      <c r="D85" s="76">
        <f>VLOOKUP(B85,Sheet11!$B$2:$D$110,3,FALSE)</f>
        <v>8000000</v>
      </c>
      <c r="E85" s="76">
        <f>VLOOKUP(B85,Sheet11!$B$2:$E$110,3,FALSE)</f>
        <v>8000000</v>
      </c>
      <c r="F85" s="77" t="s">
        <v>92</v>
      </c>
      <c r="G85" s="79">
        <v>42</v>
      </c>
    </row>
    <row r="86" spans="1:7" s="45" customFormat="1" x14ac:dyDescent="0.3">
      <c r="A86" s="80" t="s">
        <v>115</v>
      </c>
      <c r="B86" s="80"/>
      <c r="C86" s="80"/>
      <c r="D86" s="80"/>
      <c r="E86" s="80"/>
      <c r="F86" s="80"/>
      <c r="G86" s="80"/>
    </row>
    <row r="87" spans="1:7" s="45" customFormat="1" ht="15" thickBot="1" x14ac:dyDescent="0.35">
      <c r="A87" s="81" t="s">
        <v>265</v>
      </c>
      <c r="B87" s="81"/>
      <c r="C87" s="81"/>
      <c r="D87" s="81"/>
      <c r="E87" s="81"/>
      <c r="F87" s="81"/>
      <c r="G87" s="82"/>
    </row>
    <row r="88" spans="1:7" ht="15" thickBot="1" x14ac:dyDescent="0.35">
      <c r="A88" s="3" t="s">
        <v>39</v>
      </c>
      <c r="B88" s="5">
        <v>1219</v>
      </c>
      <c r="C88" s="6">
        <v>593400</v>
      </c>
      <c r="D88" s="6">
        <v>600000</v>
      </c>
      <c r="E88" s="6">
        <v>600000</v>
      </c>
      <c r="F88" s="4" t="s">
        <v>37</v>
      </c>
      <c r="G88" s="7">
        <v>259</v>
      </c>
    </row>
    <row r="89" spans="1:7" ht="29.4" thickBot="1" x14ac:dyDescent="0.35">
      <c r="A89" s="3" t="s">
        <v>44</v>
      </c>
      <c r="B89" s="5">
        <v>2591</v>
      </c>
      <c r="C89" s="6">
        <v>40381</v>
      </c>
      <c r="D89" s="6">
        <v>37831</v>
      </c>
      <c r="E89" s="6">
        <v>37831</v>
      </c>
      <c r="F89" s="4" t="s">
        <v>41</v>
      </c>
      <c r="G89" s="7">
        <v>244</v>
      </c>
    </row>
    <row r="90" spans="1:7" ht="29.4" thickBot="1" x14ac:dyDescent="0.35">
      <c r="A90" s="3" t="s">
        <v>107</v>
      </c>
      <c r="B90" s="5">
        <v>288</v>
      </c>
      <c r="C90" s="6">
        <v>2600000</v>
      </c>
      <c r="D90" s="6">
        <v>5709827</v>
      </c>
      <c r="E90" s="6">
        <v>5709827</v>
      </c>
      <c r="F90" s="4" t="s">
        <v>96</v>
      </c>
      <c r="G90" s="7">
        <v>43</v>
      </c>
    </row>
    <row r="91" spans="1:7" s="45" customFormat="1" ht="15" thickBot="1" x14ac:dyDescent="0.35">
      <c r="A91" s="83" t="s">
        <v>266</v>
      </c>
      <c r="B91" s="84"/>
      <c r="C91" s="84"/>
      <c r="D91" s="84"/>
      <c r="E91" s="84"/>
      <c r="F91" s="84"/>
      <c r="G91" s="85"/>
    </row>
    <row r="92" spans="1:7" ht="15" thickBot="1" x14ac:dyDescent="0.35">
      <c r="A92" s="3" t="s">
        <v>38</v>
      </c>
      <c r="B92" s="5">
        <v>2543</v>
      </c>
      <c r="C92" s="6">
        <v>30000</v>
      </c>
      <c r="D92" s="6">
        <v>25000</v>
      </c>
      <c r="E92" s="6">
        <v>25000</v>
      </c>
      <c r="F92" s="4" t="s">
        <v>37</v>
      </c>
      <c r="G92" s="7">
        <v>259</v>
      </c>
    </row>
    <row r="93" spans="1:7" ht="15" thickBot="1" x14ac:dyDescent="0.35">
      <c r="A93" s="3" t="s">
        <v>40</v>
      </c>
      <c r="B93" s="5">
        <v>986</v>
      </c>
      <c r="C93" s="6">
        <v>12700</v>
      </c>
      <c r="D93" s="6">
        <v>301</v>
      </c>
      <c r="E93" s="6">
        <v>301</v>
      </c>
      <c r="F93" s="4" t="s">
        <v>37</v>
      </c>
      <c r="G93" s="7">
        <v>259</v>
      </c>
    </row>
    <row r="94" spans="1:7" ht="15" thickBot="1" x14ac:dyDescent="0.35">
      <c r="A94" s="3" t="s">
        <v>42</v>
      </c>
      <c r="B94" s="5">
        <v>366</v>
      </c>
      <c r="C94" s="6">
        <v>2102</v>
      </c>
      <c r="D94" s="6">
        <v>2052</v>
      </c>
      <c r="E94" s="6">
        <v>2052</v>
      </c>
      <c r="F94" s="4" t="s">
        <v>41</v>
      </c>
      <c r="G94" s="7">
        <v>244</v>
      </c>
    </row>
    <row r="95" spans="1:7" ht="43.8" thickBot="1" x14ac:dyDescent="0.35">
      <c r="A95" s="3" t="s">
        <v>45</v>
      </c>
      <c r="B95" s="5">
        <v>2589</v>
      </c>
      <c r="C95" s="6">
        <v>250</v>
      </c>
      <c r="D95" s="6">
        <v>250</v>
      </c>
      <c r="E95" s="6">
        <v>250</v>
      </c>
      <c r="F95" s="4" t="s">
        <v>41</v>
      </c>
      <c r="G95" s="7">
        <v>244</v>
      </c>
    </row>
    <row r="96" spans="1:7" ht="28.8" x14ac:dyDescent="0.3">
      <c r="A96" s="74" t="s">
        <v>47</v>
      </c>
      <c r="B96" s="75">
        <v>1383</v>
      </c>
      <c r="C96" s="76">
        <v>80000</v>
      </c>
      <c r="D96" s="76">
        <v>117000</v>
      </c>
      <c r="E96" s="76">
        <v>117000</v>
      </c>
      <c r="F96" s="77" t="s">
        <v>41</v>
      </c>
      <c r="G96" s="79">
        <v>244</v>
      </c>
    </row>
    <row r="97" spans="1:7" ht="15" customHeight="1" x14ac:dyDescent="0.3">
      <c r="A97" s="87" t="s">
        <v>116</v>
      </c>
      <c r="B97" s="87"/>
      <c r="C97" s="87"/>
      <c r="D97" s="87"/>
      <c r="E97" s="87"/>
      <c r="F97" s="87"/>
      <c r="G97" s="87"/>
    </row>
    <row r="98" spans="1:7" ht="17.399999999999999" customHeight="1" x14ac:dyDescent="0.3">
      <c r="A98" s="87" t="s">
        <v>265</v>
      </c>
      <c r="B98" s="87"/>
      <c r="C98" s="87"/>
      <c r="D98" s="87"/>
      <c r="E98" s="87"/>
      <c r="F98" s="87"/>
      <c r="G98" s="87"/>
    </row>
    <row r="99" spans="1:7" ht="14.4" customHeight="1" x14ac:dyDescent="0.3">
      <c r="A99" s="49" t="s">
        <v>49</v>
      </c>
      <c r="B99" s="86">
        <v>1507</v>
      </c>
      <c r="C99" s="49">
        <f>VLOOKUP(B99,Sheet11!$B$2:$C$110,2,FALSE)</f>
        <v>13329</v>
      </c>
      <c r="D99" s="49">
        <f>VLOOKUP(B99,Sheet11!$B$2:$D$110,3,FALSE)</f>
        <v>12614</v>
      </c>
      <c r="E99" s="49">
        <f>VLOOKUP(B99,Sheet11!$B$2:$E$110,3,FALSE)</f>
        <v>12614</v>
      </c>
      <c r="F99" s="88" t="s">
        <v>48</v>
      </c>
      <c r="G99" s="89">
        <v>8</v>
      </c>
    </row>
    <row r="100" spans="1:7" x14ac:dyDescent="0.3">
      <c r="A100" s="87" t="s">
        <v>266</v>
      </c>
      <c r="B100" s="87"/>
      <c r="C100" s="87"/>
      <c r="D100" s="87"/>
      <c r="E100" s="87"/>
      <c r="F100" s="87"/>
      <c r="G100" s="87"/>
    </row>
    <row r="101" spans="1:7" x14ac:dyDescent="0.3">
      <c r="A101" s="49" t="s">
        <v>43</v>
      </c>
      <c r="B101" s="86">
        <v>338</v>
      </c>
      <c r="C101" s="49">
        <f>VLOOKUP(B101,Sheet11!$B$2:$C$110,2,FALSE)</f>
        <v>1000</v>
      </c>
      <c r="D101" s="49">
        <f>VLOOKUP(B101,Sheet11!$B$2:$D$110,3,FALSE)</f>
        <v>110</v>
      </c>
      <c r="E101" s="49">
        <f>VLOOKUP(B101,Sheet11!$B$2:$E$110,3,FALSE)</f>
        <v>110</v>
      </c>
      <c r="F101" s="88" t="s">
        <v>41</v>
      </c>
      <c r="G101" s="89">
        <v>244</v>
      </c>
    </row>
    <row r="102" spans="1:7" x14ac:dyDescent="0.3">
      <c r="A102" s="47" t="s">
        <v>148</v>
      </c>
      <c r="B102" s="47"/>
      <c r="C102" s="47">
        <f>SUM(C2:C101)</f>
        <v>104150343</v>
      </c>
      <c r="D102" s="47">
        <f>SUM(D2:D101)</f>
        <v>102243013</v>
      </c>
      <c r="E102" s="47">
        <f>SUM(E2:E101)</f>
        <v>102243013</v>
      </c>
      <c r="F102" s="47"/>
      <c r="G102" s="47"/>
    </row>
  </sheetData>
  <autoFilter ref="A1:G101" xr:uid="{65369F45-011B-4571-A82A-164E580DA567}"/>
  <mergeCells count="14">
    <mergeCell ref="A100:G100"/>
    <mergeCell ref="A98:G98"/>
    <mergeCell ref="A81:G81"/>
    <mergeCell ref="A82:G82"/>
    <mergeCell ref="A86:G86"/>
    <mergeCell ref="A87:G87"/>
    <mergeCell ref="A91:G91"/>
    <mergeCell ref="A97:G97"/>
    <mergeCell ref="A2:G2"/>
    <mergeCell ref="A3:G3"/>
    <mergeCell ref="A44:G44"/>
    <mergeCell ref="A67:G67"/>
    <mergeCell ref="A68:G68"/>
    <mergeCell ref="A74:G7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EC95-EF71-4020-B9E2-02F715A15BD8}">
  <dimension ref="A1:O66"/>
  <sheetViews>
    <sheetView topLeftCell="A36" zoomScale="85" zoomScaleNormal="85" workbookViewId="0">
      <selection activeCell="A71" sqref="A71"/>
    </sheetView>
  </sheetViews>
  <sheetFormatPr defaultRowHeight="14.4" x14ac:dyDescent="0.3"/>
  <cols>
    <col min="1" max="1" width="84.44140625" bestFit="1" customWidth="1"/>
    <col min="2" max="2" width="12.44140625" bestFit="1" customWidth="1"/>
    <col min="3" max="3" width="24.33203125" bestFit="1" customWidth="1"/>
    <col min="4" max="4" width="12" bestFit="1" customWidth="1"/>
    <col min="5" max="5" width="16.77734375" bestFit="1" customWidth="1"/>
    <col min="6" max="6" width="28.88671875" bestFit="1" customWidth="1"/>
    <col min="12" max="12" width="29.5546875" bestFit="1" customWidth="1"/>
    <col min="13" max="15" width="9.21875" bestFit="1" customWidth="1"/>
  </cols>
  <sheetData>
    <row r="1" spans="1:13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157</v>
      </c>
    </row>
    <row r="2" spans="1:13" x14ac:dyDescent="0.3">
      <c r="A2" s="16" t="s">
        <v>136</v>
      </c>
      <c r="B2" s="16">
        <v>58</v>
      </c>
      <c r="C2" s="16">
        <f>VLOOKUP(B2,'Original Budget Document'!$B$2:$C$109,2,FALSE)</f>
        <v>0</v>
      </c>
      <c r="D2" s="16">
        <f>VLOOKUP(B2,'Original Budget Document'!$B$2:$D$1000,3,FALSE)</f>
        <v>0</v>
      </c>
      <c r="E2" s="16">
        <f>VLOOKUP(B2,'Original Budget Document'!$B$2:$E$1000,4,FALSE)</f>
        <v>0</v>
      </c>
      <c r="F2" s="16" t="str">
        <f>VLOOKUP(B2,'Original Budget Document'!$B$2:$I$110,8,FALSE)</f>
        <v>Minority Affairs</v>
      </c>
    </row>
    <row r="3" spans="1:13" ht="14.4" customHeight="1" x14ac:dyDescent="0.3">
      <c r="A3" s="15" t="s">
        <v>158</v>
      </c>
      <c r="B3" s="15">
        <v>1067</v>
      </c>
      <c r="C3" s="16">
        <f>VLOOKUP(B3,'Original Budget Document'!$B$2:$C$109,2,FALSE)</f>
        <v>1539</v>
      </c>
      <c r="D3" s="16">
        <f>VLOOKUP(B3,'Original Budget Document'!$B$2:$D$1000,3,FALSE)</f>
        <v>2074</v>
      </c>
      <c r="E3" s="16">
        <f>VLOOKUP(B3,'Original Budget Document'!$B$2:$E$1000,4,FALSE)</f>
        <v>2074</v>
      </c>
      <c r="F3" s="16" t="str">
        <f>VLOOKUP(B3,'Original Budget Document'!$B$2:$I$110,8,FALSE)</f>
        <v>Minority Affairs</v>
      </c>
      <c r="G3" s="23"/>
    </row>
    <row r="4" spans="1:13" ht="14.4" customHeight="1" x14ac:dyDescent="0.3">
      <c r="A4" s="16" t="s">
        <v>137</v>
      </c>
      <c r="B4" s="16">
        <v>59</v>
      </c>
      <c r="C4" s="16">
        <f>VLOOKUP(B4,'Original Budget Document'!$B$2:$C$109,2,FALSE)</f>
        <v>0</v>
      </c>
      <c r="D4" s="16">
        <f>VLOOKUP(B4,'Original Budget Document'!$B$2:$D$1000,3,FALSE)</f>
        <v>0</v>
      </c>
      <c r="E4" s="16">
        <f>VLOOKUP(B4,'Original Budget Document'!$B$2:$E$1000,4,FALSE)</f>
        <v>0</v>
      </c>
      <c r="F4" s="16" t="str">
        <f>VLOOKUP(B4,'Original Budget Document'!$B$2:$I$110,8,FALSE)</f>
        <v>Tribal Affairs</v>
      </c>
      <c r="G4" s="23"/>
    </row>
    <row r="5" spans="1:13" x14ac:dyDescent="0.3">
      <c r="A5" s="15" t="s">
        <v>159</v>
      </c>
      <c r="B5" s="15">
        <v>1724</v>
      </c>
      <c r="C5" s="16">
        <f>VLOOKUP(B5,'Original Budget Document'!$B$2:$C$109,2,FALSE)</f>
        <v>1000</v>
      </c>
      <c r="D5" s="16">
        <f>VLOOKUP(B5,'Original Budget Document'!$B$2:$D$1000,3,FALSE)</f>
        <v>2000</v>
      </c>
      <c r="E5" s="16">
        <f>VLOOKUP(B5,'Original Budget Document'!$B$2:$E$1000,4,FALSE)</f>
        <v>2000</v>
      </c>
      <c r="F5" s="16" t="str">
        <f>VLOOKUP(B5,'Original Budget Document'!$B$2:$I$110,8,FALSE)</f>
        <v>Tribal Affairs</v>
      </c>
      <c r="G5" s="42"/>
      <c r="H5" s="42"/>
      <c r="J5" s="24"/>
      <c r="K5" s="24"/>
      <c r="M5" s="25"/>
    </row>
    <row r="6" spans="1:13" x14ac:dyDescent="0.3">
      <c r="A6" s="16" t="s">
        <v>138</v>
      </c>
      <c r="B6" s="16">
        <v>259</v>
      </c>
      <c r="C6" s="16">
        <f>VLOOKUP(B6,'Original Budget Document'!$B$2:$C$109,2,FALSE)</f>
        <v>0</v>
      </c>
      <c r="D6" s="16">
        <f>VLOOKUP(B6,'Original Budget Document'!$B$2:$D$1000,3,FALSE)</f>
        <v>0</v>
      </c>
      <c r="E6" s="16">
        <f>VLOOKUP(B6,'Original Budget Document'!$B$2:$E$1000,4,FALSE)</f>
        <v>0</v>
      </c>
      <c r="F6" s="16" t="str">
        <f>VLOOKUP(B6,'Original Budget Document'!$B$2:$I$110,8,FALSE)</f>
        <v>Women and Child Development</v>
      </c>
    </row>
    <row r="7" spans="1:13" x14ac:dyDescent="0.3">
      <c r="A7" s="15" t="s">
        <v>160</v>
      </c>
      <c r="B7" s="15">
        <v>1219</v>
      </c>
      <c r="C7" s="16">
        <f>VLOOKUP(B7,'Original Budget Document'!$B$2:$C$109,2,FALSE)</f>
        <v>593400</v>
      </c>
      <c r="D7" s="16">
        <f>VLOOKUP(B7,'Original Budget Document'!$B$2:$D$1000,3,FALSE)</f>
        <v>600000</v>
      </c>
      <c r="E7" s="16">
        <f>VLOOKUP(B7,'Original Budget Document'!$B$2:$E$1000,4,FALSE)</f>
        <v>600000</v>
      </c>
      <c r="F7" s="16" t="str">
        <f>VLOOKUP(B7,'Original Budget Document'!$B$2:$I$110,8,FALSE)</f>
        <v>Women and Child Development</v>
      </c>
    </row>
    <row r="8" spans="1:13" x14ac:dyDescent="0.3">
      <c r="A8" s="16" t="s">
        <v>139</v>
      </c>
      <c r="B8" s="16">
        <v>244</v>
      </c>
      <c r="C8" s="16">
        <f>VLOOKUP(B8,'Original Budget Document'!$B$2:$C$109,2,FALSE)</f>
        <v>0</v>
      </c>
      <c r="D8" s="16">
        <f>VLOOKUP(B8,'Original Budget Document'!$B$2:$D$1000,3,FALSE)</f>
        <v>0</v>
      </c>
      <c r="E8" s="16">
        <f>VLOOKUP(B8,'Original Budget Document'!$B$2:$E$1000,4,FALSE)</f>
        <v>0</v>
      </c>
      <c r="F8" s="16" t="str">
        <f>VLOOKUP(B8,'Original Budget Document'!$B$2:$I$110,8,FALSE)</f>
        <v>Social Justice and Empowerment</v>
      </c>
    </row>
    <row r="9" spans="1:13" x14ac:dyDescent="0.3">
      <c r="A9" s="15" t="s">
        <v>161</v>
      </c>
      <c r="B9" s="15">
        <v>2591</v>
      </c>
      <c r="C9" s="16">
        <f>VLOOKUP(B9,'Original Budget Document'!$B$2:$C$109,2,FALSE)</f>
        <v>40381</v>
      </c>
      <c r="D9" s="16">
        <f>VLOOKUP(B9,'Original Budget Document'!$B$2:$D$1000,3,FALSE)</f>
        <v>37831</v>
      </c>
      <c r="E9" s="16">
        <f>VLOOKUP(B9,'Original Budget Document'!$B$2:$E$1000,4,FALSE)</f>
        <v>37831</v>
      </c>
      <c r="F9" s="16" t="str">
        <f>VLOOKUP(B9,'Original Budget Document'!$B$2:$I$110,8,FALSE)</f>
        <v>Social Justice and Empowerment</v>
      </c>
    </row>
    <row r="10" spans="1:13" x14ac:dyDescent="0.3">
      <c r="A10" s="15" t="s">
        <v>162</v>
      </c>
      <c r="B10" s="15">
        <v>335</v>
      </c>
      <c r="C10" s="16">
        <f>VLOOKUP(B10,'Original Budget Document'!$B$2:$C$109,2,FALSE)</f>
        <v>600</v>
      </c>
      <c r="D10" s="16">
        <f>VLOOKUP(B10,'Original Budget Document'!$B$2:$D$1000,3,FALSE)</f>
        <v>20</v>
      </c>
      <c r="E10" s="16">
        <f>VLOOKUP(B10,'Original Budget Document'!$B$2:$E$1000,4,FALSE)</f>
        <v>20</v>
      </c>
      <c r="F10" s="16" t="str">
        <f>VLOOKUP(B10,'Original Budget Document'!$B$2:$I$110,8,FALSE)</f>
        <v>Social Justice and Empowerment</v>
      </c>
    </row>
    <row r="11" spans="1:13" x14ac:dyDescent="0.3">
      <c r="A11" s="16" t="s">
        <v>140</v>
      </c>
      <c r="B11" s="16">
        <v>30</v>
      </c>
      <c r="C11" s="16">
        <f>VLOOKUP(B11,'Original Budget Document'!$B$2:$C$109,2,FALSE)</f>
        <v>0</v>
      </c>
      <c r="D11" s="16">
        <f>VLOOKUP(B11,'Original Budget Document'!$B$2:$D$1000,3,FALSE)</f>
        <v>0</v>
      </c>
      <c r="E11" s="16">
        <f>VLOOKUP(B11,'Original Budget Document'!$B$2:$E$1000,4,FALSE)</f>
        <v>0</v>
      </c>
      <c r="F11" s="16" t="str">
        <f>VLOOKUP(B11,'Original Budget Document'!$B$2:$I$110,8,FALSE)</f>
        <v>Health</v>
      </c>
    </row>
    <row r="12" spans="1:13" x14ac:dyDescent="0.3">
      <c r="A12" s="15" t="s">
        <v>163</v>
      </c>
      <c r="B12" s="15">
        <v>2372</v>
      </c>
      <c r="C12" s="16">
        <f>VLOOKUP(B12,'Original Budget Document'!$B$2:$C$109,2,FALSE)</f>
        <v>6</v>
      </c>
      <c r="D12" s="16">
        <f>VLOOKUP(B12,'Original Budget Document'!$B$2:$D$1000,3,FALSE)</f>
        <v>6</v>
      </c>
      <c r="E12" s="16">
        <f>VLOOKUP(B12,'Original Budget Document'!$B$2:$E$1000,4,FALSE)</f>
        <v>6</v>
      </c>
      <c r="F12" s="16" t="str">
        <f>VLOOKUP(B12,'Original Budget Document'!$B$2:$I$110,8,FALSE)</f>
        <v>Health</v>
      </c>
    </row>
    <row r="13" spans="1:13" x14ac:dyDescent="0.3">
      <c r="A13" s="15" t="s">
        <v>164</v>
      </c>
      <c r="B13" s="15">
        <v>2738</v>
      </c>
      <c r="C13" s="16">
        <f>VLOOKUP(B13,'Original Budget Document'!$B$2:$C$109,2,FALSE)</f>
        <v>3</v>
      </c>
      <c r="D13" s="16">
        <f>VLOOKUP(B13,'Original Budget Document'!$B$2:$D$1000,3,FALSE)</f>
        <v>3</v>
      </c>
      <c r="E13" s="16">
        <f>VLOOKUP(B13,'Original Budget Document'!$B$2:$E$1000,4,FALSE)</f>
        <v>3</v>
      </c>
      <c r="F13" s="16" t="str">
        <f>VLOOKUP(B13,'Original Budget Document'!$B$2:$I$110,8,FALSE)</f>
        <v>Health</v>
      </c>
    </row>
    <row r="14" spans="1:13" x14ac:dyDescent="0.3">
      <c r="A14" s="15" t="s">
        <v>165</v>
      </c>
      <c r="B14" s="15">
        <v>189</v>
      </c>
      <c r="C14" s="16">
        <f>VLOOKUP(B14,'Original Budget Document'!$B$2:$C$109,2,FALSE)</f>
        <v>4000</v>
      </c>
      <c r="D14" s="16">
        <f>VLOOKUP(B14,'Original Budget Document'!$B$2:$D$1000,3,FALSE)</f>
        <v>4000</v>
      </c>
      <c r="E14" s="16">
        <f>VLOOKUP(B14,'Original Budget Document'!$B$2:$E$1000,4,FALSE)</f>
        <v>4000</v>
      </c>
      <c r="F14" s="16" t="str">
        <f>VLOOKUP(B14,'Original Budget Document'!$B$2:$I$110,8,FALSE)</f>
        <v>Health</v>
      </c>
    </row>
    <row r="15" spans="1:13" x14ac:dyDescent="0.3">
      <c r="A15" s="16" t="s">
        <v>141</v>
      </c>
      <c r="B15" s="16">
        <v>29</v>
      </c>
      <c r="C15" s="16">
        <f>VLOOKUP(B15,'Original Budget Document'!$B$2:$C$109,2,FALSE)</f>
        <v>0</v>
      </c>
      <c r="D15" s="16">
        <f>VLOOKUP(B15,'Original Budget Document'!$B$2:$D$1000,3,FALSE)</f>
        <v>0</v>
      </c>
      <c r="E15" s="16">
        <f>VLOOKUP(B15,'Original Budget Document'!$B$2:$E$1000,4,FALSE)</f>
        <v>0</v>
      </c>
      <c r="F15" s="16" t="str">
        <f>VLOOKUP(B15,'Original Budget Document'!$B$2:$I$110,8,FALSE)</f>
        <v>Education</v>
      </c>
    </row>
    <row r="16" spans="1:13" x14ac:dyDescent="0.3">
      <c r="A16" s="15" t="s">
        <v>166</v>
      </c>
      <c r="B16" s="15">
        <v>2170</v>
      </c>
      <c r="C16" s="16">
        <f>VLOOKUP(B16,'Original Budget Document'!$B$2:$C$109,2,FALSE)</f>
        <v>880021</v>
      </c>
      <c r="D16" s="16">
        <f>VLOOKUP(B16,'Original Budget Document'!$B$2:$D$1000,3,FALSE)</f>
        <v>229491</v>
      </c>
      <c r="E16" s="16">
        <f>VLOOKUP(B16,'Original Budget Document'!$B$2:$E$1000,4,FALSE)</f>
        <v>229491</v>
      </c>
      <c r="F16" s="16" t="str">
        <f>VLOOKUP(B16,'Original Budget Document'!$B$2:$I$110,8,FALSE)</f>
        <v>Education</v>
      </c>
      <c r="G16" s="23"/>
      <c r="H16" s="24"/>
      <c r="I16" s="24"/>
      <c r="J16" s="23"/>
      <c r="K16" s="26"/>
    </row>
    <row r="17" spans="1:15" x14ac:dyDescent="0.3">
      <c r="A17" s="15" t="s">
        <v>167</v>
      </c>
      <c r="B17" s="15">
        <v>34</v>
      </c>
      <c r="C17" s="16">
        <f>VLOOKUP(B17,'Original Budget Document'!$B$2:$C$109,2,FALSE)</f>
        <v>2105962</v>
      </c>
      <c r="D17" s="16">
        <f>VLOOKUP(B17,'Original Budget Document'!$B$2:$D$1000,3,FALSE)</f>
        <v>559110</v>
      </c>
      <c r="E17" s="16">
        <f>VLOOKUP(B17,'Original Budget Document'!$B$2:$E$1000,4,FALSE)</f>
        <v>559110</v>
      </c>
      <c r="F17" s="16" t="str">
        <f>VLOOKUP(B17,'Original Budget Document'!$B$2:$I$110,8,FALSE)</f>
        <v>Education</v>
      </c>
    </row>
    <row r="18" spans="1:15" x14ac:dyDescent="0.3">
      <c r="A18" s="15" t="s">
        <v>168</v>
      </c>
      <c r="B18" s="15">
        <v>2479</v>
      </c>
      <c r="C18" s="16">
        <f>VLOOKUP(B18,'Original Budget Document'!$B$2:$C$109,2,FALSE)</f>
        <v>700000</v>
      </c>
      <c r="D18" s="16">
        <f>VLOOKUP(B18,'Original Budget Document'!$B$2:$D$1000,3,FALSE)</f>
        <v>700000</v>
      </c>
      <c r="E18" s="16">
        <f>VLOOKUP(B18,'Original Budget Document'!$B$2:$E$1000,4,FALSE)</f>
        <v>700000</v>
      </c>
      <c r="F18" s="16" t="str">
        <f>VLOOKUP(B18,'Original Budget Document'!$B$2:$I$110,8,FALSE)</f>
        <v>Education</v>
      </c>
    </row>
    <row r="19" spans="1:15" x14ac:dyDescent="0.3">
      <c r="A19" s="15" t="s">
        <v>169</v>
      </c>
      <c r="B19" s="15">
        <v>2477</v>
      </c>
      <c r="C19" s="16">
        <f>VLOOKUP(B19,'Original Budget Document'!$B$2:$C$109,2,FALSE)</f>
        <v>262000</v>
      </c>
      <c r="D19" s="16">
        <f>VLOOKUP(B19,'Original Budget Document'!$B$2:$D$1000,3,FALSE)</f>
        <v>265030</v>
      </c>
      <c r="E19" s="16">
        <f>VLOOKUP(B19,'Original Budget Document'!$B$2:$E$1000,4,FALSE)</f>
        <v>265030</v>
      </c>
      <c r="F19" s="16" t="str">
        <f>VLOOKUP(B19,'Original Budget Document'!$B$2:$I$110,8,FALSE)</f>
        <v>Education</v>
      </c>
    </row>
    <row r="20" spans="1:15" x14ac:dyDescent="0.3">
      <c r="A20" s="16" t="s">
        <v>142</v>
      </c>
      <c r="B20" s="16">
        <v>56</v>
      </c>
      <c r="C20" s="16">
        <f>VLOOKUP(B20,'Original Budget Document'!$B$2:$C$109,2,FALSE)</f>
        <v>0</v>
      </c>
      <c r="D20" s="16">
        <f>VLOOKUP(B20,'Original Budget Document'!$B$2:$D$1000,3,FALSE)</f>
        <v>0</v>
      </c>
      <c r="E20" s="16">
        <f>VLOOKUP(B20,'Original Budget Document'!$B$2:$E$1000,4,FALSE)</f>
        <v>0</v>
      </c>
      <c r="F20" s="16" t="str">
        <f>VLOOKUP(B20,'Original Budget Document'!$B$2:$I$110,8,FALSE)</f>
        <v>Education</v>
      </c>
    </row>
    <row r="21" spans="1:15" x14ac:dyDescent="0.3">
      <c r="A21" s="15" t="s">
        <v>170</v>
      </c>
      <c r="B21" s="15">
        <v>2352</v>
      </c>
      <c r="C21" s="16">
        <f>VLOOKUP(B21,'Original Budget Document'!$B$2:$C$109,2,FALSE)</f>
        <v>2567</v>
      </c>
      <c r="D21" s="16">
        <f>VLOOKUP(B21,'Original Budget Document'!$B$2:$D$1000,3,FALSE)</f>
        <v>7460</v>
      </c>
      <c r="E21" s="16">
        <f>VLOOKUP(B21,'Original Budget Document'!$B$2:$E$1000,4,FALSE)</f>
        <v>7460</v>
      </c>
      <c r="F21" s="16" t="str">
        <f>VLOOKUP(B21,'Original Budget Document'!$B$2:$I$110,8,FALSE)</f>
        <v>Education</v>
      </c>
    </row>
    <row r="22" spans="1:15" x14ac:dyDescent="0.3">
      <c r="A22" s="16" t="s">
        <v>143</v>
      </c>
      <c r="B22" s="16">
        <v>13</v>
      </c>
      <c r="C22" s="16">
        <f>VLOOKUP(B22,'Original Budget Document'!$B$2:$C$109,2,FALSE)</f>
        <v>0</v>
      </c>
      <c r="D22" s="16">
        <f>VLOOKUP(B22,'Original Budget Document'!$B$2:$D$1000,3,FALSE)</f>
        <v>0</v>
      </c>
      <c r="E22" s="16">
        <f>VLOOKUP(B22,'Original Budget Document'!$B$2:$E$1000,4,FALSE)</f>
        <v>0</v>
      </c>
      <c r="F22" s="16" t="str">
        <f>VLOOKUP(B22,'Original Budget Document'!$B$2:$I$110,8,FALSE)</f>
        <v>Education</v>
      </c>
      <c r="M22" t="s">
        <v>251</v>
      </c>
      <c r="N22" t="s">
        <v>252</v>
      </c>
      <c r="O22" t="s">
        <v>253</v>
      </c>
    </row>
    <row r="23" spans="1:15" x14ac:dyDescent="0.3">
      <c r="A23" s="15" t="s">
        <v>171</v>
      </c>
      <c r="B23" s="15">
        <v>52</v>
      </c>
      <c r="C23" s="16">
        <f>VLOOKUP(B23,'Original Budget Document'!$B$2:$C$109,2,FALSE)</f>
        <v>718865</v>
      </c>
      <c r="D23" s="16">
        <f>VLOOKUP(B23,'Original Budget Document'!$B$2:$D$1000,3,FALSE)</f>
        <v>855452</v>
      </c>
      <c r="E23" s="16">
        <f>VLOOKUP(B23,'Original Budget Document'!$B$2:$E$1000,4,FALSE)</f>
        <v>855452</v>
      </c>
      <c r="F23" s="16" t="str">
        <f>VLOOKUP(B23,'Original Budget Document'!$B$2:$I$110,8,FALSE)</f>
        <v>Education</v>
      </c>
      <c r="L23" t="s">
        <v>113</v>
      </c>
      <c r="M23">
        <f>SUMIFS(E2:E102,F2:F102,"Education")</f>
        <v>73515154</v>
      </c>
      <c r="N23">
        <f>SUMIFS(D2:D102,F2:F102,"Education")</f>
        <v>73515154</v>
      </c>
      <c r="O23">
        <f>SUMIFS(C2:C102,F2:F102,"Education")</f>
        <v>80486887</v>
      </c>
    </row>
    <row r="24" spans="1:15" x14ac:dyDescent="0.3">
      <c r="A24" s="15" t="s">
        <v>172</v>
      </c>
      <c r="B24" s="15">
        <v>51</v>
      </c>
      <c r="C24" s="16">
        <f>VLOOKUP(B24,'Original Budget Document'!$B$2:$C$109,2,FALSE)</f>
        <v>858000</v>
      </c>
      <c r="D24" s="16">
        <f>VLOOKUP(B24,'Original Budget Document'!$B$2:$D$1000,3,FALSE)</f>
        <v>1110000</v>
      </c>
      <c r="E24" s="16">
        <f>VLOOKUP(B24,'Original Budget Document'!$B$2:$E$1000,4,FALSE)</f>
        <v>1110000</v>
      </c>
      <c r="F24" s="16" t="str">
        <f>VLOOKUP(B24,'Original Budget Document'!$B$2:$I$110,8,FALSE)</f>
        <v>Education</v>
      </c>
      <c r="L24" t="s">
        <v>114</v>
      </c>
      <c r="M24">
        <f>SUMIFS(E2:E102,F2:F102,"Health")</f>
        <v>4009</v>
      </c>
      <c r="N24">
        <f>SUMIFS(D2:D102,F2:F102,"Health")</f>
        <v>4009</v>
      </c>
      <c r="O24">
        <f>SUMIFS(C2:C102,F2:F102,"Health")</f>
        <v>4009</v>
      </c>
    </row>
    <row r="25" spans="1:15" x14ac:dyDescent="0.3">
      <c r="A25" s="15" t="s">
        <v>173</v>
      </c>
      <c r="B25" s="15">
        <v>53</v>
      </c>
      <c r="C25" s="16">
        <f>VLOOKUP(B25,'Original Budget Document'!$B$2:$C$109,2,FALSE)</f>
        <v>350000</v>
      </c>
      <c r="D25" s="16">
        <f>VLOOKUP(B25,'Original Budget Document'!$B$2:$D$1000,3,FALSE)</f>
        <v>684000</v>
      </c>
      <c r="E25" s="16">
        <f>VLOOKUP(B25,'Original Budget Document'!$B$2:$E$1000,4,FALSE)</f>
        <v>684000</v>
      </c>
      <c r="F25" s="16" t="str">
        <f>VLOOKUP(B25,'Original Budget Document'!$B$2:$I$110,8,FALSE)</f>
        <v>Education</v>
      </c>
      <c r="L25" t="s">
        <v>118</v>
      </c>
      <c r="M25">
        <f>SUMIFS(E2:E102,F2:F102,"Minority Affairs")</f>
        <v>650074</v>
      </c>
      <c r="N25">
        <f>SUMIFS(D2:D102,F2:F102,"Minority Affairs")</f>
        <v>650074</v>
      </c>
      <c r="O25">
        <f>SUMIFS(C2:C102,F4:F104,"Minority Affairs")</f>
        <v>15409020</v>
      </c>
    </row>
    <row r="26" spans="1:15" x14ac:dyDescent="0.3">
      <c r="A26" s="15" t="s">
        <v>174</v>
      </c>
      <c r="B26" s="15">
        <v>2500</v>
      </c>
      <c r="C26" s="16">
        <f>VLOOKUP(B26,'Original Budget Document'!$B$2:$C$109,2,FALSE)</f>
        <v>2000</v>
      </c>
      <c r="D26" s="16">
        <f>VLOOKUP(B26,'Original Budget Document'!$B$2:$D$1000,3,FALSE)</f>
        <v>6300</v>
      </c>
      <c r="E26" s="16">
        <f>VLOOKUP(B26,'Original Budget Document'!$B$2:$E$1000,4,FALSE)</f>
        <v>6300</v>
      </c>
      <c r="F26" s="16" t="str">
        <f>VLOOKUP(B26,'Original Budget Document'!$B$2:$I$110,8,FALSE)</f>
        <v>Education</v>
      </c>
      <c r="L26" t="s">
        <v>156</v>
      </c>
      <c r="M26">
        <f>SUMIFS(E2:E102,F2:F102,"Women and Child Development")</f>
        <v>8709300</v>
      </c>
      <c r="N26">
        <f>SUMIFS(D2:D102,F2:F102,"Women and Child Development")</f>
        <v>8709300</v>
      </c>
      <c r="O26">
        <f>SUMIFS(C2:C102,F2:F102,"Women and Child Development")</f>
        <v>6948888</v>
      </c>
    </row>
    <row r="27" spans="1:15" x14ac:dyDescent="0.3">
      <c r="A27" s="15" t="s">
        <v>175</v>
      </c>
      <c r="B27" s="15">
        <v>1162</v>
      </c>
      <c r="C27" s="16">
        <f>VLOOKUP(B27,'Original Budget Document'!$B$2:$C$109,2,FALSE)</f>
        <v>15000</v>
      </c>
      <c r="D27" s="16">
        <f>VLOOKUP(B27,'Original Budget Document'!$B$2:$D$1000,3,FALSE)</f>
        <v>25000</v>
      </c>
      <c r="E27" s="16">
        <f>VLOOKUP(B27,'Original Budget Document'!$B$2:$E$1000,4,FALSE)</f>
        <v>25000</v>
      </c>
      <c r="F27" s="16" t="str">
        <f>VLOOKUP(B27,'Original Budget Document'!$B$2:$I$110,8,FALSE)</f>
        <v>Education</v>
      </c>
      <c r="L27" t="s">
        <v>122</v>
      </c>
      <c r="M27">
        <f>SUMIFS(E2:E102,F2:F102,"Social Justice and Empowerment")</f>
        <v>14926095</v>
      </c>
      <c r="N27">
        <f>SUMIFS(D2:D102,F2:F102,"Social Justice and Empowerment")</f>
        <v>14926095</v>
      </c>
      <c r="O27">
        <f>SUMIFS(C2:C102,F2:F102,"Social Justice and Empowerment")</f>
        <v>10876265</v>
      </c>
    </row>
    <row r="28" spans="1:15" x14ac:dyDescent="0.3">
      <c r="A28" s="15" t="s">
        <v>176</v>
      </c>
      <c r="B28" s="15">
        <v>2553</v>
      </c>
      <c r="C28" s="16">
        <f>VLOOKUP(B28,'Original Budget Document'!$B$2:$C$109,2,FALSE)</f>
        <v>38500</v>
      </c>
      <c r="D28" s="16">
        <f>VLOOKUP(B28,'Original Budget Document'!$B$2:$D$1000,3,FALSE)</f>
        <v>54500</v>
      </c>
      <c r="E28" s="16">
        <f>VLOOKUP(B28,'Original Budget Document'!$B$2:$E$1000,4,FALSE)</f>
        <v>54500</v>
      </c>
      <c r="F28" s="16" t="str">
        <f>VLOOKUP(B28,'Original Budget Document'!$B$2:$I$110,8,FALSE)</f>
        <v>Education</v>
      </c>
      <c r="L28" t="s">
        <v>120</v>
      </c>
      <c r="M28">
        <f>SUMIFS(E2:E102,F2:F102,"Tribal Affairs")</f>
        <v>2000</v>
      </c>
      <c r="N28">
        <f>SUMIFS(D2:D102,F2:F102,"Tribal Affairs")</f>
        <v>2000</v>
      </c>
      <c r="O28">
        <f>SUMIFS(C2:C102,F2:F102,"Tribal Affairs")</f>
        <v>1000</v>
      </c>
    </row>
    <row r="29" spans="1:15" x14ac:dyDescent="0.3">
      <c r="A29" s="15" t="s">
        <v>177</v>
      </c>
      <c r="B29" s="15">
        <v>1451</v>
      </c>
      <c r="C29" s="16">
        <f>VLOOKUP(B29,'Original Budget Document'!$B$2:$C$109,2,FALSE)</f>
        <v>100</v>
      </c>
      <c r="D29" s="16">
        <f>VLOOKUP(B29,'Original Budget Document'!$B$2:$D$1000,3,FALSE)</f>
        <v>408</v>
      </c>
      <c r="E29" s="16">
        <f>VLOOKUP(B29,'Original Budget Document'!$B$2:$E$1000,4,FALSE)</f>
        <v>408</v>
      </c>
      <c r="F29" s="16" t="str">
        <f>VLOOKUP(B29,'Original Budget Document'!$B$2:$I$110,8,FALSE)</f>
        <v>Education</v>
      </c>
      <c r="L29" t="s">
        <v>121</v>
      </c>
      <c r="M29">
        <v>0</v>
      </c>
      <c r="N29">
        <v>0</v>
      </c>
      <c r="O29">
        <v>0</v>
      </c>
    </row>
    <row r="30" spans="1:15" x14ac:dyDescent="0.3">
      <c r="A30" s="15" t="s">
        <v>178</v>
      </c>
      <c r="B30" s="15">
        <v>54</v>
      </c>
      <c r="C30" s="16">
        <f>VLOOKUP(B30,'Original Budget Document'!$B$2:$C$109,2,FALSE)</f>
        <v>10</v>
      </c>
      <c r="D30" s="16">
        <f>VLOOKUP(B30,'Original Budget Document'!$B$2:$D$1000,3,FALSE)</f>
        <v>4</v>
      </c>
      <c r="E30" s="16">
        <f>VLOOKUP(B30,'Original Budget Document'!$B$2:$E$1000,4,FALSE)</f>
        <v>4</v>
      </c>
      <c r="F30" s="16" t="str">
        <f>VLOOKUP(B30,'Original Budget Document'!$B$2:$I$110,8,FALSE)</f>
        <v>Education</v>
      </c>
    </row>
    <row r="31" spans="1:15" x14ac:dyDescent="0.3">
      <c r="A31" s="15" t="s">
        <v>179</v>
      </c>
      <c r="B31" s="15">
        <v>1457</v>
      </c>
      <c r="C31" s="16">
        <f>VLOOKUP(B31,'Original Budget Document'!$B$2:$C$109,2,FALSE)</f>
        <v>1150000</v>
      </c>
      <c r="D31" s="16">
        <f>VLOOKUP(B31,'Original Budget Document'!$B$2:$D$1000,3,FALSE)</f>
        <v>484358</v>
      </c>
      <c r="E31" s="16">
        <f>VLOOKUP(B31,'Original Budget Document'!$B$2:$E$1000,4,FALSE)</f>
        <v>484358</v>
      </c>
      <c r="F31" s="16" t="str">
        <f>VLOOKUP(B31,'Original Budget Document'!$B$2:$I$110,8,FALSE)</f>
        <v>Education</v>
      </c>
    </row>
    <row r="32" spans="1:15" x14ac:dyDescent="0.3">
      <c r="A32" s="15" t="s">
        <v>180</v>
      </c>
      <c r="B32" s="15">
        <v>1459</v>
      </c>
      <c r="C32" s="16">
        <f>VLOOKUP(B32,'Original Budget Document'!$B$2:$C$109,2,FALSE)</f>
        <v>26249</v>
      </c>
      <c r="D32" s="16">
        <f>VLOOKUP(B32,'Original Budget Document'!$B$2:$D$1000,3,FALSE)</f>
        <v>26249</v>
      </c>
      <c r="E32" s="16">
        <f>VLOOKUP(B32,'Original Budget Document'!$B$2:$E$1000,4,FALSE)</f>
        <v>26249</v>
      </c>
      <c r="F32" s="16" t="str">
        <f>VLOOKUP(B32,'Original Budget Document'!$B$2:$I$110,8,FALSE)</f>
        <v>Education</v>
      </c>
    </row>
    <row r="33" spans="1:6" x14ac:dyDescent="0.3">
      <c r="A33" s="15" t="s">
        <v>181</v>
      </c>
      <c r="B33" s="15">
        <v>55</v>
      </c>
      <c r="C33" s="16">
        <f>VLOOKUP(B33,'Original Budget Document'!$B$2:$C$109,2,FALSE)</f>
        <v>56257700</v>
      </c>
      <c r="D33" s="16">
        <f>VLOOKUP(B33,'Original Budget Document'!$B$2:$D$1000,3,FALSE)</f>
        <v>57563594</v>
      </c>
      <c r="E33" s="16">
        <f>VLOOKUP(B33,'Original Budget Document'!$B$2:$E$1000,4,FALSE)</f>
        <v>57563594</v>
      </c>
      <c r="F33" s="16" t="str">
        <f>VLOOKUP(B33,'Original Budget Document'!$B$2:$I$110,8,FALSE)</f>
        <v>Education</v>
      </c>
    </row>
    <row r="34" spans="1:6" x14ac:dyDescent="0.3">
      <c r="A34" s="15" t="s">
        <v>182</v>
      </c>
      <c r="B34" s="15">
        <v>56</v>
      </c>
      <c r="C34" s="16">
        <f>VLOOKUP(B34,'Original Budget Document'!$B$2:$C$109,2,FALSE)</f>
        <v>0</v>
      </c>
      <c r="D34" s="16">
        <f>VLOOKUP(B34,'Original Budget Document'!$B$2:$D$1000,3,FALSE)</f>
        <v>0</v>
      </c>
      <c r="E34" s="16">
        <f>VLOOKUP(B34,'Original Budget Document'!$B$2:$E$1000,4,FALSE)</f>
        <v>0</v>
      </c>
      <c r="F34" s="16" t="str">
        <f>VLOOKUP(B34,'Original Budget Document'!$B$2:$I$110,8,FALSE)</f>
        <v>Education</v>
      </c>
    </row>
    <row r="35" spans="1:6" x14ac:dyDescent="0.3">
      <c r="A35" s="15" t="s">
        <v>183</v>
      </c>
      <c r="B35" s="15">
        <v>2492</v>
      </c>
      <c r="C35" s="16">
        <f>VLOOKUP(B35,'Original Budget Document'!$B$2:$C$109,2,FALSE)</f>
        <v>300000</v>
      </c>
      <c r="D35" s="16">
        <f>VLOOKUP(B35,'Original Budget Document'!$B$2:$D$1000,3,FALSE)</f>
        <v>480001</v>
      </c>
      <c r="E35" s="16">
        <f>VLOOKUP(B35,'Original Budget Document'!$B$2:$E$1000,4,FALSE)</f>
        <v>480001</v>
      </c>
      <c r="F35" s="16" t="str">
        <f>VLOOKUP(B35,'Original Budget Document'!$B$2:$I$110,8,FALSE)</f>
        <v>Education</v>
      </c>
    </row>
    <row r="36" spans="1:6" x14ac:dyDescent="0.3">
      <c r="A36" s="15" t="s">
        <v>184</v>
      </c>
      <c r="B36" s="15">
        <v>2316</v>
      </c>
      <c r="C36" s="16">
        <f>VLOOKUP(B36,'Original Budget Document'!$B$2:$C$109,2,FALSE)</f>
        <v>2000</v>
      </c>
      <c r="D36" s="16">
        <f>VLOOKUP(B36,'Original Budget Document'!$B$2:$D$1000,3,FALSE)</f>
        <v>2000</v>
      </c>
      <c r="E36" s="16">
        <f>VLOOKUP(B36,'Original Budget Document'!$B$2:$E$1000,4,FALSE)</f>
        <v>2000</v>
      </c>
      <c r="F36" s="16" t="str">
        <f>VLOOKUP(B36,'Original Budget Document'!$B$2:$I$110,8,FALSE)</f>
        <v>Education</v>
      </c>
    </row>
    <row r="37" spans="1:6" x14ac:dyDescent="0.3">
      <c r="A37" s="15" t="s">
        <v>79</v>
      </c>
      <c r="B37" s="15">
        <v>1733</v>
      </c>
      <c r="C37" s="16">
        <f>VLOOKUP(B37,'Original Budget Document'!$B$2:$C$109,2,FALSE)</f>
        <v>480000</v>
      </c>
      <c r="D37" s="16">
        <f>VLOOKUP(B37,'Original Budget Document'!$B$2:$D$1000,3,FALSE)</f>
        <v>3</v>
      </c>
      <c r="E37" s="16">
        <f>VLOOKUP(B37,'Original Budget Document'!$B$2:$E$1000,4,FALSE)</f>
        <v>3</v>
      </c>
      <c r="F37" s="16" t="str">
        <f>VLOOKUP(B37,'Original Budget Document'!$B$2:$I$110,8,FALSE)</f>
        <v>Education</v>
      </c>
    </row>
    <row r="38" spans="1:6" x14ac:dyDescent="0.3">
      <c r="A38" s="15" t="s">
        <v>185</v>
      </c>
      <c r="B38" s="15">
        <v>1450</v>
      </c>
      <c r="C38" s="16">
        <f>VLOOKUP(B38,'Original Budget Document'!$B$2:$C$109,2,FALSE)</f>
        <v>500000</v>
      </c>
      <c r="D38" s="16">
        <f>VLOOKUP(B38,'Original Budget Document'!$B$2:$D$1000,3,FALSE)</f>
        <v>45070</v>
      </c>
      <c r="E38" s="16">
        <f>VLOOKUP(B38,'Original Budget Document'!$B$2:$E$1000,4,FALSE)</f>
        <v>45070</v>
      </c>
      <c r="F38" s="16" t="str">
        <f>VLOOKUP(B38,'Original Budget Document'!$B$2:$I$110,8,FALSE)</f>
        <v>Education</v>
      </c>
    </row>
    <row r="39" spans="1:6" x14ac:dyDescent="0.3">
      <c r="A39" s="15" t="s">
        <v>186</v>
      </c>
      <c r="B39" s="15">
        <v>1460</v>
      </c>
      <c r="C39" s="16">
        <f>VLOOKUP(B39,'Original Budget Document'!$B$2:$C$109,2,FALSE)</f>
        <v>2500</v>
      </c>
      <c r="D39" s="16">
        <f>VLOOKUP(B39,'Original Budget Document'!$B$2:$D$1000,3,FALSE)</f>
        <v>1</v>
      </c>
      <c r="E39" s="16">
        <f>VLOOKUP(B39,'Original Budget Document'!$B$2:$E$1000,4,FALSE)</f>
        <v>1</v>
      </c>
      <c r="F39" s="16" t="str">
        <f>VLOOKUP(B39,'Original Budget Document'!$B$2:$I$110,8,FALSE)</f>
        <v>Education</v>
      </c>
    </row>
    <row r="40" spans="1:6" x14ac:dyDescent="0.3">
      <c r="A40" s="15" t="s">
        <v>187</v>
      </c>
      <c r="B40" s="15">
        <v>2654</v>
      </c>
      <c r="C40" s="16">
        <f>VLOOKUP(B40,'Original Budget Document'!$B$2:$C$109,2,FALSE)</f>
        <v>45000</v>
      </c>
      <c r="D40" s="16">
        <f>VLOOKUP(B40,'Original Budget Document'!$B$2:$D$1000,3,FALSE)</f>
        <v>10000</v>
      </c>
      <c r="E40" s="16">
        <f>VLOOKUP(B40,'Original Budget Document'!$B$2:$E$1000,4,FALSE)</f>
        <v>10000</v>
      </c>
      <c r="F40" s="16" t="str">
        <f>VLOOKUP(B40,'Original Budget Document'!$B$2:$I$110,8,FALSE)</f>
        <v>Education</v>
      </c>
    </row>
    <row r="41" spans="1:6" x14ac:dyDescent="0.3">
      <c r="A41" s="15" t="s">
        <v>188</v>
      </c>
      <c r="B41" s="15">
        <v>2655</v>
      </c>
      <c r="C41" s="16">
        <f>VLOOKUP(B41,'Original Budget Document'!$B$2:$C$109,2,FALSE)</f>
        <v>360000</v>
      </c>
      <c r="D41" s="16">
        <f>VLOOKUP(B41,'Original Budget Document'!$B$2:$D$1000,3,FALSE)</f>
        <v>360000</v>
      </c>
      <c r="E41" s="16">
        <f>VLOOKUP(B41,'Original Budget Document'!$B$2:$E$1000,4,FALSE)</f>
        <v>360000</v>
      </c>
      <c r="F41" s="16" t="str">
        <f>VLOOKUP(B41,'Original Budget Document'!$B$2:$I$110,8,FALSE)</f>
        <v>Education</v>
      </c>
    </row>
    <row r="42" spans="1:6" x14ac:dyDescent="0.3">
      <c r="A42" s="15" t="s">
        <v>189</v>
      </c>
      <c r="B42" s="15">
        <v>2499</v>
      </c>
      <c r="C42" s="16">
        <f>VLOOKUP(B42,'Original Budget Document'!$B$2:$C$109,2,FALSE)</f>
        <v>21393</v>
      </c>
      <c r="D42" s="16">
        <f>VLOOKUP(B42,'Original Budget Document'!$B$2:$D$1000,3,FALSE)</f>
        <v>21393</v>
      </c>
      <c r="E42" s="16">
        <f>VLOOKUP(B42,'Original Budget Document'!$B$2:$E$1000,4,FALSE)</f>
        <v>21393</v>
      </c>
      <c r="F42" s="16" t="str">
        <f>VLOOKUP(B42,'Original Budget Document'!$B$2:$I$110,8,FALSE)</f>
        <v>Education</v>
      </c>
    </row>
    <row r="43" spans="1:6" x14ac:dyDescent="0.3">
      <c r="A43" s="16" t="s">
        <v>144</v>
      </c>
      <c r="B43" s="16">
        <v>284</v>
      </c>
      <c r="C43" s="16">
        <f>VLOOKUP(B43,'Original Budget Document'!$B$2:$C$109,2,FALSE)</f>
        <v>0</v>
      </c>
      <c r="D43" s="16">
        <f>VLOOKUP(B43,'Original Budget Document'!$B$2:$D$1000,3,FALSE)</f>
        <v>0</v>
      </c>
      <c r="E43" s="16">
        <f>VLOOKUP(B43,'Original Budget Document'!$B$2:$E$1000,4,FALSE)</f>
        <v>0</v>
      </c>
      <c r="F43" s="16" t="str">
        <f>VLOOKUP(B43,'Original Budget Document'!$B$2:$I$110,8,FALSE)</f>
        <v>Education</v>
      </c>
    </row>
    <row r="44" spans="1:6" x14ac:dyDescent="0.3">
      <c r="A44" s="15" t="s">
        <v>86</v>
      </c>
      <c r="B44" s="15">
        <v>2670</v>
      </c>
      <c r="C44" s="16">
        <f>VLOOKUP(B44,'Original Budget Document'!$B$2:$C$109,2,FALSE)</f>
        <v>7260000</v>
      </c>
      <c r="D44" s="16">
        <f>VLOOKUP(B44,'Original Budget Document'!$B$2:$D$1000,3,FALSE)</f>
        <v>500000</v>
      </c>
      <c r="E44" s="16">
        <f>VLOOKUP(B44,'Original Budget Document'!$B$2:$E$1000,4,FALSE)</f>
        <v>500000</v>
      </c>
      <c r="F44" s="16" t="str">
        <f>VLOOKUP(B44,'Original Budget Document'!$B$2:$I$110,8,FALSE)</f>
        <v>Education</v>
      </c>
    </row>
    <row r="45" spans="1:6" x14ac:dyDescent="0.3">
      <c r="A45" s="15" t="s">
        <v>190</v>
      </c>
      <c r="B45" s="15">
        <v>530</v>
      </c>
      <c r="C45" s="16">
        <f>VLOOKUP(B45,'Original Budget Document'!$B$2:$C$109,2,FALSE)</f>
        <v>8149020</v>
      </c>
      <c r="D45" s="16">
        <f>VLOOKUP(B45,'Original Budget Document'!$B$2:$D$1000,3,FALSE)</f>
        <v>9525730</v>
      </c>
      <c r="E45" s="16">
        <f>VLOOKUP(B45,'Original Budget Document'!$B$2:$E$1000,4,FALSE)</f>
        <v>9525730</v>
      </c>
      <c r="F45" s="16" t="str">
        <f>VLOOKUP(B45,'Original Budget Document'!$B$2:$I$110,8,FALSE)</f>
        <v>Education</v>
      </c>
    </row>
    <row r="46" spans="1:6" x14ac:dyDescent="0.3">
      <c r="A46" s="16" t="s">
        <v>145</v>
      </c>
      <c r="B46" s="16">
        <v>229</v>
      </c>
      <c r="C46" s="16">
        <f>VLOOKUP(B46,'Original Budget Document'!$B$2:$C$109,2,FALSE)</f>
        <v>0</v>
      </c>
      <c r="D46" s="16">
        <f>VLOOKUP(B46,'Original Budget Document'!$B$2:$D$1000,3,FALSE)</f>
        <v>0</v>
      </c>
      <c r="E46" s="16">
        <f>VLOOKUP(B46,'Original Budget Document'!$B$2:$E$1000,4,FALSE)</f>
        <v>0</v>
      </c>
      <c r="F46" s="16" t="str">
        <f>VLOOKUP(B46,'Original Budget Document'!$B$2:$I$110,8,FALSE)</f>
        <v>Minority Affairs</v>
      </c>
    </row>
    <row r="47" spans="1:6" x14ac:dyDescent="0.3">
      <c r="A47" s="15" t="s">
        <v>191</v>
      </c>
      <c r="B47" s="15">
        <v>43</v>
      </c>
      <c r="C47" s="16">
        <f>VLOOKUP(B47,'Original Budget Document'!$B$2:$C$109,2,FALSE)</f>
        <v>627400</v>
      </c>
      <c r="D47" s="16">
        <f>VLOOKUP(B47,'Original Budget Document'!$B$2:$D$1000,3,FALSE)</f>
        <v>648000</v>
      </c>
      <c r="E47" s="16">
        <f>VLOOKUP(B47,'Original Budget Document'!$B$2:$E$1000,4,FALSE)</f>
        <v>648000</v>
      </c>
      <c r="F47" s="16" t="str">
        <f>VLOOKUP(B47,'Original Budget Document'!$B$2:$I$110,8,FALSE)</f>
        <v>Minority Affairs</v>
      </c>
    </row>
    <row r="48" spans="1:6" x14ac:dyDescent="0.3">
      <c r="A48" s="16" t="s">
        <v>146</v>
      </c>
      <c r="B48" s="16">
        <v>42</v>
      </c>
      <c r="C48" s="16"/>
      <c r="D48" s="16"/>
      <c r="E48" s="16"/>
      <c r="F48" s="16" t="s">
        <v>156</v>
      </c>
    </row>
    <row r="49" spans="1:6" x14ac:dyDescent="0.3">
      <c r="A49" s="15" t="s">
        <v>192</v>
      </c>
      <c r="B49" s="15">
        <v>391</v>
      </c>
      <c r="C49" s="16">
        <f>VLOOKUP(B49,'Original Budget Document'!$B$2:$C$109,2,FALSE)</f>
        <v>6201424</v>
      </c>
      <c r="D49" s="16">
        <f>VLOOKUP(B49,'Original Budget Document'!$B$2:$D$1000,3,FALSE)</f>
        <v>8000000</v>
      </c>
      <c r="E49" s="16">
        <f>VLOOKUP(B49,'Original Budget Document'!$B$2:$E$1000,4,FALSE)</f>
        <v>8000000</v>
      </c>
      <c r="F49" s="16" t="str">
        <f>VLOOKUP(B49,'Original Budget Document'!$B$2:$I$110,8,FALSE)</f>
        <v>Women and Child Development</v>
      </c>
    </row>
    <row r="50" spans="1:6" x14ac:dyDescent="0.3">
      <c r="A50" s="15" t="s">
        <v>94</v>
      </c>
      <c r="B50" s="15">
        <v>1072</v>
      </c>
      <c r="C50" s="16">
        <f>VLOOKUP(B50,'Original Budget Document'!$B$2:$C$109,2,FALSE)</f>
        <v>154064</v>
      </c>
      <c r="D50" s="16">
        <f>VLOOKUP(B50,'Original Budget Document'!$B$2:$D$1000,3,FALSE)</f>
        <v>109300</v>
      </c>
      <c r="E50" s="16">
        <f>VLOOKUP(B50,'Original Budget Document'!$B$2:$E$1000,4,FALSE)</f>
        <v>109300</v>
      </c>
      <c r="F50" s="16" t="str">
        <f>VLOOKUP(B50,'Original Budget Document'!$B$2:$I$110,8,FALSE)</f>
        <v>Women and Child Development</v>
      </c>
    </row>
    <row r="51" spans="1:6" x14ac:dyDescent="0.3">
      <c r="A51" s="16" t="s">
        <v>147</v>
      </c>
      <c r="B51" s="16">
        <v>43</v>
      </c>
      <c r="C51" s="16"/>
      <c r="D51" s="16"/>
      <c r="E51" s="16"/>
      <c r="F51" s="16" t="s">
        <v>122</v>
      </c>
    </row>
    <row r="52" spans="1:6" x14ac:dyDescent="0.3">
      <c r="A52" s="15" t="s">
        <v>193</v>
      </c>
      <c r="B52" s="15">
        <v>379</v>
      </c>
      <c r="C52" s="16">
        <f>VLOOKUP(B52,'Original Budget Document'!$B$2:$C$109,2,FALSE)</f>
        <v>11000</v>
      </c>
      <c r="D52" s="16">
        <f>VLOOKUP(B52,'Original Budget Document'!$B$2:$D$1000,3,FALSE)</f>
        <v>5000</v>
      </c>
      <c r="E52" s="16">
        <f>VLOOKUP(B52,'Original Budget Document'!$B$2:$E$1000,4,FALSE)</f>
        <v>5000</v>
      </c>
      <c r="F52" s="16" t="str">
        <f>VLOOKUP(B52,'Original Budget Document'!$B$2:$I$110,8,FALSE)</f>
        <v>Social Justice and Empowerment</v>
      </c>
    </row>
    <row r="53" spans="1:6" x14ac:dyDescent="0.3">
      <c r="A53" s="15" t="s">
        <v>194</v>
      </c>
      <c r="B53" s="15">
        <v>2529</v>
      </c>
      <c r="C53" s="16">
        <f>VLOOKUP(B53,'Original Budget Document'!$B$2:$C$109,2,FALSE)</f>
        <v>2850000</v>
      </c>
      <c r="D53" s="16">
        <f>VLOOKUP(B53,'Original Budget Document'!$B$2:$D$1000,3,FALSE)</f>
        <v>2850000</v>
      </c>
      <c r="E53" s="16">
        <f>VLOOKUP(B53,'Original Budget Document'!$B$2:$E$1000,4,FALSE)</f>
        <v>2850000</v>
      </c>
      <c r="F53" s="16" t="str">
        <f>VLOOKUP(B53,'Original Budget Document'!$B$2:$I$110,8,FALSE)</f>
        <v>Social Justice and Empowerment</v>
      </c>
    </row>
    <row r="54" spans="1:6" x14ac:dyDescent="0.3">
      <c r="A54" s="15" t="s">
        <v>195</v>
      </c>
      <c r="B54" s="15">
        <v>2528</v>
      </c>
      <c r="C54" s="16">
        <f>VLOOKUP(B54,'Original Budget Document'!$B$2:$C$109,2,FALSE)</f>
        <v>4473200</v>
      </c>
      <c r="D54" s="16">
        <f>VLOOKUP(B54,'Original Budget Document'!$B$2:$D$1000,3,FALSE)</f>
        <v>5313200</v>
      </c>
      <c r="E54" s="16">
        <f>VLOOKUP(B54,'Original Budget Document'!$B$2:$E$1000,4,FALSE)</f>
        <v>5313200</v>
      </c>
      <c r="F54" s="16" t="str">
        <f>VLOOKUP(B54,'Original Budget Document'!$B$2:$I$110,8,FALSE)</f>
        <v>Social Justice and Empowerment</v>
      </c>
    </row>
    <row r="55" spans="1:6" x14ac:dyDescent="0.3">
      <c r="A55" s="15" t="s">
        <v>196</v>
      </c>
      <c r="B55" s="15">
        <v>2530</v>
      </c>
      <c r="C55" s="16">
        <f>VLOOKUP(B55,'Original Budget Document'!$B$2:$C$109,2,FALSE)</f>
        <v>817464</v>
      </c>
      <c r="D55" s="16">
        <f>VLOOKUP(B55,'Original Budget Document'!$B$2:$D$1000,3,FALSE)</f>
        <v>917664</v>
      </c>
      <c r="E55" s="16">
        <f>VLOOKUP(B55,'Original Budget Document'!$B$2:$E$1000,4,FALSE)</f>
        <v>917664</v>
      </c>
      <c r="F55" s="16" t="str">
        <f>VLOOKUP(B55,'Original Budget Document'!$B$2:$I$110,8,FALSE)</f>
        <v>Social Justice and Empowerment</v>
      </c>
    </row>
    <row r="56" spans="1:6" x14ac:dyDescent="0.3">
      <c r="A56" s="15" t="s">
        <v>197</v>
      </c>
      <c r="B56" s="15">
        <v>2700</v>
      </c>
      <c r="C56" s="16">
        <f>VLOOKUP(B56,'Original Budget Document'!$B$2:$C$109,2,FALSE)</f>
        <v>500</v>
      </c>
      <c r="D56" s="16">
        <f>VLOOKUP(B56,'Original Budget Document'!$B$2:$D$1000,3,FALSE)</f>
        <v>1</v>
      </c>
      <c r="E56" s="16">
        <f>VLOOKUP(B56,'Original Budget Document'!$B$2:$E$1000,4,FALSE)</f>
        <v>1</v>
      </c>
      <c r="F56" s="16" t="str">
        <f>VLOOKUP(B56,'Original Budget Document'!$B$2:$I$110,8,FALSE)</f>
        <v>Social Justice and Empowerment</v>
      </c>
    </row>
    <row r="57" spans="1:6" x14ac:dyDescent="0.3">
      <c r="A57" s="15" t="s">
        <v>198</v>
      </c>
      <c r="B57" s="15">
        <v>2541</v>
      </c>
      <c r="C57" s="16">
        <f>VLOOKUP(B57,'Original Budget Document'!$B$2:$C$109,2,FALSE)</f>
        <v>10001</v>
      </c>
      <c r="D57" s="16">
        <f>VLOOKUP(B57,'Original Budget Document'!$B$2:$D$1000,3,FALSE)</f>
        <v>1</v>
      </c>
      <c r="E57" s="16">
        <f>VLOOKUP(B57,'Original Budget Document'!$B$2:$E$1000,4,FALSE)</f>
        <v>1</v>
      </c>
      <c r="F57" s="16" t="str">
        <f>VLOOKUP(B57,'Original Budget Document'!$B$2:$I$110,8,FALSE)</f>
        <v>Social Justice and Empowerment</v>
      </c>
    </row>
    <row r="58" spans="1:6" x14ac:dyDescent="0.3">
      <c r="A58" s="15" t="s">
        <v>199</v>
      </c>
      <c r="B58" s="15">
        <v>2453</v>
      </c>
      <c r="C58" s="16">
        <f>VLOOKUP(B58,'Original Budget Document'!$B$2:$C$109,2,FALSE)</f>
        <v>1700</v>
      </c>
      <c r="D58" s="16">
        <f>VLOOKUP(B58,'Original Budget Document'!$B$2:$D$1000,3,FALSE)</f>
        <v>1</v>
      </c>
      <c r="E58" s="16">
        <f>VLOOKUP(B58,'Original Budget Document'!$B$2:$E$1000,4,FALSE)</f>
        <v>1</v>
      </c>
      <c r="F58" s="16" t="str">
        <f>VLOOKUP(B58,'Original Budget Document'!$B$2:$I$110,8,FALSE)</f>
        <v>Social Justice and Empowerment</v>
      </c>
    </row>
    <row r="59" spans="1:6" x14ac:dyDescent="0.3">
      <c r="A59" s="15" t="s">
        <v>200</v>
      </c>
      <c r="B59" s="15">
        <v>373</v>
      </c>
      <c r="C59" s="16">
        <f>VLOOKUP(B59,'Original Budget Document'!$B$2:$C$109,2,FALSE)</f>
        <v>43551</v>
      </c>
      <c r="D59" s="16">
        <f>VLOOKUP(B59,'Original Budget Document'!$B$2:$D$1000,3,FALSE)</f>
        <v>46650</v>
      </c>
      <c r="E59" s="16">
        <f>VLOOKUP(B59,'Original Budget Document'!$B$2:$E$1000,4,FALSE)</f>
        <v>46650</v>
      </c>
      <c r="F59" s="16" t="str">
        <f>VLOOKUP(B59,'Original Budget Document'!$B$2:$I$110,8,FALSE)</f>
        <v>Social Justice and Empowerment</v>
      </c>
    </row>
    <row r="60" spans="1:6" x14ac:dyDescent="0.3">
      <c r="A60" s="15" t="s">
        <v>201</v>
      </c>
      <c r="B60" s="15">
        <v>288</v>
      </c>
      <c r="C60" s="16">
        <f>VLOOKUP(B60,'Original Budget Document'!$B$2:$C$109,2,FALSE)</f>
        <v>2600000</v>
      </c>
      <c r="D60" s="16">
        <f>VLOOKUP(B60,'Original Budget Document'!$B$2:$D$1000,3,FALSE)</f>
        <v>5709827</v>
      </c>
      <c r="E60" s="16">
        <f>VLOOKUP(B60,'Original Budget Document'!$B$2:$E$1000,4,FALSE)</f>
        <v>5709827</v>
      </c>
      <c r="F60" s="16" t="str">
        <f>VLOOKUP(B60,'Original Budget Document'!$B$2:$I$110,8,FALSE)</f>
        <v>Social Justice and Empowerment</v>
      </c>
    </row>
    <row r="61" spans="1:6" x14ac:dyDescent="0.3">
      <c r="A61" s="15" t="s">
        <v>202</v>
      </c>
      <c r="B61" s="15">
        <v>279</v>
      </c>
      <c r="C61" s="16">
        <f>VLOOKUP(B61,'Original Budget Document'!$B$2:$C$109,2,FALSE)</f>
        <v>1200</v>
      </c>
      <c r="D61" s="16">
        <f>VLOOKUP(B61,'Original Budget Document'!$B$2:$D$1000,3,FALSE)</f>
        <v>900</v>
      </c>
      <c r="E61" s="16">
        <f>VLOOKUP(B61,'Original Budget Document'!$B$2:$E$1000,4,FALSE)</f>
        <v>900</v>
      </c>
      <c r="F61" s="16" t="str">
        <f>VLOOKUP(B61,'Original Budget Document'!$B$2:$I$110,8,FALSE)</f>
        <v>Social Justice and Empowerment</v>
      </c>
    </row>
    <row r="62" spans="1:6" x14ac:dyDescent="0.3">
      <c r="A62" s="15" t="s">
        <v>203</v>
      </c>
      <c r="B62" s="15">
        <v>388</v>
      </c>
      <c r="C62" s="16">
        <f>VLOOKUP(B62,'Original Budget Document'!$B$2:$C$109,2,FALSE)</f>
        <v>26668</v>
      </c>
      <c r="D62" s="16">
        <f>VLOOKUP(B62,'Original Budget Document'!$B$2:$D$1000,3,FALSE)</f>
        <v>45000</v>
      </c>
      <c r="E62" s="16">
        <f>VLOOKUP(B62,'Original Budget Document'!$B$2:$E$1000,4,FALSE)</f>
        <v>45000</v>
      </c>
      <c r="F62" s="16" t="str">
        <f>VLOOKUP(B62,'Original Budget Document'!$B$2:$I$110,8,FALSE)</f>
        <v>Social Justice and Empowerment</v>
      </c>
    </row>
    <row r="63" spans="1:6" x14ac:dyDescent="0.3">
      <c r="A63" s="29" t="s">
        <v>148</v>
      </c>
      <c r="C63">
        <f>SUM(C2:C62)</f>
        <v>98945988</v>
      </c>
      <c r="D63">
        <f>SUM(D2:D62)</f>
        <v>97806632</v>
      </c>
      <c r="E63">
        <f>SUM(E2:E62)</f>
        <v>97806632</v>
      </c>
    </row>
    <row r="64" spans="1:6" x14ac:dyDescent="0.3">
      <c r="A64" s="29" t="s">
        <v>244</v>
      </c>
      <c r="C64">
        <f>'Original Budget Document'!C103</f>
        <v>104150343</v>
      </c>
      <c r="D64">
        <f>'Original Budget Document'!D103</f>
        <v>102243013</v>
      </c>
      <c r="E64">
        <f>'Original Budget Document'!E103</f>
        <v>102243013</v>
      </c>
    </row>
    <row r="65" spans="3:5" x14ac:dyDescent="0.3">
      <c r="C65" s="31">
        <f>C63/C64</f>
        <v>0.95003036139784969</v>
      </c>
      <c r="D65" s="31">
        <f>D63/D64</f>
        <v>0.95660944577210372</v>
      </c>
      <c r="E65" s="31">
        <f>E63/E64</f>
        <v>0.95660944577210372</v>
      </c>
    </row>
    <row r="66" spans="3:5" x14ac:dyDescent="0.3">
      <c r="D66" s="30"/>
    </row>
  </sheetData>
  <autoFilter ref="A1:F65" xr:uid="{3FB7C753-19F1-4523-BA47-2AEA6F415D1F}"/>
  <mergeCells count="2">
    <mergeCell ref="J5:K5"/>
    <mergeCell ref="H16:I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62C3-42F0-4CD6-803D-4410F70BF5F0}">
  <dimension ref="A1:L22"/>
  <sheetViews>
    <sheetView workbookViewId="0">
      <selection activeCell="C6" sqref="C6:E6"/>
    </sheetView>
  </sheetViews>
  <sheetFormatPr defaultRowHeight="14.4" x14ac:dyDescent="0.3"/>
  <cols>
    <col min="1" max="1" width="42" bestFit="1" customWidth="1"/>
    <col min="3" max="3" width="24.33203125" bestFit="1" customWidth="1"/>
    <col min="4" max="5" width="10" bestFit="1" customWidth="1"/>
  </cols>
  <sheetData>
    <row r="1" spans="1:12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157</v>
      </c>
    </row>
    <row r="2" spans="1:12" x14ac:dyDescent="0.3">
      <c r="A2" s="16" t="s">
        <v>150</v>
      </c>
      <c r="B2" s="16">
        <v>8</v>
      </c>
      <c r="C2" s="15">
        <f>VLOOKUP(B2,'Original Budget Document'!$B$2:$C$110,2,FALSE)</f>
        <v>0</v>
      </c>
      <c r="D2" s="15">
        <f>VLOOKUP(B2,'Original Budget Document'!$B$2:$D$1000,3,FALSE)</f>
        <v>0</v>
      </c>
      <c r="E2" s="15">
        <f>VLOOKUP(B2,'Original Budget Document'!$B$2:$E$1000,4,FALSE)</f>
        <v>0</v>
      </c>
      <c r="F2" s="15" t="str">
        <f>VLOOKUP(B2,'Original Budget Document'!$B$2:$I$102,8,FALSE)</f>
        <v>Defence</v>
      </c>
    </row>
    <row r="3" spans="1:12" x14ac:dyDescent="0.3">
      <c r="A3" s="15" t="s">
        <v>204</v>
      </c>
      <c r="B3" s="15">
        <v>1507</v>
      </c>
      <c r="C3" s="15">
        <f>VLOOKUP(B3,'Original Budget Document'!$B$2:$C$110,2,FALSE)</f>
        <v>13329</v>
      </c>
      <c r="D3" s="15">
        <f>VLOOKUP(B3,'Original Budget Document'!$B$2:$D$1000,3,FALSE)</f>
        <v>12614</v>
      </c>
      <c r="E3" s="15">
        <f>VLOOKUP(B3,'Original Budget Document'!$B$2:$E$1000,4,FALSE)</f>
        <v>12614</v>
      </c>
      <c r="F3" s="15" t="str">
        <f>VLOOKUP(B3,'Original Budget Document'!$B$2:$I$102,8,FALSE)</f>
        <v>Defence</v>
      </c>
    </row>
    <row r="4" spans="1:12" x14ac:dyDescent="0.3">
      <c r="A4" s="16" t="s">
        <v>143</v>
      </c>
      <c r="B4" s="16">
        <v>13</v>
      </c>
      <c r="C4" s="15">
        <f>VLOOKUP(B4,'Original Budget Document'!$B$2:$C$110,2,FALSE)</f>
        <v>0</v>
      </c>
      <c r="D4" s="15">
        <f>VLOOKUP(B4,'Original Budget Document'!$B$2:$D$1000,3,FALSE)</f>
        <v>0</v>
      </c>
      <c r="E4" s="15">
        <f>VLOOKUP(B4,'Original Budget Document'!$B$2:$E$1000,4,FALSE)</f>
        <v>0</v>
      </c>
      <c r="F4" s="15" t="str">
        <f>VLOOKUP(B4,'Original Budget Document'!$B$2:$I$102,8,FALSE)</f>
        <v>Education</v>
      </c>
    </row>
    <row r="5" spans="1:12" x14ac:dyDescent="0.3">
      <c r="A5" s="15" t="s">
        <v>205</v>
      </c>
      <c r="B5" s="15">
        <v>1875</v>
      </c>
      <c r="C5" s="15">
        <f>VLOOKUP(B5,'Original Budget Document'!$B$2:$C$110,2,FALSE)</f>
        <v>11221</v>
      </c>
      <c r="D5" s="15">
        <f>VLOOKUP(B5,'Original Budget Document'!$B$2:$D$1000,3,FALSE)</f>
        <v>9639</v>
      </c>
      <c r="E5" s="15">
        <f>VLOOKUP(B5,'Original Budget Document'!$B$2:$E$1000,4,FALSE)</f>
        <v>9639</v>
      </c>
      <c r="F5" s="15" t="str">
        <f>VLOOKUP(B5,'Original Budget Document'!$B$2:$I$102,8,FALSE)</f>
        <v>Education</v>
      </c>
    </row>
    <row r="6" spans="1:12" x14ac:dyDescent="0.3">
      <c r="A6" s="16" t="s">
        <v>146</v>
      </c>
      <c r="B6" s="16">
        <v>42</v>
      </c>
      <c r="C6" s="15"/>
      <c r="D6" s="15"/>
      <c r="E6" s="15"/>
      <c r="F6" s="15" t="str">
        <f>VLOOKUP(B6,'Original Budget Document'!$B$2:$I$102,8,FALSE)</f>
        <v>Tribal Affairs</v>
      </c>
    </row>
    <row r="7" spans="1:12" x14ac:dyDescent="0.3">
      <c r="A7" s="15" t="s">
        <v>206</v>
      </c>
      <c r="B7" s="15">
        <v>1112</v>
      </c>
      <c r="C7" s="15">
        <f>VLOOKUP(B7,'Original Budget Document'!$B$2:$C$110,2,FALSE)</f>
        <v>79007</v>
      </c>
      <c r="D7" s="15">
        <f>VLOOKUP(B7,'Original Budget Document'!$B$2:$D$1000,3,FALSE)</f>
        <v>94007</v>
      </c>
      <c r="E7" s="15">
        <f>VLOOKUP(B7,'Original Budget Document'!$B$2:$E$1000,4,FALSE)</f>
        <v>94007</v>
      </c>
      <c r="F7" s="15" t="str">
        <f>VLOOKUP(B7,'Original Budget Document'!$B$2:$I$102,8,FALSE)</f>
        <v>Women and Child Development</v>
      </c>
    </row>
    <row r="8" spans="1:12" x14ac:dyDescent="0.3">
      <c r="A8" s="29" t="s">
        <v>148</v>
      </c>
      <c r="C8">
        <f>SUM(C2:C7)</f>
        <v>103557</v>
      </c>
      <c r="D8">
        <f>SUM(D2:D7)</f>
        <v>116260</v>
      </c>
      <c r="E8">
        <f>SUM(E2:E7)</f>
        <v>116260</v>
      </c>
    </row>
    <row r="9" spans="1:12" x14ac:dyDescent="0.3">
      <c r="A9" s="8" t="s">
        <v>245</v>
      </c>
      <c r="C9">
        <f>'Original Budget Document'!C103</f>
        <v>104150343</v>
      </c>
      <c r="D9">
        <f>'Original Budget Document'!D103</f>
        <v>102243013</v>
      </c>
      <c r="E9">
        <f>'Original Budget Document'!E103</f>
        <v>102243013</v>
      </c>
    </row>
    <row r="10" spans="1:12" x14ac:dyDescent="0.3">
      <c r="A10" s="32" t="s">
        <v>246</v>
      </c>
      <c r="C10" s="31">
        <f>C8/C9</f>
        <v>9.9430301444134459E-4</v>
      </c>
      <c r="D10" s="31">
        <f t="shared" ref="D10:E10" si="0">D8/D9</f>
        <v>1.1370948154667546E-3</v>
      </c>
      <c r="E10" s="31">
        <f t="shared" si="0"/>
        <v>1.1370948154667546E-3</v>
      </c>
    </row>
    <row r="15" spans="1:12" x14ac:dyDescent="0.3">
      <c r="J15" t="s">
        <v>253</v>
      </c>
      <c r="K15" t="s">
        <v>252</v>
      </c>
      <c r="L15" t="s">
        <v>254</v>
      </c>
    </row>
    <row r="16" spans="1:12" x14ac:dyDescent="0.3">
      <c r="I16" t="s">
        <v>113</v>
      </c>
      <c r="J16">
        <f>SUMIFS(C2:C7,F2:F7,"Education")</f>
        <v>11221</v>
      </c>
      <c r="K16">
        <f>SUMIFS(D2:D7,F2:F7,"Education")</f>
        <v>9639</v>
      </c>
      <c r="L16">
        <f>SUMIFS(E2:E7,F2:F7,"Education")</f>
        <v>9639</v>
      </c>
    </row>
    <row r="17" spans="9:12" x14ac:dyDescent="0.3">
      <c r="I17" t="s">
        <v>114</v>
      </c>
      <c r="J17">
        <f>SUMIFS(C2:C7,F2:F7,"Health")</f>
        <v>0</v>
      </c>
      <c r="K17">
        <f>SUMIFS(D2:D7,F2:F7,"Health")</f>
        <v>0</v>
      </c>
      <c r="L17">
        <f>SUMIFS(E2:E7,F2:F7,"Health")</f>
        <v>0</v>
      </c>
    </row>
    <row r="18" spans="9:12" x14ac:dyDescent="0.3">
      <c r="I18" t="s">
        <v>118</v>
      </c>
      <c r="J18">
        <f>SUMIFS(C2:C7,F2:F7,"Minority Affairs")</f>
        <v>0</v>
      </c>
      <c r="K18">
        <f>SUMIFS(D2:D7,F2:F7,"Minority Affairs")</f>
        <v>0</v>
      </c>
      <c r="L18">
        <f>SUMIFS(E2:E7,F2:F7,"Minority Affairs")</f>
        <v>0</v>
      </c>
    </row>
    <row r="19" spans="9:12" x14ac:dyDescent="0.3">
      <c r="I19" t="s">
        <v>156</v>
      </c>
      <c r="J19">
        <f>SUMIFS(C2:C7,F2:F7,"Women and Child Development")</f>
        <v>79007</v>
      </c>
      <c r="K19">
        <f>SUMIFS(D2:D7,F2:F7,"Women and Child Development")</f>
        <v>94007</v>
      </c>
      <c r="L19">
        <f>SUMIFS(E2:E7,F2:F7,"Women and Child Development")</f>
        <v>94007</v>
      </c>
    </row>
    <row r="20" spans="9:12" x14ac:dyDescent="0.3">
      <c r="I20" t="s">
        <v>122</v>
      </c>
      <c r="J20">
        <f>SUMIFS(C2:C7,F2:F7,"Social Justice and Empowerment")</f>
        <v>0</v>
      </c>
      <c r="K20">
        <f>SUMIFS(D2:D7,F2:F7,"Social Justice and Empowerment")</f>
        <v>0</v>
      </c>
      <c r="L20">
        <f>SUMIFS(E2:E7,F2:F7,"Social Justice and Empowerment")</f>
        <v>0</v>
      </c>
    </row>
    <row r="21" spans="9:12" x14ac:dyDescent="0.3">
      <c r="I21" t="s">
        <v>120</v>
      </c>
      <c r="J21">
        <f>SUMIFS(C2:C7,F2:F7,"Tribal Affairs")</f>
        <v>0</v>
      </c>
      <c r="K21">
        <f>SUMIFS(D2:D7,F2:F7,"Tribal Affairs")</f>
        <v>0</v>
      </c>
      <c r="L21">
        <f>SUMIFS(E2:E7,F2:F7,"Tribal Affairs")</f>
        <v>0</v>
      </c>
    </row>
    <row r="22" spans="9:12" x14ac:dyDescent="0.3">
      <c r="I22" t="s">
        <v>121</v>
      </c>
      <c r="J22">
        <f>SUMIFS(C2:C7,F2:F7,"Defence")</f>
        <v>13329</v>
      </c>
      <c r="K22">
        <f>SUMIFS(D2:D7,F2:F7,"Defence")</f>
        <v>12614</v>
      </c>
      <c r="L22">
        <f>SUMIFS(E2:E7,F2:F7,"Defence")</f>
        <v>12614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D11BA-6E0B-49D0-B694-127E60AE3518}">
  <dimension ref="A1:L40"/>
  <sheetViews>
    <sheetView topLeftCell="B16" workbookViewId="0">
      <selection activeCell="F44" sqref="F44"/>
    </sheetView>
  </sheetViews>
  <sheetFormatPr defaultRowHeight="14.4" x14ac:dyDescent="0.3"/>
  <cols>
    <col min="1" max="1" width="90" bestFit="1" customWidth="1"/>
    <col min="2" max="2" width="12.44140625" bestFit="1" customWidth="1"/>
    <col min="3" max="3" width="24.33203125" bestFit="1" customWidth="1"/>
    <col min="4" max="5" width="10.21875" bestFit="1" customWidth="1"/>
    <col min="6" max="6" width="28" bestFit="1" customWidth="1"/>
  </cols>
  <sheetData>
    <row r="1" spans="1:12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157</v>
      </c>
    </row>
    <row r="2" spans="1:12" x14ac:dyDescent="0.3">
      <c r="A2" s="16" t="s">
        <v>137</v>
      </c>
      <c r="B2" s="16">
        <v>59</v>
      </c>
      <c r="C2" s="15">
        <f>VLOOKUP('100% Non-Program'!B2,'Original Budget Document'!$B$2:$C$1000,2,FALSE)</f>
        <v>0</v>
      </c>
      <c r="D2" s="15">
        <f>VLOOKUP('100% Non-Program'!B2,'Original Budget Document'!$B$2:$D$1000,3,FALSE)</f>
        <v>0</v>
      </c>
      <c r="E2" s="15">
        <f>VLOOKUP('100% Non-Program'!B2,'Original Budget Document'!$B$2:$E$1000,4,FALSE)</f>
        <v>0</v>
      </c>
      <c r="F2" s="15" t="str">
        <f>VLOOKUP(B2,'Original Budget Document'!$B$2:$I$102,8,FALSE)</f>
        <v>Tribal Affairs</v>
      </c>
    </row>
    <row r="3" spans="1:12" x14ac:dyDescent="0.3">
      <c r="A3" s="27" t="s">
        <v>207</v>
      </c>
      <c r="B3" s="15">
        <v>1515</v>
      </c>
      <c r="C3" s="15">
        <f>VLOOKUP('100% Non-Program'!B3,'Original Budget Document'!$B$2:$C$1000,2,FALSE)</f>
        <v>214500</v>
      </c>
      <c r="D3" s="15">
        <f>VLOOKUP('100% Non-Program'!B3,'Original Budget Document'!$B$2:$D$1000,3,FALSE)</f>
        <v>285070</v>
      </c>
      <c r="E3" s="15">
        <f>VLOOKUP('100% Non-Program'!B3,'Original Budget Document'!$B$2:$E$1000,4,FALSE)</f>
        <v>285070</v>
      </c>
      <c r="F3" s="15" t="str">
        <f>VLOOKUP(B3,'Original Budget Document'!$B$2:$I$102,8,FALSE)</f>
        <v>Tribal Affairs</v>
      </c>
    </row>
    <row r="4" spans="1:12" x14ac:dyDescent="0.3">
      <c r="A4" s="27" t="s">
        <v>208</v>
      </c>
      <c r="B4" s="15">
        <v>1514</v>
      </c>
      <c r="C4" s="15">
        <v>77760</v>
      </c>
      <c r="D4" s="15">
        <v>70677</v>
      </c>
      <c r="E4" s="15">
        <v>70677</v>
      </c>
      <c r="F4" s="15" t="str">
        <f>VLOOKUP(B4,'Original Budget Document'!$B$2:$I$102,8,FALSE)</f>
        <v>Tribal Affairs</v>
      </c>
    </row>
    <row r="5" spans="1:12" x14ac:dyDescent="0.3">
      <c r="A5" s="27" t="s">
        <v>209</v>
      </c>
      <c r="B5" s="15">
        <v>1513</v>
      </c>
      <c r="C5" s="15">
        <f>VLOOKUP('100% Non-Program'!B5,'Original Budget Document'!$B$2:$C$1000,2,FALSE)</f>
        <v>49750</v>
      </c>
      <c r="D5" s="15">
        <f>VLOOKUP('100% Non-Program'!B5,'Original Budget Document'!$B$2:$D$1000,3,FALSE)</f>
        <v>38000</v>
      </c>
      <c r="E5" s="15">
        <f>VLOOKUP('100% Non-Program'!B5,'Original Budget Document'!$B$2:$E$1000,4,FALSE)</f>
        <v>38000</v>
      </c>
      <c r="F5" s="15" t="str">
        <f>VLOOKUP(B5,'Original Budget Document'!$B$2:$I$102,8,FALSE)</f>
        <v>Tribal Affairs</v>
      </c>
    </row>
    <row r="6" spans="1:12" x14ac:dyDescent="0.3">
      <c r="A6" s="27" t="s">
        <v>210</v>
      </c>
      <c r="B6" s="15">
        <v>1512</v>
      </c>
      <c r="C6" s="15">
        <f>VLOOKUP('100% Non-Program'!B6,'Original Budget Document'!$B$2:$C$1000,2,FALSE)</f>
        <v>50050</v>
      </c>
      <c r="D6" s="15">
        <f>VLOOKUP('100% Non-Program'!B6,'Original Budget Document'!$B$2:$D$1000,3,FALSE)</f>
        <v>41994</v>
      </c>
      <c r="E6" s="15">
        <f>VLOOKUP('100% Non-Program'!B6,'Original Budget Document'!$B$2:$E$1000,4,FALSE)</f>
        <v>41994</v>
      </c>
      <c r="F6" s="15" t="str">
        <f>VLOOKUP(B6,'Original Budget Document'!$B$2:$I$102,8,FALSE)</f>
        <v>Tribal Affairs</v>
      </c>
    </row>
    <row r="7" spans="1:12" x14ac:dyDescent="0.3">
      <c r="A7" s="27" t="s">
        <v>211</v>
      </c>
      <c r="B7" s="15">
        <v>1511</v>
      </c>
      <c r="C7" s="15">
        <f>VLOOKUP('100% Non-Program'!B7,'Original Budget Document'!$B$2:$C$1000,2,FALSE)</f>
        <v>920000</v>
      </c>
      <c r="D7" s="15">
        <f>VLOOKUP('100% Non-Program'!B7,'Original Budget Document'!$B$2:$D$1000,3,FALSE)</f>
        <v>870000</v>
      </c>
      <c r="E7" s="15">
        <f>VLOOKUP('100% Non-Program'!B7,'Original Budget Document'!$B$2:$E$1000,4,FALSE)</f>
        <v>870000</v>
      </c>
      <c r="F7" s="15" t="str">
        <f>VLOOKUP(B7,'Original Budget Document'!$B$2:$I$102,8,FALSE)</f>
        <v>Tribal Affairs</v>
      </c>
    </row>
    <row r="8" spans="1:12" x14ac:dyDescent="0.3">
      <c r="A8" s="15" t="s">
        <v>212</v>
      </c>
      <c r="B8" s="15">
        <v>42</v>
      </c>
      <c r="C8" s="15">
        <f>VLOOKUP('100% Non-Program'!B8,'Original Budget Document'!$B$2:$C$1000,2,FALSE)</f>
        <v>779464</v>
      </c>
      <c r="D8" s="15">
        <f>VLOOKUP('100% Non-Program'!B8,'Original Budget Document'!$B$2:$D$1000,3,FALSE)</f>
        <v>748230</v>
      </c>
      <c r="E8" s="15">
        <f>VLOOKUP('100% Non-Program'!B8,'Original Budget Document'!$B$2:$E$1000,4,FALSE)</f>
        <v>748230</v>
      </c>
      <c r="F8" s="15" t="str">
        <f>VLOOKUP(B8,'Original Budget Document'!$B$2:$I$102,8,FALSE)</f>
        <v>Tribal Affairs</v>
      </c>
    </row>
    <row r="9" spans="1:12" x14ac:dyDescent="0.3">
      <c r="A9" s="15" t="s">
        <v>213</v>
      </c>
      <c r="B9" s="15">
        <v>1568</v>
      </c>
      <c r="C9" s="15">
        <f>VLOOKUP('100% Non-Program'!B9,'Original Budget Document'!$B$2:$C$1000,2,FALSE)</f>
        <v>6000</v>
      </c>
      <c r="D9" s="15">
        <f>VLOOKUP('100% Non-Program'!B9,'Original Budget Document'!$B$2:$D$1000,3,FALSE)</f>
        <v>6000</v>
      </c>
      <c r="E9" s="15">
        <f>VLOOKUP('100% Non-Program'!B9,'Original Budget Document'!$B$2:$E$1000,4,FALSE)</f>
        <v>6000</v>
      </c>
      <c r="F9" s="15" t="str">
        <f>VLOOKUP(B9,'Original Budget Document'!$B$2:$I$102,8,FALSE)</f>
        <v>Tribal Affairs</v>
      </c>
    </row>
    <row r="10" spans="1:12" x14ac:dyDescent="0.3">
      <c r="A10" s="15" t="s">
        <v>214</v>
      </c>
      <c r="B10" s="15">
        <v>1601</v>
      </c>
      <c r="C10" s="15">
        <f>VLOOKUP('100% Non-Program'!B10,'Original Budget Document'!$B$2:$C$1000,2,FALSE)</f>
        <v>29500</v>
      </c>
      <c r="D10" s="15">
        <f>VLOOKUP('100% Non-Program'!B10,'Original Budget Document'!$B$2:$D$1000,3,FALSE)</f>
        <v>51000</v>
      </c>
      <c r="E10" s="15">
        <f>VLOOKUP('100% Non-Program'!B10,'Original Budget Document'!$B$2:$E$1000,4,FALSE)</f>
        <v>51000</v>
      </c>
      <c r="F10" s="15" t="str">
        <f>VLOOKUP(B10,'Original Budget Document'!$B$2:$I$102,8,FALSE)</f>
        <v>Tribal Affairs</v>
      </c>
    </row>
    <row r="11" spans="1:12" x14ac:dyDescent="0.3">
      <c r="A11" s="15" t="s">
        <v>215</v>
      </c>
      <c r="B11" s="15">
        <v>1595</v>
      </c>
      <c r="C11" s="15">
        <f>VLOOKUP('100% Non-Program'!B11,'Original Budget Document'!$B$2:$C$1000,2,FALSE)</f>
        <v>45610</v>
      </c>
      <c r="D11" s="15">
        <f>VLOOKUP('100% Non-Program'!B11,'Original Budget Document'!$B$2:$D$1000,3,FALSE)</f>
        <v>34360</v>
      </c>
      <c r="E11" s="15">
        <f>VLOOKUP('100% Non-Program'!B11,'Original Budget Document'!$B$2:$E$1000,4,FALSE)</f>
        <v>34360</v>
      </c>
      <c r="F11" s="15" t="str">
        <f>VLOOKUP(B11,'Original Budget Document'!$B$2:$I$102,8,FALSE)</f>
        <v>Tribal Affairs</v>
      </c>
    </row>
    <row r="12" spans="1:12" x14ac:dyDescent="0.3">
      <c r="A12" s="15" t="s">
        <v>216</v>
      </c>
      <c r="B12" s="15">
        <v>1564</v>
      </c>
      <c r="C12" s="15">
        <f>VLOOKUP('100% Non-Program'!B12,'Original Budget Document'!$B$2:$C$1000,2,FALSE)</f>
        <v>156750</v>
      </c>
      <c r="D12" s="15">
        <f>VLOOKUP('100% Non-Program'!B12,'Original Budget Document'!$B$2:$D$1000,3,FALSE)</f>
        <v>119034</v>
      </c>
      <c r="E12" s="15">
        <f>VLOOKUP('100% Non-Program'!B12,'Original Budget Document'!$B$2:$E$1000,4,FALSE)</f>
        <v>119034</v>
      </c>
      <c r="F12" s="15" t="str">
        <f>VLOOKUP(B12,'Original Budget Document'!$B$2:$I$102,8,FALSE)</f>
        <v>Tribal Affairs</v>
      </c>
    </row>
    <row r="13" spans="1:12" x14ac:dyDescent="0.3">
      <c r="A13" s="15" t="s">
        <v>217</v>
      </c>
      <c r="B13" s="15">
        <v>1569</v>
      </c>
      <c r="C13" s="15">
        <f>VLOOKUP('100% Non-Program'!B13,'Original Budget Document'!$B$2:$C$1000,2,FALSE)</f>
        <v>29400</v>
      </c>
      <c r="D13" s="15">
        <f>VLOOKUP('100% Non-Program'!B13,'Original Budget Document'!$B$2:$D$1000,3,FALSE)</f>
        <v>71000</v>
      </c>
      <c r="E13" s="15">
        <f>VLOOKUP('100% Non-Program'!B13,'Original Budget Document'!$B$2:$E$1000,4,FALSE)</f>
        <v>71000</v>
      </c>
      <c r="F13" s="15" t="str">
        <f>VLOOKUP(B13,'Original Budget Document'!$B$2:$I$102,8,FALSE)</f>
        <v>Tribal Affairs</v>
      </c>
      <c r="I13" s="15"/>
      <c r="J13" s="15" t="s">
        <v>253</v>
      </c>
      <c r="K13" s="15" t="s">
        <v>252</v>
      </c>
      <c r="L13" s="15" t="s">
        <v>254</v>
      </c>
    </row>
    <row r="14" spans="1:12" x14ac:dyDescent="0.3">
      <c r="A14" s="15" t="s">
        <v>218</v>
      </c>
      <c r="B14" s="15">
        <v>1565</v>
      </c>
      <c r="C14" s="15">
        <f>VLOOKUP('100% Non-Program'!B14,'Original Budget Document'!$B$2:$C$1000,2,FALSE)</f>
        <v>45030</v>
      </c>
      <c r="D14" s="15">
        <f>VLOOKUP('100% Non-Program'!B14,'Original Budget Document'!$B$2:$D$1000,3,FALSE)</f>
        <v>35212</v>
      </c>
      <c r="E14" s="15">
        <f>VLOOKUP('100% Non-Program'!B14,'Original Budget Document'!$B$2:$E$1000,4,FALSE)</f>
        <v>35212</v>
      </c>
      <c r="F14" s="15" t="str">
        <f>VLOOKUP(B14,'Original Budget Document'!$B$2:$I$102,8,FALSE)</f>
        <v>Tribal Affairs</v>
      </c>
      <c r="I14" s="15" t="s">
        <v>113</v>
      </c>
      <c r="J14" s="15">
        <f>SUMIFS(C2:C102,F2:F102,"Education")</f>
        <v>23000</v>
      </c>
      <c r="K14" s="15">
        <f>SUMIFS(D2:D102,F2:F102,"Education")</f>
        <v>19500</v>
      </c>
      <c r="L14" s="15">
        <f>SUMIFS(E2:E102,F2:F102,"Education")</f>
        <v>19500</v>
      </c>
    </row>
    <row r="15" spans="1:12" x14ac:dyDescent="0.3">
      <c r="A15" s="15" t="s">
        <v>219</v>
      </c>
      <c r="B15" s="15">
        <v>1829</v>
      </c>
      <c r="C15" s="15">
        <f>VLOOKUP('100% Non-Program'!B15,'Original Budget Document'!$B$2:$C$1000,2,FALSE)</f>
        <v>55000</v>
      </c>
      <c r="D15" s="15">
        <f>VLOOKUP('100% Non-Program'!B15,'Original Budget Document'!$B$2:$D$1000,3,FALSE)</f>
        <v>55000</v>
      </c>
      <c r="E15" s="15">
        <f>VLOOKUP('100% Non-Program'!B15,'Original Budget Document'!$B$2:$E$1000,4,FALSE)</f>
        <v>55000</v>
      </c>
      <c r="F15" s="15" t="str">
        <f>VLOOKUP(B15,'Original Budget Document'!$B$2:$I$102,8,FALSE)</f>
        <v>Tribal Affairs</v>
      </c>
      <c r="I15" s="15" t="s">
        <v>114</v>
      </c>
      <c r="J15" s="15">
        <f>SUMIFS(C2:C103,F2:F103,"Health")</f>
        <v>0</v>
      </c>
      <c r="K15" s="15">
        <f>SUMIFS(D2:D103,F2:F103,"Health")</f>
        <v>0</v>
      </c>
      <c r="L15" s="15">
        <f>SUMIFS(E2:E103,F2:F103,"Health")</f>
        <v>0</v>
      </c>
    </row>
    <row r="16" spans="1:12" x14ac:dyDescent="0.3">
      <c r="A16" s="15" t="s">
        <v>220</v>
      </c>
      <c r="B16" s="15">
        <v>1582</v>
      </c>
      <c r="C16" s="15">
        <f>VLOOKUP('100% Non-Program'!B16,'Original Budget Document'!$B$2:$C$1000,2,FALSE)</f>
        <v>1224</v>
      </c>
      <c r="D16" s="15">
        <f>VLOOKUP('100% Non-Program'!B16,'Original Budget Document'!$B$2:$D$1000,3,FALSE)</f>
        <v>1530</v>
      </c>
      <c r="E16" s="15">
        <f>VLOOKUP('100% Non-Program'!B16,'Original Budget Document'!$B$2:$E$1000,4,FALSE)</f>
        <v>1530</v>
      </c>
      <c r="F16" s="15" t="str">
        <f>VLOOKUP(B16,'Original Budget Document'!$B$2:$I$102,8,FALSE)</f>
        <v>Tribal Affairs</v>
      </c>
      <c r="I16" s="15" t="s">
        <v>118</v>
      </c>
      <c r="J16" s="15">
        <f>SUMIFS(C2:C102,F2:F102,"Minority Affairs")</f>
        <v>0</v>
      </c>
      <c r="K16" s="15">
        <f>SUMIFS(D2:D102,F2:F102,"Minority Affairs")</f>
        <v>0</v>
      </c>
      <c r="L16" s="15">
        <f>SUMIFS(E2:E102,F2:F102,"Minority Affairs")</f>
        <v>0</v>
      </c>
    </row>
    <row r="17" spans="1:12" x14ac:dyDescent="0.3">
      <c r="A17" s="15" t="s">
        <v>221</v>
      </c>
      <c r="B17" s="15">
        <v>1571</v>
      </c>
      <c r="C17" s="15">
        <f>VLOOKUP('100% Non-Program'!B17,'Original Budget Document'!$B$2:$C$1000,2,FALSE)</f>
        <v>11500</v>
      </c>
      <c r="D17" s="15">
        <f>VLOOKUP('100% Non-Program'!B17,'Original Budget Document'!$B$2:$D$1000,3,FALSE)</f>
        <v>11400</v>
      </c>
      <c r="E17" s="15">
        <f>VLOOKUP('100% Non-Program'!B17,'Original Budget Document'!$B$2:$E$1000,4,FALSE)</f>
        <v>11400</v>
      </c>
      <c r="F17" s="15" t="str">
        <f>VLOOKUP(B17,'Original Budget Document'!$B$2:$I$102,8,FALSE)</f>
        <v>Tribal Affairs</v>
      </c>
      <c r="I17" s="15" t="s">
        <v>156</v>
      </c>
      <c r="J17" s="15">
        <f>SUMIFS(C2:C102,F2:F102,"Women and Child Development")</f>
        <v>42700</v>
      </c>
      <c r="K17" s="15">
        <f>SUMIFS(D2:D102,F2:F102,"Women and Child Development")</f>
        <v>25301</v>
      </c>
      <c r="L17" s="15">
        <f>SUMIFS(E2:E102,F2:F102,"Women and Child Development")</f>
        <v>25301</v>
      </c>
    </row>
    <row r="18" spans="1:12" x14ac:dyDescent="0.3">
      <c r="A18" s="15" t="s">
        <v>31</v>
      </c>
      <c r="B18" s="15">
        <v>1566</v>
      </c>
      <c r="C18" s="15">
        <f>VLOOKUP('100% Non-Program'!B18,'Original Budget Document'!$B$2:$C$1000,2,FALSE)</f>
        <v>83250</v>
      </c>
      <c r="D18" s="15">
        <f>VLOOKUP('100% Non-Program'!B18,'Original Budget Document'!$B$2:$D$1000,3,FALSE)</f>
        <v>76010</v>
      </c>
      <c r="E18" s="15">
        <f>VLOOKUP('100% Non-Program'!B18,'Original Budget Document'!$B$2:$E$1000,4,FALSE)</f>
        <v>76010</v>
      </c>
      <c r="F18" s="15" t="str">
        <f>VLOOKUP(B18,'Original Budget Document'!$B$2:$I$102,8,FALSE)</f>
        <v>Tribal Affairs</v>
      </c>
      <c r="I18" s="15" t="s">
        <v>122</v>
      </c>
      <c r="J18" s="15">
        <f>SUMIFS(C2:C102,F2:F102,"Social Justice and Empowerment")</f>
        <v>1647512</v>
      </c>
      <c r="K18" s="15">
        <f>SUMIFS(D2:D102,F2:F102,"Social Justice and Empowerment")</f>
        <v>1246457</v>
      </c>
      <c r="L18" s="15">
        <f>SUMIFS(E2:E102,F2:F102,"Social Justice and Empowerment")</f>
        <v>1246457</v>
      </c>
    </row>
    <row r="19" spans="1:12" x14ac:dyDescent="0.3">
      <c r="A19" s="15" t="s">
        <v>32</v>
      </c>
      <c r="B19" s="15">
        <v>1607</v>
      </c>
      <c r="C19" s="15">
        <f>VLOOKUP('100% Non-Program'!B19,'Original Budget Document'!$B$2:$C$1000,2,FALSE)</f>
        <v>63458</v>
      </c>
      <c r="D19" s="15">
        <f>VLOOKUP('100% Non-Program'!B19,'Original Budget Document'!$B$2:$D$1000,3,FALSE)</f>
        <v>48376</v>
      </c>
      <c r="E19" s="15">
        <f>VLOOKUP('100% Non-Program'!B19,'Original Budget Document'!$B$2:$E$1000,4,FALSE)</f>
        <v>48376</v>
      </c>
      <c r="F19" s="15" t="str">
        <f>VLOOKUP(B19,'Original Budget Document'!$B$2:$I$102,8,FALSE)</f>
        <v>Tribal Affairs</v>
      </c>
      <c r="I19" s="15" t="s">
        <v>120</v>
      </c>
      <c r="J19" s="15">
        <f>SUMIFS(C2:C102,F2:F102,"Tribal Affairs")</f>
        <v>3253615</v>
      </c>
      <c r="K19" s="15">
        <f>SUMIFS(D2:D102,F2:F102,"Tribal Affairs")</f>
        <v>2897398</v>
      </c>
      <c r="L19" s="15">
        <f>SUMIFS(E2:E102,F2:F102,"Tribal Affairs")</f>
        <v>2897398</v>
      </c>
    </row>
    <row r="20" spans="1:12" x14ac:dyDescent="0.3">
      <c r="A20" s="15" t="s">
        <v>222</v>
      </c>
      <c r="B20" s="15">
        <v>1577</v>
      </c>
      <c r="C20" s="15">
        <f>VLOOKUP('100% Non-Program'!B20,'Original Budget Document'!$B$2:$C$1000,2,FALSE)</f>
        <v>110000</v>
      </c>
      <c r="D20" s="15">
        <f>VLOOKUP('100% Non-Program'!B20,'Original Budget Document'!$B$2:$D$1000,3,FALSE)</f>
        <v>75000</v>
      </c>
      <c r="E20" s="15">
        <f>VLOOKUP('100% Non-Program'!B20,'Original Budget Document'!$B$2:$E$1000,4,FALSE)</f>
        <v>75000</v>
      </c>
      <c r="F20" s="15" t="str">
        <f>VLOOKUP(B20,'Original Budget Document'!$B$2:$I$102,8,FALSE)</f>
        <v>Tribal Affairs</v>
      </c>
      <c r="I20" s="15" t="s">
        <v>121</v>
      </c>
      <c r="J20" s="15">
        <f>SUMIFS(C2:C102,F2:F102,"Defence")</f>
        <v>0</v>
      </c>
      <c r="K20" s="15">
        <f>SUMIFS(D2:D102,F2:F102,"Defence")</f>
        <v>0</v>
      </c>
      <c r="L20" s="15">
        <f>SUMIFS(E2:E102,F2:F102,"Defence")</f>
        <v>0</v>
      </c>
    </row>
    <row r="21" spans="1:12" x14ac:dyDescent="0.3">
      <c r="A21" s="15" t="s">
        <v>223</v>
      </c>
      <c r="B21" s="15">
        <v>1591</v>
      </c>
      <c r="C21" s="15">
        <f>VLOOKUP('100% Non-Program'!B21,'Original Budget Document'!$B$2:$C$1000,2,FALSE)</f>
        <v>438889</v>
      </c>
      <c r="D21" s="15">
        <f>VLOOKUP('100% Non-Program'!B21,'Original Budget Document'!$B$2:$D$1000,3,FALSE)</f>
        <v>189085</v>
      </c>
      <c r="E21" s="15">
        <f>VLOOKUP('100% Non-Program'!B21,'Original Budget Document'!$B$2:$E$1000,4,FALSE)</f>
        <v>189085</v>
      </c>
      <c r="F21" s="15" t="str">
        <f>VLOOKUP(B21,'Original Budget Document'!$B$2:$I$102,8,FALSE)</f>
        <v>Tribal Affairs</v>
      </c>
    </row>
    <row r="22" spans="1:12" x14ac:dyDescent="0.3">
      <c r="A22" s="15" t="s">
        <v>224</v>
      </c>
      <c r="B22" s="15">
        <v>1725</v>
      </c>
      <c r="C22" s="15">
        <f>VLOOKUP('100% Non-Program'!B22,'Original Budget Document'!$B$2:$C$1000,2,FALSE)</f>
        <v>86480</v>
      </c>
      <c r="D22" s="15">
        <f>VLOOKUP('100% Non-Program'!B22,'Original Budget Document'!$B$2:$D$1000,3,FALSE)</f>
        <v>70420</v>
      </c>
      <c r="E22" s="15">
        <f>VLOOKUP('100% Non-Program'!B22,'Original Budget Document'!$B$2:$E$1000,4,FALSE)</f>
        <v>70420</v>
      </c>
      <c r="F22" s="15" t="str">
        <f>VLOOKUP(B22,'Original Budget Document'!$B$2:$I$102,8,FALSE)</f>
        <v>Tribal Affairs</v>
      </c>
    </row>
    <row r="23" spans="1:12" x14ac:dyDescent="0.3">
      <c r="A23" s="16" t="s">
        <v>138</v>
      </c>
      <c r="B23" s="16">
        <v>259</v>
      </c>
      <c r="C23" s="15">
        <f>VLOOKUP('100% Non-Program'!B23,'Original Budget Document'!$B$2:$C$1000,2,FALSE)</f>
        <v>0</v>
      </c>
      <c r="D23" s="15">
        <f>VLOOKUP('100% Non-Program'!B23,'Original Budget Document'!$B$2:$D$1000,3,FALSE)</f>
        <v>0</v>
      </c>
      <c r="E23" s="15">
        <f>VLOOKUP('100% Non-Program'!B23,'Original Budget Document'!$B$2:$E$1000,4,FALSE)</f>
        <v>0</v>
      </c>
      <c r="F23" s="15" t="str">
        <f>VLOOKUP(B23,'Original Budget Document'!$B$2:$I$102,8,FALSE)</f>
        <v>Women and Child Development</v>
      </c>
    </row>
    <row r="24" spans="1:12" x14ac:dyDescent="0.3">
      <c r="A24" s="15" t="s">
        <v>225</v>
      </c>
      <c r="B24" s="15">
        <v>2543</v>
      </c>
      <c r="C24" s="15">
        <f>VLOOKUP('100% Non-Program'!B24,'Original Budget Document'!$B$2:$C$1000,2,FALSE)</f>
        <v>30000</v>
      </c>
      <c r="D24" s="15">
        <f>VLOOKUP('100% Non-Program'!B24,'Original Budget Document'!$B$2:$D$1000,3,FALSE)</f>
        <v>25000</v>
      </c>
      <c r="E24" s="15">
        <f>VLOOKUP('100% Non-Program'!B24,'Original Budget Document'!$B$2:$E$1000,4,FALSE)</f>
        <v>25000</v>
      </c>
      <c r="F24" s="15" t="str">
        <f>VLOOKUP(B24,'Original Budget Document'!$B$2:$I$102,8,FALSE)</f>
        <v>Women and Child Development</v>
      </c>
    </row>
    <row r="25" spans="1:12" x14ac:dyDescent="0.3">
      <c r="A25" s="15" t="s">
        <v>226</v>
      </c>
      <c r="B25" s="15">
        <v>986</v>
      </c>
      <c r="C25" s="15">
        <f>VLOOKUP('100% Non-Program'!B25,'Original Budget Document'!$B$2:$C$1000,2,FALSE)</f>
        <v>12700</v>
      </c>
      <c r="D25" s="15">
        <f>VLOOKUP('100% Non-Program'!B25,'Original Budget Document'!$B$2:$D$1000,3,FALSE)</f>
        <v>301</v>
      </c>
      <c r="E25" s="15">
        <f>VLOOKUP('100% Non-Program'!B25,'Original Budget Document'!$B$2:$E$1000,4,FALSE)</f>
        <v>301</v>
      </c>
      <c r="F25" s="15" t="str">
        <f>VLOOKUP(B25,'Original Budget Document'!$B$2:$I$102,8,FALSE)</f>
        <v>Women and Child Development</v>
      </c>
    </row>
    <row r="26" spans="1:12" x14ac:dyDescent="0.3">
      <c r="A26" s="16" t="s">
        <v>139</v>
      </c>
      <c r="B26" s="16">
        <v>244</v>
      </c>
      <c r="C26" s="15">
        <f>VLOOKUP('100% Non-Program'!B26,'Original Budget Document'!$B$2:$C$1000,2,FALSE)</f>
        <v>0</v>
      </c>
      <c r="D26" s="15">
        <f>VLOOKUP('100% Non-Program'!B26,'Original Budget Document'!$B$2:$D$1000,3,FALSE)</f>
        <v>0</v>
      </c>
      <c r="E26" s="15">
        <f>VLOOKUP('100% Non-Program'!B26,'Original Budget Document'!$B$2:$E$1000,4,FALSE)</f>
        <v>0</v>
      </c>
      <c r="F26" s="15" t="str">
        <f>VLOOKUP(B26,'Original Budget Document'!$B$2:$I$102,8,FALSE)</f>
        <v>Social Justice and Empowerment</v>
      </c>
    </row>
    <row r="27" spans="1:12" x14ac:dyDescent="0.3">
      <c r="A27" s="15" t="s">
        <v>227</v>
      </c>
      <c r="B27" s="15">
        <v>1383</v>
      </c>
      <c r="C27" s="15">
        <f>VLOOKUP('100% Non-Program'!B27,'Original Budget Document'!$B$2:$C$1000,2,FALSE)</f>
        <v>80000</v>
      </c>
      <c r="D27" s="15">
        <f>VLOOKUP('100% Non-Program'!B27,'Original Budget Document'!$B$2:$D$1000,3,FALSE)</f>
        <v>117000</v>
      </c>
      <c r="E27" s="15">
        <f>VLOOKUP('100% Non-Program'!B27,'Original Budget Document'!$B$2:$E$1000,4,FALSE)</f>
        <v>117000</v>
      </c>
      <c r="F27" s="15" t="str">
        <f>VLOOKUP(B27,'Original Budget Document'!$B$2:$I$102,8,FALSE)</f>
        <v>Social Justice and Empowerment</v>
      </c>
    </row>
    <row r="28" spans="1:12" x14ac:dyDescent="0.3">
      <c r="A28" s="16" t="s">
        <v>143</v>
      </c>
      <c r="B28" s="16">
        <v>13</v>
      </c>
      <c r="C28" s="15">
        <f>VLOOKUP('100% Non-Program'!B28,'Original Budget Document'!$B$2:$C$1000,2,FALSE)</f>
        <v>0</v>
      </c>
      <c r="D28" s="15">
        <f>VLOOKUP('100% Non-Program'!B28,'Original Budget Document'!$B$2:$D$1000,3,FALSE)</f>
        <v>0</v>
      </c>
      <c r="E28" s="15">
        <f>VLOOKUP('100% Non-Program'!B28,'Original Budget Document'!$B$2:$E$1000,4,FALSE)</f>
        <v>0</v>
      </c>
      <c r="F28" s="15" t="str">
        <f>VLOOKUP(B28,'Original Budget Document'!$B$2:$I$102,8,FALSE)</f>
        <v>Education</v>
      </c>
    </row>
    <row r="29" spans="1:12" x14ac:dyDescent="0.3">
      <c r="A29" s="15" t="s">
        <v>228</v>
      </c>
      <c r="B29" s="15">
        <v>1455</v>
      </c>
      <c r="C29" s="15">
        <f>VLOOKUP('100% Non-Program'!B29,'Original Budget Document'!$B$2:$C$1000,2,FALSE)</f>
        <v>2000</v>
      </c>
      <c r="D29" s="15">
        <f>VLOOKUP('100% Non-Program'!B29,'Original Budget Document'!$B$2:$D$1000,3,FALSE)</f>
        <v>1200</v>
      </c>
      <c r="E29" s="15">
        <f>VLOOKUP('100% Non-Program'!B29,'Original Budget Document'!$B$2:$E$1000,4,FALSE)</f>
        <v>1200</v>
      </c>
      <c r="F29" s="15" t="str">
        <f>VLOOKUP(B29,'Original Budget Document'!$B$2:$I$102,8,FALSE)</f>
        <v>Education</v>
      </c>
    </row>
    <row r="30" spans="1:12" x14ac:dyDescent="0.3">
      <c r="A30" s="15" t="s">
        <v>229</v>
      </c>
      <c r="B30" s="15">
        <v>1166</v>
      </c>
      <c r="C30" s="15">
        <f>VLOOKUP('100% Non-Program'!B30,'Original Budget Document'!$B$2:$C$1000,2,FALSE)</f>
        <v>3000</v>
      </c>
      <c r="D30" s="15">
        <f>VLOOKUP('100% Non-Program'!B30,'Original Budget Document'!$B$2:$D$1000,3,FALSE)</f>
        <v>3000</v>
      </c>
      <c r="E30" s="15">
        <f>VLOOKUP('100% Non-Program'!B30,'Original Budget Document'!$B$2:$E$1000,4,FALSE)</f>
        <v>3000</v>
      </c>
      <c r="F30" s="15" t="str">
        <f>VLOOKUP(B30,'Original Budget Document'!$B$2:$I$102,8,FALSE)</f>
        <v>Education</v>
      </c>
    </row>
    <row r="31" spans="1:12" x14ac:dyDescent="0.3">
      <c r="A31" s="16" t="s">
        <v>149</v>
      </c>
      <c r="B31" s="16">
        <v>11</v>
      </c>
      <c r="C31" s="15">
        <f>VLOOKUP('100% Non-Program'!B31,'Original Budget Document'!$B$2:$C$1000,2,FALSE)</f>
        <v>0</v>
      </c>
      <c r="D31" s="15">
        <f>VLOOKUP('100% Non-Program'!B31,'Original Budget Document'!$B$2:$D$1000,3,FALSE)</f>
        <v>0</v>
      </c>
      <c r="E31" s="15">
        <f>VLOOKUP('100% Non-Program'!B31,'Original Budget Document'!$B$2:$E$1000,4,FALSE)</f>
        <v>0</v>
      </c>
      <c r="F31" s="15" t="str">
        <f>VLOOKUP(B31,'Original Budget Document'!$B$2:$I$102,8,FALSE)</f>
        <v>Education</v>
      </c>
    </row>
    <row r="32" spans="1:12" x14ac:dyDescent="0.3">
      <c r="A32" s="15" t="s">
        <v>230</v>
      </c>
      <c r="B32" s="15">
        <v>1486</v>
      </c>
      <c r="C32" s="15">
        <f>VLOOKUP('100% Non-Program'!B32,'Original Budget Document'!$B$2:$C$1000,2,FALSE)</f>
        <v>18000</v>
      </c>
      <c r="D32" s="15">
        <f>VLOOKUP('100% Non-Program'!B32,'Original Budget Document'!$B$2:$D$1000,3,FALSE)</f>
        <v>15300</v>
      </c>
      <c r="E32" s="15">
        <f>VLOOKUP('100% Non-Program'!B32,'Original Budget Document'!$B$2:$E$1000,4,FALSE)</f>
        <v>15300</v>
      </c>
      <c r="F32" s="15" t="str">
        <f>VLOOKUP(B32,'Original Budget Document'!$B$2:$I$102,8,FALSE)</f>
        <v>Education</v>
      </c>
    </row>
    <row r="33" spans="1:6" x14ac:dyDescent="0.3">
      <c r="A33" s="16" t="s">
        <v>147</v>
      </c>
      <c r="B33" s="16">
        <v>43</v>
      </c>
      <c r="C33" s="15"/>
      <c r="D33" s="15"/>
      <c r="E33" s="15"/>
      <c r="F33" s="15" t="str">
        <f>VLOOKUP(B33,'Original Budget Document'!$B$2:$I$102,8,FALSE)</f>
        <v>Minority Affairs</v>
      </c>
    </row>
    <row r="34" spans="1:6" x14ac:dyDescent="0.3">
      <c r="A34" s="15" t="s">
        <v>231</v>
      </c>
      <c r="B34" s="15">
        <v>2567</v>
      </c>
      <c r="C34" s="15">
        <f>VLOOKUP('100% Non-Program'!B34,'Original Budget Document'!$B$2:$C$1000,2,FALSE)</f>
        <v>320305</v>
      </c>
      <c r="D34" s="15">
        <f>VLOOKUP('100% Non-Program'!B34,'Original Budget Document'!$B$2:$D$1000,3,FALSE)</f>
        <v>245055</v>
      </c>
      <c r="E34" s="15">
        <f>VLOOKUP('100% Non-Program'!B34,'Original Budget Document'!$B$2:$E$1000,4,FALSE)</f>
        <v>245055</v>
      </c>
      <c r="F34" s="15" t="str">
        <f>VLOOKUP(B34,'Original Budget Document'!$B$2:$I$102,8,FALSE)</f>
        <v>Social Justice and Empowerment</v>
      </c>
    </row>
    <row r="35" spans="1:6" x14ac:dyDescent="0.3">
      <c r="A35" s="15" t="s">
        <v>232</v>
      </c>
      <c r="B35" s="15">
        <v>277</v>
      </c>
      <c r="C35" s="15">
        <f>VLOOKUP('100% Non-Program'!B35,'Original Budget Document'!$B$2:$C$1000,2,FALSE)</f>
        <v>1069702</v>
      </c>
      <c r="D35" s="15">
        <f>VLOOKUP('100% Non-Program'!B35,'Original Budget Document'!$B$2:$D$1000,3,FALSE)</f>
        <v>780923</v>
      </c>
      <c r="E35" s="15">
        <f>VLOOKUP('100% Non-Program'!B35,'Original Budget Document'!$B$2:$E$1000,4,FALSE)</f>
        <v>780923</v>
      </c>
      <c r="F35" s="15" t="str">
        <f>VLOOKUP(B35,'Original Budget Document'!$B$2:$I$102,8,FALSE)</f>
        <v>Social Justice and Empowerment</v>
      </c>
    </row>
    <row r="36" spans="1:6" x14ac:dyDescent="0.3">
      <c r="A36" s="15" t="s">
        <v>233</v>
      </c>
      <c r="B36" s="15">
        <v>305</v>
      </c>
      <c r="C36" s="15">
        <f>VLOOKUP('100% Non-Program'!B36,'Original Budget Document'!$B$2:$C$1000,2,FALSE)</f>
        <v>147502</v>
      </c>
      <c r="D36" s="15">
        <f>VLOOKUP('100% Non-Program'!B36,'Original Budget Document'!$B$2:$D$1000,3,FALSE)</f>
        <v>84326</v>
      </c>
      <c r="E36" s="15">
        <f>VLOOKUP('100% Non-Program'!B36,'Original Budget Document'!$B$2:$E$1000,4,FALSE)</f>
        <v>84326</v>
      </c>
      <c r="F36" s="15" t="str">
        <f>VLOOKUP(B36,'Original Budget Document'!$B$2:$I$102,8,FALSE)</f>
        <v>Social Justice and Empowerment</v>
      </c>
    </row>
    <row r="37" spans="1:6" x14ac:dyDescent="0.3">
      <c r="A37" s="15" t="s">
        <v>234</v>
      </c>
      <c r="B37" s="15">
        <v>304</v>
      </c>
      <c r="C37" s="15">
        <f>VLOOKUP('100% Non-Program'!B37,'Original Budget Document'!$B$2:$C$1000,2,FALSE)</f>
        <v>30003</v>
      </c>
      <c r="D37" s="15">
        <f>VLOOKUP('100% Non-Program'!B37,'Original Budget Document'!$B$2:$D$1000,3,FALSE)</f>
        <v>19153</v>
      </c>
      <c r="E37" s="15">
        <f>VLOOKUP('100% Non-Program'!B37,'Original Budget Document'!$B$2:$E$1000,4,FALSE)</f>
        <v>19153</v>
      </c>
      <c r="F37" s="15" t="str">
        <f>VLOOKUP(B37,'Original Budget Document'!$B$2:$I$102,8,FALSE)</f>
        <v>Social Justice and Empowerment</v>
      </c>
    </row>
    <row r="38" spans="1:6" x14ac:dyDescent="0.3">
      <c r="A38" s="35" t="s">
        <v>247</v>
      </c>
      <c r="B38" s="15"/>
      <c r="C38" s="15">
        <f t="shared" ref="C38:D38" si="0">SUM(C2:C37)</f>
        <v>4966827</v>
      </c>
      <c r="D38" s="15">
        <f t="shared" si="0"/>
        <v>4188656</v>
      </c>
      <c r="E38" s="15">
        <f>SUM(E2:E37)</f>
        <v>4188656</v>
      </c>
    </row>
    <row r="39" spans="1:6" x14ac:dyDescent="0.3">
      <c r="A39" s="35" t="s">
        <v>248</v>
      </c>
      <c r="B39" s="15"/>
      <c r="C39" s="15">
        <f>'Original Budget Document'!C103</f>
        <v>104150343</v>
      </c>
      <c r="D39" s="15">
        <f>'Original Budget Document'!D103</f>
        <v>102243013</v>
      </c>
      <c r="E39" s="15">
        <f>'Original Budget Document'!E103</f>
        <v>102243013</v>
      </c>
    </row>
    <row r="40" spans="1:6" x14ac:dyDescent="0.3">
      <c r="A40" s="35" t="s">
        <v>249</v>
      </c>
      <c r="B40" s="15"/>
      <c r="C40" s="34">
        <f>C38/C39</f>
        <v>4.7689012411605787E-2</v>
      </c>
      <c r="D40" s="34">
        <f t="shared" ref="D40:E40" si="1">D38/D39</f>
        <v>4.0967650278459618E-2</v>
      </c>
      <c r="E40" s="34">
        <f t="shared" si="1"/>
        <v>4.0967650278459618E-2</v>
      </c>
    </row>
  </sheetData>
  <autoFilter ref="A1:F40" xr:uid="{3B7D8B6D-8580-4627-B5A6-071B413BC59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7AF3-4856-49BB-99AC-76B87E5D5F70}">
  <dimension ref="A1:L20"/>
  <sheetViews>
    <sheetView workbookViewId="0"/>
  </sheetViews>
  <sheetFormatPr defaultRowHeight="14.4" x14ac:dyDescent="0.3"/>
  <cols>
    <col min="1" max="1" width="68.109375" bestFit="1" customWidth="1"/>
    <col min="2" max="2" width="12.44140625" bestFit="1" customWidth="1"/>
    <col min="3" max="3" width="24.33203125" bestFit="1" customWidth="1"/>
    <col min="4" max="5" width="10.21875" bestFit="1" customWidth="1"/>
    <col min="6" max="6" width="26.33203125" bestFit="1" customWidth="1"/>
  </cols>
  <sheetData>
    <row r="1" spans="1:12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157</v>
      </c>
    </row>
    <row r="2" spans="1:12" x14ac:dyDescent="0.3">
      <c r="A2" s="16" t="s">
        <v>151</v>
      </c>
      <c r="B2" s="15">
        <v>5</v>
      </c>
      <c r="C2" s="15">
        <f>VLOOKUP(B2,'Original Budget Document'!$B$2:$C$102,2,FALSE)</f>
        <v>0</v>
      </c>
      <c r="D2" s="15">
        <f>VLOOKUP(B2,'Original Budget Document'!$B$2:$D$102,3,FALSE)</f>
        <v>0</v>
      </c>
      <c r="E2" s="15">
        <f>VLOOKUP(B2,'Original Budget Document'!$B$2:$E$102,4,FALSE)</f>
        <v>0</v>
      </c>
      <c r="F2" s="15" t="str">
        <f>VLOOKUP(B2,'Original Budget Document'!$B$2:$I$102,8,FALSE)</f>
        <v>Health</v>
      </c>
    </row>
    <row r="3" spans="1:12" x14ac:dyDescent="0.3">
      <c r="A3" s="15" t="s">
        <v>235</v>
      </c>
      <c r="B3" s="15">
        <v>1119</v>
      </c>
      <c r="C3" s="15">
        <f>VLOOKUP(B3,'Original Budget Document'!$B$2:$C$102,2,FALSE)</f>
        <v>130619</v>
      </c>
      <c r="D3" s="15">
        <f>VLOOKUP(B3,'Original Budget Document'!$B$2:$D$102,3,FALSE)</f>
        <v>129053</v>
      </c>
      <c r="E3" s="15">
        <f>VLOOKUP(B3,'Original Budget Document'!$B$2:$E$102,4,FALSE)</f>
        <v>129053</v>
      </c>
      <c r="F3" s="15" t="str">
        <f>VLOOKUP(B3,'Original Budget Document'!$B$2:$I$102,8,FALSE)</f>
        <v>Health</v>
      </c>
    </row>
    <row r="4" spans="1:12" x14ac:dyDescent="0.3">
      <c r="A4" s="16" t="s">
        <v>139</v>
      </c>
      <c r="B4" s="16">
        <v>244</v>
      </c>
      <c r="C4" s="15">
        <f>VLOOKUP(B4,'Original Budget Document'!$B$2:$C$102,2,FALSE)</f>
        <v>0</v>
      </c>
      <c r="D4" s="15">
        <f>VLOOKUP(B4,'Original Budget Document'!$B$2:$D$102,3,FALSE)</f>
        <v>0</v>
      </c>
      <c r="E4" s="15">
        <f>VLOOKUP(B4,'Original Budget Document'!$B$2:$E$102,4,FALSE)</f>
        <v>0</v>
      </c>
      <c r="F4" s="15" t="str">
        <f>VLOOKUP(B4,'Original Budget Document'!$B$2:$I$102,8,FALSE)</f>
        <v>Social Justice and Empowerment</v>
      </c>
    </row>
    <row r="5" spans="1:12" x14ac:dyDescent="0.3">
      <c r="A5" s="15" t="s">
        <v>236</v>
      </c>
      <c r="B5" s="15">
        <v>366</v>
      </c>
      <c r="C5" s="15">
        <f>VLOOKUP(B5,'Original Budget Document'!$B$2:$C$102,2,FALSE)</f>
        <v>2102</v>
      </c>
      <c r="D5" s="15">
        <f>VLOOKUP(B5,'Original Budget Document'!$B$2:$D$102,3,FALSE)</f>
        <v>2052</v>
      </c>
      <c r="E5" s="15">
        <f>VLOOKUP(B5,'Original Budget Document'!$B$2:$E$102,4,FALSE)</f>
        <v>2052</v>
      </c>
      <c r="F5" s="15" t="str">
        <f>VLOOKUP(B5,'Original Budget Document'!$B$2:$I$102,8,FALSE)</f>
        <v>Social Justice and Empowerment</v>
      </c>
    </row>
    <row r="6" spans="1:12" x14ac:dyDescent="0.3">
      <c r="A6" s="15" t="s">
        <v>237</v>
      </c>
      <c r="B6" s="15">
        <v>338</v>
      </c>
      <c r="C6" s="15">
        <f>VLOOKUP(B6,'Original Budget Document'!$B$2:$C$102,2,FALSE)</f>
        <v>1000</v>
      </c>
      <c r="D6" s="15">
        <f>VLOOKUP(B6,'Original Budget Document'!$B$2:$D$102,3,FALSE)</f>
        <v>110</v>
      </c>
      <c r="E6" s="15">
        <f>VLOOKUP(B6,'Original Budget Document'!$B$2:$E$102,4,FALSE)</f>
        <v>110</v>
      </c>
      <c r="F6" s="15" t="str">
        <f>VLOOKUP(B6,'Original Budget Document'!$B$2:$I$102,8,FALSE)</f>
        <v>Social Justice and Empowerment</v>
      </c>
    </row>
    <row r="7" spans="1:12" x14ac:dyDescent="0.3">
      <c r="A7" s="15" t="s">
        <v>238</v>
      </c>
      <c r="B7" s="15">
        <v>2589</v>
      </c>
      <c r="C7" s="15">
        <f>VLOOKUP(B7,'Original Budget Document'!$B$2:$C$102,2,FALSE)</f>
        <v>250</v>
      </c>
      <c r="D7" s="15">
        <f>VLOOKUP(B7,'Original Budget Document'!$B$2:$D$102,3,FALSE)</f>
        <v>250</v>
      </c>
      <c r="E7" s="15">
        <f>VLOOKUP(B7,'Original Budget Document'!$B$2:$E$102,4,FALSE)</f>
        <v>250</v>
      </c>
      <c r="F7" s="15" t="str">
        <f>VLOOKUP(B7,'Original Budget Document'!$B$2:$I$102,8,FALSE)</f>
        <v>Social Justice and Empowerment</v>
      </c>
    </row>
    <row r="8" spans="1:12" x14ac:dyDescent="0.3">
      <c r="A8" s="28" t="s">
        <v>148</v>
      </c>
      <c r="C8">
        <f>SUM(C2:C7)</f>
        <v>133971</v>
      </c>
      <c r="D8">
        <f t="shared" ref="D8:E8" si="0">SUM(D2:D7)</f>
        <v>131465</v>
      </c>
      <c r="E8">
        <f t="shared" si="0"/>
        <v>131465</v>
      </c>
    </row>
    <row r="9" spans="1:12" x14ac:dyDescent="0.3">
      <c r="A9" t="s">
        <v>245</v>
      </c>
      <c r="C9">
        <f>'Original Budget Document'!C103</f>
        <v>104150343</v>
      </c>
      <c r="D9">
        <f>'Original Budget Document'!D103</f>
        <v>102243013</v>
      </c>
      <c r="E9">
        <f>'Original Budget Document'!E103</f>
        <v>102243013</v>
      </c>
    </row>
    <row r="10" spans="1:12" x14ac:dyDescent="0.3">
      <c r="A10" t="s">
        <v>249</v>
      </c>
      <c r="C10" s="31">
        <f>C8/C9</f>
        <v>1.2863231761032223E-3</v>
      </c>
      <c r="D10" s="31">
        <f t="shared" ref="D10:E10" si="1">D8/D9</f>
        <v>1.2858091339698684E-3</v>
      </c>
      <c r="E10" s="31">
        <f t="shared" si="1"/>
        <v>1.2858091339698684E-3</v>
      </c>
    </row>
    <row r="13" spans="1:12" x14ac:dyDescent="0.3">
      <c r="I13" s="15"/>
      <c r="J13" s="15" t="s">
        <v>253</v>
      </c>
      <c r="K13" s="15" t="s">
        <v>252</v>
      </c>
      <c r="L13" s="15" t="s">
        <v>254</v>
      </c>
    </row>
    <row r="14" spans="1:12" x14ac:dyDescent="0.3">
      <c r="I14" s="15" t="s">
        <v>113</v>
      </c>
      <c r="J14" s="15">
        <f>SUMIFS(C2:C102,F2:F102,"Education")</f>
        <v>0</v>
      </c>
      <c r="K14" s="15">
        <f>SUMIFS(D2:D102,F2:F102,"Education")</f>
        <v>0</v>
      </c>
      <c r="L14" s="15">
        <f>SUMIFS(E2:E102,F2:F102,"Education")</f>
        <v>0</v>
      </c>
    </row>
    <row r="15" spans="1:12" x14ac:dyDescent="0.3">
      <c r="I15" s="15" t="s">
        <v>114</v>
      </c>
      <c r="J15" s="15">
        <f>SUMIFS(C2:C103,F2:F103,"Health")</f>
        <v>130619</v>
      </c>
      <c r="K15" s="15">
        <f>SUMIFS(D2:D103,F2:F103,"Health")</f>
        <v>129053</v>
      </c>
      <c r="L15" s="15">
        <f>SUMIFS(E2:E103,F2:F103,"Health")</f>
        <v>129053</v>
      </c>
    </row>
    <row r="16" spans="1:12" x14ac:dyDescent="0.3">
      <c r="I16" s="15" t="s">
        <v>118</v>
      </c>
      <c r="J16" s="15">
        <f>SUMIFS(C2:C102,F2:F102,"Minority Affairs")</f>
        <v>0</v>
      </c>
      <c r="K16" s="15">
        <f>SUMIFS(D2:D102,F2:F102,"Minority Affairs")</f>
        <v>0</v>
      </c>
      <c r="L16" s="15">
        <f>SUMIFS(E2:E102,F2:F102,"Minority Affairs")</f>
        <v>0</v>
      </c>
    </row>
    <row r="17" spans="9:12" x14ac:dyDescent="0.3">
      <c r="I17" s="15" t="s">
        <v>156</v>
      </c>
      <c r="J17" s="15">
        <f>SUMIFS(C2:C102,F2:F102,"Women and Child Development")</f>
        <v>0</v>
      </c>
      <c r="K17" s="15">
        <f>SUMIFS(D2:D102,F2:F102,"Women and Child Development")</f>
        <v>0</v>
      </c>
      <c r="L17" s="15">
        <f>SUMIFS(E2:E102,F2:F102,"Women and Child Development")</f>
        <v>0</v>
      </c>
    </row>
    <row r="18" spans="9:12" x14ac:dyDescent="0.3">
      <c r="I18" s="15" t="s">
        <v>122</v>
      </c>
      <c r="J18" s="15">
        <f>SUMIFS(C2:C102,F2:F102,"Social Justice and Empowerment")</f>
        <v>3352</v>
      </c>
      <c r="K18" s="15">
        <f>SUMIFS(D2:D102,F2:F102,"Social Justice and Empowerment")</f>
        <v>2412</v>
      </c>
      <c r="L18" s="15">
        <f>SUMIFS(E2:E102,F2:F102,"Social Justice and Empowerment")</f>
        <v>2412</v>
      </c>
    </row>
    <row r="19" spans="9:12" x14ac:dyDescent="0.3">
      <c r="I19" s="15" t="s">
        <v>120</v>
      </c>
      <c r="J19" s="15">
        <f>SUMIFS(C2:C102,F2:F102,"Tribal Affairs")</f>
        <v>0</v>
      </c>
      <c r="K19" s="15">
        <f>SUMIFS(D2:D102,F2:F102,"Tribal Affairs")</f>
        <v>0</v>
      </c>
      <c r="L19" s="15">
        <f>SUMIFS(E2:E102,F2:F102,"Tribal Affairs")</f>
        <v>0</v>
      </c>
    </row>
    <row r="20" spans="9:12" x14ac:dyDescent="0.3">
      <c r="I20" s="15" t="s">
        <v>121</v>
      </c>
      <c r="J20" s="15">
        <f>SUMIFS(C2:C102,F2:F102,"Defence")</f>
        <v>0</v>
      </c>
      <c r="K20" s="15">
        <f>SUMIFS(D2:D102,F2:F102,"Defence")</f>
        <v>0</v>
      </c>
      <c r="L20" s="15">
        <f>SUMIFS(E2:E102,F2:F102,"Defence")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42F35-B65E-4EC2-A24E-2F8A89C75906}">
  <dimension ref="A1:D21"/>
  <sheetViews>
    <sheetView workbookViewId="0">
      <selection activeCell="D2" sqref="D2:D5"/>
    </sheetView>
  </sheetViews>
  <sheetFormatPr defaultRowHeight="14.4" x14ac:dyDescent="0.3"/>
  <cols>
    <col min="1" max="1" width="39.6640625" bestFit="1" customWidth="1"/>
    <col min="2" max="2" width="10" bestFit="1" customWidth="1"/>
  </cols>
  <sheetData>
    <row r="1" spans="1:4" x14ac:dyDescent="0.3">
      <c r="A1" s="15" t="s">
        <v>123</v>
      </c>
      <c r="B1" s="15" t="s">
        <v>124</v>
      </c>
      <c r="C1" s="15" t="s">
        <v>125</v>
      </c>
      <c r="D1" s="15" t="s">
        <v>126</v>
      </c>
    </row>
    <row r="2" spans="1:4" x14ac:dyDescent="0.3">
      <c r="A2" s="15" t="s">
        <v>127</v>
      </c>
      <c r="B2" s="15">
        <f>'100% Program'!C63</f>
        <v>98945988</v>
      </c>
      <c r="C2" s="15">
        <f>'100% Program'!D63</f>
        <v>97806632</v>
      </c>
      <c r="D2" s="15">
        <f>'100% Program'!E63</f>
        <v>97806632</v>
      </c>
    </row>
    <row r="3" spans="1:4" x14ac:dyDescent="0.3">
      <c r="A3" s="15" t="s">
        <v>128</v>
      </c>
      <c r="B3" s="15">
        <f>'100% Non-Program'!C38</f>
        <v>4966827</v>
      </c>
      <c r="C3" s="15">
        <f>'100% Non-Program'!D38</f>
        <v>4188656</v>
      </c>
      <c r="D3" s="15">
        <f>'100% Non-Program'!E38</f>
        <v>4188656</v>
      </c>
    </row>
    <row r="4" spans="1:4" x14ac:dyDescent="0.3">
      <c r="A4" s="15" t="s">
        <v>129</v>
      </c>
      <c r="B4" s="15">
        <f>'&lt;100% Program'!C8</f>
        <v>103557</v>
      </c>
      <c r="C4" s="15">
        <f>'&lt;100% Program'!D8</f>
        <v>116260</v>
      </c>
      <c r="D4" s="15">
        <f>'&lt;100% Program'!E8</f>
        <v>116260</v>
      </c>
    </row>
    <row r="5" spans="1:4" x14ac:dyDescent="0.3">
      <c r="A5" s="15" t="s">
        <v>130</v>
      </c>
      <c r="B5" s="15">
        <f>'&lt;100% Non-Programme'!C8</f>
        <v>133971</v>
      </c>
      <c r="C5" s="15">
        <f>'&lt;100% Non-Programme'!D8</f>
        <v>131465</v>
      </c>
      <c r="D5" s="15">
        <f>'&lt;100% Non-Programme'!E8</f>
        <v>131465</v>
      </c>
    </row>
    <row r="6" spans="1:4" x14ac:dyDescent="0.3">
      <c r="A6" s="15"/>
      <c r="B6" s="15"/>
      <c r="C6" s="15"/>
      <c r="D6" s="15"/>
    </row>
    <row r="7" spans="1:4" x14ac:dyDescent="0.3">
      <c r="A7" s="15"/>
      <c r="B7" s="15"/>
      <c r="C7" s="15"/>
      <c r="D7" s="15"/>
    </row>
    <row r="8" spans="1:4" x14ac:dyDescent="0.3">
      <c r="A8" s="15"/>
      <c r="B8" s="15"/>
      <c r="C8" s="15"/>
      <c r="D8" s="15"/>
    </row>
    <row r="9" spans="1:4" x14ac:dyDescent="0.3">
      <c r="A9" s="15"/>
      <c r="B9" s="15"/>
      <c r="C9" s="15"/>
      <c r="D9" s="15"/>
    </row>
    <row r="10" spans="1:4" x14ac:dyDescent="0.3">
      <c r="A10" s="15"/>
      <c r="B10" s="15"/>
      <c r="C10" s="15"/>
      <c r="D10" s="15"/>
    </row>
    <row r="11" spans="1:4" x14ac:dyDescent="0.3">
      <c r="A11" s="15"/>
      <c r="B11" s="15"/>
      <c r="C11" s="15"/>
      <c r="D11" s="15"/>
    </row>
    <row r="12" spans="1:4" x14ac:dyDescent="0.3">
      <c r="A12" s="15"/>
      <c r="B12" s="15"/>
      <c r="C12" s="15"/>
      <c r="D12" s="15"/>
    </row>
    <row r="13" spans="1:4" x14ac:dyDescent="0.3">
      <c r="A13" s="15"/>
      <c r="B13" s="15"/>
      <c r="C13" s="15"/>
      <c r="D13" s="15"/>
    </row>
    <row r="14" spans="1:4" x14ac:dyDescent="0.3">
      <c r="A14" s="15"/>
      <c r="B14" s="15"/>
      <c r="C14" s="15"/>
      <c r="D14" s="15"/>
    </row>
    <row r="15" spans="1:4" x14ac:dyDescent="0.3">
      <c r="A15" s="15"/>
      <c r="B15" s="15"/>
      <c r="C15" s="15"/>
      <c r="D15" s="15"/>
    </row>
    <row r="16" spans="1:4" x14ac:dyDescent="0.3">
      <c r="A16" s="15"/>
      <c r="B16" s="15"/>
      <c r="C16" s="15"/>
      <c r="D16" s="15"/>
    </row>
    <row r="17" spans="1:4" x14ac:dyDescent="0.3">
      <c r="A17" s="15"/>
      <c r="B17" s="15"/>
      <c r="C17" s="15"/>
      <c r="D17" s="15"/>
    </row>
    <row r="18" spans="1:4" x14ac:dyDescent="0.3">
      <c r="A18" s="15"/>
      <c r="B18" s="15"/>
      <c r="C18" s="15"/>
      <c r="D18" s="15"/>
    </row>
    <row r="20" spans="1:4" x14ac:dyDescent="0.3">
      <c r="A20" t="s">
        <v>131</v>
      </c>
    </row>
    <row r="21" spans="1:4" x14ac:dyDescent="0.3">
      <c r="A21" t="s">
        <v>132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1D03-82E4-44E5-8C92-16A67CA0E17F}">
  <dimension ref="A1:M15"/>
  <sheetViews>
    <sheetView workbookViewId="0">
      <selection activeCell="A11" sqref="A11"/>
    </sheetView>
  </sheetViews>
  <sheetFormatPr defaultRowHeight="14.4" x14ac:dyDescent="0.3"/>
  <cols>
    <col min="1" max="1" width="28.88671875" bestFit="1" customWidth="1"/>
    <col min="2" max="2" width="12.6640625" bestFit="1" customWidth="1"/>
    <col min="3" max="3" width="14.21875" bestFit="1" customWidth="1"/>
    <col min="5" max="5" width="18.5546875" bestFit="1" customWidth="1"/>
    <col min="6" max="7" width="10" bestFit="1" customWidth="1"/>
    <col min="8" max="8" width="13.21875" bestFit="1" customWidth="1"/>
    <col min="9" max="9" width="14.21875" bestFit="1" customWidth="1"/>
    <col min="10" max="10" width="17.5546875" bestFit="1" customWidth="1"/>
    <col min="11" max="11" width="18.5546875" bestFit="1" customWidth="1"/>
    <col min="12" max="12" width="10" bestFit="1" customWidth="1"/>
  </cols>
  <sheetData>
    <row r="1" spans="1:13" x14ac:dyDescent="0.3">
      <c r="A1" s="16" t="s">
        <v>5</v>
      </c>
      <c r="B1" s="16" t="s">
        <v>152</v>
      </c>
      <c r="C1" s="16" t="s">
        <v>153</v>
      </c>
      <c r="D1" s="22" t="s">
        <v>155</v>
      </c>
      <c r="E1" s="16" t="s">
        <v>154</v>
      </c>
      <c r="F1" s="16" t="s">
        <v>148</v>
      </c>
      <c r="G1" s="35" t="s">
        <v>256</v>
      </c>
      <c r="H1" s="16" t="s">
        <v>152</v>
      </c>
      <c r="I1" s="16" t="s">
        <v>153</v>
      </c>
      <c r="J1" s="22" t="s">
        <v>155</v>
      </c>
      <c r="K1" s="16" t="s">
        <v>154</v>
      </c>
      <c r="L1" s="16" t="s">
        <v>148</v>
      </c>
      <c r="M1" s="35" t="s">
        <v>256</v>
      </c>
    </row>
    <row r="2" spans="1:13" x14ac:dyDescent="0.3">
      <c r="A2" s="16"/>
      <c r="B2" s="36" t="s">
        <v>255</v>
      </c>
      <c r="C2" s="36"/>
      <c r="D2" s="36"/>
      <c r="E2" s="36"/>
      <c r="F2" s="36"/>
      <c r="G2" s="36"/>
      <c r="H2" s="36" t="s">
        <v>257</v>
      </c>
      <c r="I2" s="36"/>
      <c r="J2" s="36"/>
      <c r="K2" s="36"/>
      <c r="L2" s="36"/>
      <c r="M2" s="36"/>
    </row>
    <row r="3" spans="1:13" x14ac:dyDescent="0.3">
      <c r="A3" s="16" t="s">
        <v>113</v>
      </c>
      <c r="B3" s="15">
        <f>VLOOKUP(A3,'100% Program'!$L$23:$M$28,2,FALSE)</f>
        <v>73515154</v>
      </c>
      <c r="C3" s="15">
        <f>VLOOKUP(A3,'&lt;100% Program'!$I$16:$L$22,4,FALSE)</f>
        <v>9639</v>
      </c>
      <c r="D3" s="15">
        <f>VLOOKUP(A3,'100% Non-Program'!$I$14:$L$21,4,FALSE)</f>
        <v>19500</v>
      </c>
      <c r="E3" s="15">
        <f>VLOOKUP(A3,'&lt;100% Non-Programme'!$I$14:$L$14,4,FALSE)</f>
        <v>0</v>
      </c>
      <c r="F3" s="15">
        <f>SUM(B3:E3)</f>
        <v>73544293</v>
      </c>
      <c r="G3" s="38">
        <f>F3/$F$10</f>
        <v>0.71930874141981715</v>
      </c>
      <c r="H3" s="15">
        <f>VLOOKUP(A3,'100% Program'!$L$23:$O$28,4,FALSE)</f>
        <v>80486887</v>
      </c>
      <c r="I3" s="15">
        <f>VLOOKUP(A3,'&lt;100% Program'!$I$16:$J$22,2,FALSE)</f>
        <v>11221</v>
      </c>
      <c r="J3" s="15">
        <f>VLOOKUP(A3,'100% Non-Program'!$I$14:$J$21,2,FALSE)</f>
        <v>23000</v>
      </c>
      <c r="K3" s="15">
        <f>VLOOKUP(A3,'&lt;100% Non-Programme'!$I$14:$J$104,2,FALSE)</f>
        <v>0</v>
      </c>
      <c r="L3" s="15">
        <f>SUM(H3:K3)</f>
        <v>80521108</v>
      </c>
      <c r="M3" s="38">
        <f>L3/$F$10</f>
        <v>0.78754631380043549</v>
      </c>
    </row>
    <row r="4" spans="1:13" x14ac:dyDescent="0.3">
      <c r="A4" s="16" t="s">
        <v>114</v>
      </c>
      <c r="B4" s="15">
        <f>VLOOKUP(A4,'100% Program'!$L$23:$M$28,2,FALSE)</f>
        <v>4009</v>
      </c>
      <c r="C4" s="15">
        <f>VLOOKUP(A4,'&lt;100% Program'!$I$16:$L$22,4,FALSE)</f>
        <v>0</v>
      </c>
      <c r="D4" s="15">
        <f>VLOOKUP(A4,'100% Non-Program'!$I$14:$L$21,4,FALSE)</f>
        <v>0</v>
      </c>
      <c r="E4" s="15">
        <f>VLOOKUP(A4,'&lt;100% Non-Programme'!$I$14:$L$104,4,FALSE)</f>
        <v>129053</v>
      </c>
      <c r="F4" s="15">
        <f>SUM(B4:E4)</f>
        <v>133062</v>
      </c>
      <c r="G4" s="38">
        <f t="shared" ref="G4:G9" si="0">F4/$F$10</f>
        <v>1.3014287832069269E-3</v>
      </c>
      <c r="H4" s="15">
        <f>VLOOKUP(A4,'100% Program'!$L$23:$O$28,4,FALSE)</f>
        <v>4009</v>
      </c>
      <c r="I4" s="15">
        <f>VLOOKUP(A4,'&lt;100% Program'!$I$16:$J$22,2,FALSE)</f>
        <v>0</v>
      </c>
      <c r="J4" s="15">
        <f>VLOOKUP(A4,'100% Non-Program'!$I$14:$J$21,2,FALSE)</f>
        <v>0</v>
      </c>
      <c r="K4" s="15">
        <f>VLOOKUP(A4,'&lt;100% Non-Programme'!$I$14:$J$104,2,FALSE)</f>
        <v>130619</v>
      </c>
      <c r="L4" s="15">
        <f>SUM(H4:K4)</f>
        <v>134628</v>
      </c>
      <c r="M4" s="38">
        <f t="shared" ref="M4:M9" si="1">L4/$F$10</f>
        <v>1.3167452332415125E-3</v>
      </c>
    </row>
    <row r="5" spans="1:13" x14ac:dyDescent="0.3">
      <c r="A5" s="16" t="s">
        <v>156</v>
      </c>
      <c r="B5" s="15">
        <f>VLOOKUP(A5,'100% Program'!$L$23:$M$28,2,FALSE)</f>
        <v>8709300</v>
      </c>
      <c r="C5" s="15">
        <f>VLOOKUP(A5,'&lt;100% Program'!$I$16:$L$22,4,FALSE)</f>
        <v>94007</v>
      </c>
      <c r="D5" s="15">
        <f>VLOOKUP(A5,'100% Non-Program'!$I$14:$L$21,4,FALSE)</f>
        <v>25301</v>
      </c>
      <c r="E5" s="15">
        <f>VLOOKUP(A5,'&lt;100% Non-Programme'!$I$14:$L$104,4,FALSE)</f>
        <v>0</v>
      </c>
      <c r="F5" s="15">
        <f t="shared" ref="F5:F9" si="2">SUM(B5:E5)</f>
        <v>8828608</v>
      </c>
      <c r="G5" s="38">
        <f t="shared" si="0"/>
        <v>8.6349254985277082E-2</v>
      </c>
      <c r="H5" s="15">
        <f>VLOOKUP(A5,'100% Program'!$L$23:$O$28,4,FALSE)</f>
        <v>6948888</v>
      </c>
      <c r="I5" s="15">
        <f>VLOOKUP(A5,'&lt;100% Program'!$I$16:$J$22,2,FALSE)</f>
        <v>79007</v>
      </c>
      <c r="J5" s="15">
        <f>VLOOKUP(A5,'100% Non-Program'!$I$14:$J$21,2,FALSE)</f>
        <v>42700</v>
      </c>
      <c r="K5" s="15">
        <f>VLOOKUP(A5,'&lt;100% Non-Programme'!$I$14:$J$104,2,FALSE)</f>
        <v>0</v>
      </c>
      <c r="L5" s="15">
        <f t="shared" ref="L5:L9" si="3">SUM(H5:K5)</f>
        <v>7070595</v>
      </c>
      <c r="M5" s="38">
        <f t="shared" si="1"/>
        <v>6.9154798871195244E-2</v>
      </c>
    </row>
    <row r="6" spans="1:13" x14ac:dyDescent="0.3">
      <c r="A6" s="16" t="s">
        <v>120</v>
      </c>
      <c r="B6" s="15">
        <f>VLOOKUP(A6,'100% Program'!$L$23:$M$28,2,FALSE)</f>
        <v>2000</v>
      </c>
      <c r="C6" s="15">
        <f>VLOOKUP(A6,'&lt;100% Program'!$I$16:$L$22,4,FALSE)</f>
        <v>0</v>
      </c>
      <c r="D6" s="15">
        <f>VLOOKUP(A6,'100% Non-Program'!$I$14:$L$21,4,FALSE)</f>
        <v>2897398</v>
      </c>
      <c r="E6" s="15">
        <f>VLOOKUP(A6,'&lt;100% Non-Programme'!$I$14:$L$104,4,FALSE)</f>
        <v>0</v>
      </c>
      <c r="F6" s="15">
        <f t="shared" si="2"/>
        <v>2899398</v>
      </c>
      <c r="G6" s="38">
        <f t="shared" si="0"/>
        <v>2.8357908427444328E-2</v>
      </c>
      <c r="H6" s="15">
        <f>VLOOKUP(A6,'100% Program'!$L$23:$O$28,4,FALSE)</f>
        <v>1000</v>
      </c>
      <c r="I6" s="15">
        <f>VLOOKUP(A6,'&lt;100% Program'!$I$16:$J$22,2,FALSE)</f>
        <v>0</v>
      </c>
      <c r="J6" s="15">
        <f>VLOOKUP(A6,'100% Non-Program'!$I$14:$J$21,2,FALSE)</f>
        <v>3253615</v>
      </c>
      <c r="K6" s="15">
        <f>VLOOKUP(A6,'&lt;100% Non-Programme'!$I$14:$J$104,2,FALSE)</f>
        <v>0</v>
      </c>
      <c r="L6" s="15">
        <f t="shared" si="3"/>
        <v>3254615</v>
      </c>
      <c r="M6" s="38">
        <f t="shared" si="1"/>
        <v>3.1832150721145119E-2</v>
      </c>
    </row>
    <row r="7" spans="1:13" x14ac:dyDescent="0.3">
      <c r="A7" s="16" t="s">
        <v>122</v>
      </c>
      <c r="B7" s="15">
        <f>VLOOKUP(A7,'100% Program'!$L$23:$M$28,2,FALSE)</f>
        <v>14926095</v>
      </c>
      <c r="C7" s="15">
        <f>VLOOKUP(A7,'&lt;100% Program'!$I$16:$L$22,4,FALSE)</f>
        <v>0</v>
      </c>
      <c r="D7" s="15">
        <f>VLOOKUP(A7,'100% Non-Program'!$I$14:$L$21,4,FALSE)</f>
        <v>1246457</v>
      </c>
      <c r="E7" s="15">
        <f>VLOOKUP(A7,'&lt;100% Non-Programme'!$I$14:$L$104,4,FALSE)</f>
        <v>2412</v>
      </c>
      <c r="F7" s="15">
        <f t="shared" si="2"/>
        <v>16174964</v>
      </c>
      <c r="G7" s="38">
        <f t="shared" si="0"/>
        <v>0.15820116725237743</v>
      </c>
      <c r="H7" s="15">
        <f>VLOOKUP(A7,'100% Program'!$L$23:$O$28,4,FALSE)</f>
        <v>10876265</v>
      </c>
      <c r="I7" s="15">
        <f>VLOOKUP(A7,'&lt;100% Program'!$I$16:$J$22,2,FALSE)</f>
        <v>0</v>
      </c>
      <c r="J7" s="15">
        <f>VLOOKUP(A7,'100% Non-Program'!$I$14:$J$21,2,FALSE)</f>
        <v>1647512</v>
      </c>
      <c r="K7" s="15">
        <f>VLOOKUP(A7,'&lt;100% Non-Programme'!$I$14:$J$104,2,FALSE)</f>
        <v>3352</v>
      </c>
      <c r="L7" s="15">
        <f t="shared" si="3"/>
        <v>12527129</v>
      </c>
      <c r="M7" s="38">
        <f t="shared" si="1"/>
        <v>0.12252308135715836</v>
      </c>
    </row>
    <row r="8" spans="1:13" x14ac:dyDescent="0.3">
      <c r="A8" s="16" t="s">
        <v>118</v>
      </c>
      <c r="B8" s="15">
        <f>VLOOKUP(A8,'100% Program'!$L$23:$M$28,2,FALSE)</f>
        <v>650074</v>
      </c>
      <c r="C8" s="15">
        <f>VLOOKUP(A8,'&lt;100% Program'!$I$16:$L$22,4,FALSE)</f>
        <v>0</v>
      </c>
      <c r="D8" s="15">
        <f>VLOOKUP(A8,'100% Non-Program'!$I$14:$L$21,4,FALSE)</f>
        <v>0</v>
      </c>
      <c r="E8" s="15">
        <f>VLOOKUP(A8,'&lt;100% Non-Programme'!$I$14:$L$104,4,FALSE)</f>
        <v>0</v>
      </c>
      <c r="F8" s="15">
        <f t="shared" si="2"/>
        <v>650074</v>
      </c>
      <c r="G8" s="38">
        <f t="shared" si="0"/>
        <v>6.3581263983290481E-3</v>
      </c>
      <c r="H8" s="15">
        <f>VLOOKUP(A8,'100% Program'!$L$23:$O$28,4,FALSE)</f>
        <v>15409020</v>
      </c>
      <c r="I8" s="15">
        <f>VLOOKUP(A8,'&lt;100% Program'!$I$16:$J$22,2,FALSE)</f>
        <v>0</v>
      </c>
      <c r="J8" s="15">
        <f>VLOOKUP(A8,'100% Non-Program'!$I$14:$J$21,2,FALSE)</f>
        <v>0</v>
      </c>
      <c r="K8" s="15">
        <f>VLOOKUP(A8,'&lt;100% Non-Programme'!$I$14:$J$104,2,FALSE)</f>
        <v>0</v>
      </c>
      <c r="L8" s="15">
        <f t="shared" si="3"/>
        <v>15409020</v>
      </c>
      <c r="M8" s="38">
        <f t="shared" si="1"/>
        <v>0.15070976048016113</v>
      </c>
    </row>
    <row r="9" spans="1:13" x14ac:dyDescent="0.3">
      <c r="A9" s="16" t="s">
        <v>121</v>
      </c>
      <c r="B9" s="15">
        <f>VLOOKUP(A9,'100% Program'!$L$23:$M$29,2,FALSE)</f>
        <v>0</v>
      </c>
      <c r="C9" s="15">
        <f>VLOOKUP(A9,'&lt;100% Program'!$I$16:$L$22,4,FALSE)</f>
        <v>12614</v>
      </c>
      <c r="D9" s="15">
        <f>VLOOKUP(A9,'100% Non-Program'!$I$14:$L$21,4,FALSE)</f>
        <v>0</v>
      </c>
      <c r="E9" s="15">
        <f>VLOOKUP(A9,'&lt;100% Non-Programme'!$I$14:$L$104,4,FALSE)</f>
        <v>0</v>
      </c>
      <c r="F9" s="15">
        <f t="shared" si="2"/>
        <v>12614</v>
      </c>
      <c r="G9" s="38">
        <f t="shared" si="0"/>
        <v>1.2337273354806161E-4</v>
      </c>
      <c r="H9" s="15">
        <v>0</v>
      </c>
      <c r="I9" s="15">
        <f>VLOOKUP(A9,'&lt;100% Program'!$I$16:$J$22,2,FALSE)</f>
        <v>13329</v>
      </c>
      <c r="J9" s="15">
        <f>VLOOKUP(A9,'100% Non-Program'!$I$14:$J$21,2,FALSE)</f>
        <v>0</v>
      </c>
      <c r="K9" s="15">
        <f>VLOOKUP(A9,'&lt;100% Non-Programme'!$I$14:$J$104,2,FALSE)</f>
        <v>0</v>
      </c>
      <c r="L9" s="15">
        <f t="shared" si="3"/>
        <v>13329</v>
      </c>
      <c r="M9" s="38">
        <f t="shared" si="1"/>
        <v>1.3036587644380158E-4</v>
      </c>
    </row>
    <row r="10" spans="1:13" x14ac:dyDescent="0.3">
      <c r="A10" s="35" t="s">
        <v>148</v>
      </c>
      <c r="B10" s="39"/>
      <c r="C10" s="40"/>
      <c r="D10" s="40"/>
      <c r="E10" s="41"/>
      <c r="F10" s="33">
        <f>SUM(F3:F9)</f>
        <v>102243013</v>
      </c>
      <c r="G10" s="15"/>
      <c r="H10" s="39"/>
      <c r="I10" s="40"/>
      <c r="J10" s="40"/>
      <c r="K10" s="41"/>
      <c r="L10" s="33">
        <f>SUM(L3:L9)</f>
        <v>118930424</v>
      </c>
      <c r="M10" s="15"/>
    </row>
    <row r="14" spans="1:13" x14ac:dyDescent="0.3">
      <c r="L14">
        <v>104150343</v>
      </c>
    </row>
    <row r="15" spans="1:13" x14ac:dyDescent="0.3">
      <c r="L15">
        <f>L10-L14</f>
        <v>14780081</v>
      </c>
    </row>
  </sheetData>
  <mergeCells count="4">
    <mergeCell ref="B2:G2"/>
    <mergeCell ref="B10:E10"/>
    <mergeCell ref="H2:M2"/>
    <mergeCell ref="H10:K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9B2D-4EA3-4415-949F-A492EDC95763}">
  <dimension ref="A1:G16"/>
  <sheetViews>
    <sheetView workbookViewId="0">
      <selection activeCell="B12" sqref="B12"/>
    </sheetView>
  </sheetViews>
  <sheetFormatPr defaultRowHeight="14.4" x14ac:dyDescent="0.3"/>
  <cols>
    <col min="1" max="1" width="14.21875" bestFit="1" customWidth="1"/>
    <col min="2" max="2" width="13.21875" bestFit="1" customWidth="1"/>
    <col min="3" max="3" width="21.109375" bestFit="1" customWidth="1"/>
    <col min="4" max="4" width="17.5546875" bestFit="1" customWidth="1"/>
    <col min="5" max="5" width="18.5546875" bestFit="1" customWidth="1"/>
    <col min="6" max="6" width="10" bestFit="1" customWidth="1"/>
  </cols>
  <sheetData>
    <row r="1" spans="1:7" x14ac:dyDescent="0.3">
      <c r="A1" s="43" t="s">
        <v>262</v>
      </c>
      <c r="B1" s="43"/>
      <c r="C1" s="43"/>
      <c r="D1" s="43"/>
      <c r="E1" s="43"/>
      <c r="F1" s="43"/>
      <c r="G1" s="43"/>
    </row>
    <row r="2" spans="1:7" x14ac:dyDescent="0.3">
      <c r="A2" s="16" t="s">
        <v>250</v>
      </c>
      <c r="B2" s="16" t="s">
        <v>152</v>
      </c>
      <c r="C2" s="16" t="s">
        <v>259</v>
      </c>
      <c r="D2" s="22" t="s">
        <v>155</v>
      </c>
      <c r="E2" s="16" t="s">
        <v>260</v>
      </c>
      <c r="F2" s="16" t="s">
        <v>148</v>
      </c>
      <c r="G2" s="35" t="s">
        <v>256</v>
      </c>
    </row>
    <row r="3" spans="1:7" x14ac:dyDescent="0.3">
      <c r="A3" s="16" t="s">
        <v>113</v>
      </c>
      <c r="B3" s="15">
        <v>73319935</v>
      </c>
      <c r="C3" s="15">
        <v>9639</v>
      </c>
      <c r="D3" s="15">
        <v>2940723</v>
      </c>
      <c r="E3" s="15">
        <v>0</v>
      </c>
      <c r="F3" s="15">
        <v>76270297</v>
      </c>
      <c r="G3" s="38">
        <v>0.74597074912101813</v>
      </c>
    </row>
    <row r="4" spans="1:7" x14ac:dyDescent="0.3">
      <c r="A4" s="16" t="s">
        <v>117</v>
      </c>
      <c r="B4" s="15">
        <v>18025730</v>
      </c>
      <c r="C4" s="15">
        <v>0</v>
      </c>
      <c r="D4" s="15">
        <v>1105632</v>
      </c>
      <c r="E4" s="15">
        <v>129053</v>
      </c>
      <c r="F4" s="15">
        <v>19260415</v>
      </c>
      <c r="G4" s="38">
        <v>0.18837878926748763</v>
      </c>
    </row>
    <row r="5" spans="1:7" x14ac:dyDescent="0.3">
      <c r="A5" s="16" t="s">
        <v>114</v>
      </c>
      <c r="B5" s="15">
        <v>113309</v>
      </c>
      <c r="C5" s="15">
        <v>94007</v>
      </c>
      <c r="D5" s="15">
        <v>0</v>
      </c>
      <c r="E5" s="15">
        <v>0</v>
      </c>
      <c r="F5" s="15">
        <v>207316</v>
      </c>
      <c r="G5" s="38">
        <v>2.0276788987038164E-3</v>
      </c>
    </row>
    <row r="6" spans="1:7" x14ac:dyDescent="0.3">
      <c r="A6" s="16" t="s">
        <v>115</v>
      </c>
      <c r="B6" s="15">
        <v>6347658</v>
      </c>
      <c r="C6" s="15">
        <v>0</v>
      </c>
      <c r="D6" s="15">
        <v>142301</v>
      </c>
      <c r="E6" s="15">
        <v>2302</v>
      </c>
      <c r="F6" s="15">
        <v>6492261</v>
      </c>
      <c r="G6" s="38">
        <v>6.349833411110449E-2</v>
      </c>
    </row>
    <row r="7" spans="1:7" x14ac:dyDescent="0.3">
      <c r="A7" s="16" t="s">
        <v>116</v>
      </c>
      <c r="B7" s="15">
        <v>0</v>
      </c>
      <c r="C7" s="15">
        <v>12614</v>
      </c>
      <c r="D7" s="15">
        <v>0</v>
      </c>
      <c r="E7" s="15">
        <v>110</v>
      </c>
      <c r="F7" s="15">
        <v>12724</v>
      </c>
      <c r="G7" s="38">
        <v>1.2444860168586775E-4</v>
      </c>
    </row>
    <row r="8" spans="1:7" x14ac:dyDescent="0.3">
      <c r="A8" s="16" t="s">
        <v>148</v>
      </c>
      <c r="B8" s="15"/>
      <c r="C8" s="15"/>
      <c r="D8" s="15"/>
      <c r="E8" s="15"/>
      <c r="F8" s="15">
        <v>102243013</v>
      </c>
      <c r="G8" s="38">
        <v>1</v>
      </c>
    </row>
    <row r="9" spans="1:7" x14ac:dyDescent="0.3">
      <c r="A9" s="37" t="s">
        <v>2</v>
      </c>
      <c r="B9" s="37"/>
      <c r="C9" s="37"/>
      <c r="D9" s="37"/>
      <c r="E9" s="37"/>
      <c r="F9" s="37"/>
      <c r="G9" s="37"/>
    </row>
    <row r="10" spans="1:7" x14ac:dyDescent="0.3">
      <c r="A10" s="47" t="s">
        <v>250</v>
      </c>
      <c r="B10" s="47" t="s">
        <v>152</v>
      </c>
      <c r="C10" s="47" t="s">
        <v>259</v>
      </c>
      <c r="D10" s="47" t="s">
        <v>155</v>
      </c>
      <c r="E10" s="47" t="s">
        <v>260</v>
      </c>
      <c r="F10" s="35" t="s">
        <v>148</v>
      </c>
      <c r="G10" s="47" t="s">
        <v>256</v>
      </c>
    </row>
    <row r="11" spans="1:7" x14ac:dyDescent="0.3">
      <c r="A11" s="47" t="s">
        <v>113</v>
      </c>
      <c r="B11" s="15">
        <v>73943690</v>
      </c>
      <c r="C11" s="15">
        <v>11221</v>
      </c>
      <c r="D11" s="15">
        <v>3627617</v>
      </c>
      <c r="E11" s="15">
        <v>0</v>
      </c>
      <c r="F11" s="15">
        <v>77582528</v>
      </c>
      <c r="G11" s="38">
        <v>0.74490900140386485</v>
      </c>
    </row>
    <row r="12" spans="1:7" x14ac:dyDescent="0.3">
      <c r="A12" s="47" t="s">
        <v>117</v>
      </c>
      <c r="B12" s="15">
        <v>21610444</v>
      </c>
      <c r="C12" s="15">
        <v>0</v>
      </c>
      <c r="D12" s="15">
        <v>1216510</v>
      </c>
      <c r="E12" s="15">
        <v>130619</v>
      </c>
      <c r="F12" s="15">
        <v>22957573</v>
      </c>
      <c r="G12" s="38">
        <v>0.22042724333610692</v>
      </c>
    </row>
    <row r="13" spans="1:7" x14ac:dyDescent="0.3">
      <c r="A13" s="47" t="s">
        <v>114</v>
      </c>
      <c r="B13" s="15">
        <v>158073</v>
      </c>
      <c r="C13" s="15">
        <v>79007</v>
      </c>
      <c r="D13" s="15">
        <v>0</v>
      </c>
      <c r="E13" s="15">
        <v>0</v>
      </c>
      <c r="F13" s="15">
        <v>237080</v>
      </c>
      <c r="G13" s="38">
        <v>2.2763247164726092E-3</v>
      </c>
    </row>
    <row r="14" spans="1:7" x14ac:dyDescent="0.3">
      <c r="A14" s="47" t="s">
        <v>115</v>
      </c>
      <c r="B14" s="15">
        <v>3233781</v>
      </c>
      <c r="C14" s="15">
        <v>0</v>
      </c>
      <c r="D14" s="15">
        <v>122700</v>
      </c>
      <c r="E14" s="15">
        <v>2352</v>
      </c>
      <c r="F14" s="15">
        <v>3358833</v>
      </c>
      <c r="G14" s="38">
        <v>3.2249850583785405E-2</v>
      </c>
    </row>
    <row r="15" spans="1:7" x14ac:dyDescent="0.3">
      <c r="A15" s="47" t="s">
        <v>116</v>
      </c>
      <c r="B15" s="15">
        <v>0</v>
      </c>
      <c r="C15" s="15">
        <v>13329</v>
      </c>
      <c r="D15" s="15">
        <v>0</v>
      </c>
      <c r="E15" s="15">
        <v>1000</v>
      </c>
      <c r="F15" s="15">
        <v>14329</v>
      </c>
      <c r="G15" s="38">
        <v>1.375799597702717E-4</v>
      </c>
    </row>
    <row r="16" spans="1:7" x14ac:dyDescent="0.3">
      <c r="A16" s="47" t="s">
        <v>148</v>
      </c>
      <c r="B16" s="15"/>
      <c r="C16" s="15"/>
      <c r="D16" s="15"/>
      <c r="E16" s="15"/>
      <c r="F16" s="15">
        <v>104150343</v>
      </c>
      <c r="G16" s="38">
        <v>1</v>
      </c>
    </row>
  </sheetData>
  <mergeCells count="2">
    <mergeCell ref="A1:G1"/>
    <mergeCell ref="A9:G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 Budget Document</vt:lpstr>
      <vt:lpstr>Proposed Budget Format</vt:lpstr>
      <vt:lpstr>100% Program</vt:lpstr>
      <vt:lpstr>&lt;100% Program</vt:lpstr>
      <vt:lpstr>100% Non-Program</vt:lpstr>
      <vt:lpstr>&lt;100% Non-Programme</vt:lpstr>
      <vt:lpstr>Schemes with funds</vt:lpstr>
      <vt:lpstr>Ministrywise Expenditure</vt:lpstr>
      <vt:lpstr>Theme wise Expenditure</vt:lpstr>
      <vt:lpstr>Sheet11</vt:lpstr>
      <vt:lpstr>No. of schemes departmentwise</vt:lpstr>
      <vt:lpstr>Number of Schemes Ministrywise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</dc:creator>
  <cp:lastModifiedBy>anany</cp:lastModifiedBy>
  <dcterms:created xsi:type="dcterms:W3CDTF">2021-03-29T18:02:40Z</dcterms:created>
  <dcterms:modified xsi:type="dcterms:W3CDTF">2021-04-02T08:44:43Z</dcterms:modified>
</cp:coreProperties>
</file>