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19440" windowHeight="9495"/>
  </bookViews>
  <sheets>
    <sheet name="asset- 1 " sheetId="1" r:id="rId1"/>
  </sheets>
  <calcPr calcId="125725"/>
</workbook>
</file>

<file path=xl/calcChain.xml><?xml version="1.0" encoding="utf-8"?>
<calcChain xmlns="http://schemas.openxmlformats.org/spreadsheetml/2006/main">
  <c r="AC3" i="1"/>
  <c r="AC4"/>
  <c r="AC5"/>
  <c r="AC6"/>
  <c r="AC7"/>
  <c r="AC8"/>
  <c r="AC9"/>
  <c r="AC10"/>
  <c r="AC11"/>
  <c r="AC12"/>
  <c r="AD3"/>
  <c r="AD4"/>
  <c r="AD5"/>
  <c r="AD6"/>
  <c r="AD7"/>
  <c r="AD8"/>
  <c r="AD9"/>
  <c r="AD10"/>
  <c r="AD11"/>
  <c r="AD12"/>
  <c r="AC2"/>
  <c r="AD2"/>
  <c r="AB3"/>
  <c r="AB4"/>
  <c r="AB5"/>
  <c r="AB6"/>
  <c r="AB7"/>
  <c r="AB8"/>
  <c r="AB9"/>
  <c r="Q20"/>
  <c r="Q5"/>
  <c r="S5"/>
  <c r="W5" s="1"/>
  <c r="R5"/>
  <c r="V5" s="1"/>
  <c r="Q12"/>
  <c r="Q11"/>
  <c r="Q10"/>
  <c r="Q9"/>
  <c r="Q8"/>
  <c r="Q7"/>
  <c r="Q6"/>
  <c r="Q4"/>
  <c r="Q3"/>
  <c r="Q2"/>
  <c r="U33"/>
  <c r="V33"/>
  <c r="T5" l="1"/>
  <c r="AK41"/>
  <c r="S16"/>
  <c r="W16" s="1"/>
  <c r="R16"/>
  <c r="Q16"/>
  <c r="S17"/>
  <c r="S18"/>
  <c r="W18" s="1"/>
  <c r="S19"/>
  <c r="W19" s="1"/>
  <c r="S20"/>
  <c r="W20" s="1"/>
  <c r="S21"/>
  <c r="W21" s="1"/>
  <c r="S22"/>
  <c r="W22" s="1"/>
  <c r="S23"/>
  <c r="W23" s="1"/>
  <c r="S24"/>
  <c r="W24" s="1"/>
  <c r="S25"/>
  <c r="W25" s="1"/>
  <c r="S26"/>
  <c r="R17"/>
  <c r="R18"/>
  <c r="V18" s="1"/>
  <c r="R19"/>
  <c r="R20"/>
  <c r="V20" s="1"/>
  <c r="R21"/>
  <c r="R22"/>
  <c r="V22" s="1"/>
  <c r="R23"/>
  <c r="R24"/>
  <c r="R25"/>
  <c r="R26"/>
  <c r="V26" s="1"/>
  <c r="Q17"/>
  <c r="Q18"/>
  <c r="Q19"/>
  <c r="Q21"/>
  <c r="U21" s="1"/>
  <c r="Q22"/>
  <c r="Q23"/>
  <c r="U23" s="1"/>
  <c r="Q24"/>
  <c r="Q25"/>
  <c r="Q26"/>
  <c r="S3"/>
  <c r="W3" s="1"/>
  <c r="S4"/>
  <c r="W4" s="1"/>
  <c r="S6"/>
  <c r="W6" s="1"/>
  <c r="S7"/>
  <c r="W7" s="1"/>
  <c r="S8"/>
  <c r="W8" s="1"/>
  <c r="S9"/>
  <c r="W9" s="1"/>
  <c r="S10"/>
  <c r="W10" s="1"/>
  <c r="S11"/>
  <c r="W11" s="1"/>
  <c r="S12"/>
  <c r="W12" s="1"/>
  <c r="S2"/>
  <c r="W2" s="1"/>
  <c r="R3"/>
  <c r="R4"/>
  <c r="V4" s="1"/>
  <c r="R6"/>
  <c r="R7"/>
  <c r="R8"/>
  <c r="T8" s="1"/>
  <c r="R9"/>
  <c r="R10"/>
  <c r="V10" s="1"/>
  <c r="R11"/>
  <c r="R12"/>
  <c r="V12" s="1"/>
  <c r="R2"/>
  <c r="V2" s="1"/>
  <c r="U4"/>
  <c r="U8"/>
  <c r="U9"/>
  <c r="V29"/>
  <c r="X30"/>
  <c r="X31" s="1"/>
  <c r="X32" s="1"/>
  <c r="X33" s="1"/>
  <c r="X34" s="1"/>
  <c r="X35" s="1"/>
  <c r="X36" s="1"/>
  <c r="X37" s="1"/>
  <c r="X38" s="1"/>
  <c r="X29"/>
  <c r="U6"/>
  <c r="W17"/>
  <c r="V24"/>
  <c r="A2"/>
  <c r="A3" s="1"/>
  <c r="A4" s="1"/>
  <c r="A5" s="1"/>
  <c r="A6" s="1"/>
  <c r="C33"/>
  <c r="C32"/>
  <c r="V7"/>
  <c r="T3" l="1"/>
  <c r="T12"/>
  <c r="T20"/>
  <c r="V3"/>
  <c r="T10"/>
  <c r="T9"/>
  <c r="T4"/>
  <c r="T11"/>
  <c r="T7"/>
  <c r="V6"/>
  <c r="T6"/>
  <c r="V9"/>
  <c r="T2"/>
  <c r="AH30"/>
  <c r="AH29"/>
  <c r="AH28"/>
  <c r="AH32"/>
  <c r="AH31"/>
  <c r="T16"/>
  <c r="T23"/>
  <c r="T24"/>
  <c r="U16"/>
  <c r="U2"/>
  <c r="AF11"/>
  <c r="AG11" s="1"/>
  <c r="T26"/>
  <c r="T18"/>
  <c r="V11"/>
  <c r="T25"/>
  <c r="T17"/>
  <c r="AF9"/>
  <c r="AG9" s="1"/>
  <c r="AF23"/>
  <c r="AG23" s="1"/>
  <c r="T19"/>
  <c r="U17"/>
  <c r="AF10"/>
  <c r="AG10" s="1"/>
  <c r="V8"/>
  <c r="U25"/>
  <c r="AF25"/>
  <c r="AG25" s="1"/>
  <c r="U5"/>
  <c r="U20"/>
  <c r="AF17"/>
  <c r="AG17" s="1"/>
  <c r="AF16"/>
  <c r="AG16" s="1"/>
  <c r="AF19"/>
  <c r="AG19" s="1"/>
  <c r="AF3"/>
  <c r="AG3" s="1"/>
  <c r="AF12"/>
  <c r="AG12" s="1"/>
  <c r="AF6"/>
  <c r="AG6" s="1"/>
  <c r="V16"/>
  <c r="U7"/>
  <c r="AE4"/>
  <c r="AF7"/>
  <c r="AG7" s="1"/>
  <c r="AF21"/>
  <c r="AG21" s="1"/>
  <c r="V19"/>
  <c r="T21"/>
  <c r="AF4"/>
  <c r="AG4" s="1"/>
  <c r="U12"/>
  <c r="AE3"/>
  <c r="U10"/>
  <c r="AE2"/>
  <c r="AF8"/>
  <c r="AG8" s="1"/>
  <c r="AE19"/>
  <c r="T22"/>
  <c r="AE20"/>
  <c r="AE17"/>
  <c r="U11"/>
  <c r="U3"/>
  <c r="AE16"/>
  <c r="AF2"/>
  <c r="AG2" s="1"/>
  <c r="AF5"/>
  <c r="AG5" s="1"/>
  <c r="AE18"/>
  <c r="W26"/>
  <c r="U19"/>
  <c r="U18"/>
  <c r="V21"/>
  <c r="V17"/>
  <c r="U24"/>
  <c r="AF26"/>
  <c r="AG26" s="1"/>
  <c r="AF24"/>
  <c r="AG24" s="1"/>
  <c r="AF22"/>
  <c r="AG22" s="1"/>
  <c r="AF20"/>
  <c r="AG20" s="1"/>
  <c r="AF18"/>
  <c r="AG18" s="1"/>
  <c r="V25"/>
  <c r="V23"/>
  <c r="U26"/>
  <c r="U22"/>
  <c r="A7"/>
  <c r="AE21" s="1"/>
  <c r="AE6"/>
  <c r="AE5"/>
  <c r="AH33" l="1"/>
  <c r="A8"/>
  <c r="AE7"/>
  <c r="AE22" l="1"/>
  <c r="AH34"/>
  <c r="A9"/>
  <c r="AE8"/>
  <c r="AE23" l="1"/>
  <c r="AH35"/>
  <c r="A10"/>
  <c r="AE9"/>
  <c r="AE24" l="1"/>
  <c r="AH36"/>
  <c r="A11"/>
  <c r="AH37" s="1"/>
  <c r="AE10"/>
  <c r="AE25" l="1"/>
  <c r="A12"/>
  <c r="AE11"/>
  <c r="AH38" l="1"/>
  <c r="X2"/>
  <c r="X11"/>
  <c r="AH16"/>
  <c r="AH4"/>
  <c r="Z16"/>
  <c r="AA9"/>
  <c r="Y23"/>
  <c r="AA16"/>
  <c r="AH8"/>
  <c r="AH2"/>
  <c r="Z11"/>
  <c r="AA26"/>
  <c r="Z3"/>
  <c r="AA4"/>
  <c r="AA12"/>
  <c r="AH12"/>
  <c r="X26"/>
  <c r="X25"/>
  <c r="AH5"/>
  <c r="AA5"/>
  <c r="AA25"/>
  <c r="Y17"/>
  <c r="AH10"/>
  <c r="AA11"/>
  <c r="AA7"/>
  <c r="Y16"/>
  <c r="AA8"/>
  <c r="AH9"/>
  <c r="AH17"/>
  <c r="AH26"/>
  <c r="AA6"/>
  <c r="X22"/>
  <c r="Y18"/>
  <c r="AH11"/>
  <c r="AH6"/>
  <c r="X24"/>
  <c r="Y11"/>
  <c r="Y19"/>
  <c r="AA23"/>
  <c r="AA24"/>
  <c r="AA3"/>
  <c r="AA2"/>
  <c r="AH7"/>
  <c r="AA10"/>
  <c r="AH3"/>
  <c r="AJ29" s="1"/>
  <c r="Z7"/>
  <c r="Y4"/>
  <c r="Z24"/>
  <c r="X10"/>
  <c r="X19"/>
  <c r="AB19" s="1"/>
  <c r="X8"/>
  <c r="AA22"/>
  <c r="Z22"/>
  <c r="Z4"/>
  <c r="Y6"/>
  <c r="AA19"/>
  <c r="Z9"/>
  <c r="AA20"/>
  <c r="X7"/>
  <c r="X5"/>
  <c r="Z10"/>
  <c r="AA21"/>
  <c r="Z20"/>
  <c r="Z26"/>
  <c r="Y9"/>
  <c r="Z17"/>
  <c r="Z25"/>
  <c r="Y10"/>
  <c r="X3"/>
  <c r="Z12"/>
  <c r="X18"/>
  <c r="Z19"/>
  <c r="X20"/>
  <c r="AA17"/>
  <c r="Y22"/>
  <c r="Y25"/>
  <c r="Z21"/>
  <c r="Y7"/>
  <c r="Y5"/>
  <c r="Y2"/>
  <c r="Y21"/>
  <c r="Y8"/>
  <c r="X9"/>
  <c r="Y26"/>
  <c r="X17"/>
  <c r="Z5"/>
  <c r="Z18"/>
  <c r="AC18" s="1"/>
  <c r="X12"/>
  <c r="Y12"/>
  <c r="Z8"/>
  <c r="X4"/>
  <c r="Y3"/>
  <c r="Y24"/>
  <c r="Y20"/>
  <c r="Z2"/>
  <c r="X16"/>
  <c r="X6"/>
  <c r="X21"/>
  <c r="Z23"/>
  <c r="Z6"/>
  <c r="AA18"/>
  <c r="X23"/>
  <c r="AH19"/>
  <c r="AH25"/>
  <c r="AH23"/>
  <c r="AE26"/>
  <c r="AE12"/>
  <c r="AH24"/>
  <c r="AH22"/>
  <c r="AH18"/>
  <c r="AH21"/>
  <c r="AH20"/>
  <c r="AC24" l="1"/>
  <c r="AD24"/>
  <c r="AB2"/>
  <c r="AC26"/>
  <c r="AJ38"/>
  <c r="AB26"/>
  <c r="AJ34"/>
  <c r="AB22"/>
  <c r="AD26"/>
  <c r="AC19"/>
  <c r="AD19"/>
  <c r="AD31" s="1"/>
  <c r="AB21"/>
  <c r="AB25"/>
  <c r="AD22"/>
  <c r="AB24"/>
  <c r="AB17"/>
  <c r="AC22"/>
  <c r="AB11"/>
  <c r="AD25"/>
  <c r="AC25"/>
  <c r="AJ30"/>
  <c r="AB18"/>
  <c r="AB20"/>
  <c r="AD21"/>
  <c r="AC20"/>
  <c r="AC21"/>
  <c r="AB12"/>
  <c r="AD17"/>
  <c r="AD20"/>
  <c r="AB16"/>
  <c r="AD16"/>
  <c r="AC16"/>
  <c r="AC17"/>
  <c r="AC23"/>
  <c r="AB10"/>
  <c r="AB23"/>
  <c r="AD23"/>
  <c r="AD18"/>
  <c r="AJ33"/>
  <c r="AJ32"/>
  <c r="AJ35"/>
  <c r="AJ28"/>
  <c r="AJ37"/>
  <c r="AJ36"/>
  <c r="AJ31"/>
  <c r="AH13"/>
  <c r="AD35" l="1"/>
  <c r="AB35"/>
  <c r="AD36"/>
  <c r="AI7"/>
  <c r="AB37"/>
  <c r="AB38"/>
  <c r="AL19"/>
  <c r="AI2"/>
  <c r="AL9"/>
  <c r="AB34"/>
  <c r="AD28"/>
  <c r="AL26"/>
  <c r="AL2"/>
  <c r="AB28"/>
  <c r="AD38"/>
  <c r="AB36"/>
  <c r="AL24"/>
  <c r="AB29"/>
  <c r="AI22"/>
  <c r="AL25"/>
  <c r="AI24"/>
  <c r="AB33"/>
  <c r="AI19"/>
  <c r="AL18"/>
  <c r="AL22"/>
  <c r="AI11"/>
  <c r="AL11"/>
  <c r="AC31"/>
  <c r="AI25"/>
  <c r="AI5"/>
  <c r="AB30"/>
  <c r="AB32"/>
  <c r="AB31"/>
  <c r="AL12"/>
  <c r="AL5"/>
  <c r="AI9"/>
  <c r="AI8"/>
  <c r="AI20"/>
  <c r="AL8"/>
  <c r="AI4"/>
  <c r="AI17"/>
  <c r="AL20"/>
  <c r="AL17"/>
  <c r="AL4"/>
  <c r="AL7"/>
  <c r="AI21"/>
  <c r="AD29"/>
  <c r="AI18"/>
  <c r="AL21"/>
  <c r="AD30"/>
  <c r="AL6"/>
  <c r="AI6"/>
  <c r="AL3"/>
  <c r="AI3"/>
  <c r="AL16"/>
  <c r="AI16"/>
  <c r="AJ16" s="1"/>
  <c r="AL10"/>
  <c r="AI10"/>
  <c r="AL23"/>
  <c r="AI23"/>
  <c r="AC30"/>
  <c r="AC28"/>
  <c r="AD32"/>
  <c r="AD37"/>
  <c r="AC34"/>
  <c r="AC38"/>
  <c r="AC37"/>
  <c r="AJ2"/>
  <c r="AD34"/>
  <c r="AD33"/>
  <c r="AC29"/>
  <c r="AC35"/>
  <c r="AC33"/>
  <c r="AC36"/>
  <c r="AC32"/>
  <c r="AK31" l="1"/>
  <c r="AK36"/>
  <c r="AE31"/>
  <c r="AE32"/>
  <c r="AE29"/>
  <c r="AK29"/>
  <c r="AK33"/>
  <c r="AE34"/>
  <c r="AL13"/>
  <c r="AK37"/>
  <c r="AK32"/>
  <c r="AK30"/>
  <c r="AK34"/>
  <c r="AE36"/>
  <c r="AE35"/>
  <c r="AK35"/>
  <c r="AE28"/>
  <c r="AF28" s="1"/>
  <c r="AK28"/>
  <c r="AJ17"/>
  <c r="AE37"/>
  <c r="AE33"/>
  <c r="AE30"/>
  <c r="AI13"/>
  <c r="AJ3"/>
  <c r="AK2"/>
  <c r="AM2" l="1"/>
  <c r="AK39"/>
  <c r="AG28"/>
  <c r="AL28" s="1"/>
  <c r="AF29"/>
  <c r="AF30" s="1"/>
  <c r="AK16"/>
  <c r="AK3"/>
  <c r="AM3" s="1"/>
  <c r="AJ4"/>
  <c r="AM16" l="1"/>
  <c r="AO16" s="1"/>
  <c r="AG29"/>
  <c r="AL29" s="1"/>
  <c r="AJ18"/>
  <c r="AK17"/>
  <c r="AG30"/>
  <c r="AF31"/>
  <c r="AK4"/>
  <c r="AJ5"/>
  <c r="AM17" l="1"/>
  <c r="AO17" s="1"/>
  <c r="AM4"/>
  <c r="AL30"/>
  <c r="AJ19"/>
  <c r="AK18"/>
  <c r="AM18" s="1"/>
  <c r="AF32"/>
  <c r="AG31"/>
  <c r="AL31" s="1"/>
  <c r="AJ6"/>
  <c r="AK5"/>
  <c r="AM5" s="1"/>
  <c r="AK6" l="1"/>
  <c r="AO18"/>
  <c r="AJ20"/>
  <c r="AK19"/>
  <c r="AM19" s="1"/>
  <c r="AF33"/>
  <c r="AG32"/>
  <c r="AJ7"/>
  <c r="AM6" l="1"/>
  <c r="AO19"/>
  <c r="AL32"/>
  <c r="AJ21"/>
  <c r="AK20"/>
  <c r="AM20" s="1"/>
  <c r="AF34"/>
  <c r="AG33"/>
  <c r="AK7"/>
  <c r="AM7" s="1"/>
  <c r="AJ8"/>
  <c r="AO20" l="1"/>
  <c r="AL33"/>
  <c r="AJ22"/>
  <c r="AK21"/>
  <c r="AM21" s="1"/>
  <c r="AF35"/>
  <c r="AG34"/>
  <c r="AK8"/>
  <c r="AM8" s="1"/>
  <c r="AJ9"/>
  <c r="AO21" l="1"/>
  <c r="AL34"/>
  <c r="AK22"/>
  <c r="AM22" s="1"/>
  <c r="AJ23"/>
  <c r="AF36"/>
  <c r="AF37" s="1"/>
  <c r="AG35"/>
  <c r="AL35" s="1"/>
  <c r="AK9"/>
  <c r="AM9" s="1"/>
  <c r="AJ10"/>
  <c r="AF38" l="1"/>
  <c r="AG38" s="1"/>
  <c r="AO22"/>
  <c r="AJ24"/>
  <c r="AK23"/>
  <c r="AM23" s="1"/>
  <c r="AG36"/>
  <c r="AK10"/>
  <c r="AM10" s="1"/>
  <c r="AJ11"/>
  <c r="AF39" l="1"/>
  <c r="AK11"/>
  <c r="AM11" s="1"/>
  <c r="AJ12"/>
  <c r="AO23"/>
  <c r="AL36"/>
  <c r="AJ25"/>
  <c r="AK24"/>
  <c r="AM24" s="1"/>
  <c r="AG37"/>
  <c r="AL38" s="1"/>
  <c r="AL37" l="1"/>
  <c r="AJ26"/>
  <c r="AK25"/>
  <c r="AM25" s="1"/>
  <c r="AO25" s="1"/>
  <c r="AK12"/>
  <c r="AK13" s="1"/>
  <c r="AG39"/>
  <c r="AO24"/>
  <c r="AM12" l="1"/>
  <c r="AK26"/>
  <c r="AM26" s="1"/>
</calcChain>
</file>

<file path=xl/comments1.xml><?xml version="1.0" encoding="utf-8"?>
<comments xmlns="http://schemas.openxmlformats.org/spreadsheetml/2006/main">
  <authors>
    <author>prachiTN</author>
  </authors>
  <commentList>
    <comment ref="X1" authorId="0">
      <text>
        <r>
          <rPr>
            <b/>
            <sz val="9"/>
            <color indexed="81"/>
            <rFont val="Tahoma"/>
            <family val="2"/>
          </rPr>
          <t>prachiTN:</t>
        </r>
        <r>
          <rPr>
            <sz val="9"/>
            <color indexed="81"/>
            <rFont val="Tahoma"/>
            <family val="2"/>
          </rPr>
          <t xml:space="preserve">
Payoff
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prachiTN:</t>
        </r>
        <r>
          <rPr>
            <sz val="9"/>
            <color indexed="81"/>
            <rFont val="Tahoma"/>
            <family val="2"/>
          </rPr>
          <t xml:space="preserve">
2. Delta is to be discounted</t>
        </r>
      </text>
    </comment>
  </commentList>
</comments>
</file>

<file path=xl/sharedStrings.xml><?xml version="1.0" encoding="utf-8"?>
<sst xmlns="http://schemas.openxmlformats.org/spreadsheetml/2006/main" count="203" uniqueCount="92">
  <si>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</si>
  <si>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</si>
  <si>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</si>
  <si>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</si>
  <si>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</si>
  <si>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</si>
  <si>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</si>
  <si>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</si>
  <si>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</si>
  <si>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</si>
  <si>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</si>
  <si>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</si>
  <si>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NA</t>
  </si>
  <si>
    <t>Actual Sim - Asset 1</t>
  </si>
  <si>
    <t>Actual Sim - Asset 2</t>
  </si>
  <si>
    <t>Actual Sim - Asset 3</t>
  </si>
  <si>
    <t>Hedge Sim - Asset 1</t>
  </si>
  <si>
    <t>Hedge Sim - Asset 2</t>
  </si>
  <si>
    <t>A1</t>
  </si>
  <si>
    <t>A2</t>
  </si>
  <si>
    <t>A3</t>
  </si>
  <si>
    <t>Hedge Sim - Asset 3</t>
  </si>
  <si>
    <t>WoC</t>
  </si>
  <si>
    <t>1% A1</t>
  </si>
  <si>
    <t>1% A2</t>
  </si>
  <si>
    <t>1% A3</t>
  </si>
  <si>
    <t>WoC 1</t>
  </si>
  <si>
    <t>WoC 2</t>
  </si>
  <si>
    <t>WoC 3</t>
  </si>
  <si>
    <t>Delta 1</t>
  </si>
  <si>
    <t>Delta 2</t>
  </si>
  <si>
    <t>Delta 3</t>
  </si>
  <si>
    <t>Bond</t>
  </si>
  <si>
    <t>Product Code</t>
  </si>
  <si>
    <t>Valuation Date</t>
  </si>
  <si>
    <t>Final Fixing Date</t>
  </si>
  <si>
    <t>Strike</t>
  </si>
  <si>
    <t>Redemption Date</t>
  </si>
  <si>
    <t>Value today</t>
  </si>
  <si>
    <t>IV</t>
  </si>
  <si>
    <t>RFR</t>
  </si>
  <si>
    <t>Initial Fixing Date</t>
  </si>
  <si>
    <t>No of Scenario</t>
  </si>
  <si>
    <t>IR</t>
  </si>
  <si>
    <t>Pen</t>
  </si>
  <si>
    <t>PP</t>
  </si>
  <si>
    <t>no of assets</t>
  </si>
  <si>
    <t>Hedgescenarios</t>
  </si>
  <si>
    <t>Builtin</t>
  </si>
  <si>
    <t>WOC</t>
  </si>
  <si>
    <t>Rd - Val</t>
  </si>
  <si>
    <t>FD - ID</t>
  </si>
  <si>
    <t>Min Asset</t>
  </si>
  <si>
    <t>Vol</t>
  </si>
  <si>
    <t>Rf</t>
  </si>
  <si>
    <t>Rfr</t>
  </si>
  <si>
    <t>OTC MTM</t>
  </si>
  <si>
    <t>Delta PnL</t>
  </si>
  <si>
    <t>Cum Delta Pnl</t>
  </si>
  <si>
    <t>Int on Cum PnL</t>
  </si>
  <si>
    <t>Roll Cost</t>
  </si>
  <si>
    <t>Net</t>
  </si>
  <si>
    <t>Delta WoC</t>
  </si>
  <si>
    <t>Finaldelta1 ,asim1</t>
  </si>
  <si>
    <t>Finaldelta2 ,asim1</t>
  </si>
  <si>
    <t>Finaldelta3 ,asim1</t>
  </si>
  <si>
    <t>HedgePnl</t>
  </si>
  <si>
    <t>Int On PnL</t>
  </si>
  <si>
    <t>Principal</t>
  </si>
  <si>
    <t>Total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</si>
  <si>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</si>
  <si>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</si>
  <si>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</si>
  <si>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</si>
  <si>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</si>
  <si>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</si>
  <si>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</si>
  <si>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</si>
  <si>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</si>
  <si>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</si>
  <si>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</si>
  <si>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2x2</t>
  </si>
  <si>
    <t>Rollcost</t>
  </si>
  <si>
    <t>Price</t>
  </si>
  <si>
    <t>Realised</t>
  </si>
  <si>
    <t>hedged</t>
  </si>
  <si>
    <t>14%/16%</t>
  </si>
  <si>
    <t>x</t>
  </si>
  <si>
    <t>y</t>
  </si>
  <si>
    <t>a*(y/x)</t>
  </si>
  <si>
    <t>2x1</t>
  </si>
  <si>
    <t>Output from R code ( each written below the corresponding column )</t>
  </si>
</sst>
</file>

<file path=xl/styles.xml><?xml version="1.0" encoding="utf-8"?>
<styleSheet xmlns="http://schemas.openxmlformats.org/spreadsheetml/2006/main">
  <numFmts count="6">
    <numFmt numFmtId="164" formatCode="0.000000"/>
    <numFmt numFmtId="165" formatCode="0.000000000"/>
    <numFmt numFmtId="166" formatCode="0.0000000000"/>
    <numFmt numFmtId="167" formatCode="0.0000000000000"/>
    <numFmt numFmtId="168" formatCode="0.00000000000"/>
    <numFmt numFmtId="169" formatCode="0.0000000000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5" fontId="0" fillId="0" borderId="0" xfId="0" applyNumberFormat="1"/>
    <xf numFmtId="0" fontId="0" fillId="33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10" xfId="0" applyBorder="1"/>
    <xf numFmtId="166" fontId="0" fillId="0" borderId="10" xfId="0" applyNumberFormat="1" applyBorder="1"/>
    <xf numFmtId="0" fontId="0" fillId="33" borderId="10" xfId="0" applyFill="1" applyBorder="1"/>
    <xf numFmtId="0" fontId="0" fillId="33" borderId="0" xfId="0" applyFill="1" applyBorder="1"/>
    <xf numFmtId="0" fontId="14" fillId="33" borderId="0" xfId="0" applyFont="1" applyFill="1" applyBorder="1" applyAlignment="1">
      <alignment horizontal="center"/>
    </xf>
    <xf numFmtId="168" fontId="0" fillId="0" borderId="0" xfId="0" applyNumberFormat="1"/>
    <xf numFmtId="169" fontId="0" fillId="0" borderId="0" xfId="0" applyNumberFormat="1"/>
    <xf numFmtId="4" fontId="0" fillId="0" borderId="0" xfId="0" applyNumberFormat="1"/>
    <xf numFmtId="9" fontId="0" fillId="0" borderId="0" xfId="0" applyNumberFormat="1"/>
    <xf numFmtId="9" fontId="0" fillId="33" borderId="0" xfId="0" applyNumberFormat="1" applyFill="1"/>
    <xf numFmtId="166" fontId="0" fillId="33" borderId="0" xfId="0" applyNumberFormat="1" applyFill="1"/>
    <xf numFmtId="165" fontId="0" fillId="33" borderId="0" xfId="0" applyNumberFormat="1" applyFill="1"/>
    <xf numFmtId="164" fontId="0" fillId="33" borderId="0" xfId="0" applyNumberFormat="1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2"/>
  <sheetViews>
    <sheetView tabSelected="1" topLeftCell="Y32" workbookViewId="0">
      <selection activeCell="AH29" sqref="AH29"/>
    </sheetView>
  </sheetViews>
  <sheetFormatPr defaultRowHeight="15"/>
  <cols>
    <col min="1" max="1" width="11.28515625" bestFit="1" customWidth="1"/>
    <col min="2" max="3" width="10" bestFit="1" customWidth="1"/>
    <col min="5" max="5" width="10" bestFit="1" customWidth="1"/>
    <col min="9" max="9" width="10" bestFit="1" customWidth="1"/>
    <col min="20" max="20" width="16.7109375" bestFit="1" customWidth="1"/>
    <col min="21" max="21" width="9.85546875" bestFit="1" customWidth="1"/>
    <col min="23" max="23" width="8.7109375" customWidth="1"/>
    <col min="24" max="24" width="12.5703125" bestFit="1" customWidth="1"/>
    <col min="26" max="26" width="11.5703125" bestFit="1" customWidth="1"/>
    <col min="27" max="28" width="12.5703125" bestFit="1" customWidth="1"/>
    <col min="29" max="29" width="15.42578125" bestFit="1" customWidth="1"/>
    <col min="30" max="30" width="15.140625" bestFit="1" customWidth="1"/>
    <col min="31" max="31" width="12.28515625" bestFit="1" customWidth="1"/>
    <col min="32" max="32" width="13.42578125" bestFit="1" customWidth="1"/>
    <col min="33" max="33" width="17.5703125" bestFit="1" customWidth="1"/>
    <col min="34" max="34" width="12" bestFit="1" customWidth="1"/>
    <col min="35" max="35" width="14.42578125" bestFit="1" customWidth="1"/>
    <col min="36" max="36" width="13.5703125" bestFit="1" customWidth="1"/>
    <col min="37" max="37" width="22" bestFit="1" customWidth="1"/>
    <col min="38" max="38" width="24" bestFit="1" customWidth="1"/>
    <col min="39" max="39" width="16.42578125" bestFit="1" customWidth="1"/>
    <col min="41" max="41" width="12.28515625" bestFit="1" customWidth="1"/>
  </cols>
  <sheetData>
    <row r="1" spans="1:41">
      <c r="A1" t="s">
        <v>13</v>
      </c>
      <c r="C1" t="s">
        <v>0</v>
      </c>
      <c r="D1" t="s">
        <v>1</v>
      </c>
      <c r="F1" t="s">
        <v>14</v>
      </c>
      <c r="H1" t="s">
        <v>0</v>
      </c>
      <c r="I1" t="s">
        <v>1</v>
      </c>
      <c r="K1" t="s">
        <v>15</v>
      </c>
      <c r="M1" t="s">
        <v>0</v>
      </c>
      <c r="N1" t="s">
        <v>1</v>
      </c>
      <c r="P1" t="s">
        <v>90</v>
      </c>
      <c r="Q1" t="s">
        <v>18</v>
      </c>
      <c r="R1" t="s">
        <v>19</v>
      </c>
      <c r="S1" t="s">
        <v>20</v>
      </c>
      <c r="T1" t="s">
        <v>22</v>
      </c>
      <c r="U1" t="s">
        <v>23</v>
      </c>
      <c r="V1" t="s">
        <v>24</v>
      </c>
      <c r="W1" t="s">
        <v>25</v>
      </c>
      <c r="X1" t="s">
        <v>62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s="2" t="s">
        <v>32</v>
      </c>
      <c r="AF1" t="s">
        <v>52</v>
      </c>
      <c r="AG1" t="s">
        <v>55</v>
      </c>
      <c r="AH1" s="2" t="s">
        <v>56</v>
      </c>
      <c r="AI1" s="2" t="s">
        <v>57</v>
      </c>
      <c r="AJ1" t="s">
        <v>58</v>
      </c>
      <c r="AK1" s="2" t="s">
        <v>59</v>
      </c>
      <c r="AL1" s="2" t="s">
        <v>60</v>
      </c>
      <c r="AM1" s="2" t="s">
        <v>61</v>
      </c>
    </row>
    <row r="2" spans="1:41">
      <c r="A2">
        <f>I30-B30</f>
        <v>2</v>
      </c>
      <c r="B2" t="s">
        <v>0</v>
      </c>
      <c r="C2">
        <v>100</v>
      </c>
      <c r="D2">
        <v>100</v>
      </c>
      <c r="E2" s="15">
        <v>0.16</v>
      </c>
      <c r="F2" t="s">
        <v>83</v>
      </c>
      <c r="G2" t="s">
        <v>0</v>
      </c>
      <c r="H2">
        <v>100</v>
      </c>
      <c r="I2">
        <v>100</v>
      </c>
      <c r="L2" t="s">
        <v>0</v>
      </c>
      <c r="M2">
        <v>100</v>
      </c>
      <c r="N2">
        <v>100</v>
      </c>
      <c r="Q2">
        <f t="shared" ref="Q2:Q12" si="0">($C$26/C16)*D2</f>
        <v>98.330934918320494</v>
      </c>
      <c r="R2">
        <f>($H$26/H16)*I2</f>
        <v>99.309505282109797</v>
      </c>
      <c r="S2">
        <f>($M$26/M16)*N2</f>
        <v>98.366689970290196</v>
      </c>
      <c r="T2">
        <f t="shared" ref="T2:T11" si="1">MAX(0,1.77*MIN(Q2/100-1,R2/100-1,S2/100-1,1))</f>
        <v>0</v>
      </c>
      <c r="U2">
        <f>Q2*1.01</f>
        <v>99.314244267503696</v>
      </c>
      <c r="V2">
        <f>R2*1.01</f>
        <v>100.3026003349309</v>
      </c>
      <c r="W2">
        <f>S2*1.01</f>
        <v>99.350356869993092</v>
      </c>
      <c r="X2">
        <f>MAX(0,1.77*MIN(Q2/100-1,R2/100-1,S2/100-1))/(1+AG2)^(($A$12-A2)/365)</f>
        <v>0</v>
      </c>
      <c r="Y2">
        <f>MAX(0,1.77*MIN(U2/100-1,R2/100-1,S2/100-1))/(1+AG2)^(($A$12-A2)/365)</f>
        <v>0</v>
      </c>
      <c r="Z2">
        <f>MAX(0,1.77*MIN(V2/100-1,Q2/100-1,S2/100-1))/(1+AG2)^(($A$12-A2)/365)</f>
        <v>0</v>
      </c>
      <c r="AA2">
        <f t="shared" ref="AA2:AA12" si="2">MAX(0,1.77*MIN(W2/100-1,Q2/100-1,R2/100-1))/(1+AG2)^(($A$12-A2)/365)</f>
        <v>0</v>
      </c>
      <c r="AB2">
        <f>(Y2-$X2)/(1%*D2)</f>
        <v>0</v>
      </c>
      <c r="AC2">
        <f>(Z2-$X2)/(1%*I2)</f>
        <v>0</v>
      </c>
      <c r="AD2">
        <f>(AA2-$X2)/(1%*N2)</f>
        <v>0</v>
      </c>
      <c r="AE2">
        <f>100/((1+11%)^(($C$32-A2)/365))</f>
        <v>99.714490505601816</v>
      </c>
      <c r="AF2">
        <f>MATCH(MIN(Q2:S2),Q2:S2,0)</f>
        <v>1</v>
      </c>
      <c r="AG2">
        <f>INDEX($B$36:$B$38,AF2)</f>
        <v>0.06</v>
      </c>
      <c r="AH2">
        <f t="shared" ref="AH2:AH12" si="3">T2/((1+AG2)^(($A$12-A2)/365))</f>
        <v>0</v>
      </c>
      <c r="AI2">
        <f>AB2*(D3-D2)+AC2*(I3-I2)+AD2*(N3-N2)</f>
        <v>0</v>
      </c>
      <c r="AJ2">
        <f>AI2</f>
        <v>0</v>
      </c>
      <c r="AK2">
        <f>AJ2*7.5%*(1/365)</f>
        <v>0</v>
      </c>
      <c r="AL2">
        <f>-(AB2*$B$36+AC2*$B$37+AD2*$B$38)*(1/365)</f>
        <v>0</v>
      </c>
      <c r="AM2">
        <f>AE2+AJ2+SUM(AK2:AK2)+AL2-100-AH2</f>
        <v>-0.28550949439818396</v>
      </c>
      <c r="AO2">
        <v>99.600515082203103</v>
      </c>
    </row>
    <row r="3" spans="1:41">
      <c r="A3">
        <f>A2+1</f>
        <v>3</v>
      </c>
      <c r="B3" t="s">
        <v>1</v>
      </c>
      <c r="C3">
        <v>99.830822779476307</v>
      </c>
      <c r="D3">
        <v>100.319186245138</v>
      </c>
      <c r="E3" s="15"/>
      <c r="G3" t="s">
        <v>1</v>
      </c>
      <c r="H3">
        <v>100.09622345405</v>
      </c>
      <c r="I3">
        <v>99.915469927778602</v>
      </c>
      <c r="L3" t="s">
        <v>1</v>
      </c>
      <c r="M3">
        <v>99.952494589364505</v>
      </c>
      <c r="N3">
        <v>100.34468032043</v>
      </c>
      <c r="Q3">
        <f t="shared" si="0"/>
        <v>98.709325784763649</v>
      </c>
      <c r="R3">
        <f t="shared" ref="R3:R12" si="4">($H$26/H17)*I3</f>
        <v>99.357657414610387</v>
      </c>
      <c r="S3">
        <f t="shared" ref="S3:S12" si="5">($M$26/M17)*N3</f>
        <v>98.932836092704292</v>
      </c>
      <c r="T3">
        <f t="shared" si="1"/>
        <v>0</v>
      </c>
      <c r="U3">
        <f t="shared" ref="U3:U12" si="6">Q3*1.01</f>
        <v>99.696419042611282</v>
      </c>
      <c r="V3">
        <f t="shared" ref="V3:V12" si="7">R3*1.01</f>
        <v>100.35123398875649</v>
      </c>
      <c r="W3">
        <f t="shared" ref="W3:W12" si="8">S3*1.01</f>
        <v>99.922164453631339</v>
      </c>
      <c r="X3">
        <f t="shared" ref="X3:X12" si="9">MAX(0,1.77*MIN(Q3/100-1,R3/100-1,S3/100-1))/(1+AG3)^(($A$12-A3)/365)</f>
        <v>0</v>
      </c>
      <c r="Y3">
        <f t="shared" ref="Y3:Y12" si="10">MAX(0,1.77*MIN(U3/100-1,R3/100-1,S3/100-1))/(1+AG3)^(($A$12-A3)/365)</f>
        <v>0</v>
      </c>
      <c r="Z3">
        <f>MAX(0,1.77*MIN(V3/100-1,Q3/100-1,S3/100-1))/(1+AG3)^(($A$12-A3)/365)</f>
        <v>0</v>
      </c>
      <c r="AA3">
        <f t="shared" si="2"/>
        <v>0</v>
      </c>
      <c r="AB3">
        <f t="shared" ref="AB3:AB9" si="11">(Y3-$X3)/(1%*D3)</f>
        <v>0</v>
      </c>
      <c r="AC3">
        <f t="shared" ref="AC3:AC12" si="12">(Z3-$X3)/(1%*I3)</f>
        <v>0</v>
      </c>
      <c r="AD3">
        <f t="shared" ref="AD3:AD12" si="13">(AA3-$X3)/(1%*N3)</f>
        <v>0</v>
      </c>
      <c r="AE3">
        <f t="shared" ref="AE3:AE11" si="14">100/((1+11%)^(($C$32-A3)/365))</f>
        <v>99.743004734530587</v>
      </c>
      <c r="AF3">
        <f t="shared" ref="AF3:AF12" si="15">MATCH(MIN(Q3:S3),Q3:S3,0)</f>
        <v>1</v>
      </c>
      <c r="AG3">
        <f t="shared" ref="AG3:AG12" si="16">INDEX($B$36:$B$38,AF3)</f>
        <v>0.06</v>
      </c>
      <c r="AH3">
        <f t="shared" si="3"/>
        <v>0</v>
      </c>
      <c r="AI3">
        <f t="shared" ref="AI3:AI11" si="17">AB3*(D4-D3)+AC3*(I4-I3)+AD3*(N4-N3)</f>
        <v>0</v>
      </c>
      <c r="AJ3">
        <f>AJ2+AI3</f>
        <v>0</v>
      </c>
      <c r="AK3">
        <f t="shared" ref="AK3:AK11" si="18">AJ3*7.5%*(1/365)</f>
        <v>0</v>
      </c>
      <c r="AL3">
        <f t="shared" ref="AL3:AL12" si="19">-(AB3*$B$36+AC3*$B$37+AD3*$B$38)*(1/365)</f>
        <v>0</v>
      </c>
      <c r="AM3">
        <f t="shared" ref="AM3:AM12" si="20">AE3+AJ3+SUM(AK3:AK3)+AL3-100-AH3</f>
        <v>-0.25699526546941343</v>
      </c>
      <c r="AO3">
        <v>99.628996718864698</v>
      </c>
    </row>
    <row r="4" spans="1:41">
      <c r="A4">
        <f t="shared" ref="A4:A12" si="21">A3+1</f>
        <v>4</v>
      </c>
      <c r="B4" t="s">
        <v>2</v>
      </c>
      <c r="C4">
        <v>98.789713787723102</v>
      </c>
      <c r="D4">
        <v>99.5677395215248</v>
      </c>
      <c r="E4" s="15"/>
      <c r="G4" t="s">
        <v>2</v>
      </c>
      <c r="H4">
        <v>99.791840314632694</v>
      </c>
      <c r="I4">
        <v>99.819006532814996</v>
      </c>
      <c r="L4" t="s">
        <v>2</v>
      </c>
      <c r="M4">
        <v>99.863134537879503</v>
      </c>
      <c r="N4">
        <v>99.9965808395133</v>
      </c>
      <c r="Q4">
        <f t="shared" si="0"/>
        <v>97.740145419993794</v>
      </c>
      <c r="R4">
        <f t="shared" si="4"/>
        <v>99.270490571375561</v>
      </c>
      <c r="S4">
        <f t="shared" si="5"/>
        <v>98.838803814466104</v>
      </c>
      <c r="T4">
        <f t="shared" si="1"/>
        <v>0</v>
      </c>
      <c r="U4">
        <f t="shared" si="6"/>
        <v>98.717546874193729</v>
      </c>
      <c r="V4">
        <f t="shared" si="7"/>
        <v>100.26319547708931</v>
      </c>
      <c r="W4">
        <f t="shared" si="8"/>
        <v>99.827191852610767</v>
      </c>
      <c r="X4">
        <f t="shared" si="9"/>
        <v>0</v>
      </c>
      <c r="Y4">
        <f t="shared" si="10"/>
        <v>0</v>
      </c>
      <c r="Z4">
        <f t="shared" ref="Z4:Z12" si="22">MAX(0,1.77*MIN(V4/100-1,Q4/100-1,S4/100-1))/(1+AG4)^(($A$12-A4)/365)</f>
        <v>0</v>
      </c>
      <c r="AA4">
        <f t="shared" si="2"/>
        <v>0</v>
      </c>
      <c r="AB4">
        <f t="shared" si="11"/>
        <v>0</v>
      </c>
      <c r="AC4">
        <f t="shared" si="12"/>
        <v>0</v>
      </c>
      <c r="AD4">
        <f t="shared" si="13"/>
        <v>0</v>
      </c>
      <c r="AE4">
        <f t="shared" si="14"/>
        <v>99.771527117351994</v>
      </c>
      <c r="AF4">
        <f t="shared" si="15"/>
        <v>1</v>
      </c>
      <c r="AG4">
        <f t="shared" si="16"/>
        <v>0.06</v>
      </c>
      <c r="AH4">
        <f t="shared" si="3"/>
        <v>0</v>
      </c>
      <c r="AI4">
        <f t="shared" si="17"/>
        <v>0</v>
      </c>
      <c r="AJ4">
        <f t="shared" ref="AJ4:AJ12" si="23">AJ3+AI4</f>
        <v>0</v>
      </c>
      <c r="AK4">
        <f t="shared" si="18"/>
        <v>0</v>
      </c>
      <c r="AL4">
        <f t="shared" si="19"/>
        <v>0</v>
      </c>
      <c r="AM4">
        <f t="shared" si="20"/>
        <v>-0.22847288264800625</v>
      </c>
      <c r="AO4">
        <v>99.657486500098898</v>
      </c>
    </row>
    <row r="5" spans="1:41" s="2" customFormat="1">
      <c r="A5" s="2">
        <f t="shared" si="21"/>
        <v>5</v>
      </c>
      <c r="B5" s="2" t="s">
        <v>3</v>
      </c>
      <c r="C5">
        <v>99.673824479901498</v>
      </c>
      <c r="D5">
        <v>99.982007504109404</v>
      </c>
      <c r="E5" s="16">
        <v>0.14000000000000001</v>
      </c>
      <c r="F5" s="2" t="s">
        <v>84</v>
      </c>
      <c r="G5" s="2" t="s">
        <v>3</v>
      </c>
      <c r="H5">
        <v>100.00225745105401</v>
      </c>
      <c r="I5">
        <v>100.443391498602</v>
      </c>
      <c r="L5" s="2" t="s">
        <v>3</v>
      </c>
      <c r="M5">
        <v>99.975882565554201</v>
      </c>
      <c r="N5">
        <v>100.55364135695601</v>
      </c>
      <c r="Q5" s="2">
        <f>($C$26/C19)*D5</f>
        <v>98.184388669870032</v>
      </c>
      <c r="R5" s="2">
        <f>($H$26/H19)*I5</f>
        <v>100.84163976828538</v>
      </c>
      <c r="S5" s="2">
        <f>($M$26/M19)*N5</f>
        <v>99.627700444413165</v>
      </c>
      <c r="T5" s="2">
        <f t="shared" si="1"/>
        <v>0</v>
      </c>
      <c r="U5" s="2">
        <f t="shared" si="6"/>
        <v>99.16623255656873</v>
      </c>
      <c r="V5" s="2">
        <f>R5*1.01</f>
        <v>101.85005616596823</v>
      </c>
      <c r="W5" s="2">
        <f>S5*1.01</f>
        <v>100.6239774488573</v>
      </c>
      <c r="X5" s="17">
        <f t="shared" si="9"/>
        <v>0</v>
      </c>
      <c r="Y5" s="2">
        <f t="shared" si="10"/>
        <v>0</v>
      </c>
      <c r="Z5" s="18">
        <f t="shared" si="22"/>
        <v>0</v>
      </c>
      <c r="AA5" s="17">
        <f t="shared" si="2"/>
        <v>0</v>
      </c>
      <c r="AB5">
        <f t="shared" si="11"/>
        <v>0</v>
      </c>
      <c r="AC5">
        <f t="shared" si="12"/>
        <v>0</v>
      </c>
      <c r="AD5">
        <f t="shared" si="13"/>
        <v>0</v>
      </c>
      <c r="AE5" s="2">
        <f t="shared" si="14"/>
        <v>99.80005765639774</v>
      </c>
      <c r="AF5" s="2">
        <f t="shared" si="15"/>
        <v>1</v>
      </c>
      <c r="AG5" s="2">
        <f t="shared" si="16"/>
        <v>0.06</v>
      </c>
      <c r="AH5" s="2">
        <f t="shared" si="3"/>
        <v>0</v>
      </c>
      <c r="AI5" s="2">
        <f t="shared" si="17"/>
        <v>0</v>
      </c>
      <c r="AJ5" s="2">
        <f t="shared" si="23"/>
        <v>0</v>
      </c>
      <c r="AK5" s="2">
        <f t="shared" si="18"/>
        <v>0</v>
      </c>
      <c r="AL5" s="2">
        <f t="shared" si="19"/>
        <v>0</v>
      </c>
      <c r="AM5" s="2">
        <f t="shared" si="20"/>
        <v>-0.1999423436022596</v>
      </c>
      <c r="AO5" s="2">
        <v>99.685984428234704</v>
      </c>
    </row>
    <row r="6" spans="1:41">
      <c r="A6">
        <f t="shared" si="21"/>
        <v>6</v>
      </c>
      <c r="B6" t="s">
        <v>4</v>
      </c>
      <c r="C6">
        <v>100.290026274456</v>
      </c>
      <c r="D6">
        <v>100.963981440388</v>
      </c>
      <c r="G6" t="s">
        <v>4</v>
      </c>
      <c r="H6">
        <v>99.742015773825202</v>
      </c>
      <c r="I6">
        <v>100.61488956516</v>
      </c>
      <c r="L6" t="s">
        <v>4</v>
      </c>
      <c r="M6">
        <v>100.480931839631</v>
      </c>
      <c r="N6">
        <v>101.305973913798</v>
      </c>
      <c r="Q6">
        <f t="shared" si="0"/>
        <v>100.39373660072016</v>
      </c>
      <c r="R6">
        <f t="shared" si="4"/>
        <v>101.07014058383153</v>
      </c>
      <c r="S6">
        <f t="shared" si="5"/>
        <v>100.95721927764232</v>
      </c>
      <c r="T6">
        <f t="shared" si="1"/>
        <v>6.9691378327466818E-3</v>
      </c>
      <c r="U6">
        <f t="shared" si="6"/>
        <v>101.39767396672737</v>
      </c>
      <c r="V6">
        <f t="shared" si="7"/>
        <v>102.08084198966985</v>
      </c>
      <c r="W6">
        <f t="shared" si="8"/>
        <v>101.96679147041874</v>
      </c>
      <c r="X6">
        <f t="shared" si="9"/>
        <v>6.9624656744230072E-3</v>
      </c>
      <c r="Y6">
        <f t="shared" si="10"/>
        <v>1.6926560424636517E-2</v>
      </c>
      <c r="Z6">
        <f t="shared" si="22"/>
        <v>6.9624656744230072E-3</v>
      </c>
      <c r="AA6">
        <f t="shared" si="2"/>
        <v>6.9624656744230072E-3</v>
      </c>
      <c r="AB6">
        <f t="shared" si="11"/>
        <v>9.8689598092925775E-3</v>
      </c>
      <c r="AC6">
        <f t="shared" si="12"/>
        <v>0</v>
      </c>
      <c r="AD6">
        <f t="shared" si="13"/>
        <v>0</v>
      </c>
      <c r="AE6">
        <f t="shared" si="14"/>
        <v>99.82859635400014</v>
      </c>
      <c r="AF6">
        <f t="shared" si="15"/>
        <v>1</v>
      </c>
      <c r="AG6">
        <f t="shared" si="16"/>
        <v>0.06</v>
      </c>
      <c r="AH6">
        <f t="shared" si="3"/>
        <v>6.9624656744230072E-3</v>
      </c>
      <c r="AI6">
        <f t="shared" si="17"/>
        <v>-3.9612929778189421E-3</v>
      </c>
      <c r="AJ6">
        <f t="shared" si="23"/>
        <v>-3.9612929778189421E-3</v>
      </c>
      <c r="AK6">
        <f>AJ6*7.5%*(1/365)</f>
        <v>-8.1396431051074147E-7</v>
      </c>
      <c r="AL6">
        <f t="shared" si="19"/>
        <v>-1.6222947631713826E-6</v>
      </c>
      <c r="AM6">
        <f t="shared" si="20"/>
        <v>-0.18232984091116919</v>
      </c>
      <c r="AO6">
        <v>99.714490505601802</v>
      </c>
    </row>
    <row r="7" spans="1:41">
      <c r="A7">
        <f t="shared" si="21"/>
        <v>7</v>
      </c>
      <c r="B7" t="s">
        <v>5</v>
      </c>
      <c r="C7">
        <v>100.146639347353</v>
      </c>
      <c r="D7">
        <v>100.56259233207599</v>
      </c>
      <c r="G7" t="s">
        <v>5</v>
      </c>
      <c r="H7">
        <v>99.506104902074298</v>
      </c>
      <c r="I7">
        <v>100.878736926145</v>
      </c>
      <c r="L7" t="s">
        <v>5</v>
      </c>
      <c r="M7">
        <v>100.293673100334</v>
      </c>
      <c r="N7">
        <v>101.45841269131699</v>
      </c>
      <c r="Q7">
        <f t="shared" si="0"/>
        <v>100.34459958344307</v>
      </c>
      <c r="R7">
        <f t="shared" si="4"/>
        <v>101.69673532627151</v>
      </c>
      <c r="S7">
        <f t="shared" si="5"/>
        <v>101.15269996857384</v>
      </c>
      <c r="T7">
        <f t="shared" si="1"/>
        <v>6.0994126269421894E-3</v>
      </c>
      <c r="U7">
        <f t="shared" si="6"/>
        <v>101.3480455792775</v>
      </c>
      <c r="V7">
        <f t="shared" si="7"/>
        <v>102.71370267953422</v>
      </c>
      <c r="W7">
        <f t="shared" si="8"/>
        <v>102.16422696825958</v>
      </c>
      <c r="X7">
        <f t="shared" si="9"/>
        <v>6.0945459925809313E-3</v>
      </c>
      <c r="Y7">
        <f t="shared" si="10"/>
        <v>2.03865103489906E-2</v>
      </c>
      <c r="Z7">
        <f t="shared" si="22"/>
        <v>6.0945459925809313E-3</v>
      </c>
      <c r="AA7">
        <f t="shared" si="2"/>
        <v>6.0945459925809313E-3</v>
      </c>
      <c r="AB7">
        <f t="shared" si="11"/>
        <v>1.4212008685312128E-2</v>
      </c>
      <c r="AC7">
        <f t="shared" si="12"/>
        <v>0</v>
      </c>
      <c r="AD7">
        <f t="shared" si="13"/>
        <v>0</v>
      </c>
      <c r="AE7">
        <f t="shared" si="14"/>
        <v>99.857143212492218</v>
      </c>
      <c r="AF7">
        <f t="shared" si="15"/>
        <v>1</v>
      </c>
      <c r="AG7">
        <f t="shared" si="16"/>
        <v>0.06</v>
      </c>
      <c r="AH7">
        <f t="shared" si="3"/>
        <v>6.0945459925809313E-3</v>
      </c>
      <c r="AI7">
        <f t="shared" si="17"/>
        <v>-1.6687832729344952E-3</v>
      </c>
      <c r="AJ7">
        <f t="shared" si="23"/>
        <v>-5.6300762507534375E-3</v>
      </c>
      <c r="AK7">
        <f t="shared" si="18"/>
        <v>-1.1568649830315283E-6</v>
      </c>
      <c r="AL7">
        <f t="shared" si="19"/>
        <v>-2.3362206058047332E-6</v>
      </c>
      <c r="AM7">
        <f t="shared" si="20"/>
        <v>-0.15458490283670209</v>
      </c>
      <c r="AO7">
        <v>99.743004734530601</v>
      </c>
    </row>
    <row r="8" spans="1:41">
      <c r="A8">
        <f t="shared" si="21"/>
        <v>8</v>
      </c>
      <c r="B8" t="s">
        <v>6</v>
      </c>
      <c r="C8">
        <v>100.68064156697901</v>
      </c>
      <c r="D8">
        <v>100.445171683814</v>
      </c>
      <c r="G8" t="s">
        <v>6</v>
      </c>
      <c r="H8">
        <v>99.660666398394397</v>
      </c>
      <c r="I8">
        <v>101.403384361278</v>
      </c>
      <c r="L8" t="s">
        <v>6</v>
      </c>
      <c r="M8">
        <v>100.640068244563</v>
      </c>
      <c r="N8">
        <v>102.07724970453</v>
      </c>
      <c r="Q8">
        <f t="shared" si="0"/>
        <v>100.00383615164164</v>
      </c>
      <c r="R8">
        <f t="shared" si="4"/>
        <v>101.95750719352831</v>
      </c>
      <c r="S8">
        <f t="shared" si="5"/>
        <v>101.54891722876889</v>
      </c>
      <c r="T8">
        <f>MAX(0,1.77*MIN(Q8/100-1,R8/100-1,S8/100-1,1))</f>
        <v>6.7899884056923379E-5</v>
      </c>
      <c r="U8">
        <f t="shared" si="6"/>
        <v>101.00387451315805</v>
      </c>
      <c r="V8">
        <f t="shared" si="7"/>
        <v>102.97708226546359</v>
      </c>
      <c r="W8">
        <f t="shared" si="8"/>
        <v>102.56440640105657</v>
      </c>
      <c r="X8">
        <f t="shared" si="9"/>
        <v>6.7856539518272718E-5</v>
      </c>
      <c r="Y8">
        <f t="shared" si="10"/>
        <v>1.7757236141081906E-2</v>
      </c>
      <c r="Z8">
        <f t="shared" si="22"/>
        <v>6.7856539518272718E-5</v>
      </c>
      <c r="AA8">
        <f t="shared" si="2"/>
        <v>6.7856539518272718E-5</v>
      </c>
      <c r="AB8">
        <f t="shared" si="11"/>
        <v>1.7610980503121734E-2</v>
      </c>
      <c r="AC8">
        <f t="shared" si="12"/>
        <v>0</v>
      </c>
      <c r="AD8">
        <f t="shared" si="13"/>
        <v>0</v>
      </c>
      <c r="AE8">
        <f t="shared" si="14"/>
        <v>99.885698234207666</v>
      </c>
      <c r="AF8">
        <f t="shared" si="15"/>
        <v>1</v>
      </c>
      <c r="AG8">
        <f t="shared" si="16"/>
        <v>0.06</v>
      </c>
      <c r="AH8">
        <f t="shared" si="3"/>
        <v>6.7856539518272718E-5</v>
      </c>
      <c r="AI8">
        <f t="shared" si="17"/>
        <v>-9.2046197554880704E-3</v>
      </c>
      <c r="AJ8">
        <f t="shared" si="23"/>
        <v>-1.4834696006241509E-2</v>
      </c>
      <c r="AK8">
        <f t="shared" si="18"/>
        <v>-3.0482252067619536E-6</v>
      </c>
      <c r="AL8">
        <f t="shared" si="19"/>
        <v>-2.8949556991432982E-6</v>
      </c>
      <c r="AM8">
        <f t="shared" si="20"/>
        <v>-0.12921026151900808</v>
      </c>
      <c r="AO8">
        <v>99.771527117351994</v>
      </c>
    </row>
    <row r="9" spans="1:41">
      <c r="A9">
        <f t="shared" si="21"/>
        <v>9</v>
      </c>
      <c r="B9" t="s">
        <v>7</v>
      </c>
      <c r="C9">
        <v>101.492383155502</v>
      </c>
      <c r="D9">
        <v>99.922508010780206</v>
      </c>
      <c r="G9" t="s">
        <v>7</v>
      </c>
      <c r="H9">
        <v>99.630322439305402</v>
      </c>
      <c r="I9">
        <v>100.344378110009</v>
      </c>
      <c r="L9" t="s">
        <v>7</v>
      </c>
      <c r="M9">
        <v>101.098136252785</v>
      </c>
      <c r="N9">
        <v>101.8505170025</v>
      </c>
      <c r="Q9">
        <f t="shared" si="0"/>
        <v>99.077672457081377</v>
      </c>
      <c r="R9">
        <f t="shared" si="4"/>
        <v>101.24693584268857</v>
      </c>
      <c r="S9">
        <f t="shared" si="5"/>
        <v>101.18797853893687</v>
      </c>
      <c r="T9">
        <f t="shared" si="1"/>
        <v>0</v>
      </c>
      <c r="U9">
        <f t="shared" si="6"/>
        <v>100.0684491816522</v>
      </c>
      <c r="V9">
        <f t="shared" si="7"/>
        <v>102.25940520111546</v>
      </c>
      <c r="W9">
        <f t="shared" si="8"/>
        <v>102.19985832432624</v>
      </c>
      <c r="X9">
        <f t="shared" si="9"/>
        <v>0</v>
      </c>
      <c r="Y9">
        <f t="shared" si="10"/>
        <v>1.2109704153255895E-3</v>
      </c>
      <c r="Z9">
        <f t="shared" si="22"/>
        <v>0</v>
      </c>
      <c r="AA9">
        <f t="shared" si="2"/>
        <v>0</v>
      </c>
      <c r="AB9">
        <f t="shared" si="11"/>
        <v>1.2119095481419892E-3</v>
      </c>
      <c r="AC9">
        <f t="shared" si="12"/>
        <v>0</v>
      </c>
      <c r="AD9">
        <f t="shared" si="13"/>
        <v>0</v>
      </c>
      <c r="AE9">
        <f t="shared" si="14"/>
        <v>99.914261421480845</v>
      </c>
      <c r="AF9">
        <f t="shared" si="15"/>
        <v>1</v>
      </c>
      <c r="AG9">
        <f t="shared" si="16"/>
        <v>0.06</v>
      </c>
      <c r="AH9">
        <f t="shared" si="3"/>
        <v>0</v>
      </c>
      <c r="AI9">
        <f t="shared" si="17"/>
        <v>7.7432289068750395E-5</v>
      </c>
      <c r="AJ9">
        <f t="shared" si="23"/>
        <v>-1.4757263717172758E-2</v>
      </c>
      <c r="AK9">
        <f t="shared" si="18"/>
        <v>-3.0323144624327584E-6</v>
      </c>
      <c r="AL9">
        <f t="shared" si="19"/>
        <v>-1.9921800791375164E-7</v>
      </c>
      <c r="AM9">
        <f t="shared" si="20"/>
        <v>-0.10049907376880185</v>
      </c>
      <c r="AO9">
        <v>99.800057656397698</v>
      </c>
    </row>
    <row r="10" spans="1:41">
      <c r="A10">
        <f t="shared" si="21"/>
        <v>10</v>
      </c>
      <c r="B10" t="s">
        <v>8</v>
      </c>
      <c r="C10">
        <v>101.778845007375</v>
      </c>
      <c r="D10">
        <v>99.986400806399701</v>
      </c>
      <c r="G10" t="s">
        <v>8</v>
      </c>
      <c r="H10">
        <v>99.705576307898298</v>
      </c>
      <c r="I10">
        <v>100.574203777355</v>
      </c>
      <c r="L10" t="s">
        <v>8</v>
      </c>
      <c r="M10">
        <v>101.074509426581</v>
      </c>
      <c r="N10">
        <v>101.95629869894699</v>
      </c>
      <c r="Q10">
        <f t="shared" si="0"/>
        <v>99.295043701718484</v>
      </c>
      <c r="R10">
        <f t="shared" si="4"/>
        <v>100.65785175666771</v>
      </c>
      <c r="S10">
        <f t="shared" si="5"/>
        <v>100.87045001797702</v>
      </c>
      <c r="T10">
        <f t="shared" si="1"/>
        <v>0</v>
      </c>
      <c r="U10">
        <f t="shared" si="6"/>
        <v>100.28799413873567</v>
      </c>
      <c r="V10">
        <f t="shared" si="7"/>
        <v>101.66443027423439</v>
      </c>
      <c r="W10">
        <f t="shared" si="8"/>
        <v>101.8791545181568</v>
      </c>
      <c r="X10">
        <f t="shared" si="9"/>
        <v>0</v>
      </c>
      <c r="Y10">
        <f t="shared" si="10"/>
        <v>5.0958689782040698E-3</v>
      </c>
      <c r="Z10">
        <f t="shared" si="22"/>
        <v>0</v>
      </c>
      <c r="AA10">
        <f t="shared" si="2"/>
        <v>0</v>
      </c>
      <c r="AB10">
        <f t="shared" ref="AB10:AB12" si="24">(Y10-$X10)/(1%*D10)</f>
        <v>5.0965620695468672E-3</v>
      </c>
      <c r="AC10">
        <f t="shared" si="12"/>
        <v>0</v>
      </c>
      <c r="AD10">
        <f t="shared" si="13"/>
        <v>0</v>
      </c>
      <c r="AE10">
        <f t="shared" si="14"/>
        <v>99.942832776646711</v>
      </c>
      <c r="AF10">
        <f t="shared" si="15"/>
        <v>1</v>
      </c>
      <c r="AG10">
        <f t="shared" si="16"/>
        <v>0.06</v>
      </c>
      <c r="AH10">
        <f t="shared" si="3"/>
        <v>0</v>
      </c>
      <c r="AI10">
        <f t="shared" si="17"/>
        <v>-2.2275719471477329E-3</v>
      </c>
      <c r="AJ10">
        <f t="shared" si="23"/>
        <v>-1.6984835664320491E-2</v>
      </c>
      <c r="AK10">
        <f t="shared" si="18"/>
        <v>-3.4900347255453064E-6</v>
      </c>
      <c r="AL10">
        <f t="shared" si="19"/>
        <v>-8.3779102513099174E-7</v>
      </c>
      <c r="AM10">
        <f t="shared" si="20"/>
        <v>-7.4156386843355904E-2</v>
      </c>
      <c r="AO10">
        <v>99.828596354000098</v>
      </c>
    </row>
    <row r="11" spans="1:41">
      <c r="A11">
        <f t="shared" si="21"/>
        <v>11</v>
      </c>
      <c r="B11" t="s">
        <v>9</v>
      </c>
      <c r="C11">
        <v>101.59402266887599</v>
      </c>
      <c r="D11">
        <v>99.549327360270595</v>
      </c>
      <c r="G11" t="s">
        <v>9</v>
      </c>
      <c r="H11">
        <v>99.974321201483505</v>
      </c>
      <c r="I11">
        <v>99.9344337021423</v>
      </c>
      <c r="L11" t="s">
        <v>9</v>
      </c>
      <c r="M11">
        <v>101.14652053111</v>
      </c>
      <c r="N11">
        <v>101.13421824906899</v>
      </c>
      <c r="Q11">
        <f t="shared" si="0"/>
        <v>99.246366578757289</v>
      </c>
      <c r="R11">
        <f t="shared" si="4"/>
        <v>99.370713685171154</v>
      </c>
      <c r="S11">
        <f t="shared" si="5"/>
        <v>100.0722800877702</v>
      </c>
      <c r="T11">
        <f t="shared" si="1"/>
        <v>0</v>
      </c>
      <c r="U11">
        <f t="shared" si="6"/>
        <v>100.23883024454486</v>
      </c>
      <c r="V11">
        <f t="shared" si="7"/>
        <v>100.36442082202286</v>
      </c>
      <c r="W11">
        <f t="shared" si="8"/>
        <v>101.07300288864789</v>
      </c>
      <c r="X11">
        <f>MAX(0,1.77*MIN(Q11/100-1,R11/100-1,S11/100-1))/(1+AG11)^(($A$12-A11)/365)</f>
        <v>0</v>
      </c>
      <c r="Y11">
        <f>MAX(0,1.77*MIN(U11/100-1,R11/100-1,S11/100-1))/(1+AG11)^(($A$12-A11)/365)</f>
        <v>0</v>
      </c>
      <c r="Z11">
        <f>MAX(0,1.77*MIN(V11/100-1,Q11/100-1,S11/100-1))/(1+AG11)^(($A$12-A11)/365)</f>
        <v>0</v>
      </c>
      <c r="AA11">
        <f>MAX(0,1.77*MIN(W11/100-1,Q11/100-1,R11/100-1))/(1+AG11)^(($A$12-A11)/365)</f>
        <v>0</v>
      </c>
      <c r="AB11">
        <f t="shared" si="24"/>
        <v>0</v>
      </c>
      <c r="AC11">
        <f t="shared" si="12"/>
        <v>0</v>
      </c>
      <c r="AD11">
        <f t="shared" si="13"/>
        <v>0</v>
      </c>
      <c r="AE11">
        <f t="shared" si="14"/>
        <v>99.971412302040989</v>
      </c>
      <c r="AF11">
        <f t="shared" si="15"/>
        <v>1</v>
      </c>
      <c r="AG11">
        <f t="shared" si="16"/>
        <v>0.06</v>
      </c>
      <c r="AH11">
        <f t="shared" si="3"/>
        <v>0</v>
      </c>
      <c r="AI11">
        <f t="shared" si="17"/>
        <v>0</v>
      </c>
      <c r="AJ11">
        <f t="shared" si="23"/>
        <v>-1.6984835664320491E-2</v>
      </c>
      <c r="AK11">
        <f t="shared" si="18"/>
        <v>-3.4900347255453064E-6</v>
      </c>
      <c r="AL11">
        <f t="shared" si="19"/>
        <v>0</v>
      </c>
      <c r="AM11">
        <f t="shared" si="20"/>
        <v>-4.5576023658057352E-2</v>
      </c>
      <c r="AO11">
        <v>99.857143212492204</v>
      </c>
    </row>
    <row r="12" spans="1:41">
      <c r="A12">
        <f t="shared" si="21"/>
        <v>12</v>
      </c>
      <c r="B12" t="s">
        <v>10</v>
      </c>
      <c r="C12">
        <v>102.87722982439099</v>
      </c>
      <c r="D12">
        <v>99.728005630096504</v>
      </c>
      <c r="G12" t="s">
        <v>10</v>
      </c>
      <c r="H12">
        <v>100.791437278128</v>
      </c>
      <c r="I12">
        <v>100.28395437951001</v>
      </c>
      <c r="L12" t="s">
        <v>10</v>
      </c>
      <c r="M12">
        <v>101.671843273863</v>
      </c>
      <c r="N12">
        <v>101.41896863706199</v>
      </c>
      <c r="Q12">
        <f t="shared" si="0"/>
        <v>99.728005630096504</v>
      </c>
      <c r="R12">
        <f t="shared" si="4"/>
        <v>100.28395437951001</v>
      </c>
      <c r="S12">
        <f t="shared" si="5"/>
        <v>101.41896863706199</v>
      </c>
      <c r="T12">
        <f>MAX(0,1.77*MIN(Q12/100-1,R12/100-1,S12/100-1,1))</f>
        <v>0</v>
      </c>
      <c r="U12">
        <f t="shared" si="6"/>
        <v>100.72528568639747</v>
      </c>
      <c r="V12">
        <f t="shared" si="7"/>
        <v>101.28679392330511</v>
      </c>
      <c r="W12">
        <f t="shared" si="8"/>
        <v>102.43315832343262</v>
      </c>
      <c r="X12">
        <f t="shared" si="9"/>
        <v>0</v>
      </c>
      <c r="Y12">
        <f t="shared" si="10"/>
        <v>5.0259925173271715E-3</v>
      </c>
      <c r="Z12">
        <f t="shared" si="22"/>
        <v>0</v>
      </c>
      <c r="AA12">
        <f t="shared" si="2"/>
        <v>0</v>
      </c>
      <c r="AB12">
        <f t="shared" si="24"/>
        <v>5.039700218180637E-3</v>
      </c>
      <c r="AC12">
        <f t="shared" si="12"/>
        <v>0</v>
      </c>
      <c r="AD12">
        <f t="shared" si="13"/>
        <v>0</v>
      </c>
      <c r="AE12">
        <f>100/((1+11%)^(($C$32-A12)/365))</f>
        <v>100</v>
      </c>
      <c r="AF12">
        <f t="shared" si="15"/>
        <v>1</v>
      </c>
      <c r="AG12">
        <f t="shared" si="16"/>
        <v>0.06</v>
      </c>
      <c r="AH12">
        <f t="shared" si="3"/>
        <v>0</v>
      </c>
      <c r="AJ12">
        <f t="shared" si="23"/>
        <v>-1.6984835664320491E-2</v>
      </c>
      <c r="AK12">
        <f>AJ12*7.5%*(1/365)</f>
        <v>-3.4900347255453064E-6</v>
      </c>
      <c r="AL12">
        <f t="shared" si="19"/>
        <v>-8.284438714817486E-7</v>
      </c>
      <c r="AM12">
        <f t="shared" si="20"/>
        <v>-1.698915414291946E-2</v>
      </c>
      <c r="AO12">
        <v>99.885698234207695</v>
      </c>
    </row>
    <row r="13" spans="1:41">
      <c r="B13" t="s">
        <v>11</v>
      </c>
      <c r="C13" t="s">
        <v>12</v>
      </c>
      <c r="D13" t="s">
        <v>12</v>
      </c>
      <c r="G13" t="s">
        <v>11</v>
      </c>
      <c r="H13" t="s">
        <v>12</v>
      </c>
      <c r="I13" t="s">
        <v>12</v>
      </c>
      <c r="L13" t="s">
        <v>11</v>
      </c>
      <c r="M13" t="s">
        <v>12</v>
      </c>
      <c r="N13" t="s">
        <v>12</v>
      </c>
      <c r="AH13">
        <f>SUM(AH2:AH11)</f>
        <v>1.312486820652221E-2</v>
      </c>
      <c r="AI13">
        <f>SUM(AI2:AI11)</f>
        <v>-1.6984835664320491E-2</v>
      </c>
      <c r="AK13">
        <f>SUM(AK2:AK12)</f>
        <v>-1.8521473139372903E-5</v>
      </c>
      <c r="AL13">
        <f>SUM(AL2:AL12)</f>
        <v>-8.7189239726459056E-6</v>
      </c>
    </row>
    <row r="15" spans="1:41">
      <c r="A15" t="s">
        <v>16</v>
      </c>
      <c r="C15" t="s">
        <v>0</v>
      </c>
      <c r="D15" t="s">
        <v>1</v>
      </c>
      <c r="F15" t="s">
        <v>17</v>
      </c>
      <c r="H15" t="s">
        <v>0</v>
      </c>
      <c r="I15" t="s">
        <v>1</v>
      </c>
      <c r="K15" t="s">
        <v>21</v>
      </c>
      <c r="M15" t="s">
        <v>0</v>
      </c>
      <c r="N15" t="s">
        <v>1</v>
      </c>
      <c r="P15" t="s">
        <v>81</v>
      </c>
      <c r="Q15" t="s">
        <v>18</v>
      </c>
      <c r="R15" t="s">
        <v>19</v>
      </c>
      <c r="S15" t="s">
        <v>20</v>
      </c>
      <c r="T15" t="s">
        <v>22</v>
      </c>
      <c r="U15" t="s">
        <v>23</v>
      </c>
      <c r="V15" t="s">
        <v>24</v>
      </c>
      <c r="W15" t="s">
        <v>25</v>
      </c>
      <c r="X15" t="s">
        <v>62</v>
      </c>
      <c r="Y15" t="s">
        <v>26</v>
      </c>
      <c r="Z15" t="s">
        <v>27</v>
      </c>
      <c r="AA15" t="s">
        <v>28</v>
      </c>
      <c r="AB15" t="s">
        <v>29</v>
      </c>
      <c r="AC15" t="s">
        <v>30</v>
      </c>
      <c r="AD15" t="s">
        <v>31</v>
      </c>
      <c r="AE15" s="2" t="s">
        <v>32</v>
      </c>
      <c r="AF15" t="s">
        <v>52</v>
      </c>
      <c r="AG15" t="s">
        <v>55</v>
      </c>
      <c r="AH15" s="2" t="s">
        <v>56</v>
      </c>
      <c r="AI15" s="2" t="s">
        <v>57</v>
      </c>
      <c r="AJ15" t="s">
        <v>58</v>
      </c>
      <c r="AK15" s="2" t="s">
        <v>59</v>
      </c>
      <c r="AL15" s="2" t="s">
        <v>60</v>
      </c>
      <c r="AM15" s="2" t="s">
        <v>61</v>
      </c>
    </row>
    <row r="16" spans="1:41">
      <c r="B16" t="s">
        <v>0</v>
      </c>
      <c r="C16">
        <v>100</v>
      </c>
      <c r="D16">
        <v>100</v>
      </c>
      <c r="E16" s="15">
        <v>0.15</v>
      </c>
      <c r="F16" t="s">
        <v>85</v>
      </c>
      <c r="G16" t="s">
        <v>0</v>
      </c>
      <c r="H16">
        <v>100</v>
      </c>
      <c r="I16">
        <v>100</v>
      </c>
      <c r="L16" t="s">
        <v>0</v>
      </c>
      <c r="M16">
        <v>100</v>
      </c>
      <c r="N16">
        <v>100</v>
      </c>
      <c r="Q16">
        <f>($D$26/D16)*D2</f>
        <v>99.686035892075296</v>
      </c>
      <c r="R16">
        <f>($I$26/I16)*I2</f>
        <v>97.618943513979403</v>
      </c>
      <c r="S16">
        <f>($N$26/N16)*N2</f>
        <v>99.054762035098094</v>
      </c>
      <c r="T16">
        <f>MAX(0,1.77*MIN(Q16/100-1,R16/100-1,S16/100-1,1))</f>
        <v>0</v>
      </c>
      <c r="U16">
        <f>Q16*1.01</f>
        <v>100.68289625099605</v>
      </c>
      <c r="V16">
        <f>R16*1.01</f>
        <v>98.595132949119204</v>
      </c>
      <c r="W16">
        <f>S16*1.01</f>
        <v>100.04530965544907</v>
      </c>
      <c r="X16" s="3">
        <f>MAX(0,1.77*MIN(Q16/100-1,R16/100-1,S16/100-1))/(1+AG16)^(($A$12-A2)/365)</f>
        <v>0</v>
      </c>
      <c r="Y16">
        <f>MAX(0,1.77*MIN(U16/100-1,R16/100-1,S16/100-1))/(1+AG16)^(($A$12-A2)/365)</f>
        <v>0</v>
      </c>
      <c r="Z16">
        <f>MAX(0,1.77*MIN(V16/100-1,Q16/100-1,S16/100-1))/(1+AG16)^(($A$12-A2)/365)</f>
        <v>0</v>
      </c>
      <c r="AA16">
        <f>MAX(0,1.77*MIN(W16/100-1,Q16/100-1,R16/100-1))/(1+AG16)^(($A$12-A2)/365)</f>
        <v>0</v>
      </c>
      <c r="AB16">
        <f>(Y16-$X16)/(1%*D2)</f>
        <v>0</v>
      </c>
      <c r="AC16">
        <f>(Z16-$X16)/(1%*I2)</f>
        <v>0</v>
      </c>
      <c r="AD16">
        <f>(AA16-$X16)/(1%*N2)</f>
        <v>0</v>
      </c>
      <c r="AE16">
        <f>100/((1+11%)^(($C$32-A2)/365))</f>
        <v>99.714490505601816</v>
      </c>
      <c r="AF16">
        <f>MATCH(MIN(Q16:S16),Q16:S16,0)</f>
        <v>2</v>
      </c>
      <c r="AG16">
        <f>INDEX($B$36:$B$38,AF16)</f>
        <v>0.05</v>
      </c>
      <c r="AH16">
        <f>T16/((1+AG16)^(($A$12-A2)/365))</f>
        <v>0</v>
      </c>
      <c r="AI16">
        <f>AB16*(D3-D2)+AC16*(I3-I2)+AD16*(N3-N2)</f>
        <v>0</v>
      </c>
      <c r="AJ16">
        <f>AI16</f>
        <v>0</v>
      </c>
      <c r="AK16">
        <f t="shared" ref="AK16:AK24" si="25">AJ16*7.5%*(1/365)</f>
        <v>0</v>
      </c>
      <c r="AL16">
        <f>-(AB16*$B$36+AC16*$B$37+AD16*$B$38)*(1/365)</f>
        <v>0</v>
      </c>
      <c r="AM16">
        <f>$AE16+AJ16+SUM($AK$16:AK16)+AL16-100-AH16</f>
        <v>-0.28550949439818396</v>
      </c>
      <c r="AO16" s="4">
        <f>(AM16+AM2)/2</f>
        <v>-0.28550949439818396</v>
      </c>
    </row>
    <row r="17" spans="1:41">
      <c r="B17" t="s">
        <v>1</v>
      </c>
      <c r="C17">
        <v>99.934624163466594</v>
      </c>
      <c r="D17">
        <v>100.791295974392</v>
      </c>
      <c r="G17" t="s">
        <v>1</v>
      </c>
      <c r="H17">
        <v>99.867047460180103</v>
      </c>
      <c r="I17">
        <v>100.68004668363299</v>
      </c>
      <c r="L17" t="s">
        <v>1</v>
      </c>
      <c r="M17">
        <v>99.770454877069</v>
      </c>
      <c r="N17">
        <v>100.035772051576</v>
      </c>
      <c r="Q17">
        <f t="shared" ref="Q17:Q26" si="26">($D$26/D17)*D3</f>
        <v>99.219103237222157</v>
      </c>
      <c r="R17">
        <f t="shared" ref="R17:R26" si="27">($I$26/I17)*I3</f>
        <v>96.877613155081335</v>
      </c>
      <c r="S17">
        <f t="shared" ref="S17:S26" si="28">($N$26/N17)*N3</f>
        <v>99.360640966549042</v>
      </c>
      <c r="T17">
        <f t="shared" ref="T17:T26" si="29">MAX(0,1.77*MIN(Q17/100-1,R17/100-1,S17/100-1,1))</f>
        <v>0</v>
      </c>
      <c r="U17">
        <f t="shared" ref="U17:U26" si="30">Q17*1.01</f>
        <v>100.21129426959438</v>
      </c>
      <c r="V17">
        <f t="shared" ref="V17:V26" si="31">R17*1.01</f>
        <v>97.846389286632146</v>
      </c>
      <c r="W17">
        <f t="shared" ref="W17:W26" si="32">S17*1.01</f>
        <v>100.35424737621453</v>
      </c>
      <c r="X17" s="3">
        <f t="shared" ref="X17:X23" si="33">MAX(0,1.77*MIN(Q17/100-1,R17/100-1,S17/100-1))/(1+AG17)^(($A$12-A3)/365)</f>
        <v>0</v>
      </c>
      <c r="Y17">
        <f>MAX(0,1.77*MIN(U17/100-1,R17/100-1,S17/100-1))/(1+AG17)^(($A$12-A3)/365)</f>
        <v>0</v>
      </c>
      <c r="Z17">
        <f t="shared" ref="Z17:Z26" si="34">MAX(0,1.77*MIN(V17/100-1,Q17/100-1,S17/100-1))/(1+AG17)^(($A$12-A3)/365)</f>
        <v>0</v>
      </c>
      <c r="AA17">
        <f t="shared" ref="AA17:AA22" si="35">MAX(0,1.77*MIN(W17/100-1,Q17/100-1,R17/100-1))/(1+AG17)^(($A$12-A3)/365)</f>
        <v>0</v>
      </c>
      <c r="AB17">
        <f t="shared" ref="AB17:AB26" si="36">(Y17-$X17)/(1%*D3)</f>
        <v>0</v>
      </c>
      <c r="AC17">
        <f t="shared" ref="AC17:AC26" si="37">(Z17-$X17)/(1%*I3)</f>
        <v>0</v>
      </c>
      <c r="AD17">
        <f t="shared" ref="AD17:AD26" si="38">(AA17-$X17)/(1%*N3)</f>
        <v>0</v>
      </c>
      <c r="AE17">
        <f t="shared" ref="AE17:AE26" si="39">100/((1+11%)^(($C$32-A3)/365))</f>
        <v>99.743004734530587</v>
      </c>
      <c r="AF17">
        <f t="shared" ref="AF17:AF26" si="40">MATCH(MIN(Q17:S17),Q17:S17,0)</f>
        <v>2</v>
      </c>
      <c r="AG17">
        <f t="shared" ref="AG17:AG26" si="41">INDEX($B$36:$B$38,AF17)</f>
        <v>0.05</v>
      </c>
      <c r="AH17">
        <f>T17/((1+AG17)^(($A$12-A3)/365))</f>
        <v>0</v>
      </c>
      <c r="AI17">
        <f t="shared" ref="AI17:AI25" si="42">AB17*(D4-D3)+AC17*(I4-I3)+AD17*(N4-N3)</f>
        <v>0</v>
      </c>
      <c r="AJ17">
        <f>AJ16+AI17</f>
        <v>0</v>
      </c>
      <c r="AK17">
        <f t="shared" si="25"/>
        <v>0</v>
      </c>
      <c r="AL17">
        <f t="shared" ref="AL17:AL26" si="43">-(AB17*$B$36+AC17*$B$37+AD17*$B$38)*(1/365)</f>
        <v>0</v>
      </c>
      <c r="AM17">
        <f>$AE17+AJ17+SUM($AK$16:AK17)+AL17-100-AH17</f>
        <v>-0.25699526546941343</v>
      </c>
      <c r="AO17" s="4">
        <f t="shared" ref="AO17:AO25" si="44">(AM17+AM3)/2</f>
        <v>-0.25699526546941343</v>
      </c>
    </row>
    <row r="18" spans="1:41">
      <c r="B18" t="s">
        <v>2</v>
      </c>
      <c r="C18">
        <v>100.16957589723999</v>
      </c>
      <c r="D18">
        <v>100.785235078241</v>
      </c>
      <c r="G18" t="s">
        <v>2</v>
      </c>
      <c r="H18">
        <v>99.858236818101602</v>
      </c>
      <c r="I18">
        <v>100.60703531670001</v>
      </c>
      <c r="L18" t="s">
        <v>2</v>
      </c>
      <c r="M18">
        <v>99.5189367527515</v>
      </c>
      <c r="N18">
        <v>100.154686656148</v>
      </c>
      <c r="Q18">
        <f t="shared" si="26"/>
        <v>98.481818769685944</v>
      </c>
      <c r="R18">
        <f t="shared" si="27"/>
        <v>96.85431967729339</v>
      </c>
      <c r="S18">
        <f t="shared" si="28"/>
        <v>98.898392577352368</v>
      </c>
      <c r="T18">
        <f t="shared" si="29"/>
        <v>0</v>
      </c>
      <c r="U18">
        <f t="shared" si="30"/>
        <v>99.466636957382804</v>
      </c>
      <c r="V18">
        <f t="shared" si="31"/>
        <v>97.822862874066331</v>
      </c>
      <c r="W18">
        <f t="shared" si="32"/>
        <v>99.887376503125893</v>
      </c>
      <c r="X18" s="3">
        <f t="shared" si="33"/>
        <v>0</v>
      </c>
      <c r="Y18">
        <f>MAX(0,1.77*MIN(U18/100-1,R18/100-1,S18/100-1))/(1+AG18)^(($A$12-A4)/365)</f>
        <v>0</v>
      </c>
      <c r="Z18">
        <f t="shared" si="34"/>
        <v>0</v>
      </c>
      <c r="AA18">
        <f t="shared" si="35"/>
        <v>0</v>
      </c>
      <c r="AB18">
        <f t="shared" si="36"/>
        <v>0</v>
      </c>
      <c r="AC18">
        <f t="shared" si="37"/>
        <v>0</v>
      </c>
      <c r="AD18">
        <f t="shared" si="38"/>
        <v>0</v>
      </c>
      <c r="AE18">
        <f t="shared" si="39"/>
        <v>99.771527117351994</v>
      </c>
      <c r="AF18">
        <f t="shared" si="40"/>
        <v>2</v>
      </c>
      <c r="AG18">
        <f t="shared" si="41"/>
        <v>0.05</v>
      </c>
      <c r="AH18">
        <f t="shared" ref="AH18:AH25" si="45">T18/((1+AG18)^(($A$12-A4)/365))</f>
        <v>0</v>
      </c>
      <c r="AI18">
        <f t="shared" si="42"/>
        <v>0</v>
      </c>
      <c r="AJ18">
        <f t="shared" ref="AJ18:AJ25" si="46">AJ17+AI18</f>
        <v>0</v>
      </c>
      <c r="AK18">
        <f t="shared" si="25"/>
        <v>0</v>
      </c>
      <c r="AL18">
        <f t="shared" si="43"/>
        <v>0</v>
      </c>
      <c r="AM18">
        <f>$AE18+AJ18+SUM($AK$16:AK18)+AL18-100-AH18</f>
        <v>-0.22847288264800625</v>
      </c>
      <c r="AO18" s="4">
        <f t="shared" si="44"/>
        <v>-0.22847288264800625</v>
      </c>
    </row>
    <row r="19" spans="1:41">
      <c r="B19" t="s">
        <v>3</v>
      </c>
      <c r="C19">
        <v>100.131236809407</v>
      </c>
      <c r="D19">
        <v>101.15617577337299</v>
      </c>
      <c r="G19" t="s">
        <v>3</v>
      </c>
      <c r="H19">
        <v>98.917307785791905</v>
      </c>
      <c r="I19">
        <v>100.16252201585</v>
      </c>
      <c r="L19" t="s">
        <v>3</v>
      </c>
      <c r="M19">
        <v>99.280911038011496</v>
      </c>
      <c r="N19">
        <v>100.258297075882</v>
      </c>
      <c r="Q19">
        <f t="shared" si="26"/>
        <v>98.528932241820897</v>
      </c>
      <c r="R19">
        <f t="shared" si="27"/>
        <v>97.892680452903818</v>
      </c>
      <c r="S19">
        <f t="shared" si="28"/>
        <v>99.346560901959663</v>
      </c>
      <c r="T19">
        <f t="shared" si="29"/>
        <v>0</v>
      </c>
      <c r="U19">
        <f t="shared" si="30"/>
        <v>99.514221564239108</v>
      </c>
      <c r="V19">
        <f t="shared" si="31"/>
        <v>98.871607257432856</v>
      </c>
      <c r="W19">
        <f t="shared" si="32"/>
        <v>100.34002651097926</v>
      </c>
      <c r="X19" s="3">
        <f t="shared" si="33"/>
        <v>0</v>
      </c>
      <c r="Y19">
        <f>MAX(0,1.77*MIN(U19/100-1,R19/100-1,S19/100-1))/(1+AG19)^(($A$12-A5)/365)</f>
        <v>0</v>
      </c>
      <c r="Z19">
        <f t="shared" si="34"/>
        <v>0</v>
      </c>
      <c r="AA19">
        <f t="shared" si="35"/>
        <v>0</v>
      </c>
      <c r="AB19">
        <f t="shared" si="36"/>
        <v>0</v>
      </c>
      <c r="AC19">
        <f t="shared" si="37"/>
        <v>0</v>
      </c>
      <c r="AD19">
        <f t="shared" si="38"/>
        <v>0</v>
      </c>
      <c r="AE19">
        <f t="shared" si="39"/>
        <v>99.80005765639774</v>
      </c>
      <c r="AF19">
        <f t="shared" si="40"/>
        <v>2</v>
      </c>
      <c r="AG19">
        <f t="shared" si="41"/>
        <v>0.05</v>
      </c>
      <c r="AH19">
        <f t="shared" si="45"/>
        <v>0</v>
      </c>
      <c r="AI19">
        <f t="shared" si="42"/>
        <v>0</v>
      </c>
      <c r="AJ19">
        <f t="shared" si="46"/>
        <v>0</v>
      </c>
      <c r="AK19">
        <f t="shared" si="25"/>
        <v>0</v>
      </c>
      <c r="AL19">
        <f t="shared" si="43"/>
        <v>0</v>
      </c>
      <c r="AM19">
        <f>$AE19+AJ19+SUM($AK$16:AK19)+AL19-100-AH19</f>
        <v>-0.1999423436022596</v>
      </c>
      <c r="AO19" s="4">
        <f t="shared" si="44"/>
        <v>-0.1999423436022596</v>
      </c>
    </row>
    <row r="20" spans="1:41" s="2" customFormat="1">
      <c r="A20" s="2" t="s">
        <v>87</v>
      </c>
      <c r="B20" s="2" t="s">
        <v>4</v>
      </c>
      <c r="C20">
        <v>98.889462871512393</v>
      </c>
      <c r="D20">
        <v>101.14862605029199</v>
      </c>
      <c r="E20" s="16" t="s">
        <v>86</v>
      </c>
      <c r="G20" s="2" t="s">
        <v>4</v>
      </c>
      <c r="H20">
        <v>98.862184706692702</v>
      </c>
      <c r="I20">
        <v>100.437958373887</v>
      </c>
      <c r="L20" s="2" t="s">
        <v>4</v>
      </c>
      <c r="M20">
        <v>98.706495676270293</v>
      </c>
      <c r="N20">
        <v>100.281686683795</v>
      </c>
      <c r="Q20" s="2">
        <f>($D$26/D20)*D6</f>
        <v>99.504061208593029</v>
      </c>
      <c r="R20" s="2">
        <f t="shared" si="27"/>
        <v>97.790908737549998</v>
      </c>
      <c r="S20" s="2">
        <f t="shared" si="28"/>
        <v>100.0665173333856</v>
      </c>
      <c r="T20" s="2">
        <f>MAX(0,1.77*MIN(Q20/100-1,R20/100-1,S20/100-1,1))</f>
        <v>0</v>
      </c>
      <c r="U20" s="2">
        <f t="shared" si="30"/>
        <v>100.49910182067896</v>
      </c>
      <c r="V20" s="2">
        <f t="shared" si="31"/>
        <v>98.768817824925492</v>
      </c>
      <c r="W20" s="2">
        <f t="shared" si="32"/>
        <v>101.06718250671946</v>
      </c>
      <c r="X20" s="19">
        <f t="shared" si="33"/>
        <v>0</v>
      </c>
      <c r="Y20" s="2">
        <f t="shared" ref="Y20:Y26" si="47">MAX(0,1.77*MIN(U20/100-1,R20/100-1,S20/100-1))/(1+AG20)^(($A$12-A6)/365)</f>
        <v>0</v>
      </c>
      <c r="Z20" s="2">
        <f t="shared" si="34"/>
        <v>0</v>
      </c>
      <c r="AA20" s="2">
        <f t="shared" si="35"/>
        <v>0</v>
      </c>
      <c r="AB20" s="2">
        <f t="shared" si="36"/>
        <v>0</v>
      </c>
      <c r="AC20" s="2">
        <f t="shared" si="37"/>
        <v>0</v>
      </c>
      <c r="AD20" s="2">
        <f t="shared" si="38"/>
        <v>0</v>
      </c>
      <c r="AE20" s="2">
        <f t="shared" si="39"/>
        <v>99.82859635400014</v>
      </c>
      <c r="AF20" s="2">
        <f t="shared" si="40"/>
        <v>2</v>
      </c>
      <c r="AG20" s="2">
        <f t="shared" si="41"/>
        <v>0.05</v>
      </c>
      <c r="AH20" s="2">
        <f t="shared" si="45"/>
        <v>0</v>
      </c>
      <c r="AI20" s="2">
        <f t="shared" si="42"/>
        <v>0</v>
      </c>
      <c r="AJ20" s="2">
        <f t="shared" si="46"/>
        <v>0</v>
      </c>
      <c r="AK20" s="2">
        <f t="shared" si="25"/>
        <v>0</v>
      </c>
      <c r="AL20" s="2">
        <f t="shared" si="43"/>
        <v>0</v>
      </c>
      <c r="AM20" s="2">
        <f>$AE20+AJ20+SUM($AK$16:AK20)+AL20-100-AH20</f>
        <v>-0.17140364599985958</v>
      </c>
      <c r="AO20" s="18">
        <f t="shared" si="44"/>
        <v>-0.1768667434555144</v>
      </c>
    </row>
    <row r="21" spans="1:41">
      <c r="B21" t="s">
        <v>5</v>
      </c>
      <c r="C21">
        <v>98.544553098745496</v>
      </c>
      <c r="D21">
        <v>101.126590295008</v>
      </c>
      <c r="E21" s="15">
        <v>0.16</v>
      </c>
      <c r="G21" t="s">
        <v>5</v>
      </c>
      <c r="H21">
        <v>98.510708583498996</v>
      </c>
      <c r="I21">
        <v>99.707454660534395</v>
      </c>
      <c r="L21" t="s">
        <v>5</v>
      </c>
      <c r="M21">
        <v>98.663982564826895</v>
      </c>
      <c r="N21">
        <v>100.01855181804601</v>
      </c>
      <c r="Q21">
        <f t="shared" si="26"/>
        <v>99.130072114280708</v>
      </c>
      <c r="R21">
        <f t="shared" si="27"/>
        <v>98.765691645449095</v>
      </c>
      <c r="S21">
        <f t="shared" si="28"/>
        <v>100.48074825038513</v>
      </c>
      <c r="T21">
        <f t="shared" si="29"/>
        <v>0</v>
      </c>
      <c r="U21">
        <f t="shared" si="30"/>
        <v>100.12137283542351</v>
      </c>
      <c r="V21">
        <f t="shared" si="31"/>
        <v>99.753348561903593</v>
      </c>
      <c r="W21">
        <f t="shared" si="32"/>
        <v>101.48555573288898</v>
      </c>
      <c r="X21" s="3">
        <f t="shared" si="33"/>
        <v>0</v>
      </c>
      <c r="Y21">
        <f t="shared" si="47"/>
        <v>0</v>
      </c>
      <c r="Z21">
        <f t="shared" si="34"/>
        <v>0</v>
      </c>
      <c r="AA21">
        <f t="shared" si="35"/>
        <v>0</v>
      </c>
      <c r="AB21">
        <f t="shared" si="36"/>
        <v>0</v>
      </c>
      <c r="AC21">
        <f t="shared" si="37"/>
        <v>0</v>
      </c>
      <c r="AD21">
        <f t="shared" si="38"/>
        <v>0</v>
      </c>
      <c r="AE21">
        <f t="shared" si="39"/>
        <v>99.857143212492218</v>
      </c>
      <c r="AF21">
        <f t="shared" si="40"/>
        <v>2</v>
      </c>
      <c r="AG21">
        <f t="shared" si="41"/>
        <v>0.05</v>
      </c>
      <c r="AH21">
        <f t="shared" si="45"/>
        <v>0</v>
      </c>
      <c r="AI21">
        <f t="shared" si="42"/>
        <v>0</v>
      </c>
      <c r="AJ21">
        <f t="shared" si="46"/>
        <v>0</v>
      </c>
      <c r="AK21">
        <f t="shared" si="25"/>
        <v>0</v>
      </c>
      <c r="AL21">
        <f t="shared" si="43"/>
        <v>0</v>
      </c>
      <c r="AM21">
        <f>$AE21+AJ21+SUM($AK$16:AK21)+AL21-100-AH21</f>
        <v>-0.14285678750778175</v>
      </c>
      <c r="AO21" s="4">
        <f t="shared" si="44"/>
        <v>-0.14872084517224193</v>
      </c>
    </row>
    <row r="22" spans="1:41">
      <c r="B22" t="s">
        <v>6</v>
      </c>
      <c r="C22">
        <v>98.764887626148393</v>
      </c>
      <c r="D22">
        <v>100.342705429218</v>
      </c>
      <c r="G22" t="s">
        <v>6</v>
      </c>
      <c r="H22">
        <v>98.769773919005303</v>
      </c>
      <c r="I22">
        <v>99.196250645424399</v>
      </c>
      <c r="L22" t="s">
        <v>6</v>
      </c>
      <c r="M22">
        <v>98.878466149324694</v>
      </c>
      <c r="N22">
        <v>99.635390520356495</v>
      </c>
      <c r="Q22">
        <f t="shared" si="26"/>
        <v>99.787831580059688</v>
      </c>
      <c r="R22">
        <f t="shared" si="27"/>
        <v>99.79098187363337</v>
      </c>
      <c r="S22">
        <f t="shared" si="28"/>
        <v>101.4823912052985</v>
      </c>
      <c r="T22">
        <f t="shared" si="29"/>
        <v>0</v>
      </c>
      <c r="U22">
        <f t="shared" si="30"/>
        <v>100.78570989586028</v>
      </c>
      <c r="V22">
        <f t="shared" si="31"/>
        <v>100.7888916923697</v>
      </c>
      <c r="W22">
        <f t="shared" si="32"/>
        <v>102.49721511735149</v>
      </c>
      <c r="X22" s="3">
        <f>MAX(0,1.77*MIN(Q22/100-1,R22/100-1,S22/100-1))/(1+AG22)^(($A$12-A8)/365)</f>
        <v>0</v>
      </c>
      <c r="Y22">
        <f t="shared" si="47"/>
        <v>0</v>
      </c>
      <c r="Z22">
        <f t="shared" si="34"/>
        <v>0</v>
      </c>
      <c r="AA22">
        <f t="shared" si="35"/>
        <v>0</v>
      </c>
      <c r="AB22">
        <f t="shared" si="36"/>
        <v>0</v>
      </c>
      <c r="AC22">
        <f>(Z22-$X22)/(1%*I8)</f>
        <v>0</v>
      </c>
      <c r="AD22">
        <f t="shared" si="38"/>
        <v>0</v>
      </c>
      <c r="AE22">
        <f t="shared" si="39"/>
        <v>99.885698234207666</v>
      </c>
      <c r="AF22">
        <f t="shared" si="40"/>
        <v>1</v>
      </c>
      <c r="AG22">
        <f t="shared" si="41"/>
        <v>0.06</v>
      </c>
      <c r="AH22">
        <f t="shared" si="45"/>
        <v>0</v>
      </c>
      <c r="AI22">
        <f t="shared" si="42"/>
        <v>0</v>
      </c>
      <c r="AJ22">
        <f t="shared" si="46"/>
        <v>0</v>
      </c>
      <c r="AK22">
        <f t="shared" si="25"/>
        <v>0</v>
      </c>
      <c r="AL22">
        <f t="shared" si="43"/>
        <v>0</v>
      </c>
      <c r="AM22">
        <f>$AE22+AJ22+SUM($AK$16:AK22)+AL22-100-AH22</f>
        <v>-0.11430176579233375</v>
      </c>
      <c r="AO22" s="4">
        <f t="shared" si="44"/>
        <v>-0.12175601365567092</v>
      </c>
    </row>
    <row r="23" spans="1:41">
      <c r="B23" t="s">
        <v>7</v>
      </c>
      <c r="C23">
        <v>99.169403039212497</v>
      </c>
      <c r="D23">
        <v>100.192712811755</v>
      </c>
      <c r="G23" t="s">
        <v>7</v>
      </c>
      <c r="H23">
        <v>98.424218619605597</v>
      </c>
      <c r="I23">
        <v>98.625212693490298</v>
      </c>
      <c r="L23" t="s">
        <v>7</v>
      </c>
      <c r="M23">
        <v>99.010755763279903</v>
      </c>
      <c r="N23">
        <v>99.244997145019596</v>
      </c>
      <c r="Q23">
        <f t="shared" si="26"/>
        <v>99.417197523173229</v>
      </c>
      <c r="R23">
        <f t="shared" si="27"/>
        <v>99.320568353135798</v>
      </c>
      <c r="S23">
        <f t="shared" si="28"/>
        <v>101.65528757174874</v>
      </c>
      <c r="T23">
        <f>MAX(0,1.77*MIN(Q23/100-1,R23/100-1,S23/100-1,1))</f>
        <v>0</v>
      </c>
      <c r="U23">
        <f t="shared" si="30"/>
        <v>100.41136949840497</v>
      </c>
      <c r="V23">
        <f t="shared" si="31"/>
        <v>100.31377403666716</v>
      </c>
      <c r="W23">
        <f t="shared" si="32"/>
        <v>102.67184044746624</v>
      </c>
      <c r="X23" s="3">
        <f t="shared" si="33"/>
        <v>0</v>
      </c>
      <c r="Y23">
        <f>MAX(0,1.77*MIN(U23/100-1,R23/100-1,S23/100-1))/(1+AG23)^(($A$12-A9)/365)</f>
        <v>0</v>
      </c>
      <c r="Z23">
        <f t="shared" si="34"/>
        <v>0</v>
      </c>
      <c r="AA23">
        <f>MAX(0,1.77*MIN(W23/100-1,Q23/100-1,R23/100-1))/(1+AG23)^(($A$12-A9)/365)</f>
        <v>0</v>
      </c>
      <c r="AB23">
        <f t="shared" si="36"/>
        <v>0</v>
      </c>
      <c r="AC23">
        <f t="shared" si="37"/>
        <v>0</v>
      </c>
      <c r="AD23">
        <f t="shared" si="38"/>
        <v>0</v>
      </c>
      <c r="AE23">
        <f t="shared" si="39"/>
        <v>99.914261421480845</v>
      </c>
      <c r="AF23">
        <f t="shared" si="40"/>
        <v>2</v>
      </c>
      <c r="AG23">
        <f t="shared" si="41"/>
        <v>0.05</v>
      </c>
      <c r="AH23">
        <f t="shared" si="45"/>
        <v>0</v>
      </c>
      <c r="AI23">
        <f t="shared" si="42"/>
        <v>0</v>
      </c>
      <c r="AJ23">
        <f t="shared" si="46"/>
        <v>0</v>
      </c>
      <c r="AK23">
        <f t="shared" si="25"/>
        <v>0</v>
      </c>
      <c r="AL23">
        <f t="shared" si="43"/>
        <v>0</v>
      </c>
      <c r="AM23">
        <f>$AE23+AJ23+SUM($AK$16:AK23)+AL23-100-AH23</f>
        <v>-8.573857851915534E-2</v>
      </c>
      <c r="AO23" s="4">
        <f t="shared" si="44"/>
        <v>-9.3118826143978595E-2</v>
      </c>
    </row>
    <row r="24" spans="1:41">
      <c r="B24" t="s">
        <v>8</v>
      </c>
      <c r="C24">
        <v>99.015579266430606</v>
      </c>
      <c r="D24">
        <v>100.100482229326</v>
      </c>
      <c r="G24" t="s">
        <v>8</v>
      </c>
      <c r="H24">
        <v>99.226977796191704</v>
      </c>
      <c r="I24">
        <v>98.089788735119896</v>
      </c>
      <c r="L24" t="s">
        <v>8</v>
      </c>
      <c r="M24">
        <v>99.425586213308705</v>
      </c>
      <c r="N24">
        <v>99.036047734581601</v>
      </c>
      <c r="Q24">
        <f t="shared" si="26"/>
        <v>99.572426800818405</v>
      </c>
      <c r="R24">
        <f t="shared" si="27"/>
        <v>100.09143300346278</v>
      </c>
      <c r="S24">
        <f t="shared" si="28"/>
        <v>101.97556482332338</v>
      </c>
      <c r="T24">
        <f>MAX(0,1.77*MIN(Q24/100-1,R24/100-1,S24/100-1,1))</f>
        <v>0</v>
      </c>
      <c r="U24">
        <f t="shared" si="30"/>
        <v>100.56815106882659</v>
      </c>
      <c r="V24">
        <f t="shared" si="31"/>
        <v>101.09234733349741</v>
      </c>
      <c r="W24">
        <f t="shared" si="32"/>
        <v>102.99532047155661</v>
      </c>
      <c r="X24" s="3">
        <f>MAX(0,1.77*MIN(Q24/100-1,R24/100-1,S24/100-1))/(1+AG24)^(($A$12-A10)/365)</f>
        <v>0</v>
      </c>
      <c r="Y24">
        <f t="shared" si="47"/>
        <v>1.617847529729541E-3</v>
      </c>
      <c r="Z24">
        <f t="shared" si="34"/>
        <v>0</v>
      </c>
      <c r="AA24">
        <f>MAX(0,1.77*MIN(W24/100-1,Q24/100-1,R24/100-1))/(1+AG24)^(($A$12-A10)/365)</f>
        <v>0</v>
      </c>
      <c r="AB24">
        <f t="shared" si="36"/>
        <v>1.6180675738714954E-3</v>
      </c>
      <c r="AC24">
        <f t="shared" si="37"/>
        <v>0</v>
      </c>
      <c r="AD24">
        <f t="shared" si="38"/>
        <v>0</v>
      </c>
      <c r="AE24">
        <f t="shared" si="39"/>
        <v>99.942832776646711</v>
      </c>
      <c r="AF24">
        <f t="shared" si="40"/>
        <v>1</v>
      </c>
      <c r="AG24">
        <f t="shared" si="41"/>
        <v>0.06</v>
      </c>
      <c r="AH24">
        <f t="shared" si="45"/>
        <v>0</v>
      </c>
      <c r="AI24">
        <f t="shared" si="42"/>
        <v>-7.0721437058177475E-4</v>
      </c>
      <c r="AJ24">
        <f t="shared" si="46"/>
        <v>-7.0721437058177475E-4</v>
      </c>
      <c r="AK24">
        <f t="shared" si="25"/>
        <v>-1.4531802135241947E-7</v>
      </c>
      <c r="AL24">
        <f t="shared" si="43"/>
        <v>-2.6598371077339652E-7</v>
      </c>
      <c r="AM24">
        <f>$AE24+AJ24+SUM($AK$16:AK24)+AL24-100-AH24</f>
        <v>-5.787484902560891E-2</v>
      </c>
      <c r="AO24" s="4">
        <f t="shared" si="44"/>
        <v>-6.6015617934482407E-2</v>
      </c>
    </row>
    <row r="25" spans="1:41">
      <c r="B25" t="s">
        <v>9</v>
      </c>
      <c r="C25">
        <v>98.631101240945</v>
      </c>
      <c r="D25">
        <v>100.085870449239</v>
      </c>
      <c r="G25" t="s">
        <v>9</v>
      </c>
      <c r="H25">
        <v>99.872878069995707</v>
      </c>
      <c r="I25">
        <v>97.662137624893305</v>
      </c>
      <c r="L25" t="s">
        <v>9</v>
      </c>
      <c r="M25">
        <v>99.410528901395594</v>
      </c>
      <c r="N25">
        <v>98.731047593023604</v>
      </c>
      <c r="Q25">
        <f t="shared" si="26"/>
        <v>99.151636247205587</v>
      </c>
      <c r="R25">
        <f t="shared" si="27"/>
        <v>99.890234597776725</v>
      </c>
      <c r="S25">
        <f t="shared" si="28"/>
        <v>101.46581208741341</v>
      </c>
      <c r="T25">
        <f t="shared" si="29"/>
        <v>0</v>
      </c>
      <c r="U25">
        <f t="shared" si="30"/>
        <v>100.14315260967764</v>
      </c>
      <c r="V25">
        <f t="shared" si="31"/>
        <v>100.88913694375449</v>
      </c>
      <c r="W25">
        <f t="shared" si="32"/>
        <v>102.48047020828754</v>
      </c>
      <c r="X25" s="3">
        <f>MAX(0,1.77*MIN(Q25/100-1,R25/100-1,S25/100-1))/(1+AG25)^(($A$12-A11)/365)</f>
        <v>0</v>
      </c>
      <c r="Y25">
        <f t="shared" si="47"/>
        <v>0</v>
      </c>
      <c r="Z25">
        <f t="shared" si="34"/>
        <v>0</v>
      </c>
      <c r="AA25">
        <f>MAX(0,1.77*MIN(W25/100-1,Q25/100-1,R25/100-1))/(1+AG25)^(($A$12-A11)/365)</f>
        <v>0</v>
      </c>
      <c r="AB25">
        <f t="shared" si="36"/>
        <v>0</v>
      </c>
      <c r="AC25">
        <f t="shared" si="37"/>
        <v>0</v>
      </c>
      <c r="AD25">
        <f t="shared" si="38"/>
        <v>0</v>
      </c>
      <c r="AE25">
        <f t="shared" si="39"/>
        <v>99.971412302040989</v>
      </c>
      <c r="AF25">
        <f t="shared" si="40"/>
        <v>1</v>
      </c>
      <c r="AG25">
        <f t="shared" si="41"/>
        <v>0.06</v>
      </c>
      <c r="AH25">
        <f t="shared" si="45"/>
        <v>0</v>
      </c>
      <c r="AI25">
        <f t="shared" si="42"/>
        <v>0</v>
      </c>
      <c r="AJ25">
        <f t="shared" si="46"/>
        <v>-7.0721437058177475E-4</v>
      </c>
      <c r="AK25">
        <f>AJ25*7.5%*(1/365)</f>
        <v>-1.4531802135241947E-7</v>
      </c>
      <c r="AL25">
        <f t="shared" si="43"/>
        <v>0</v>
      </c>
      <c r="AM25">
        <f>$AE25+AJ25+SUM($AK$16:AK25)+AL25-100-AH25</f>
        <v>-2.9295202965627709E-2</v>
      </c>
      <c r="AO25" s="4">
        <f t="shared" si="44"/>
        <v>-3.743561331184253E-2</v>
      </c>
    </row>
    <row r="26" spans="1:41">
      <c r="A26" t="s">
        <v>88</v>
      </c>
      <c r="B26" t="s">
        <v>10</v>
      </c>
      <c r="C26">
        <v>98.330934918320494</v>
      </c>
      <c r="D26">
        <v>99.686035892075296</v>
      </c>
      <c r="G26" t="s">
        <v>10</v>
      </c>
      <c r="H26">
        <v>99.309505282109797</v>
      </c>
      <c r="I26">
        <v>97.618943513979403</v>
      </c>
      <c r="L26" t="s">
        <v>10</v>
      </c>
      <c r="M26">
        <v>98.366689970290196</v>
      </c>
      <c r="N26">
        <v>99.054762035098094</v>
      </c>
      <c r="Q26">
        <f t="shared" si="26"/>
        <v>99.728005630096504</v>
      </c>
      <c r="R26">
        <f t="shared" si="27"/>
        <v>100.28395437951001</v>
      </c>
      <c r="S26">
        <f t="shared" si="28"/>
        <v>101.41896863706199</v>
      </c>
      <c r="T26">
        <f t="shared" si="29"/>
        <v>0</v>
      </c>
      <c r="U26">
        <f t="shared" si="30"/>
        <v>100.72528568639747</v>
      </c>
      <c r="V26">
        <f t="shared" si="31"/>
        <v>101.28679392330511</v>
      </c>
      <c r="W26">
        <f t="shared" si="32"/>
        <v>102.43315832343262</v>
      </c>
      <c r="X26" s="3">
        <f>MAX(0,1.77*MIN(Q26/100-1,R26/100-1,S26/100-1))/(1+AG26)^(($A$12-A12)/365)</f>
        <v>0</v>
      </c>
      <c r="Y26">
        <f t="shared" si="47"/>
        <v>5.0259925173271715E-3</v>
      </c>
      <c r="Z26">
        <f t="shared" si="34"/>
        <v>0</v>
      </c>
      <c r="AA26">
        <f>MAX(0,1.77*MIN(W26/100-1,Q26/100-1,R26/100-1))/(1+AG26)^(($A$12-A12)/365)</f>
        <v>0</v>
      </c>
      <c r="AB26">
        <f t="shared" si="36"/>
        <v>5.039700218180637E-3</v>
      </c>
      <c r="AC26">
        <f t="shared" si="37"/>
        <v>0</v>
      </c>
      <c r="AD26">
        <f t="shared" si="38"/>
        <v>0</v>
      </c>
      <c r="AE26">
        <f t="shared" si="39"/>
        <v>100</v>
      </c>
      <c r="AF26">
        <f t="shared" si="40"/>
        <v>1</v>
      </c>
      <c r="AG26">
        <f t="shared" si="41"/>
        <v>0.06</v>
      </c>
      <c r="AH26">
        <f>T26/((1+AG26)^(($A$12-A12)/365))</f>
        <v>0</v>
      </c>
      <c r="AJ26">
        <f>AJ25+AI26</f>
        <v>-7.0721437058177475E-4</v>
      </c>
      <c r="AK26">
        <f>AJ26*7.5%*(1/365)</f>
        <v>-1.4531802135241947E-7</v>
      </c>
      <c r="AL26">
        <f t="shared" si="43"/>
        <v>-8.284438714817486E-7</v>
      </c>
      <c r="AM26">
        <f>$AE26+AJ26+SUM($AK$16:AK26)+AL26-100-AH26</f>
        <v>-7.0847876851587444E-4</v>
      </c>
    </row>
    <row r="27" spans="1:41">
      <c r="A27" t="s">
        <v>89</v>
      </c>
      <c r="B27" t="s">
        <v>11</v>
      </c>
      <c r="C27" t="s">
        <v>12</v>
      </c>
      <c r="D27" t="s">
        <v>12</v>
      </c>
      <c r="G27" t="s">
        <v>11</v>
      </c>
      <c r="H27" t="s">
        <v>12</v>
      </c>
      <c r="I27" t="s">
        <v>12</v>
      </c>
      <c r="L27" t="s">
        <v>11</v>
      </c>
      <c r="AB27" s="9" t="s">
        <v>63</v>
      </c>
      <c r="AC27" s="9" t="s">
        <v>64</v>
      </c>
      <c r="AD27" s="9" t="s">
        <v>65</v>
      </c>
      <c r="AE27" s="10" t="s">
        <v>66</v>
      </c>
      <c r="AF27" s="2" t="s">
        <v>58</v>
      </c>
      <c r="AG27" s="10" t="s">
        <v>67</v>
      </c>
      <c r="AH27" s="10" t="s">
        <v>32</v>
      </c>
      <c r="AI27" s="10" t="s">
        <v>68</v>
      </c>
      <c r="AJ27" s="10" t="s">
        <v>56</v>
      </c>
      <c r="AK27" s="10" t="s">
        <v>82</v>
      </c>
      <c r="AL27" s="11" t="s">
        <v>69</v>
      </c>
    </row>
    <row r="28" spans="1:41">
      <c r="T28" t="s">
        <v>34</v>
      </c>
      <c r="U28" s="1">
        <v>42648</v>
      </c>
      <c r="X28" s="1">
        <v>42650</v>
      </c>
      <c r="AA28" t="s">
        <v>70</v>
      </c>
      <c r="AB28" s="7">
        <f>AVERAGE(AB16,AB2)</f>
        <v>0</v>
      </c>
      <c r="AC28" s="7">
        <f>AVERAGE(AC16,AC2)</f>
        <v>0</v>
      </c>
      <c r="AD28" s="7">
        <f>AVERAGE(AD16,AD2)</f>
        <v>0</v>
      </c>
      <c r="AE28">
        <f>AB28*(D3-D2)+AC28*(I3-I2)+AD28*(N3-N2)</f>
        <v>0</v>
      </c>
      <c r="AF28">
        <f>AE28</f>
        <v>0</v>
      </c>
      <c r="AG28">
        <f t="shared" ref="AG28:AG38" si="48">AF28*0.075*1/365</f>
        <v>0</v>
      </c>
      <c r="AH28">
        <f t="shared" ref="AH28:AH36" si="49">100/((1+11%)^(($C$32-A2)/365))</f>
        <v>99.714490505601816</v>
      </c>
      <c r="AI28">
        <v>100</v>
      </c>
      <c r="AJ28">
        <f>(AH2+AH16)/2</f>
        <v>0</v>
      </c>
      <c r="AK28" s="13">
        <f t="shared" ref="AK28:AK37" si="50">(AB28*$B$36*(-1)+AC28*$B$37*(-1)+AD28*$B$38*(-1))*(1/365)</f>
        <v>0</v>
      </c>
      <c r="AL28" s="6">
        <f>AE28+AG28+AH37-AI28-AJ28</f>
        <v>-2.8587697959011393E-2</v>
      </c>
    </row>
    <row r="29" spans="1:41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47</v>
      </c>
      <c r="P29" t="s">
        <v>48</v>
      </c>
      <c r="T29" t="s">
        <v>35</v>
      </c>
      <c r="U29" s="1">
        <v>42660</v>
      </c>
      <c r="V29">
        <f>U29-U35</f>
        <v>10</v>
      </c>
      <c r="X29" s="1">
        <f>X28+1</f>
        <v>42651</v>
      </c>
      <c r="AA29" t="s">
        <v>71</v>
      </c>
      <c r="AB29" s="7">
        <f t="shared" ref="AB29:AB38" si="51">AVERAGE(AB17,AB3)</f>
        <v>0</v>
      </c>
      <c r="AC29" s="7">
        <f t="shared" ref="AC29:AD29" si="52">AVERAGE(AC17,AC3)</f>
        <v>0</v>
      </c>
      <c r="AD29" s="7">
        <f t="shared" si="52"/>
        <v>0</v>
      </c>
      <c r="AE29">
        <f t="shared" ref="AE29:AE37" si="53">AB29*(D4-D3)+AC29*(I4-I3)+AD29*(N4-N3)</f>
        <v>0</v>
      </c>
      <c r="AF29" s="5">
        <f>AE29+AF28</f>
        <v>0</v>
      </c>
      <c r="AG29">
        <f t="shared" si="48"/>
        <v>0</v>
      </c>
      <c r="AH29">
        <f t="shared" si="49"/>
        <v>99.743004734530587</v>
      </c>
      <c r="AI29">
        <v>100</v>
      </c>
      <c r="AJ29">
        <f t="shared" ref="AJ29:AJ38" si="54">(AH3+AH17)/2</f>
        <v>0</v>
      </c>
      <c r="AK29" s="13">
        <f t="shared" si="50"/>
        <v>0</v>
      </c>
      <c r="AL29" s="6">
        <f t="shared" ref="AL29:AL37" si="55">AE29+AG29+AH29-AI29-AJ29</f>
        <v>-0.25699526546941343</v>
      </c>
    </row>
    <row r="30" spans="1:41">
      <c r="A30" t="s">
        <v>49</v>
      </c>
      <c r="B30" s="1">
        <v>42681</v>
      </c>
      <c r="C30" s="1">
        <v>42693</v>
      </c>
      <c r="D30">
        <v>100</v>
      </c>
      <c r="E30" s="1">
        <v>42693</v>
      </c>
      <c r="F30">
        <v>100</v>
      </c>
      <c r="G30">
        <v>17</v>
      </c>
      <c r="H30">
        <v>5</v>
      </c>
      <c r="I30" s="1">
        <v>42683</v>
      </c>
      <c r="J30">
        <v>2</v>
      </c>
      <c r="K30">
        <v>11.75</v>
      </c>
      <c r="L30">
        <v>0</v>
      </c>
      <c r="M30">
        <v>1</v>
      </c>
      <c r="N30">
        <v>3</v>
      </c>
      <c r="O30">
        <v>2</v>
      </c>
      <c r="P30">
        <v>0.04</v>
      </c>
      <c r="U30" s="1"/>
      <c r="X30" s="1">
        <f t="shared" ref="X30:X38" si="56">X29+1</f>
        <v>42652</v>
      </c>
      <c r="AA30" t="s">
        <v>72</v>
      </c>
      <c r="AB30" s="7">
        <f t="shared" si="51"/>
        <v>0</v>
      </c>
      <c r="AC30" s="7">
        <f t="shared" ref="AC30:AD30" si="57">AVERAGE(AC18,AC4)</f>
        <v>0</v>
      </c>
      <c r="AD30" s="7">
        <f t="shared" si="57"/>
        <v>0</v>
      </c>
      <c r="AE30">
        <f t="shared" si="53"/>
        <v>0</v>
      </c>
      <c r="AF30" s="5">
        <f t="shared" ref="AF30:AF36" si="58">AE30+AF29</f>
        <v>0</v>
      </c>
      <c r="AG30">
        <f t="shared" si="48"/>
        <v>0</v>
      </c>
      <c r="AH30">
        <f t="shared" si="49"/>
        <v>99.771527117351994</v>
      </c>
      <c r="AI30">
        <v>100</v>
      </c>
      <c r="AJ30">
        <f t="shared" si="54"/>
        <v>0</v>
      </c>
      <c r="AK30" s="13">
        <f t="shared" si="50"/>
        <v>0</v>
      </c>
      <c r="AL30" s="6">
        <f t="shared" si="55"/>
        <v>-0.22847288264800625</v>
      </c>
    </row>
    <row r="31" spans="1:41">
      <c r="B31">
        <v>0</v>
      </c>
      <c r="T31" t="s">
        <v>37</v>
      </c>
      <c r="U31" s="1">
        <v>42664</v>
      </c>
      <c r="X31" s="1">
        <f t="shared" si="56"/>
        <v>42653</v>
      </c>
      <c r="AA31" t="s">
        <v>73</v>
      </c>
      <c r="AB31" s="8">
        <f t="shared" si="51"/>
        <v>0</v>
      </c>
      <c r="AC31" s="7">
        <f t="shared" ref="AC31:AD31" si="59">AVERAGE(AC19,AC5)</f>
        <v>0</v>
      </c>
      <c r="AD31" s="7">
        <f t="shared" si="59"/>
        <v>0</v>
      </c>
      <c r="AE31">
        <f t="shared" si="53"/>
        <v>0</v>
      </c>
      <c r="AF31" s="5">
        <f t="shared" si="58"/>
        <v>0</v>
      </c>
      <c r="AG31">
        <f t="shared" si="48"/>
        <v>0</v>
      </c>
      <c r="AH31">
        <f t="shared" si="49"/>
        <v>99.80005765639774</v>
      </c>
      <c r="AI31">
        <v>100</v>
      </c>
      <c r="AJ31">
        <f t="shared" si="54"/>
        <v>0</v>
      </c>
      <c r="AK31" s="13">
        <f t="shared" si="50"/>
        <v>0</v>
      </c>
      <c r="AL31" s="6">
        <f t="shared" si="55"/>
        <v>-0.1999423436022596</v>
      </c>
    </row>
    <row r="32" spans="1:41">
      <c r="B32" t="s">
        <v>50</v>
      </c>
      <c r="C32">
        <f>E30-B30</f>
        <v>12</v>
      </c>
      <c r="U32" s="1"/>
      <c r="V32">
        <v>750</v>
      </c>
      <c r="W32">
        <v>913</v>
      </c>
      <c r="X32" s="1">
        <f t="shared" si="56"/>
        <v>42654</v>
      </c>
      <c r="AA32" t="s">
        <v>74</v>
      </c>
      <c r="AB32" s="7">
        <f t="shared" si="51"/>
        <v>4.9344799046462887E-3</v>
      </c>
      <c r="AC32" s="7">
        <f t="shared" ref="AC32:AD32" si="60">AVERAGE(AC20,AC6)</f>
        <v>0</v>
      </c>
      <c r="AD32" s="7">
        <f t="shared" si="60"/>
        <v>0</v>
      </c>
      <c r="AE32">
        <f t="shared" si="53"/>
        <v>-1.980646488909471E-3</v>
      </c>
      <c r="AF32" s="5">
        <f t="shared" si="58"/>
        <v>-1.980646488909471E-3</v>
      </c>
      <c r="AG32">
        <f t="shared" si="48"/>
        <v>-4.0698215525537074E-7</v>
      </c>
      <c r="AH32">
        <f t="shared" si="49"/>
        <v>99.82859635400014</v>
      </c>
      <c r="AI32">
        <v>100</v>
      </c>
      <c r="AJ32">
        <f t="shared" si="54"/>
        <v>3.4812328372115036E-3</v>
      </c>
      <c r="AK32" s="13">
        <f t="shared" si="50"/>
        <v>-8.1114738158569129E-7</v>
      </c>
      <c r="AL32" s="6">
        <f t="shared" si="55"/>
        <v>-0.1768659323081411</v>
      </c>
    </row>
    <row r="33" spans="1:38">
      <c r="B33" t="s">
        <v>51</v>
      </c>
      <c r="C33">
        <f>C30-I30</f>
        <v>10</v>
      </c>
      <c r="U33" s="14">
        <f>500*20/50/60</f>
        <v>3.3333333333333335</v>
      </c>
      <c r="V33">
        <f>V32*50/W32</f>
        <v>41.073384446878421</v>
      </c>
      <c r="X33" s="1">
        <f t="shared" si="56"/>
        <v>42655</v>
      </c>
      <c r="AA33" t="s">
        <v>75</v>
      </c>
      <c r="AB33" s="7">
        <f t="shared" si="51"/>
        <v>7.1060043426560641E-3</v>
      </c>
      <c r="AC33" s="7">
        <f t="shared" ref="AC33:AD33" si="61">AVERAGE(AC21,AC7)</f>
        <v>0</v>
      </c>
      <c r="AD33" s="7">
        <f t="shared" si="61"/>
        <v>0</v>
      </c>
      <c r="AE33">
        <f t="shared" si="53"/>
        <v>-8.3439163646724759E-4</v>
      </c>
      <c r="AF33" s="5">
        <f t="shared" si="58"/>
        <v>-2.8150381253767187E-3</v>
      </c>
      <c r="AG33">
        <f t="shared" si="48"/>
        <v>-5.7843249151576414E-7</v>
      </c>
      <c r="AH33">
        <f t="shared" si="49"/>
        <v>99.857143212492218</v>
      </c>
      <c r="AI33">
        <v>100</v>
      </c>
      <c r="AJ33">
        <f t="shared" si="54"/>
        <v>3.0472729962904657E-3</v>
      </c>
      <c r="AK33" s="13">
        <f t="shared" si="50"/>
        <v>-1.1681103029023666E-6</v>
      </c>
      <c r="AL33" s="6">
        <f t="shared" si="55"/>
        <v>-0.14673903057303714</v>
      </c>
    </row>
    <row r="34" spans="1:38">
      <c r="U34" s="1"/>
      <c r="X34" s="1">
        <f t="shared" si="56"/>
        <v>42656</v>
      </c>
      <c r="AA34" t="s">
        <v>76</v>
      </c>
      <c r="AB34" s="7">
        <f t="shared" si="51"/>
        <v>8.8054902515608668E-3</v>
      </c>
      <c r="AC34" s="7">
        <f t="shared" ref="AC34:AD34" si="62">AVERAGE(AC22,AC8)</f>
        <v>0</v>
      </c>
      <c r="AD34" s="7">
        <f t="shared" si="62"/>
        <v>0</v>
      </c>
      <c r="AE34">
        <f t="shared" si="53"/>
        <v>-4.6023098777440352E-3</v>
      </c>
      <c r="AF34" s="5">
        <f t="shared" si="58"/>
        <v>-7.4173480031207543E-3</v>
      </c>
      <c r="AG34">
        <f t="shared" si="48"/>
        <v>-1.5241126033809768E-6</v>
      </c>
      <c r="AH34">
        <f t="shared" si="49"/>
        <v>99.885698234207666</v>
      </c>
      <c r="AI34">
        <v>100</v>
      </c>
      <c r="AJ34">
        <f t="shared" si="54"/>
        <v>3.3928269759136359E-5</v>
      </c>
      <c r="AK34" s="13">
        <f t="shared" si="50"/>
        <v>-1.4474778495716491E-6</v>
      </c>
      <c r="AL34" s="6">
        <f t="shared" si="55"/>
        <v>-0.11893952805243758</v>
      </c>
    </row>
    <row r="35" spans="1:38">
      <c r="A35" t="s">
        <v>53</v>
      </c>
      <c r="B35" t="s">
        <v>54</v>
      </c>
      <c r="T35" t="s">
        <v>41</v>
      </c>
      <c r="U35" s="1">
        <v>42650</v>
      </c>
      <c r="X35" s="1">
        <f t="shared" si="56"/>
        <v>42657</v>
      </c>
      <c r="AA35" t="s">
        <v>77</v>
      </c>
      <c r="AB35" s="7">
        <f t="shared" si="51"/>
        <v>6.059547740709946E-4</v>
      </c>
      <c r="AC35" s="7">
        <f t="shared" ref="AC35:AD35" si="63">AVERAGE(AC23,AC9)</f>
        <v>0</v>
      </c>
      <c r="AD35" s="7">
        <f t="shared" si="63"/>
        <v>0</v>
      </c>
      <c r="AE35">
        <f t="shared" si="53"/>
        <v>3.8716144534375198E-5</v>
      </c>
      <c r="AF35" s="5">
        <f t="shared" si="58"/>
        <v>-7.3786318585863792E-3</v>
      </c>
      <c r="AG35">
        <f t="shared" si="48"/>
        <v>-1.5161572312163792E-6</v>
      </c>
      <c r="AH35">
        <f t="shared" si="49"/>
        <v>99.914261421480845</v>
      </c>
      <c r="AI35">
        <v>100</v>
      </c>
      <c r="AJ35">
        <f t="shared" si="54"/>
        <v>0</v>
      </c>
      <c r="AK35" s="13">
        <f t="shared" si="50"/>
        <v>-9.9609003956875822E-8</v>
      </c>
      <c r="AL35" s="6">
        <f t="shared" si="55"/>
        <v>-8.5701378531851446E-2</v>
      </c>
    </row>
    <row r="36" spans="1:38">
      <c r="A36">
        <v>0.2</v>
      </c>
      <c r="B36">
        <v>0.06</v>
      </c>
      <c r="X36" s="1">
        <f t="shared" si="56"/>
        <v>42658</v>
      </c>
      <c r="AA36" t="s">
        <v>78</v>
      </c>
      <c r="AB36" s="7">
        <f t="shared" si="51"/>
        <v>3.3573148217091813E-3</v>
      </c>
      <c r="AC36" s="7">
        <f t="shared" ref="AC36:AD36" si="64">AVERAGE(AC24,AC10)</f>
        <v>0</v>
      </c>
      <c r="AD36" s="7">
        <f t="shared" si="64"/>
        <v>0</v>
      </c>
      <c r="AE36">
        <f t="shared" si="53"/>
        <v>-1.4673931588647538E-3</v>
      </c>
      <c r="AF36" s="5">
        <f t="shared" si="58"/>
        <v>-8.846025017451133E-3</v>
      </c>
      <c r="AG36">
        <f t="shared" si="48"/>
        <v>-1.817676373448863E-6</v>
      </c>
      <c r="AH36">
        <f t="shared" si="49"/>
        <v>99.942832776646711</v>
      </c>
      <c r="AI36">
        <v>100</v>
      </c>
      <c r="AJ36">
        <f t="shared" si="54"/>
        <v>0</v>
      </c>
      <c r="AK36" s="13">
        <f t="shared" si="50"/>
        <v>-5.5188736795219418E-7</v>
      </c>
      <c r="AL36" s="6">
        <f t="shared" si="55"/>
        <v>-5.8636434188528597E-2</v>
      </c>
    </row>
    <row r="37" spans="1:38">
      <c r="A37">
        <v>0.18</v>
      </c>
      <c r="B37">
        <v>0.05</v>
      </c>
      <c r="X37" s="1">
        <f t="shared" si="56"/>
        <v>42659</v>
      </c>
      <c r="AA37" t="s">
        <v>79</v>
      </c>
      <c r="AB37" s="7">
        <f t="shared" si="51"/>
        <v>0</v>
      </c>
      <c r="AC37" s="7">
        <f>AVERAGE(AC25,AC11)</f>
        <v>0</v>
      </c>
      <c r="AD37" s="7">
        <f t="shared" ref="AD37:AD38" si="65">AVERAGE(AD25,AD11)</f>
        <v>0</v>
      </c>
      <c r="AE37">
        <f t="shared" si="53"/>
        <v>0</v>
      </c>
      <c r="AF37" s="5">
        <f>AE37+AF36</f>
        <v>-8.846025017451133E-3</v>
      </c>
      <c r="AG37">
        <f t="shared" si="48"/>
        <v>-1.817676373448863E-6</v>
      </c>
      <c r="AH37">
        <f t="shared" ref="AH37" si="66">100/((1+11%)^(($C$32-A11)/365))</f>
        <v>99.971412302040989</v>
      </c>
      <c r="AI37">
        <v>100</v>
      </c>
      <c r="AJ37">
        <f t="shared" si="54"/>
        <v>0</v>
      </c>
      <c r="AK37" s="13">
        <f t="shared" si="50"/>
        <v>0</v>
      </c>
      <c r="AL37" s="6">
        <f t="shared" si="55"/>
        <v>-2.8589515635388807E-2</v>
      </c>
    </row>
    <row r="38" spans="1:38">
      <c r="A38">
        <v>0.16</v>
      </c>
      <c r="B38">
        <v>0.04</v>
      </c>
      <c r="X38" s="1">
        <f t="shared" si="56"/>
        <v>42660</v>
      </c>
      <c r="AA38" t="s">
        <v>80</v>
      </c>
      <c r="AB38" s="7">
        <f t="shared" si="51"/>
        <v>5.039700218180637E-3</v>
      </c>
      <c r="AC38" s="7">
        <f>AVERAGE(AC26,AC12)</f>
        <v>0</v>
      </c>
      <c r="AD38" s="7">
        <f t="shared" si="65"/>
        <v>0</v>
      </c>
      <c r="AE38" s="4"/>
      <c r="AF38" s="5">
        <f>AE38+AF37</f>
        <v>-8.846025017451133E-3</v>
      </c>
      <c r="AG38" s="13">
        <f t="shared" si="48"/>
        <v>-1.817676373448863E-6</v>
      </c>
      <c r="AH38">
        <f>100/((1+11%)^(($C$32-A12)/365))</f>
        <v>100</v>
      </c>
      <c r="AI38">
        <v>100</v>
      </c>
      <c r="AJ38">
        <f t="shared" si="54"/>
        <v>0</v>
      </c>
      <c r="AK38" s="13"/>
      <c r="AL38" s="12">
        <f>AF37+(SUM(AG28:AG38))+AH38-AI37-AJ38+AK39</f>
        <v>-8.8595819629615612E-3</v>
      </c>
    </row>
    <row r="39" spans="1:38">
      <c r="AF39">
        <f>SUM(AF28:AF38)</f>
        <v>-4.6129739528346717E-2</v>
      </c>
      <c r="AG39" s="6">
        <f>SUM(AG28:AG38)</f>
        <v>-9.4787136017150805E-6</v>
      </c>
      <c r="AK39" s="13">
        <f>SUM(AK28:AK38)</f>
        <v>-4.0782319059687772E-6</v>
      </c>
    </row>
    <row r="40" spans="1:38">
      <c r="AF40" t="s">
        <v>91</v>
      </c>
    </row>
    <row r="41" spans="1:38">
      <c r="AK41">
        <f>500*500*3*1200/100/3600</f>
        <v>2500</v>
      </c>
    </row>
    <row r="42" spans="1:38"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J42">
        <v>0</v>
      </c>
      <c r="AK42">
        <v>0</v>
      </c>
    </row>
    <row r="43" spans="1:38"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J43">
        <v>0</v>
      </c>
      <c r="AK43">
        <v>0</v>
      </c>
    </row>
    <row r="44" spans="1:38"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J44">
        <v>0</v>
      </c>
      <c r="AK44">
        <v>0</v>
      </c>
    </row>
    <row r="45" spans="1:38"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J45">
        <v>0</v>
      </c>
      <c r="AK45">
        <v>0</v>
      </c>
    </row>
    <row r="46" spans="1:38">
      <c r="AB46">
        <v>4.9371050445894101E-3</v>
      </c>
      <c r="AC46">
        <v>0</v>
      </c>
      <c r="AD46">
        <v>0</v>
      </c>
      <c r="AE46">
        <v>-1.9817001914904302E-3</v>
      </c>
      <c r="AF46">
        <v>-1.9817001914904302E-3</v>
      </c>
      <c r="AG46" s="20">
        <v>-4.0719866948433602E-7</v>
      </c>
      <c r="AJ46">
        <v>3.4812328372154301E-3</v>
      </c>
      <c r="AK46" s="20">
        <v>-8.1157891143935402E-7</v>
      </c>
    </row>
    <row r="47" spans="1:38">
      <c r="AB47">
        <v>7.1086495764711597E-3</v>
      </c>
      <c r="AC47">
        <v>0</v>
      </c>
      <c r="AD47">
        <v>0</v>
      </c>
      <c r="AE47">
        <v>-8.3470224153742905E-4</v>
      </c>
      <c r="AF47">
        <v>-2.8164024330278601E-3</v>
      </c>
      <c r="AG47" s="20">
        <v>-5.7871282870435503E-7</v>
      </c>
      <c r="AJ47">
        <v>3.0472729962936099E-3</v>
      </c>
      <c r="AK47" s="20">
        <v>-1.16854513585827E-6</v>
      </c>
    </row>
    <row r="48" spans="1:38">
      <c r="AB48">
        <v>8.8054902515608408E-3</v>
      </c>
      <c r="AC48">
        <v>0</v>
      </c>
      <c r="AD48">
        <v>0</v>
      </c>
      <c r="AE48">
        <v>-4.6023098777462704E-3</v>
      </c>
      <c r="AF48">
        <v>-7.4187123107741296E-3</v>
      </c>
      <c r="AG48" s="20">
        <v>-1.5243929405700301E-6</v>
      </c>
      <c r="AJ48" s="20">
        <v>3.3928269761493001E-5</v>
      </c>
      <c r="AK48" s="20">
        <v>-1.44747784957164E-6</v>
      </c>
    </row>
    <row r="49" spans="28:37">
      <c r="AB49">
        <v>6.0595477407099395E-4</v>
      </c>
      <c r="AC49">
        <v>0</v>
      </c>
      <c r="AD49">
        <v>0</v>
      </c>
      <c r="AE49" s="20">
        <v>3.87161445343494E-5</v>
      </c>
      <c r="AF49">
        <v>-7.3799961662397899E-3</v>
      </c>
      <c r="AG49" s="20">
        <v>-1.5164375684054401E-6</v>
      </c>
      <c r="AJ49">
        <v>0</v>
      </c>
      <c r="AK49" s="20">
        <v>-9.9609003956875796E-8</v>
      </c>
    </row>
    <row r="50" spans="28:37">
      <c r="AB50">
        <v>3.3573568426609498E-3</v>
      </c>
      <c r="AC50">
        <v>0</v>
      </c>
      <c r="AD50">
        <v>0</v>
      </c>
      <c r="AE50">
        <v>-1.4674115251069101E-3</v>
      </c>
      <c r="AF50">
        <v>-8.8474076913466898E-3</v>
      </c>
      <c r="AG50" s="20">
        <v>-1.81796048452329E-6</v>
      </c>
      <c r="AJ50">
        <v>0</v>
      </c>
      <c r="AK50" s="20">
        <v>-5.5189427550590996E-7</v>
      </c>
    </row>
    <row r="51" spans="28:37">
      <c r="AB51">
        <v>0</v>
      </c>
      <c r="AC51">
        <v>0</v>
      </c>
      <c r="AD51">
        <v>0</v>
      </c>
      <c r="AE51">
        <v>0</v>
      </c>
      <c r="AF51">
        <v>-8.8474076913466898E-3</v>
      </c>
      <c r="AG51" s="20">
        <v>-1.81796048452329E-6</v>
      </c>
      <c r="AJ51">
        <v>0</v>
      </c>
      <c r="AK51">
        <v>0</v>
      </c>
    </row>
    <row r="52" spans="28:37">
      <c r="AB52">
        <v>5.0397002181767001E-3</v>
      </c>
      <c r="AC52">
        <v>0</v>
      </c>
      <c r="AD52">
        <v>0</v>
      </c>
      <c r="AE52">
        <v>0</v>
      </c>
      <c r="AF52">
        <v>-8.8474076913466898E-3</v>
      </c>
      <c r="AG52" s="20">
        <v>-1.81796048452329E-6</v>
      </c>
      <c r="AJ52">
        <v>0</v>
      </c>
      <c r="AK52" s="20">
        <v>-8.2844387148110104E-7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asset- 1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Kumar</dc:creator>
  <cp:lastModifiedBy>anmolmishra</cp:lastModifiedBy>
  <dcterms:created xsi:type="dcterms:W3CDTF">2016-11-04T16:10:27Z</dcterms:created>
  <dcterms:modified xsi:type="dcterms:W3CDTF">2016-12-15T04:49:35Z</dcterms:modified>
</cp:coreProperties>
</file>