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9440" windowHeight="9495"/>
  </bookViews>
  <sheets>
    <sheet name="asset- 1 " sheetId="1" r:id="rId1"/>
  </sheets>
  <calcPr calcId="125725"/>
</workbook>
</file>

<file path=xl/calcChain.xml><?xml version="1.0" encoding="utf-8"?>
<calcChain xmlns="http://schemas.openxmlformats.org/spreadsheetml/2006/main">
  <c r="W5" i="1"/>
  <c r="V5"/>
  <c r="T20"/>
  <c r="Q20"/>
  <c r="Q5"/>
  <c r="S5"/>
  <c r="R5"/>
  <c r="Q12"/>
  <c r="Q11"/>
  <c r="Q10"/>
  <c r="Q9"/>
  <c r="Q8"/>
  <c r="Q7"/>
  <c r="Q6"/>
  <c r="Q4"/>
  <c r="Q3"/>
  <c r="Q2"/>
  <c r="U33"/>
  <c r="V33"/>
  <c r="T10" l="1"/>
  <c r="T12"/>
  <c r="T5"/>
  <c r="AK41"/>
  <c r="S16"/>
  <c r="W16" s="1"/>
  <c r="R16"/>
  <c r="Q16"/>
  <c r="S17"/>
  <c r="S18"/>
  <c r="W18" s="1"/>
  <c r="S19"/>
  <c r="W19" s="1"/>
  <c r="S20"/>
  <c r="W20" s="1"/>
  <c r="S21"/>
  <c r="W21" s="1"/>
  <c r="S22"/>
  <c r="W22" s="1"/>
  <c r="S23"/>
  <c r="W23" s="1"/>
  <c r="S24"/>
  <c r="W24" s="1"/>
  <c r="S25"/>
  <c r="W25" s="1"/>
  <c r="S26"/>
  <c r="R17"/>
  <c r="R18"/>
  <c r="V18" s="1"/>
  <c r="R19"/>
  <c r="R20"/>
  <c r="V20" s="1"/>
  <c r="R21"/>
  <c r="R22"/>
  <c r="V22" s="1"/>
  <c r="R23"/>
  <c r="R24"/>
  <c r="R25"/>
  <c r="R26"/>
  <c r="V26" s="1"/>
  <c r="Q17"/>
  <c r="Q18"/>
  <c r="Q19"/>
  <c r="Q21"/>
  <c r="Q22"/>
  <c r="Q23"/>
  <c r="U23" s="1"/>
  <c r="Q24"/>
  <c r="Q25"/>
  <c r="Q26"/>
  <c r="S3"/>
  <c r="W3" s="1"/>
  <c r="S4"/>
  <c r="W4" s="1"/>
  <c r="S6"/>
  <c r="W6" s="1"/>
  <c r="S7"/>
  <c r="W7" s="1"/>
  <c r="S8"/>
  <c r="W8" s="1"/>
  <c r="S9"/>
  <c r="W9" s="1"/>
  <c r="S10"/>
  <c r="W10" s="1"/>
  <c r="S11"/>
  <c r="W11" s="1"/>
  <c r="S12"/>
  <c r="W12" s="1"/>
  <c r="S2"/>
  <c r="W2" s="1"/>
  <c r="R3"/>
  <c r="T3" s="1"/>
  <c r="R4"/>
  <c r="V4" s="1"/>
  <c r="R6"/>
  <c r="R7"/>
  <c r="R8"/>
  <c r="R9"/>
  <c r="R10"/>
  <c r="V10" s="1"/>
  <c r="R11"/>
  <c r="R12"/>
  <c r="V12" s="1"/>
  <c r="R2"/>
  <c r="V2" s="1"/>
  <c r="U4"/>
  <c r="U8"/>
  <c r="U9"/>
  <c r="V29"/>
  <c r="X30"/>
  <c r="X31" s="1"/>
  <c r="X32" s="1"/>
  <c r="X33" s="1"/>
  <c r="X34" s="1"/>
  <c r="X35" s="1"/>
  <c r="X36" s="1"/>
  <c r="X37" s="1"/>
  <c r="X38" s="1"/>
  <c r="X29"/>
  <c r="U6"/>
  <c r="W17"/>
  <c r="V24"/>
  <c r="U21"/>
  <c r="A2"/>
  <c r="A3" s="1"/>
  <c r="A4" s="1"/>
  <c r="A5" s="1"/>
  <c r="A6" s="1"/>
  <c r="C33"/>
  <c r="C32"/>
  <c r="V3"/>
  <c r="V7"/>
  <c r="T9" l="1"/>
  <c r="T4"/>
  <c r="T11"/>
  <c r="T7"/>
  <c r="T8"/>
  <c r="V6"/>
  <c r="T6"/>
  <c r="V9"/>
  <c r="T2"/>
  <c r="AH30"/>
  <c r="AH29"/>
  <c r="AH28"/>
  <c r="AH32"/>
  <c r="AH31"/>
  <c r="T16"/>
  <c r="T23"/>
  <c r="T24"/>
  <c r="U16"/>
  <c r="U2"/>
  <c r="AF11"/>
  <c r="AG11" s="1"/>
  <c r="T26"/>
  <c r="T18"/>
  <c r="V11"/>
  <c r="T25"/>
  <c r="T17"/>
  <c r="AF9"/>
  <c r="AG9" s="1"/>
  <c r="AF23"/>
  <c r="AG23" s="1"/>
  <c r="T19"/>
  <c r="U17"/>
  <c r="AF10"/>
  <c r="AG10" s="1"/>
  <c r="V8"/>
  <c r="U25"/>
  <c r="AF25"/>
  <c r="AG25" s="1"/>
  <c r="U5"/>
  <c r="U20"/>
  <c r="AF17"/>
  <c r="AG17" s="1"/>
  <c r="AF16"/>
  <c r="AG16" s="1"/>
  <c r="AF19"/>
  <c r="AG19" s="1"/>
  <c r="AF3"/>
  <c r="AG3" s="1"/>
  <c r="AF12"/>
  <c r="AG12" s="1"/>
  <c r="AF6"/>
  <c r="AG6" s="1"/>
  <c r="V16"/>
  <c r="U7"/>
  <c r="AE4"/>
  <c r="AF7"/>
  <c r="AG7" s="1"/>
  <c r="AF21"/>
  <c r="AG21" s="1"/>
  <c r="V19"/>
  <c r="T21"/>
  <c r="AF4"/>
  <c r="AG4" s="1"/>
  <c r="U12"/>
  <c r="AE3"/>
  <c r="U10"/>
  <c r="AE2"/>
  <c r="AF8"/>
  <c r="AG8" s="1"/>
  <c r="AE19"/>
  <c r="T22"/>
  <c r="AE20"/>
  <c r="AE17"/>
  <c r="U11"/>
  <c r="U3"/>
  <c r="AE16"/>
  <c r="AF2"/>
  <c r="AG2" s="1"/>
  <c r="AF5"/>
  <c r="AG5" s="1"/>
  <c r="AE18"/>
  <c r="W26"/>
  <c r="U19"/>
  <c r="U18"/>
  <c r="V21"/>
  <c r="V17"/>
  <c r="U24"/>
  <c r="AF26"/>
  <c r="AG26" s="1"/>
  <c r="AF24"/>
  <c r="AG24" s="1"/>
  <c r="AF22"/>
  <c r="AG22" s="1"/>
  <c r="AF20"/>
  <c r="AG20" s="1"/>
  <c r="AF18"/>
  <c r="AG18" s="1"/>
  <c r="V25"/>
  <c r="V23"/>
  <c r="U26"/>
  <c r="U22"/>
  <c r="A7"/>
  <c r="AE21" s="1"/>
  <c r="AE6"/>
  <c r="AE5"/>
  <c r="AH33" l="1"/>
  <c r="A8"/>
  <c r="AE7"/>
  <c r="AE22" l="1"/>
  <c r="AH34"/>
  <c r="A9"/>
  <c r="AE8"/>
  <c r="AE23" l="1"/>
  <c r="AH35"/>
  <c r="A10"/>
  <c r="AE9"/>
  <c r="AE24" l="1"/>
  <c r="AH36"/>
  <c r="A11"/>
  <c r="AH37" s="1"/>
  <c r="AE10"/>
  <c r="AE25" l="1"/>
  <c r="A12"/>
  <c r="AE11"/>
  <c r="AH38" l="1"/>
  <c r="X2"/>
  <c r="X11"/>
  <c r="AH16"/>
  <c r="AH4"/>
  <c r="Z16"/>
  <c r="AA9"/>
  <c r="Y23"/>
  <c r="AA16"/>
  <c r="AH8"/>
  <c r="AH2"/>
  <c r="Z11"/>
  <c r="AA26"/>
  <c r="Z3"/>
  <c r="AA4"/>
  <c r="AA12"/>
  <c r="AH12"/>
  <c r="X26"/>
  <c r="X25"/>
  <c r="AH5"/>
  <c r="AA5"/>
  <c r="AA25"/>
  <c r="Y17"/>
  <c r="AH10"/>
  <c r="AA11"/>
  <c r="AA7"/>
  <c r="Y16"/>
  <c r="AA8"/>
  <c r="AH9"/>
  <c r="AH17"/>
  <c r="AH26"/>
  <c r="AA6"/>
  <c r="X22"/>
  <c r="Y18"/>
  <c r="AH11"/>
  <c r="AH6"/>
  <c r="X24"/>
  <c r="Y11"/>
  <c r="Y19"/>
  <c r="AA23"/>
  <c r="AA24"/>
  <c r="AA3"/>
  <c r="AA2"/>
  <c r="AH7"/>
  <c r="AA10"/>
  <c r="AH3"/>
  <c r="AJ29" s="1"/>
  <c r="Z7"/>
  <c r="Y4"/>
  <c r="Z24"/>
  <c r="X10"/>
  <c r="X19"/>
  <c r="AB19" s="1"/>
  <c r="X8"/>
  <c r="AD8" s="1"/>
  <c r="AA22"/>
  <c r="Z22"/>
  <c r="Z4"/>
  <c r="Y6"/>
  <c r="AA19"/>
  <c r="Z9"/>
  <c r="AA20"/>
  <c r="X7"/>
  <c r="X5"/>
  <c r="AD5" s="1"/>
  <c r="Z10"/>
  <c r="AA21"/>
  <c r="Z20"/>
  <c r="Z26"/>
  <c r="Y9"/>
  <c r="Z17"/>
  <c r="Z25"/>
  <c r="Y10"/>
  <c r="X3"/>
  <c r="Z12"/>
  <c r="X18"/>
  <c r="Z19"/>
  <c r="X20"/>
  <c r="AA17"/>
  <c r="Y22"/>
  <c r="Y25"/>
  <c r="Z21"/>
  <c r="Y7"/>
  <c r="Y5"/>
  <c r="Y2"/>
  <c r="Y21"/>
  <c r="Y8"/>
  <c r="X9"/>
  <c r="AD9" s="1"/>
  <c r="Y26"/>
  <c r="X17"/>
  <c r="Z5"/>
  <c r="Z18"/>
  <c r="AC18" s="1"/>
  <c r="X12"/>
  <c r="Y12"/>
  <c r="Z8"/>
  <c r="X4"/>
  <c r="AD4" s="1"/>
  <c r="Y3"/>
  <c r="Y24"/>
  <c r="Y20"/>
  <c r="Z2"/>
  <c r="X16"/>
  <c r="X6"/>
  <c r="X21"/>
  <c r="Z23"/>
  <c r="Z6"/>
  <c r="AA18"/>
  <c r="X23"/>
  <c r="AH19"/>
  <c r="AH25"/>
  <c r="AH23"/>
  <c r="AE26"/>
  <c r="AE12"/>
  <c r="AH24"/>
  <c r="AH22"/>
  <c r="AH18"/>
  <c r="AH21"/>
  <c r="AH20"/>
  <c r="AC24" l="1"/>
  <c r="AD24"/>
  <c r="AD2"/>
  <c r="AB2"/>
  <c r="AC26"/>
  <c r="AJ38"/>
  <c r="AD7"/>
  <c r="AB26"/>
  <c r="AJ34"/>
  <c r="AC2"/>
  <c r="AD12"/>
  <c r="AB22"/>
  <c r="AD26"/>
  <c r="AC19"/>
  <c r="AD19"/>
  <c r="AD31" s="1"/>
  <c r="AD11"/>
  <c r="AB21"/>
  <c r="AD10"/>
  <c r="AC11"/>
  <c r="AB25"/>
  <c r="AD22"/>
  <c r="AB24"/>
  <c r="AB17"/>
  <c r="AC22"/>
  <c r="AB11"/>
  <c r="AD25"/>
  <c r="AC25"/>
  <c r="AC5"/>
  <c r="AJ30"/>
  <c r="AB18"/>
  <c r="AB9"/>
  <c r="AC9"/>
  <c r="AC8"/>
  <c r="AB8"/>
  <c r="AB7"/>
  <c r="AC4"/>
  <c r="AC7"/>
  <c r="AB5"/>
  <c r="AB20"/>
  <c r="AC12"/>
  <c r="AD21"/>
  <c r="AC20"/>
  <c r="AB4"/>
  <c r="AC21"/>
  <c r="AC10"/>
  <c r="AB12"/>
  <c r="AD17"/>
  <c r="AD20"/>
  <c r="AB16"/>
  <c r="AD16"/>
  <c r="AC16"/>
  <c r="AC17"/>
  <c r="AC23"/>
  <c r="AB3"/>
  <c r="AB10"/>
  <c r="AB23"/>
  <c r="AD23"/>
  <c r="AD35" s="1"/>
  <c r="AD3"/>
  <c r="AC3"/>
  <c r="AD18"/>
  <c r="AJ33"/>
  <c r="AJ32"/>
  <c r="AJ35"/>
  <c r="AJ28"/>
  <c r="AJ37"/>
  <c r="AJ36"/>
  <c r="AJ31"/>
  <c r="AH13"/>
  <c r="AB35" l="1"/>
  <c r="AD36"/>
  <c r="AI7"/>
  <c r="AB37"/>
  <c r="AB38"/>
  <c r="AL19"/>
  <c r="AI2"/>
  <c r="AL9"/>
  <c r="AB34"/>
  <c r="AD28"/>
  <c r="AL26"/>
  <c r="AL2"/>
  <c r="AB28"/>
  <c r="AD38"/>
  <c r="AB36"/>
  <c r="AL24"/>
  <c r="AB29"/>
  <c r="AI22"/>
  <c r="AL25"/>
  <c r="AI24"/>
  <c r="AB33"/>
  <c r="AI19"/>
  <c r="AL18"/>
  <c r="AL22"/>
  <c r="AI11"/>
  <c r="AL11"/>
  <c r="AC31"/>
  <c r="AI25"/>
  <c r="AI5"/>
  <c r="AB30"/>
  <c r="AB32"/>
  <c r="AB31"/>
  <c r="AL12"/>
  <c r="AL5"/>
  <c r="AI9"/>
  <c r="AI8"/>
  <c r="AI20"/>
  <c r="AL8"/>
  <c r="AI4"/>
  <c r="AI17"/>
  <c r="AL20"/>
  <c r="AL17"/>
  <c r="AL4"/>
  <c r="AL7"/>
  <c r="AI21"/>
  <c r="AD29"/>
  <c r="AI18"/>
  <c r="AL21"/>
  <c r="AD30"/>
  <c r="AL6"/>
  <c r="AI6"/>
  <c r="AL3"/>
  <c r="AI3"/>
  <c r="AL16"/>
  <c r="AI16"/>
  <c r="AJ16" s="1"/>
  <c r="AL10"/>
  <c r="AI10"/>
  <c r="AL23"/>
  <c r="AI23"/>
  <c r="AC30"/>
  <c r="AC28"/>
  <c r="AD32"/>
  <c r="AD37"/>
  <c r="AC34"/>
  <c r="AC38"/>
  <c r="AC37"/>
  <c r="AJ2"/>
  <c r="AD34"/>
  <c r="AD33"/>
  <c r="AC29"/>
  <c r="AC35"/>
  <c r="AC33"/>
  <c r="AC36"/>
  <c r="AC32"/>
  <c r="AK31" l="1"/>
  <c r="AK36"/>
  <c r="AE31"/>
  <c r="AE32"/>
  <c r="AE29"/>
  <c r="AK29"/>
  <c r="AK33"/>
  <c r="AE34"/>
  <c r="AL13"/>
  <c r="AK37"/>
  <c r="AK32"/>
  <c r="AK30"/>
  <c r="AK34"/>
  <c r="AE36"/>
  <c r="AE35"/>
  <c r="AK35"/>
  <c r="AE28"/>
  <c r="AF28" s="1"/>
  <c r="AK28"/>
  <c r="AJ17"/>
  <c r="AE37"/>
  <c r="AE33"/>
  <c r="AE30"/>
  <c r="AI13"/>
  <c r="AJ3"/>
  <c r="AK2"/>
  <c r="AM2" l="1"/>
  <c r="AK39"/>
  <c r="AG28"/>
  <c r="AL28" s="1"/>
  <c r="AF29"/>
  <c r="AF30" s="1"/>
  <c r="AK16"/>
  <c r="AK3"/>
  <c r="AM3" s="1"/>
  <c r="AJ4"/>
  <c r="AM16" l="1"/>
  <c r="AO16" s="1"/>
  <c r="AG29"/>
  <c r="AL29" s="1"/>
  <c r="AJ18"/>
  <c r="AK17"/>
  <c r="AG30"/>
  <c r="AF31"/>
  <c r="AK4"/>
  <c r="AJ5"/>
  <c r="AM17" l="1"/>
  <c r="AO17" s="1"/>
  <c r="AM4"/>
  <c r="AL30"/>
  <c r="AJ19"/>
  <c r="AK18"/>
  <c r="AM18" s="1"/>
  <c r="AF32"/>
  <c r="AG31"/>
  <c r="AL31" s="1"/>
  <c r="AJ6"/>
  <c r="AK5"/>
  <c r="AM5" s="1"/>
  <c r="AK6" l="1"/>
  <c r="AO18"/>
  <c r="AM19"/>
  <c r="AJ20"/>
  <c r="AK19"/>
  <c r="AF33"/>
  <c r="AG32"/>
  <c r="AJ7"/>
  <c r="AM6" l="1"/>
  <c r="AM20"/>
  <c r="AO19"/>
  <c r="AL32"/>
  <c r="AJ21"/>
  <c r="AK20"/>
  <c r="AF34"/>
  <c r="AG33"/>
  <c r="AK7"/>
  <c r="AM7" s="1"/>
  <c r="AJ8"/>
  <c r="AO20" l="1"/>
  <c r="AL33"/>
  <c r="AJ22"/>
  <c r="AK21"/>
  <c r="AM21" s="1"/>
  <c r="AF35"/>
  <c r="AG34"/>
  <c r="AK8"/>
  <c r="AM8" s="1"/>
  <c r="AJ9"/>
  <c r="AO21" l="1"/>
  <c r="AL34"/>
  <c r="AK22"/>
  <c r="AM22" s="1"/>
  <c r="AJ23"/>
  <c r="AF36"/>
  <c r="AF37" s="1"/>
  <c r="AG35"/>
  <c r="AL35" s="1"/>
  <c r="AK9"/>
  <c r="AM9" s="1"/>
  <c r="AJ10"/>
  <c r="AM23" l="1"/>
  <c r="AF38"/>
  <c r="AG38" s="1"/>
  <c r="AO22"/>
  <c r="AJ24"/>
  <c r="AK23"/>
  <c r="AG36"/>
  <c r="AK10"/>
  <c r="AM10" s="1"/>
  <c r="AJ11"/>
  <c r="AF39" l="1"/>
  <c r="AK11"/>
  <c r="AM11" s="1"/>
  <c r="AJ12"/>
  <c r="AO23"/>
  <c r="AL36"/>
  <c r="AJ25"/>
  <c r="AK24"/>
  <c r="AM24" s="1"/>
  <c r="AG37"/>
  <c r="AL38" s="1"/>
  <c r="AL37" l="1"/>
  <c r="AJ26"/>
  <c r="AK25"/>
  <c r="AM25" s="1"/>
  <c r="AO25" s="1"/>
  <c r="AK12"/>
  <c r="AK13" s="1"/>
  <c r="AG39"/>
  <c r="AO24"/>
  <c r="AM12" l="1"/>
  <c r="AK26"/>
  <c r="AM26" s="1"/>
</calcChain>
</file>

<file path=xl/comments1.xml><?xml version="1.0" encoding="utf-8"?>
<comments xmlns="http://schemas.openxmlformats.org/spreadsheetml/2006/main">
  <authors>
    <author>prachiTN</author>
  </authors>
  <commentList>
    <comment ref="X1" authorId="0">
      <text>
        <r>
          <rPr>
            <b/>
            <sz val="9"/>
            <color indexed="81"/>
            <rFont val="Tahoma"/>
            <family val="2"/>
          </rPr>
          <t>prachiTN:</t>
        </r>
        <r>
          <rPr>
            <sz val="9"/>
            <color indexed="81"/>
            <rFont val="Tahoma"/>
            <family val="2"/>
          </rPr>
          <t xml:space="preserve">
Payoff
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prachiTN:</t>
        </r>
        <r>
          <rPr>
            <sz val="9"/>
            <color indexed="81"/>
            <rFont val="Tahoma"/>
            <family val="2"/>
          </rPr>
          <t xml:space="preserve">
2. Delta is to be discounted</t>
        </r>
      </text>
    </comment>
  </commentList>
</comments>
</file>

<file path=xl/sharedStrings.xml><?xml version="1.0" encoding="utf-8"?>
<sst xmlns="http://schemas.openxmlformats.org/spreadsheetml/2006/main" count="202" uniqueCount="91">
  <si>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</si>
  <si>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</si>
  <si>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</si>
  <si>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</si>
  <si>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</si>
  <si>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</si>
  <si>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</si>
  <si>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</si>
  <si>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</si>
  <si>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</si>
  <si>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</si>
  <si>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</si>
  <si>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NA</t>
  </si>
  <si>
    <t>Actual Sim - Asset 1</t>
  </si>
  <si>
    <t>Actual Sim - Asset 2</t>
  </si>
  <si>
    <t>Actual Sim - Asset 3</t>
  </si>
  <si>
    <t>Hedge Sim - Asset 1</t>
  </si>
  <si>
    <t>Hedge Sim - Asset 2</t>
  </si>
  <si>
    <t>A1</t>
  </si>
  <si>
    <t>A2</t>
  </si>
  <si>
    <t>A3</t>
  </si>
  <si>
    <t>Hedge Sim - Asset 3</t>
  </si>
  <si>
    <t>WoC</t>
  </si>
  <si>
    <t>1% A1</t>
  </si>
  <si>
    <t>1% A2</t>
  </si>
  <si>
    <t>1% A3</t>
  </si>
  <si>
    <t>WoC 1</t>
  </si>
  <si>
    <t>WoC 2</t>
  </si>
  <si>
    <t>WoC 3</t>
  </si>
  <si>
    <t>Delta 1</t>
  </si>
  <si>
    <t>Delta 2</t>
  </si>
  <si>
    <t>Delta 3</t>
  </si>
  <si>
    <t>Bond</t>
  </si>
  <si>
    <t>Product Code</t>
  </si>
  <si>
    <t>Valuation Date</t>
  </si>
  <si>
    <t>Final Fixing Date</t>
  </si>
  <si>
    <t>Strike</t>
  </si>
  <si>
    <t>Redemption Date</t>
  </si>
  <si>
    <t>Value today</t>
  </si>
  <si>
    <t>IV</t>
  </si>
  <si>
    <t>RFR</t>
  </si>
  <si>
    <t>Initial Fixing Date</t>
  </si>
  <si>
    <t>No of Scenario</t>
  </si>
  <si>
    <t>IR</t>
  </si>
  <si>
    <t>Pen</t>
  </si>
  <si>
    <t>PP</t>
  </si>
  <si>
    <t>no of assets</t>
  </si>
  <si>
    <t>Hedgescenarios</t>
  </si>
  <si>
    <t>Builtin</t>
  </si>
  <si>
    <t>WOC</t>
  </si>
  <si>
    <t>Rd - Val</t>
  </si>
  <si>
    <t>FD - ID</t>
  </si>
  <si>
    <t>Min Asset</t>
  </si>
  <si>
    <t>Vol</t>
  </si>
  <si>
    <t>Rf</t>
  </si>
  <si>
    <t>Rfr</t>
  </si>
  <si>
    <t>OTC MTM</t>
  </si>
  <si>
    <t>Delta PnL</t>
  </si>
  <si>
    <t>Cum Delta Pnl</t>
  </si>
  <si>
    <t>Int on Cum PnL</t>
  </si>
  <si>
    <t>Roll Cost</t>
  </si>
  <si>
    <t>Net</t>
  </si>
  <si>
    <t>Delta WoC</t>
  </si>
  <si>
    <t>Finaldelta1 ,asim1</t>
  </si>
  <si>
    <t>Finaldelta2 ,asim1</t>
  </si>
  <si>
    <t>Finaldelta3 ,asim1</t>
  </si>
  <si>
    <t>HedgePnl</t>
  </si>
  <si>
    <t>Int On PnL</t>
  </si>
  <si>
    <t>Principal</t>
  </si>
  <si>
    <t>Total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</si>
  <si>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</si>
  <si>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</si>
  <si>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</si>
  <si>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</si>
  <si>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</si>
  <si>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</si>
  <si>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</si>
  <si>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</si>
  <si>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</si>
  <si>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</si>
  <si>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</si>
  <si>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2x2</t>
  </si>
  <si>
    <t>Rollcost</t>
  </si>
  <si>
    <t>Price</t>
  </si>
  <si>
    <t>Realised</t>
  </si>
  <si>
    <t>hedged</t>
  </si>
  <si>
    <t>14%/16%</t>
  </si>
  <si>
    <t>x</t>
  </si>
  <si>
    <t>y</t>
  </si>
  <si>
    <t>a*(y/x)</t>
  </si>
  <si>
    <t>2x1</t>
  </si>
</sst>
</file>

<file path=xl/styles.xml><?xml version="1.0" encoding="utf-8"?>
<styleSheet xmlns="http://schemas.openxmlformats.org/spreadsheetml/2006/main">
  <numFmts count="6">
    <numFmt numFmtId="164" formatCode="0.000000"/>
    <numFmt numFmtId="165" formatCode="0.000000000"/>
    <numFmt numFmtId="166" formatCode="0.0000000000"/>
    <numFmt numFmtId="167" formatCode="0.0000000000000"/>
    <numFmt numFmtId="168" formatCode="0.00000000000"/>
    <numFmt numFmtId="169" formatCode="0.000000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5" fontId="0" fillId="0" borderId="0" xfId="0" applyNumberFormat="1"/>
    <xf numFmtId="0" fontId="0" fillId="33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0" xfId="0" applyBorder="1"/>
    <xf numFmtId="166" fontId="0" fillId="0" borderId="10" xfId="0" applyNumberFormat="1" applyBorder="1"/>
    <xf numFmtId="0" fontId="0" fillId="33" borderId="10" xfId="0" applyFill="1" applyBorder="1"/>
    <xf numFmtId="0" fontId="0" fillId="33" borderId="0" xfId="0" applyFill="1" applyBorder="1"/>
    <xf numFmtId="0" fontId="14" fillId="33" borderId="0" xfId="0" applyFont="1" applyFill="1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4" fontId="0" fillId="0" borderId="0" xfId="0" applyNumberFormat="1"/>
    <xf numFmtId="9" fontId="0" fillId="0" borderId="0" xfId="0" applyNumberFormat="1"/>
    <xf numFmtId="9" fontId="0" fillId="33" borderId="0" xfId="0" applyNumberFormat="1" applyFill="1"/>
    <xf numFmtId="166" fontId="0" fillId="33" borderId="0" xfId="0" applyNumberFormat="1" applyFill="1"/>
    <xf numFmtId="165" fontId="0" fillId="33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1"/>
  <sheetViews>
    <sheetView tabSelected="1" topLeftCell="O1" workbookViewId="0">
      <selection activeCell="AD7" sqref="AD7"/>
    </sheetView>
  </sheetViews>
  <sheetFormatPr defaultRowHeight="15"/>
  <cols>
    <col min="1" max="1" width="11.28515625" bestFit="1" customWidth="1"/>
    <col min="2" max="3" width="10" bestFit="1" customWidth="1"/>
    <col min="5" max="5" width="10" bestFit="1" customWidth="1"/>
    <col min="9" max="9" width="10" bestFit="1" customWidth="1"/>
    <col min="20" max="20" width="16.7109375" bestFit="1" customWidth="1"/>
    <col min="21" max="21" width="9.85546875" bestFit="1" customWidth="1"/>
    <col min="23" max="23" width="8.7109375" customWidth="1"/>
    <col min="24" max="24" width="12.5703125" bestFit="1" customWidth="1"/>
    <col min="26" max="26" width="11.5703125" bestFit="1" customWidth="1"/>
    <col min="27" max="28" width="12.5703125" bestFit="1" customWidth="1"/>
    <col min="29" max="29" width="15.42578125" bestFit="1" customWidth="1"/>
    <col min="30" max="30" width="15.140625" bestFit="1" customWidth="1"/>
    <col min="31" max="31" width="12.28515625" bestFit="1" customWidth="1"/>
    <col min="32" max="32" width="13.42578125" bestFit="1" customWidth="1"/>
    <col min="33" max="33" width="17.5703125" bestFit="1" customWidth="1"/>
    <col min="34" max="34" width="12" bestFit="1" customWidth="1"/>
    <col min="35" max="35" width="14.42578125" bestFit="1" customWidth="1"/>
    <col min="36" max="36" width="13.5703125" bestFit="1" customWidth="1"/>
    <col min="37" max="37" width="22" bestFit="1" customWidth="1"/>
    <col min="38" max="38" width="24" bestFit="1" customWidth="1"/>
    <col min="39" max="39" width="16.42578125" bestFit="1" customWidth="1"/>
    <col min="41" max="41" width="12.28515625" bestFit="1" customWidth="1"/>
  </cols>
  <sheetData>
    <row r="1" spans="1:41">
      <c r="A1" t="s">
        <v>13</v>
      </c>
      <c r="C1" t="s">
        <v>0</v>
      </c>
      <c r="D1" t="s">
        <v>1</v>
      </c>
      <c r="F1" t="s">
        <v>14</v>
      </c>
      <c r="H1" t="s">
        <v>0</v>
      </c>
      <c r="I1" t="s">
        <v>1</v>
      </c>
      <c r="K1" t="s">
        <v>15</v>
      </c>
      <c r="M1" t="s">
        <v>0</v>
      </c>
      <c r="N1" t="s">
        <v>1</v>
      </c>
      <c r="P1" t="s">
        <v>90</v>
      </c>
      <c r="Q1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W1" t="s">
        <v>25</v>
      </c>
      <c r="X1" t="s">
        <v>62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s="2" t="s">
        <v>32</v>
      </c>
      <c r="AF1" t="s">
        <v>52</v>
      </c>
      <c r="AG1" t="s">
        <v>55</v>
      </c>
      <c r="AH1" s="2" t="s">
        <v>56</v>
      </c>
      <c r="AI1" s="2" t="s">
        <v>57</v>
      </c>
      <c r="AJ1" t="s">
        <v>58</v>
      </c>
      <c r="AK1" s="2" t="s">
        <v>59</v>
      </c>
      <c r="AL1" s="2" t="s">
        <v>60</v>
      </c>
      <c r="AM1" s="2" t="s">
        <v>61</v>
      </c>
    </row>
    <row r="2" spans="1:41">
      <c r="A2">
        <f>I30-B30</f>
        <v>2</v>
      </c>
      <c r="B2" t="s">
        <v>0</v>
      </c>
      <c r="C2">
        <v>100</v>
      </c>
      <c r="D2">
        <v>100</v>
      </c>
      <c r="E2" s="15">
        <v>0.16</v>
      </c>
      <c r="F2" t="s">
        <v>83</v>
      </c>
      <c r="G2" t="s">
        <v>0</v>
      </c>
      <c r="H2">
        <v>100</v>
      </c>
      <c r="I2">
        <v>100</v>
      </c>
      <c r="L2" t="s">
        <v>0</v>
      </c>
      <c r="M2">
        <v>100</v>
      </c>
      <c r="N2">
        <v>100</v>
      </c>
      <c r="Q2">
        <f t="shared" ref="Q2:Q12" si="0">($C$26/C16)*D2</f>
        <v>89.7465547712454</v>
      </c>
      <c r="R2">
        <f>($H$26/H16)*I2</f>
        <v>91.824563188172903</v>
      </c>
      <c r="S2">
        <f>($M$26/M16)*N2</f>
        <v>94.324241954556896</v>
      </c>
      <c r="T2">
        <f t="shared" ref="T2:T12" si="1">MAX(0,1.77*MIN(Q2/100-1,R2/100-1,S2/100-1,1))</f>
        <v>0</v>
      </c>
      <c r="U2">
        <f>Q2*1.01</f>
        <v>90.644020318957857</v>
      </c>
      <c r="V2">
        <f>R2*1.01</f>
        <v>92.742808820054634</v>
      </c>
      <c r="W2">
        <f>S2*1.01</f>
        <v>95.267484374102466</v>
      </c>
      <c r="X2">
        <f>MAX(0,1.77*MIN(Q2/100-1,R2/100-1,S2/100-1))/(1+AG2)^(($A$12-A2)/365)</f>
        <v>0</v>
      </c>
      <c r="Y2">
        <f>MAX(0,1.77*MIN(U2/100-1,R2/100-1,S2/100-1))/(1+AG2)^(($A$12-A2)/365)</f>
        <v>0</v>
      </c>
      <c r="Z2">
        <f>MAX(0,1.77*MIN(V2/100-1,Q2/100-1,S2/100-1))/(1+AG2)^(($A$12-A2)/365)</f>
        <v>0</v>
      </c>
      <c r="AA2">
        <f t="shared" ref="AA2:AA12" si="2">MAX(0,1.77*MIN(W2/100-1,Q2/100-1,R2/100-1))/(1+AG2)^(($A$12-A2)/365)</f>
        <v>0</v>
      </c>
      <c r="AB2">
        <f>(Y2-$X2)/(1%*D2)</f>
        <v>0</v>
      </c>
      <c r="AC2">
        <f>(Z2-$X2)/(1%*I2)</f>
        <v>0</v>
      </c>
      <c r="AD2">
        <f>(AA2-$X2)/(1%*N2)</f>
        <v>0</v>
      </c>
      <c r="AE2">
        <f>100/((1+11%)^(($C$32-A2)/365))</f>
        <v>99.714490505601816</v>
      </c>
      <c r="AF2">
        <f>MATCH(MIN(Q2:S2),Q2:S2,0)</f>
        <v>1</v>
      </c>
      <c r="AG2">
        <f>INDEX($B$36:$B$38,AF2)</f>
        <v>0.06</v>
      </c>
      <c r="AH2">
        <f t="shared" ref="AH2:AH12" si="3">T2/((1+AG2)^(($A$12-A2)/365))</f>
        <v>0</v>
      </c>
      <c r="AI2">
        <f>AB2*(D3-D2)+AC2*(I3-I2)+AD2*(N3-N2)</f>
        <v>0</v>
      </c>
      <c r="AJ2">
        <f>AI2</f>
        <v>0</v>
      </c>
      <c r="AK2">
        <f>AJ2*7.5%*(1/365)</f>
        <v>0</v>
      </c>
      <c r="AL2">
        <f>-(AB2*$B$36+AC2*$B$37+AD2*$B$38)*(1/365)</f>
        <v>0</v>
      </c>
      <c r="AM2">
        <f>AE2+AJ2+SUM(AK2:AK2)+AL2-100-AH2</f>
        <v>-0.28550949439818396</v>
      </c>
      <c r="AO2">
        <v>99.600515082203103</v>
      </c>
    </row>
    <row r="3" spans="1:41">
      <c r="A3">
        <f>A2+1</f>
        <v>3</v>
      </c>
      <c r="B3" t="s">
        <v>1</v>
      </c>
      <c r="C3">
        <v>99.121693730725696</v>
      </c>
      <c r="D3">
        <v>99.121693730725696</v>
      </c>
      <c r="E3" s="15"/>
      <c r="G3" t="s">
        <v>1</v>
      </c>
      <c r="H3">
        <v>102.305955345418</v>
      </c>
      <c r="I3">
        <v>102.305955345418</v>
      </c>
      <c r="L3" t="s">
        <v>1</v>
      </c>
      <c r="M3">
        <v>101.359284869742</v>
      </c>
      <c r="N3">
        <v>101.359284869742</v>
      </c>
      <c r="Q3">
        <f t="shared" si="0"/>
        <v>88.434618257264248</v>
      </c>
      <c r="R3">
        <f t="shared" ref="R3:R12" si="4">($H$26/H17)*I3</f>
        <v>94.847614444917753</v>
      </c>
      <c r="S3">
        <f t="shared" ref="S3:S12" si="5">($M$26/M17)*N3</f>
        <v>95.653529954779543</v>
      </c>
      <c r="T3">
        <f t="shared" si="1"/>
        <v>0</v>
      </c>
      <c r="U3">
        <f t="shared" ref="U3:U12" si="6">Q3*1.01</f>
        <v>89.31896443983689</v>
      </c>
      <c r="V3">
        <f t="shared" ref="V3:V12" si="7">R3*1.01</f>
        <v>95.796090589366926</v>
      </c>
      <c r="W3">
        <f t="shared" ref="W3:W12" si="8">S3*1.01</f>
        <v>96.610065254327338</v>
      </c>
      <c r="X3">
        <f t="shared" ref="X3:X12" si="9">MAX(0,1.77*MIN(Q3/100-1,R3/100-1,S3/100-1))/(1+AG3)^(($A$12-A3)/365)</f>
        <v>0</v>
      </c>
      <c r="Y3">
        <f t="shared" ref="Y3:Y12" si="10">MAX(0,1.77*MIN(U3/100-1,R3/100-1,S3/100-1))/(1+AG3)^(($A$12-A3)/365)</f>
        <v>0</v>
      </c>
      <c r="Z3">
        <f>MAX(0,1.77*MIN(V3/100-1,Q3/100-1,S3/100-1))/(1+AG3)^(($A$12-A3)/365)</f>
        <v>0</v>
      </c>
      <c r="AA3">
        <f t="shared" si="2"/>
        <v>0</v>
      </c>
      <c r="AB3">
        <f t="shared" ref="AB3:AB12" si="11">(Y3-$X3)/(1%*D3)</f>
        <v>0</v>
      </c>
      <c r="AC3">
        <f t="shared" ref="AC3:AC12" si="12">(Z3-$X3)/(1%*I3)</f>
        <v>0</v>
      </c>
      <c r="AD3">
        <f t="shared" ref="AD3:AD12" si="13">(AA3-$X3)/(1%*N3)</f>
        <v>0</v>
      </c>
      <c r="AE3">
        <f t="shared" ref="AE3:AE11" si="14">100/((1+11%)^(($C$32-A3)/365))</f>
        <v>99.743004734530587</v>
      </c>
      <c r="AF3">
        <f t="shared" ref="AF3:AF12" si="15">MATCH(MIN(Q3:S3),Q3:S3,0)</f>
        <v>1</v>
      </c>
      <c r="AG3">
        <f t="shared" ref="AG3:AG12" si="16">INDEX($B$36:$B$38,AF3)</f>
        <v>0.06</v>
      </c>
      <c r="AH3">
        <f t="shared" si="3"/>
        <v>0</v>
      </c>
      <c r="AI3">
        <f t="shared" ref="AI3:AI11" si="17">AB3*(D4-D3)+AC3*(I4-I3)+AD3*(N4-N3)</f>
        <v>0</v>
      </c>
      <c r="AJ3">
        <f>AJ2+AI3</f>
        <v>0</v>
      </c>
      <c r="AK3">
        <f t="shared" ref="AK3:AK11" si="18">AJ3*7.5%*(1/365)</f>
        <v>0</v>
      </c>
      <c r="AL3">
        <f t="shared" ref="AL3:AL12" si="19">-(AB3*$B$36+AC3*$B$37+AD3*$B$38)*(1/365)</f>
        <v>0</v>
      </c>
      <c r="AM3">
        <f t="shared" ref="AM3:AM12" si="20">AE3+AJ3+SUM(AK3:AK3)+AL3-100-AH3</f>
        <v>-0.25699526546941343</v>
      </c>
      <c r="AO3">
        <v>99.628996718864698</v>
      </c>
    </row>
    <row r="4" spans="1:41">
      <c r="A4">
        <f t="shared" ref="A4:A12" si="21">A3+1</f>
        <v>4</v>
      </c>
      <c r="B4" t="s">
        <v>2</v>
      </c>
      <c r="C4">
        <v>100.151145094569</v>
      </c>
      <c r="D4">
        <v>100.151145094569</v>
      </c>
      <c r="E4" s="15"/>
      <c r="G4" t="s">
        <v>2</v>
      </c>
      <c r="H4">
        <v>102.65437338925599</v>
      </c>
      <c r="I4">
        <v>102.65437338925599</v>
      </c>
      <c r="L4" t="s">
        <v>2</v>
      </c>
      <c r="M4">
        <v>101.954533353451</v>
      </c>
      <c r="N4">
        <v>101.954533353451</v>
      </c>
      <c r="Q4">
        <f t="shared" si="0"/>
        <v>91.688048145970981</v>
      </c>
      <c r="R4">
        <f t="shared" si="4"/>
        <v>97.797120720356872</v>
      </c>
      <c r="S4">
        <f t="shared" si="5"/>
        <v>100.77041109534177</v>
      </c>
      <c r="T4">
        <f t="shared" si="1"/>
        <v>0</v>
      </c>
      <c r="U4">
        <f t="shared" si="6"/>
        <v>92.604928627430695</v>
      </c>
      <c r="V4">
        <f t="shared" si="7"/>
        <v>98.775091927560439</v>
      </c>
      <c r="W4">
        <f t="shared" si="8"/>
        <v>101.77811520629518</v>
      </c>
      <c r="X4">
        <f t="shared" si="9"/>
        <v>0</v>
      </c>
      <c r="Y4">
        <f t="shared" si="10"/>
        <v>0</v>
      </c>
      <c r="Z4">
        <f t="shared" ref="Z4:Z12" si="22">MAX(0,1.77*MIN(V4/100-1,Q4/100-1,S4/100-1))/(1+AG4)^(($A$12-A4)/365)</f>
        <v>0</v>
      </c>
      <c r="AA4">
        <f t="shared" si="2"/>
        <v>0</v>
      </c>
      <c r="AB4">
        <f t="shared" si="11"/>
        <v>0</v>
      </c>
      <c r="AC4">
        <f t="shared" si="12"/>
        <v>0</v>
      </c>
      <c r="AD4">
        <f t="shared" si="13"/>
        <v>0</v>
      </c>
      <c r="AE4">
        <f t="shared" si="14"/>
        <v>99.771527117351994</v>
      </c>
      <c r="AF4">
        <f t="shared" si="15"/>
        <v>1</v>
      </c>
      <c r="AG4">
        <f t="shared" si="16"/>
        <v>0.06</v>
      </c>
      <c r="AH4">
        <f t="shared" si="3"/>
        <v>0</v>
      </c>
      <c r="AI4">
        <f t="shared" si="17"/>
        <v>0</v>
      </c>
      <c r="AJ4">
        <f t="shared" ref="AJ4:AJ12" si="23">AJ3+AI4</f>
        <v>0</v>
      </c>
      <c r="AK4">
        <f t="shared" si="18"/>
        <v>0</v>
      </c>
      <c r="AL4">
        <f t="shared" si="19"/>
        <v>0</v>
      </c>
      <c r="AM4">
        <f t="shared" si="20"/>
        <v>-0.22847288264800625</v>
      </c>
      <c r="AO4">
        <v>99.657486500098898</v>
      </c>
    </row>
    <row r="5" spans="1:41" s="2" customFormat="1">
      <c r="A5" s="2">
        <f t="shared" si="21"/>
        <v>5</v>
      </c>
      <c r="B5" s="2" t="s">
        <v>3</v>
      </c>
      <c r="C5" s="2">
        <v>99.492489165734597</v>
      </c>
      <c r="D5" s="2">
        <v>99.492489165734597</v>
      </c>
      <c r="E5" s="16">
        <v>0.14000000000000001</v>
      </c>
      <c r="F5" s="2" t="s">
        <v>84</v>
      </c>
      <c r="G5" s="2" t="s">
        <v>3</v>
      </c>
      <c r="H5" s="2">
        <v>103.57153121413199</v>
      </c>
      <c r="I5" s="2">
        <v>103.57153121413199</v>
      </c>
      <c r="L5" s="2" t="s">
        <v>3</v>
      </c>
      <c r="M5" s="2">
        <v>103.024969053305</v>
      </c>
      <c r="N5" s="2">
        <v>103.024969053305</v>
      </c>
      <c r="Q5" s="2">
        <f>($C$26/C19)*D5</f>
        <v>92.18876847850477</v>
      </c>
      <c r="R5" s="2">
        <f>($H$26/H19)*I5</f>
        <v>98.051326922093907</v>
      </c>
      <c r="S5" s="2">
        <f>($M$26/M19)*N5</f>
        <v>101.06133747184224</v>
      </c>
      <c r="T5" s="2">
        <f t="shared" si="1"/>
        <v>0</v>
      </c>
      <c r="U5" s="2">
        <f t="shared" si="6"/>
        <v>93.110656163289818</v>
      </c>
      <c r="V5" s="2">
        <f>R5*1.01</f>
        <v>99.031840191314842</v>
      </c>
      <c r="W5" s="2">
        <f>S5*1.01</f>
        <v>102.07195084656065</v>
      </c>
      <c r="X5" s="17">
        <f t="shared" si="9"/>
        <v>0</v>
      </c>
      <c r="Y5" s="2">
        <f t="shared" si="10"/>
        <v>0</v>
      </c>
      <c r="Z5" s="18">
        <f t="shared" si="22"/>
        <v>0</v>
      </c>
      <c r="AA5" s="17">
        <f t="shared" si="2"/>
        <v>0</v>
      </c>
      <c r="AB5" s="2">
        <f t="shared" si="11"/>
        <v>0</v>
      </c>
      <c r="AC5" s="2">
        <f>(Z5-$X5)/(1%*I5)</f>
        <v>0</v>
      </c>
      <c r="AD5" s="2">
        <f t="shared" si="13"/>
        <v>0</v>
      </c>
      <c r="AE5" s="2">
        <f t="shared" si="14"/>
        <v>99.80005765639774</v>
      </c>
      <c r="AF5" s="2">
        <f t="shared" si="15"/>
        <v>1</v>
      </c>
      <c r="AG5" s="2">
        <f t="shared" si="16"/>
        <v>0.06</v>
      </c>
      <c r="AH5" s="2">
        <f t="shared" si="3"/>
        <v>0</v>
      </c>
      <c r="AI5" s="2">
        <f t="shared" si="17"/>
        <v>0</v>
      </c>
      <c r="AJ5" s="2">
        <f t="shared" si="23"/>
        <v>0</v>
      </c>
      <c r="AK5" s="2">
        <f t="shared" si="18"/>
        <v>0</v>
      </c>
      <c r="AL5" s="2">
        <f t="shared" si="19"/>
        <v>0</v>
      </c>
      <c r="AM5" s="2">
        <f t="shared" si="20"/>
        <v>-0.1999423436022596</v>
      </c>
      <c r="AO5" s="2">
        <v>99.685984428234704</v>
      </c>
    </row>
    <row r="6" spans="1:41">
      <c r="A6">
        <f t="shared" si="21"/>
        <v>6</v>
      </c>
      <c r="B6" t="s">
        <v>4</v>
      </c>
      <c r="C6">
        <v>99.261051192354401</v>
      </c>
      <c r="D6">
        <v>99.261051192354401</v>
      </c>
      <c r="G6" t="s">
        <v>4</v>
      </c>
      <c r="H6">
        <v>103.87990776802501</v>
      </c>
      <c r="I6">
        <v>103.87990776802501</v>
      </c>
      <c r="L6" t="s">
        <v>4</v>
      </c>
      <c r="M6">
        <v>104.345953122037</v>
      </c>
      <c r="N6">
        <v>104.345953122037</v>
      </c>
      <c r="Q6">
        <f t="shared" si="0"/>
        <v>96.413793402597477</v>
      </c>
      <c r="R6">
        <f t="shared" si="4"/>
        <v>101.23941635264006</v>
      </c>
      <c r="S6">
        <f t="shared" si="5"/>
        <v>105.03886404525555</v>
      </c>
      <c r="T6">
        <f t="shared" si="1"/>
        <v>0</v>
      </c>
      <c r="U6">
        <f t="shared" si="6"/>
        <v>97.377931336623448</v>
      </c>
      <c r="V6">
        <f t="shared" si="7"/>
        <v>102.25181051616646</v>
      </c>
      <c r="W6">
        <f t="shared" si="8"/>
        <v>106.0892526857081</v>
      </c>
      <c r="X6">
        <f t="shared" si="9"/>
        <v>0</v>
      </c>
      <c r="Y6">
        <f t="shared" si="10"/>
        <v>0</v>
      </c>
      <c r="Z6">
        <f t="shared" si="22"/>
        <v>0</v>
      </c>
      <c r="AA6">
        <f t="shared" si="2"/>
        <v>0</v>
      </c>
      <c r="AB6">
        <v>0</v>
      </c>
      <c r="AC6">
        <v>0</v>
      </c>
      <c r="AD6">
        <v>0</v>
      </c>
      <c r="AE6">
        <f t="shared" si="14"/>
        <v>99.82859635400014</v>
      </c>
      <c r="AF6">
        <f t="shared" si="15"/>
        <v>1</v>
      </c>
      <c r="AG6">
        <f t="shared" si="16"/>
        <v>0.06</v>
      </c>
      <c r="AH6">
        <f t="shared" si="3"/>
        <v>0</v>
      </c>
      <c r="AI6">
        <f t="shared" si="17"/>
        <v>0</v>
      </c>
      <c r="AJ6">
        <f t="shared" si="23"/>
        <v>0</v>
      </c>
      <c r="AK6">
        <f>AJ6*7.5%*(1/365)</f>
        <v>0</v>
      </c>
      <c r="AL6">
        <f t="shared" si="19"/>
        <v>0</v>
      </c>
      <c r="AM6">
        <f t="shared" si="20"/>
        <v>-0.17140364599985958</v>
      </c>
      <c r="AO6">
        <v>99.714490505601802</v>
      </c>
    </row>
    <row r="7" spans="1:41">
      <c r="A7">
        <f t="shared" si="21"/>
        <v>7</v>
      </c>
      <c r="B7" t="s">
        <v>5</v>
      </c>
      <c r="C7">
        <v>100.640362233064</v>
      </c>
      <c r="D7">
        <v>100.640362233064</v>
      </c>
      <c r="G7" t="s">
        <v>5</v>
      </c>
      <c r="H7">
        <v>105.635621130366</v>
      </c>
      <c r="I7">
        <v>105.635621130366</v>
      </c>
      <c r="L7" t="s">
        <v>5</v>
      </c>
      <c r="M7">
        <v>103.096522837972</v>
      </c>
      <c r="N7">
        <v>103.096522837972</v>
      </c>
      <c r="Q7">
        <f t="shared" si="0"/>
        <v>99.930868984637073</v>
      </c>
      <c r="R7">
        <f t="shared" si="4"/>
        <v>103.54382333950281</v>
      </c>
      <c r="S7">
        <f t="shared" si="5"/>
        <v>104.27727589955197</v>
      </c>
      <c r="T7">
        <f t="shared" si="1"/>
        <v>0</v>
      </c>
      <c r="U7">
        <f t="shared" si="6"/>
        <v>100.93017767448345</v>
      </c>
      <c r="V7">
        <f t="shared" si="7"/>
        <v>104.57926157289783</v>
      </c>
      <c r="W7">
        <f t="shared" si="8"/>
        <v>105.32004865854749</v>
      </c>
      <c r="X7">
        <f t="shared" si="9"/>
        <v>0</v>
      </c>
      <c r="Y7">
        <f t="shared" si="10"/>
        <v>1.645100833195879E-2</v>
      </c>
      <c r="Z7">
        <f t="shared" si="22"/>
        <v>0</v>
      </c>
      <c r="AA7">
        <f t="shared" si="2"/>
        <v>0</v>
      </c>
      <c r="AB7">
        <f t="shared" si="11"/>
        <v>1.6346332591551462E-2</v>
      </c>
      <c r="AC7">
        <f t="shared" si="12"/>
        <v>0</v>
      </c>
      <c r="AD7">
        <f t="shared" si="13"/>
        <v>0</v>
      </c>
      <c r="AE7">
        <f t="shared" si="14"/>
        <v>99.857143212492218</v>
      </c>
      <c r="AF7">
        <f t="shared" si="15"/>
        <v>1</v>
      </c>
      <c r="AG7">
        <f t="shared" si="16"/>
        <v>0.06</v>
      </c>
      <c r="AH7">
        <f t="shared" si="3"/>
        <v>0</v>
      </c>
      <c r="AI7">
        <f t="shared" si="17"/>
        <v>4.1712599986551836E-2</v>
      </c>
      <c r="AJ7">
        <f t="shared" si="23"/>
        <v>4.1712599986551836E-2</v>
      </c>
      <c r="AK7">
        <f t="shared" si="18"/>
        <v>8.5710821890175002E-6</v>
      </c>
      <c r="AL7">
        <f t="shared" si="19"/>
        <v>-2.6870683712139387E-6</v>
      </c>
      <c r="AM7">
        <f t="shared" si="20"/>
        <v>-0.10113830350741182</v>
      </c>
      <c r="AO7">
        <v>99.743004734530601</v>
      </c>
    </row>
    <row r="8" spans="1:41">
      <c r="A8">
        <f t="shared" si="21"/>
        <v>8</v>
      </c>
      <c r="B8" t="s">
        <v>6</v>
      </c>
      <c r="C8">
        <v>103.19216397531601</v>
      </c>
      <c r="D8">
        <v>103.19216397531601</v>
      </c>
      <c r="G8" t="s">
        <v>6</v>
      </c>
      <c r="H8">
        <v>106.039897659551</v>
      </c>
      <c r="I8">
        <v>106.039897659551</v>
      </c>
      <c r="L8" t="s">
        <v>6</v>
      </c>
      <c r="M8">
        <v>103.775625919276</v>
      </c>
      <c r="N8">
        <v>103.775625919276</v>
      </c>
      <c r="Q8">
        <f t="shared" si="0"/>
        <v>103.27882101832994</v>
      </c>
      <c r="R8">
        <f t="shared" si="4"/>
        <v>103.74410412765953</v>
      </c>
      <c r="S8">
        <f t="shared" si="5"/>
        <v>103.46769131323639</v>
      </c>
      <c r="T8">
        <f t="shared" si="1"/>
        <v>5.8035132024439669E-2</v>
      </c>
      <c r="U8">
        <f t="shared" si="6"/>
        <v>104.31160922851323</v>
      </c>
      <c r="V8">
        <f t="shared" si="7"/>
        <v>104.78154516893612</v>
      </c>
      <c r="W8">
        <f t="shared" si="8"/>
        <v>104.50236822636874</v>
      </c>
      <c r="X8">
        <f t="shared" si="9"/>
        <v>5.799808474434387E-2</v>
      </c>
      <c r="Y8">
        <f t="shared" si="10"/>
        <v>6.1338954925557278E-2</v>
      </c>
      <c r="Z8">
        <f t="shared" si="22"/>
        <v>5.799808474434387E-2</v>
      </c>
      <c r="AA8">
        <f t="shared" si="2"/>
        <v>5.799808474434387E-2</v>
      </c>
      <c r="AB8">
        <f t="shared" si="11"/>
        <v>3.2375231340361832E-3</v>
      </c>
      <c r="AC8">
        <f t="shared" si="12"/>
        <v>0</v>
      </c>
      <c r="AD8">
        <f t="shared" si="13"/>
        <v>0</v>
      </c>
      <c r="AE8">
        <f t="shared" si="14"/>
        <v>99.885698234207666</v>
      </c>
      <c r="AF8">
        <f t="shared" si="15"/>
        <v>1</v>
      </c>
      <c r="AG8">
        <f t="shared" si="16"/>
        <v>0.06</v>
      </c>
      <c r="AH8">
        <f t="shared" si="3"/>
        <v>5.799808474434387E-2</v>
      </c>
      <c r="AI8">
        <f t="shared" si="17"/>
        <v>-9.9721224373897793E-4</v>
      </c>
      <c r="AJ8">
        <f t="shared" si="23"/>
        <v>4.0715387742812859E-2</v>
      </c>
      <c r="AK8">
        <f t="shared" si="18"/>
        <v>8.3661755635916822E-6</v>
      </c>
      <c r="AL8">
        <f t="shared" si="19"/>
        <v>-5.3219558367718074E-7</v>
      </c>
      <c r="AM8">
        <f t="shared" si="20"/>
        <v>-0.13157662881389187</v>
      </c>
      <c r="AO8">
        <v>99.771527117351994</v>
      </c>
    </row>
    <row r="9" spans="1:41">
      <c r="A9">
        <f t="shared" si="21"/>
        <v>9</v>
      </c>
      <c r="B9" t="s">
        <v>7</v>
      </c>
      <c r="C9">
        <v>102.884146950432</v>
      </c>
      <c r="D9">
        <v>102.884146950432</v>
      </c>
      <c r="G9" t="s">
        <v>7</v>
      </c>
      <c r="H9">
        <v>105.377007348603</v>
      </c>
      <c r="I9">
        <v>105.377007348603</v>
      </c>
      <c r="L9" t="s">
        <v>7</v>
      </c>
      <c r="M9">
        <v>103.559308405035</v>
      </c>
      <c r="N9">
        <v>103.559308405035</v>
      </c>
      <c r="Q9">
        <f t="shared" si="0"/>
        <v>103.18594421327596</v>
      </c>
      <c r="R9">
        <f t="shared" si="4"/>
        <v>104.0807941082013</v>
      </c>
      <c r="S9">
        <f t="shared" si="5"/>
        <v>104.12504462446894</v>
      </c>
      <c r="T9">
        <f t="shared" si="1"/>
        <v>5.6391212574984487E-2</v>
      </c>
      <c r="U9">
        <f t="shared" si="6"/>
        <v>104.21780365540872</v>
      </c>
      <c r="V9">
        <f t="shared" si="7"/>
        <v>105.12160204928331</v>
      </c>
      <c r="W9">
        <f t="shared" si="8"/>
        <v>105.16629507071363</v>
      </c>
      <c r="X9">
        <f t="shared" si="9"/>
        <v>5.6364212018749346E-2</v>
      </c>
      <c r="Y9">
        <f t="shared" si="10"/>
        <v>7.2195471396221317E-2</v>
      </c>
      <c r="Z9">
        <f t="shared" si="22"/>
        <v>5.6364212018749346E-2</v>
      </c>
      <c r="AA9">
        <f t="shared" si="2"/>
        <v>5.6364212018749346E-2</v>
      </c>
      <c r="AB9">
        <f t="shared" si="11"/>
        <v>1.5387462351317573E-2</v>
      </c>
      <c r="AC9">
        <f t="shared" si="12"/>
        <v>0</v>
      </c>
      <c r="AD9">
        <f t="shared" si="13"/>
        <v>0</v>
      </c>
      <c r="AE9">
        <f t="shared" si="14"/>
        <v>99.914261421480845</v>
      </c>
      <c r="AF9">
        <f t="shared" si="15"/>
        <v>1</v>
      </c>
      <c r="AG9">
        <f t="shared" si="16"/>
        <v>0.06</v>
      </c>
      <c r="AH9">
        <f t="shared" si="3"/>
        <v>5.6364212018749346E-2</v>
      </c>
      <c r="AI9">
        <f t="shared" si="17"/>
        <v>-2.8735098137061876E-2</v>
      </c>
      <c r="AJ9">
        <f t="shared" si="23"/>
        <v>1.1980289605750982E-2</v>
      </c>
      <c r="AK9">
        <f t="shared" si="18"/>
        <v>2.4617033436474619E-6</v>
      </c>
      <c r="AL9">
        <f t="shared" si="19"/>
        <v>-2.5294458659700121E-6</v>
      </c>
      <c r="AM9">
        <f t="shared" si="20"/>
        <v>-0.13012256867467881</v>
      </c>
      <c r="AO9">
        <v>99.800057656397698</v>
      </c>
    </row>
    <row r="10" spans="1:41">
      <c r="A10">
        <f t="shared" si="21"/>
        <v>10</v>
      </c>
      <c r="B10" t="s">
        <v>8</v>
      </c>
      <c r="C10">
        <v>101.016711145814</v>
      </c>
      <c r="D10">
        <v>101.016711145814</v>
      </c>
      <c r="G10" t="s">
        <v>8</v>
      </c>
      <c r="H10">
        <v>104.302375803473</v>
      </c>
      <c r="I10">
        <v>104.302375803473</v>
      </c>
      <c r="L10" t="s">
        <v>8</v>
      </c>
      <c r="M10">
        <v>101.561143368215</v>
      </c>
      <c r="N10">
        <v>101.561143368215</v>
      </c>
      <c r="Q10">
        <f t="shared" si="0"/>
        <v>101.43217493931573</v>
      </c>
      <c r="R10">
        <f t="shared" si="4"/>
        <v>104.71415376353943</v>
      </c>
      <c r="S10">
        <f t="shared" si="5"/>
        <v>103.15619583087273</v>
      </c>
      <c r="T10">
        <f t="shared" si="1"/>
        <v>2.5349496425888483E-2</v>
      </c>
      <c r="U10">
        <f t="shared" si="6"/>
        <v>102.44649668870889</v>
      </c>
      <c r="V10">
        <f t="shared" si="7"/>
        <v>105.76129530117483</v>
      </c>
      <c r="W10">
        <f t="shared" si="8"/>
        <v>104.18775778918146</v>
      </c>
      <c r="X10">
        <f t="shared" si="9"/>
        <v>2.5341404087807214E-2</v>
      </c>
      <c r="Y10">
        <f t="shared" si="10"/>
        <v>4.3289167744881472E-2</v>
      </c>
      <c r="Z10">
        <f t="shared" si="22"/>
        <v>2.5341404087807214E-2</v>
      </c>
      <c r="AA10">
        <f t="shared" si="2"/>
        <v>2.5341404087807214E-2</v>
      </c>
      <c r="AB10">
        <f t="shared" si="11"/>
        <v>1.77671233338485E-2</v>
      </c>
      <c r="AC10">
        <f t="shared" si="12"/>
        <v>0</v>
      </c>
      <c r="AD10">
        <f t="shared" si="13"/>
        <v>0</v>
      </c>
      <c r="AE10">
        <f t="shared" si="14"/>
        <v>99.942832776646711</v>
      </c>
      <c r="AF10">
        <f t="shared" si="15"/>
        <v>1</v>
      </c>
      <c r="AG10">
        <f t="shared" si="16"/>
        <v>0.06</v>
      </c>
      <c r="AH10">
        <f t="shared" si="3"/>
        <v>2.5341404087807214E-2</v>
      </c>
      <c r="AI10">
        <f t="shared" si="17"/>
        <v>-2.3615553189950463E-2</v>
      </c>
      <c r="AJ10">
        <f t="shared" si="23"/>
        <v>-1.163526358419948E-2</v>
      </c>
      <c r="AK10">
        <f t="shared" si="18"/>
        <v>-2.3908075857944139E-6</v>
      </c>
      <c r="AL10">
        <f t="shared" si="19"/>
        <v>-2.9206230137833149E-6</v>
      </c>
      <c r="AM10">
        <f t="shared" si="20"/>
        <v>-9.4149202455891368E-2</v>
      </c>
      <c r="AO10">
        <v>99.828596354000098</v>
      </c>
    </row>
    <row r="11" spans="1:41">
      <c r="A11">
        <f t="shared" si="21"/>
        <v>11</v>
      </c>
      <c r="B11" t="s">
        <v>9</v>
      </c>
      <c r="C11">
        <v>99.687539689849601</v>
      </c>
      <c r="D11">
        <v>99.687539689849601</v>
      </c>
      <c r="G11" t="s">
        <v>9</v>
      </c>
      <c r="H11">
        <v>104.350134003036</v>
      </c>
      <c r="I11">
        <v>104.350134003036</v>
      </c>
      <c r="L11" t="s">
        <v>9</v>
      </c>
      <c r="M11">
        <v>101.107880196971</v>
      </c>
      <c r="N11">
        <v>101.107880196971</v>
      </c>
      <c r="Q11">
        <f t="shared" si="0"/>
        <v>100.55774790862122</v>
      </c>
      <c r="R11">
        <f t="shared" si="4"/>
        <v>103.35753308432825</v>
      </c>
      <c r="S11">
        <f t="shared" si="5"/>
        <v>101.99065376622579</v>
      </c>
      <c r="T11">
        <f t="shared" si="1"/>
        <v>9.8721379825955947E-3</v>
      </c>
      <c r="U11">
        <f t="shared" si="6"/>
        <v>101.56332538770744</v>
      </c>
      <c r="V11">
        <f t="shared" si="7"/>
        <v>104.39110841517153</v>
      </c>
      <c r="W11">
        <f t="shared" si="8"/>
        <v>103.01056030388806</v>
      </c>
      <c r="X11">
        <f>MAX(0,1.77*MIN(Q11/100-1,R11/100-1,S11/100-1))/(1+AG11)^(($A$12-A11)/365)</f>
        <v>9.8705621119442467E-3</v>
      </c>
      <c r="Y11">
        <f>MAX(0,1.77*MIN(U11/100-1,R11/100-1,S11/100-1))/(1+AG11)^(($A$12-A11)/365)</f>
        <v>2.7666442315653687E-2</v>
      </c>
      <c r="Z11">
        <f>MAX(0,1.77*MIN(V11/100-1,Q11/100-1,S11/100-1))/(1+AG11)^(($A$12-A11)/365)</f>
        <v>9.8705621119442467E-3</v>
      </c>
      <c r="AA11">
        <f>MAX(0,1.77*MIN(W11/100-1,Q11/100-1,R11/100-1))/(1+AG11)^(($A$12-A11)/365)</f>
        <v>9.8705621119442467E-3</v>
      </c>
      <c r="AB11">
        <f t="shared" si="11"/>
        <v>1.7851659554520487E-2</v>
      </c>
      <c r="AC11">
        <f t="shared" si="12"/>
        <v>0</v>
      </c>
      <c r="AD11">
        <f t="shared" si="13"/>
        <v>0</v>
      </c>
      <c r="AE11">
        <f t="shared" si="14"/>
        <v>99.971412302040989</v>
      </c>
      <c r="AF11">
        <f t="shared" si="15"/>
        <v>1</v>
      </c>
      <c r="AG11">
        <f t="shared" si="16"/>
        <v>0.06</v>
      </c>
      <c r="AH11">
        <f t="shared" si="3"/>
        <v>9.8705621119442467E-3</v>
      </c>
      <c r="AI11">
        <f t="shared" si="17"/>
        <v>3.2125299450667548E-2</v>
      </c>
      <c r="AJ11">
        <f t="shared" si="23"/>
        <v>2.0490035866468068E-2</v>
      </c>
      <c r="AK11">
        <f t="shared" si="18"/>
        <v>4.210281342424945E-6</v>
      </c>
      <c r="AL11">
        <f t="shared" si="19"/>
        <v>-2.9345193788252852E-6</v>
      </c>
      <c r="AM11">
        <f t="shared" si="20"/>
        <v>-1.7966948442508332E-2</v>
      </c>
      <c r="AO11">
        <v>99.857143212492204</v>
      </c>
    </row>
    <row r="12" spans="1:41">
      <c r="A12">
        <f t="shared" si="21"/>
        <v>12</v>
      </c>
      <c r="B12" t="s">
        <v>10</v>
      </c>
      <c r="C12">
        <v>101.487109043755</v>
      </c>
      <c r="D12">
        <v>101.487109043755</v>
      </c>
      <c r="G12" t="s">
        <v>10</v>
      </c>
      <c r="H12">
        <v>105.074054929019</v>
      </c>
      <c r="I12">
        <v>105.074054929019</v>
      </c>
      <c r="L12" t="s">
        <v>10</v>
      </c>
      <c r="M12">
        <v>102.424373716129</v>
      </c>
      <c r="N12">
        <v>102.424373716129</v>
      </c>
      <c r="Q12">
        <f t="shared" si="0"/>
        <v>101.487109043755</v>
      </c>
      <c r="R12">
        <f t="shared" si="4"/>
        <v>105.074054929019</v>
      </c>
      <c r="S12">
        <f t="shared" si="5"/>
        <v>102.424373716129</v>
      </c>
      <c r="T12">
        <f t="shared" si="1"/>
        <v>2.632183007446345E-2</v>
      </c>
      <c r="U12">
        <f t="shared" si="6"/>
        <v>102.50198013419255</v>
      </c>
      <c r="V12">
        <f t="shared" si="7"/>
        <v>106.1247954783092</v>
      </c>
      <c r="W12">
        <f t="shared" si="8"/>
        <v>103.44861745329028</v>
      </c>
      <c r="X12">
        <f t="shared" si="9"/>
        <v>2.632183007446345E-2</v>
      </c>
      <c r="Y12">
        <f t="shared" si="10"/>
        <v>4.2911414775483346E-2</v>
      </c>
      <c r="Z12">
        <f t="shared" si="22"/>
        <v>2.632183007446345E-2</v>
      </c>
      <c r="AA12">
        <f t="shared" si="2"/>
        <v>2.632183007446345E-2</v>
      </c>
      <c r="AB12">
        <f t="shared" si="11"/>
        <v>1.6346494502929913E-2</v>
      </c>
      <c r="AC12">
        <f t="shared" si="12"/>
        <v>0</v>
      </c>
      <c r="AD12">
        <f t="shared" si="13"/>
        <v>0</v>
      </c>
      <c r="AE12">
        <f>100/((1+11%)^(($C$32-A12)/365))</f>
        <v>100</v>
      </c>
      <c r="AF12">
        <f t="shared" si="15"/>
        <v>1</v>
      </c>
      <c r="AG12">
        <f t="shared" si="16"/>
        <v>0.06</v>
      </c>
      <c r="AH12">
        <f t="shared" si="3"/>
        <v>2.632183007446345E-2</v>
      </c>
      <c r="AJ12">
        <f t="shared" si="23"/>
        <v>2.0490035866468068E-2</v>
      </c>
      <c r="AK12">
        <f>AJ12*7.5%*(1/365)</f>
        <v>4.210281342424945E-6</v>
      </c>
      <c r="AL12">
        <f t="shared" si="19"/>
        <v>-2.6870949867829993E-6</v>
      </c>
      <c r="AM12">
        <f t="shared" si="20"/>
        <v>-5.8302710216347163E-3</v>
      </c>
      <c r="AO12">
        <v>99.885698234207695</v>
      </c>
    </row>
    <row r="13" spans="1:41">
      <c r="B13" t="s">
        <v>11</v>
      </c>
      <c r="C13" t="s">
        <v>12</v>
      </c>
      <c r="D13" t="s">
        <v>12</v>
      </c>
      <c r="G13" t="s">
        <v>11</v>
      </c>
      <c r="H13" t="s">
        <v>12</v>
      </c>
      <c r="I13" t="s">
        <v>12</v>
      </c>
      <c r="L13" t="s">
        <v>11</v>
      </c>
      <c r="M13" t="s">
        <v>12</v>
      </c>
      <c r="N13" t="s">
        <v>12</v>
      </c>
      <c r="AH13">
        <f>SUM(AH2:AH11)</f>
        <v>0.14957426296284468</v>
      </c>
      <c r="AI13">
        <f>SUM(AI2:AI11)</f>
        <v>2.0490035866468068E-2</v>
      </c>
      <c r="AK13">
        <f>SUM(AK2:AK12)</f>
        <v>2.5428716195312123E-5</v>
      </c>
      <c r="AL13">
        <f>SUM(AL2:AL12)</f>
        <v>-1.429094720025273E-5</v>
      </c>
    </row>
    <row r="15" spans="1:41">
      <c r="A15" t="s">
        <v>16</v>
      </c>
      <c r="C15" t="s">
        <v>0</v>
      </c>
      <c r="D15" t="s">
        <v>1</v>
      </c>
      <c r="F15" t="s">
        <v>17</v>
      </c>
      <c r="H15" t="s">
        <v>0</v>
      </c>
      <c r="I15" t="s">
        <v>1</v>
      </c>
      <c r="K15" t="s">
        <v>21</v>
      </c>
      <c r="M15" t="s">
        <v>0</v>
      </c>
      <c r="N15" t="s">
        <v>1</v>
      </c>
      <c r="P15" t="s">
        <v>81</v>
      </c>
      <c r="Q15" t="s">
        <v>18</v>
      </c>
      <c r="R15" t="s">
        <v>19</v>
      </c>
      <c r="S15" t="s">
        <v>20</v>
      </c>
      <c r="T15" t="s">
        <v>22</v>
      </c>
      <c r="U15" t="s">
        <v>23</v>
      </c>
      <c r="V15" t="s">
        <v>24</v>
      </c>
      <c r="W15" t="s">
        <v>25</v>
      </c>
      <c r="X15" t="s">
        <v>62</v>
      </c>
      <c r="Y15" t="s">
        <v>26</v>
      </c>
      <c r="Z15" t="s">
        <v>27</v>
      </c>
      <c r="AA15" t="s">
        <v>28</v>
      </c>
      <c r="AB15" t="s">
        <v>29</v>
      </c>
      <c r="AC15" t="s">
        <v>30</v>
      </c>
      <c r="AD15" t="s">
        <v>31</v>
      </c>
      <c r="AE15" s="2" t="s">
        <v>32</v>
      </c>
      <c r="AF15" t="s">
        <v>52</v>
      </c>
      <c r="AG15" t="s">
        <v>55</v>
      </c>
      <c r="AH15" s="2" t="s">
        <v>56</v>
      </c>
      <c r="AI15" s="2" t="s">
        <v>57</v>
      </c>
      <c r="AJ15" t="s">
        <v>58</v>
      </c>
      <c r="AK15" s="2" t="s">
        <v>59</v>
      </c>
      <c r="AL15" s="2" t="s">
        <v>60</v>
      </c>
      <c r="AM15" s="2" t="s">
        <v>61</v>
      </c>
    </row>
    <row r="16" spans="1:41">
      <c r="B16" t="s">
        <v>0</v>
      </c>
      <c r="C16">
        <v>100</v>
      </c>
      <c r="D16">
        <v>100</v>
      </c>
      <c r="E16" s="15">
        <v>0.15</v>
      </c>
      <c r="F16" t="s">
        <v>85</v>
      </c>
      <c r="G16" t="s">
        <v>0</v>
      </c>
      <c r="H16">
        <v>100</v>
      </c>
      <c r="I16">
        <v>100</v>
      </c>
      <c r="L16" t="s">
        <v>0</v>
      </c>
      <c r="M16">
        <v>100</v>
      </c>
      <c r="N16">
        <v>100</v>
      </c>
      <c r="Q16">
        <f>($D$26/D16)*D2</f>
        <v>101.50348599803101</v>
      </c>
      <c r="R16">
        <f>($I$26/I16)*I2</f>
        <v>104.97470751590402</v>
      </c>
      <c r="S16">
        <f>($N$26/N16)*N2</f>
        <v>103.257602016097</v>
      </c>
      <c r="T16">
        <f>MAX(0,1.77*MIN(Q16/100-1,R16/100-1,S16/100-1,1))</f>
        <v>2.6611702165148819E-2</v>
      </c>
      <c r="U16">
        <f>Q16*1.01</f>
        <v>102.51852085801133</v>
      </c>
      <c r="V16">
        <f>R16*1.01</f>
        <v>106.02445459106306</v>
      </c>
      <c r="W16">
        <f>S16*1.01</f>
        <v>104.29017803625797</v>
      </c>
      <c r="X16" s="3">
        <f>MAX(0,1.77*MIN(Q16/100-1,R16/100-1,S16/100-1))/(1+AG16)^(($A$12-A2)/365)</f>
        <v>2.6569252911351749E-2</v>
      </c>
      <c r="Y16">
        <f>MAX(0,1.77*MIN(U16/100-1,R16/100-1,S16/100-1))/(1+AG16)^(($A$12-A2)/365)</f>
        <v>4.4506711553450297E-2</v>
      </c>
      <c r="Z16">
        <f>MAX(0,1.77*MIN(V16/100-1,Q16/100-1,S16/100-1))/(1+AG16)^(($A$12-A2)/365)</f>
        <v>2.6569252911351749E-2</v>
      </c>
      <c r="AA16">
        <f>MAX(0,1.77*MIN(W16/100-1,Q16/100-1,R16/100-1))/(1+AG16)^(($A$12-A2)/365)</f>
        <v>2.6569252911351749E-2</v>
      </c>
      <c r="AB16">
        <f>(Y16-$X16)/(1%*D2)</f>
        <v>1.7937458642098548E-2</v>
      </c>
      <c r="AC16">
        <f>(Z16-$X16)/(1%*I2)</f>
        <v>0</v>
      </c>
      <c r="AD16">
        <f>(AA16-$X16)/(1%*N2)</f>
        <v>0</v>
      </c>
      <c r="AE16">
        <f>100/((1+11%)^(($C$32-A2)/365))</f>
        <v>99.714490505601816</v>
      </c>
      <c r="AF16">
        <f>MATCH(MIN(Q16:S16),Q16:S16,0)</f>
        <v>1</v>
      </c>
      <c r="AG16">
        <f>INDEX($B$36:$B$38,AF16)</f>
        <v>0.06</v>
      </c>
      <c r="AH16">
        <f>T16/((1+AG16)^(($A$12-A2)/365))</f>
        <v>2.6569252911351749E-2</v>
      </c>
      <c r="AI16">
        <f>AB16*(D3-D2)+AC16*(I3-I2)+AD16*(N3-N2)</f>
        <v>-1.5754582380203705E-2</v>
      </c>
      <c r="AJ16">
        <f>AI16</f>
        <v>-1.5754582380203705E-2</v>
      </c>
      <c r="AK16">
        <f t="shared" ref="AK16:AK24" si="24">AJ16*7.5%*(1/365)</f>
        <v>-3.237242954836378E-6</v>
      </c>
      <c r="AL16">
        <f>-(AB16*$B$36+AC16*$B$37+AD16*$B$38)*(1/365)</f>
        <v>-2.9486233384271581E-6</v>
      </c>
      <c r="AM16">
        <f>$AE16+AJ16+SUM($AK$16:AK16)+AL16-100-AH16</f>
        <v>-0.3278395155560157</v>
      </c>
      <c r="AO16" s="4">
        <f>(AM16+AM2)/2</f>
        <v>-0.3066745049770998</v>
      </c>
    </row>
    <row r="17" spans="1:41">
      <c r="B17" t="s">
        <v>1</v>
      </c>
      <c r="C17">
        <v>100.592174091196</v>
      </c>
      <c r="D17">
        <v>103.414798522998</v>
      </c>
      <c r="G17" t="s">
        <v>1</v>
      </c>
      <c r="H17">
        <v>99.045186493302495</v>
      </c>
      <c r="I17">
        <v>103.32408205179</v>
      </c>
      <c r="L17" t="s">
        <v>1</v>
      </c>
      <c r="M17">
        <v>99.950704536614793</v>
      </c>
      <c r="N17">
        <v>101.523428629794</v>
      </c>
      <c r="Q17">
        <f t="shared" ref="Q17:Q26" si="25">($D$26/D17)*D3</f>
        <v>97.28972637760701</v>
      </c>
      <c r="R17">
        <f t="shared" ref="R17:R26" si="26">($I$26/I17)*I3</f>
        <v>103.9403160062658</v>
      </c>
      <c r="S17">
        <f t="shared" ref="S17:S26" si="27">($N$26/N17)*N3</f>
        <v>103.09065443288762</v>
      </c>
      <c r="T17">
        <f t="shared" ref="T17:T26" si="28">MAX(0,1.77*MIN(Q17/100-1,R17/100-1,S17/100-1,1))</f>
        <v>0</v>
      </c>
      <c r="U17">
        <f t="shared" ref="U17:U26" si="29">Q17*1.01</f>
        <v>98.262623641383087</v>
      </c>
      <c r="V17">
        <f t="shared" ref="V17:V26" si="30">R17*1.01</f>
        <v>104.97971916632847</v>
      </c>
      <c r="W17">
        <f t="shared" ref="W17:W26" si="31">S17*1.01</f>
        <v>104.12156097721649</v>
      </c>
      <c r="X17" s="3">
        <f t="shared" ref="X17:X23" si="32">MAX(0,1.77*MIN(Q17/100-1,R17/100-1,S17/100-1))/(1+AG17)^(($A$12-A3)/365)</f>
        <v>0</v>
      </c>
      <c r="Y17">
        <f>MAX(0,1.77*MIN(U17/100-1,R17/100-1,S17/100-1))/(1+AG17)^(($A$12-A3)/365)</f>
        <v>0</v>
      </c>
      <c r="Z17">
        <f t="shared" ref="Z17:Z26" si="33">MAX(0,1.77*MIN(V17/100-1,Q17/100-1,S17/100-1))/(1+AG17)^(($A$12-A3)/365)</f>
        <v>0</v>
      </c>
      <c r="AA17">
        <f t="shared" ref="AA17:AA22" si="34">MAX(0,1.77*MIN(W17/100-1,Q17/100-1,R17/100-1))/(1+AG17)^(($A$12-A3)/365)</f>
        <v>0</v>
      </c>
      <c r="AB17">
        <f t="shared" ref="AB17:AB26" si="35">(Y17-$X17)/(1%*D3)</f>
        <v>0</v>
      </c>
      <c r="AC17">
        <f t="shared" ref="AC17:AC26" si="36">(Z17-$X17)/(1%*I3)</f>
        <v>0</v>
      </c>
      <c r="AD17">
        <f t="shared" ref="AD17:AD26" si="37">(AA17-$X17)/(1%*N3)</f>
        <v>0</v>
      </c>
      <c r="AE17">
        <f t="shared" ref="AE17:AE26" si="38">100/((1+11%)^(($C$32-A3)/365))</f>
        <v>99.743004734530587</v>
      </c>
      <c r="AF17">
        <f t="shared" ref="AF17:AF26" si="39">MATCH(MIN(Q17:S17),Q17:S17,0)</f>
        <v>1</v>
      </c>
      <c r="AG17">
        <f t="shared" ref="AG17:AG26" si="40">INDEX($B$36:$B$38,AF17)</f>
        <v>0.06</v>
      </c>
      <c r="AH17">
        <f>T17/((1+AG17)^(($A$12-A3)/365))</f>
        <v>0</v>
      </c>
      <c r="AI17">
        <f t="shared" ref="AI17:AI25" si="41">AB17*(D4-D3)+AC17*(I4-I3)+AD17*(N4-N3)</f>
        <v>0</v>
      </c>
      <c r="AJ17">
        <f>AJ16+AI17</f>
        <v>-1.5754582380203705E-2</v>
      </c>
      <c r="AK17">
        <f t="shared" si="24"/>
        <v>-3.237242954836378E-6</v>
      </c>
      <c r="AL17">
        <f t="shared" ref="AL17:AL26" si="42">-(AB17*$B$36+AC17*$B$37+AD17*$B$38)*(1/365)</f>
        <v>0</v>
      </c>
      <c r="AM17">
        <f>$AE17+AJ17+SUM($AK$16:AK17)+AL17-100-AH17</f>
        <v>-0.27275632233552471</v>
      </c>
      <c r="AO17" s="4">
        <f t="shared" ref="AO17:AO25" si="43">(AM17+AM3)/2</f>
        <v>-0.26487579390246907</v>
      </c>
    </row>
    <row r="18" spans="1:41">
      <c r="B18" t="s">
        <v>2</v>
      </c>
      <c r="C18">
        <v>98.030445738392004</v>
      </c>
      <c r="D18">
        <v>101.456656734006</v>
      </c>
      <c r="G18" t="s">
        <v>2</v>
      </c>
      <c r="H18">
        <v>96.385179097219904</v>
      </c>
      <c r="I18">
        <v>101.594287609684</v>
      </c>
      <c r="L18" t="s">
        <v>2</v>
      </c>
      <c r="M18">
        <v>95.432617252063594</v>
      </c>
      <c r="N18">
        <v>100.539784976511</v>
      </c>
      <c r="Q18">
        <f t="shared" si="25"/>
        <v>100.19737177468065</v>
      </c>
      <c r="R18">
        <f t="shared" si="26"/>
        <v>106.07006629316001</v>
      </c>
      <c r="S18">
        <f t="shared" si="27"/>
        <v>104.71059423100097</v>
      </c>
      <c r="T18">
        <f t="shared" si="28"/>
        <v>3.4934804118473919E-3</v>
      </c>
      <c r="U18">
        <f t="shared" si="29"/>
        <v>101.19934549242745</v>
      </c>
      <c r="V18">
        <f t="shared" si="30"/>
        <v>107.13076695609161</v>
      </c>
      <c r="W18">
        <f t="shared" si="31"/>
        <v>105.75770017331098</v>
      </c>
      <c r="X18" s="3">
        <f t="shared" si="32"/>
        <v>3.4890216423638727E-3</v>
      </c>
      <c r="Y18">
        <f>MAX(0,1.77*MIN(U18/100-1,R18/100-1,S18/100-1))/(1+AG18)^(($A$12-A4)/365)</f>
        <v>2.1201321143926213E-2</v>
      </c>
      <c r="Z18">
        <f t="shared" si="33"/>
        <v>3.4890216423638727E-3</v>
      </c>
      <c r="AA18">
        <f t="shared" si="34"/>
        <v>3.4890216423638727E-3</v>
      </c>
      <c r="AB18">
        <f t="shared" si="35"/>
        <v>1.7685568632128248E-2</v>
      </c>
      <c r="AC18">
        <f t="shared" si="36"/>
        <v>0</v>
      </c>
      <c r="AD18">
        <f t="shared" si="37"/>
        <v>0</v>
      </c>
      <c r="AE18">
        <f t="shared" si="38"/>
        <v>99.771527117351994</v>
      </c>
      <c r="AF18">
        <f t="shared" si="39"/>
        <v>1</v>
      </c>
      <c r="AG18">
        <f t="shared" si="40"/>
        <v>0.06</v>
      </c>
      <c r="AH18">
        <f t="shared" ref="AH18:AH25" si="44">T18/((1+AG18)^(($A$12-A4)/365))</f>
        <v>3.4890216423638727E-3</v>
      </c>
      <c r="AI18">
        <f t="shared" si="41"/>
        <v>-1.1648704634359072E-2</v>
      </c>
      <c r="AJ18">
        <f t="shared" ref="AJ18:AJ25" si="45">AJ17+AI18</f>
        <v>-2.7403287014562776E-2</v>
      </c>
      <c r="AK18">
        <f t="shared" si="24"/>
        <v>-5.6308124002526255E-6</v>
      </c>
      <c r="AL18">
        <f t="shared" si="42"/>
        <v>-2.9072167614457392E-6</v>
      </c>
      <c r="AM18">
        <f>$AE18+AJ18+SUM($AK$16:AK18)+AL18-100-AH18</f>
        <v>-0.25938020382001292</v>
      </c>
      <c r="AO18" s="4">
        <f t="shared" si="43"/>
        <v>-0.24392654323400959</v>
      </c>
    </row>
    <row r="19" spans="1:41">
      <c r="B19" t="s">
        <v>3</v>
      </c>
      <c r="C19">
        <v>96.856789342208202</v>
      </c>
      <c r="D19">
        <v>102.30822339256601</v>
      </c>
      <c r="G19" t="s">
        <v>3</v>
      </c>
      <c r="H19">
        <v>96.994206106199101</v>
      </c>
      <c r="I19">
        <v>102.57075156179501</v>
      </c>
      <c r="L19" t="s">
        <v>3</v>
      </c>
      <c r="M19">
        <v>96.156971117191503</v>
      </c>
      <c r="N19">
        <v>100.83956546416</v>
      </c>
      <c r="Q19">
        <f t="shared" si="25"/>
        <v>98.709899811213035</v>
      </c>
      <c r="R19">
        <f t="shared" si="26"/>
        <v>105.99894249217451</v>
      </c>
      <c r="S19">
        <f t="shared" si="27"/>
        <v>105.49540949785063</v>
      </c>
      <c r="T19">
        <f t="shared" si="28"/>
        <v>0</v>
      </c>
      <c r="U19">
        <f t="shared" si="29"/>
        <v>99.696998809325166</v>
      </c>
      <c r="V19">
        <f t="shared" si="30"/>
        <v>107.05893191709626</v>
      </c>
      <c r="W19">
        <f t="shared" si="31"/>
        <v>106.55036359282914</v>
      </c>
      <c r="X19" s="3">
        <f t="shared" si="32"/>
        <v>0</v>
      </c>
      <c r="Y19">
        <f>MAX(0,1.77*MIN(U19/100-1,R19/100-1,S19/100-1))/(1+AG19)^(($A$12-A5)/365)</f>
        <v>0</v>
      </c>
      <c r="Z19">
        <f t="shared" si="33"/>
        <v>0</v>
      </c>
      <c r="AA19">
        <f t="shared" si="34"/>
        <v>0</v>
      </c>
      <c r="AB19">
        <f t="shared" si="35"/>
        <v>0</v>
      </c>
      <c r="AC19">
        <f t="shared" si="36"/>
        <v>0</v>
      </c>
      <c r="AD19">
        <f t="shared" si="37"/>
        <v>0</v>
      </c>
      <c r="AE19">
        <f t="shared" si="38"/>
        <v>99.80005765639774</v>
      </c>
      <c r="AF19">
        <f t="shared" si="39"/>
        <v>1</v>
      </c>
      <c r="AG19">
        <f t="shared" si="40"/>
        <v>0.06</v>
      </c>
      <c r="AH19">
        <f t="shared" si="44"/>
        <v>0</v>
      </c>
      <c r="AI19">
        <f t="shared" si="41"/>
        <v>0</v>
      </c>
      <c r="AJ19">
        <f t="shared" si="45"/>
        <v>-2.7403287014562776E-2</v>
      </c>
      <c r="AK19">
        <f t="shared" si="24"/>
        <v>-5.6308124002526255E-6</v>
      </c>
      <c r="AL19">
        <f t="shared" si="42"/>
        <v>0</v>
      </c>
      <c r="AM19">
        <f>$AE19+AJ19+SUM($AK$16:AK19)+AL19-100-AH19</f>
        <v>-0.22736336672753055</v>
      </c>
      <c r="AO19" s="4">
        <f t="shared" si="43"/>
        <v>-0.21365285516489507</v>
      </c>
    </row>
    <row r="20" spans="1:41" s="2" customFormat="1">
      <c r="A20" s="2" t="s">
        <v>87</v>
      </c>
      <c r="B20" s="2" t="s">
        <v>4</v>
      </c>
      <c r="C20" s="2">
        <v>92.396918045608501</v>
      </c>
      <c r="D20" s="2">
        <v>99.544942023731394</v>
      </c>
      <c r="E20" s="16" t="s">
        <v>86</v>
      </c>
      <c r="G20" s="2" t="s">
        <v>4</v>
      </c>
      <c r="H20" s="2">
        <v>94.219499662078405</v>
      </c>
      <c r="I20" s="2">
        <v>101.554208564231</v>
      </c>
      <c r="L20" s="2" t="s">
        <v>4</v>
      </c>
      <c r="M20" s="2">
        <v>93.702012285865294</v>
      </c>
      <c r="N20" s="2">
        <v>98.898622771073207</v>
      </c>
      <c r="Q20" s="2">
        <f>($D$26/D20)*D6</f>
        <v>101.21400962241792</v>
      </c>
      <c r="R20" s="2">
        <f t="shared" si="26"/>
        <v>107.37873977749001</v>
      </c>
      <c r="S20" s="2">
        <f t="shared" si="27"/>
        <v>108.9450246886253</v>
      </c>
      <c r="T20" s="2">
        <f>MAX(0,1.77*MIN(Q20/100-1,R20/100-1,S20/100-1,1))</f>
        <v>2.1487970316797021E-2</v>
      </c>
      <c r="U20" s="2">
        <f t="shared" si="29"/>
        <v>102.22614971864211</v>
      </c>
      <c r="V20" s="2">
        <f t="shared" si="30"/>
        <v>108.45252717526492</v>
      </c>
      <c r="W20" s="2">
        <f t="shared" si="31"/>
        <v>110.03447493551155</v>
      </c>
      <c r="X20" s="19">
        <f t="shared" si="32"/>
        <v>2.1467398024578258E-2</v>
      </c>
      <c r="Y20" s="2">
        <f t="shared" ref="Y20:Y26" si="46">MAX(0,1.77*MIN(U20/100-1,R20/100-1,S20/100-1))/(1+AG20)^(($A$12-A6)/365)</f>
        <v>3.9365126264165454E-2</v>
      </c>
      <c r="Z20" s="2">
        <f t="shared" si="33"/>
        <v>2.1467398024578258E-2</v>
      </c>
      <c r="AA20" s="2">
        <f t="shared" si="34"/>
        <v>2.1467398024578258E-2</v>
      </c>
      <c r="AB20" s="2">
        <f t="shared" si="35"/>
        <v>1.8030967861607506E-2</v>
      </c>
      <c r="AC20" s="2">
        <f t="shared" si="36"/>
        <v>0</v>
      </c>
      <c r="AD20" s="2">
        <f t="shared" si="37"/>
        <v>0</v>
      </c>
      <c r="AE20" s="2">
        <f t="shared" si="38"/>
        <v>99.82859635400014</v>
      </c>
      <c r="AF20" s="2">
        <f t="shared" si="39"/>
        <v>1</v>
      </c>
      <c r="AG20" s="2">
        <f t="shared" si="40"/>
        <v>0.06</v>
      </c>
      <c r="AH20" s="2">
        <f t="shared" si="44"/>
        <v>2.1467398024578258E-2</v>
      </c>
      <c r="AI20" s="2">
        <f t="shared" si="41"/>
        <v>2.4870313046195112E-2</v>
      </c>
      <c r="AJ20" s="2">
        <f t="shared" si="45"/>
        <v>-2.5329739683676647E-3</v>
      </c>
      <c r="AK20" s="2">
        <f t="shared" si="24"/>
        <v>-5.2047410308924615E-7</v>
      </c>
      <c r="AL20" s="2">
        <f t="shared" si="42"/>
        <v>-2.9639947169765767E-6</v>
      </c>
      <c r="AM20" s="2">
        <f>$AE20+AJ20+SUM($AK$16:AK20)+AL20-100-AH20</f>
        <v>-0.19542523857233557</v>
      </c>
      <c r="AO20" s="18">
        <f t="shared" si="43"/>
        <v>-0.18341444228609757</v>
      </c>
    </row>
    <row r="21" spans="1:41">
      <c r="B21" t="s">
        <v>5</v>
      </c>
      <c r="C21">
        <v>90.383741011360698</v>
      </c>
      <c r="D21">
        <v>100.24098975578001</v>
      </c>
      <c r="E21" s="15">
        <v>0.16</v>
      </c>
      <c r="G21" t="s">
        <v>5</v>
      </c>
      <c r="H21">
        <v>93.679607866156303</v>
      </c>
      <c r="I21">
        <v>102.288389427703</v>
      </c>
      <c r="L21" t="s">
        <v>5</v>
      </c>
      <c r="M21">
        <v>93.256189145272401</v>
      </c>
      <c r="N21">
        <v>99.586320330946407</v>
      </c>
      <c r="Q21">
        <f t="shared" si="25"/>
        <v>101.90788841619104</v>
      </c>
      <c r="R21">
        <f t="shared" si="26"/>
        <v>108.40984488526652</v>
      </c>
      <c r="S21">
        <f t="shared" si="27"/>
        <v>106.89720926598673</v>
      </c>
      <c r="T21">
        <f t="shared" si="28"/>
        <v>3.3769624966581591E-2</v>
      </c>
      <c r="U21">
        <f t="shared" si="29"/>
        <v>102.92696730035296</v>
      </c>
      <c r="V21">
        <f t="shared" si="30"/>
        <v>109.49394333411919</v>
      </c>
      <c r="W21">
        <f t="shared" si="31"/>
        <v>107.96618135864659</v>
      </c>
      <c r="X21" s="3">
        <f t="shared" si="32"/>
        <v>3.3742680664354319E-2</v>
      </c>
      <c r="Y21">
        <f t="shared" si="46"/>
        <v>5.1765984893388621E-2</v>
      </c>
      <c r="Z21">
        <f t="shared" si="33"/>
        <v>3.3742680664354319E-2</v>
      </c>
      <c r="AA21">
        <f t="shared" si="34"/>
        <v>3.3742680664354319E-2</v>
      </c>
      <c r="AB21">
        <f t="shared" si="35"/>
        <v>1.7908624163430319E-2</v>
      </c>
      <c r="AC21">
        <f t="shared" si="36"/>
        <v>0</v>
      </c>
      <c r="AD21">
        <f t="shared" si="37"/>
        <v>0</v>
      </c>
      <c r="AE21">
        <f t="shared" si="38"/>
        <v>99.857143212492218</v>
      </c>
      <c r="AF21">
        <f t="shared" si="39"/>
        <v>1</v>
      </c>
      <c r="AG21">
        <f t="shared" si="40"/>
        <v>0.06</v>
      </c>
      <c r="AH21">
        <f t="shared" si="44"/>
        <v>3.3742680664354319E-2</v>
      </c>
      <c r="AI21">
        <f t="shared" si="41"/>
        <v>4.5699258341577939E-2</v>
      </c>
      <c r="AJ21">
        <f t="shared" si="45"/>
        <v>4.3166284373210274E-2</v>
      </c>
      <c r="AK21">
        <f t="shared" si="24"/>
        <v>8.8697844602486865E-6</v>
      </c>
      <c r="AL21">
        <f t="shared" si="42"/>
        <v>-2.9438834241255323E-6</v>
      </c>
      <c r="AM21">
        <f>$AE21+AJ21+SUM($AK$16:AK21)+AL21-100-AH21</f>
        <v>-0.13344551448270975</v>
      </c>
      <c r="AO21" s="4">
        <f t="shared" si="43"/>
        <v>-0.11729190899506078</v>
      </c>
    </row>
    <row r="22" spans="1:41">
      <c r="B22" t="s">
        <v>6</v>
      </c>
      <c r="C22">
        <v>89.671252100470497</v>
      </c>
      <c r="D22">
        <v>100.17211156405401</v>
      </c>
      <c r="G22" t="s">
        <v>6</v>
      </c>
      <c r="H22">
        <v>93.856584573954606</v>
      </c>
      <c r="I22">
        <v>102.45300710711101</v>
      </c>
      <c r="L22" t="s">
        <v>6</v>
      </c>
      <c r="M22">
        <v>94.604964351254907</v>
      </c>
      <c r="N22">
        <v>99.828558487871504</v>
      </c>
      <c r="Q22">
        <f t="shared" si="25"/>
        <v>104.56367753091921</v>
      </c>
      <c r="R22">
        <f t="shared" si="26"/>
        <v>108.64988306482954</v>
      </c>
      <c r="S22">
        <f t="shared" si="27"/>
        <v>107.34024854667051</v>
      </c>
      <c r="T22">
        <f t="shared" si="28"/>
        <v>8.0777092297269787E-2</v>
      </c>
      <c r="U22">
        <f t="shared" si="29"/>
        <v>105.6093143062284</v>
      </c>
      <c r="V22">
        <f t="shared" si="30"/>
        <v>109.73638189547783</v>
      </c>
      <c r="W22">
        <f t="shared" si="31"/>
        <v>108.41365103213721</v>
      </c>
      <c r="X22" s="3">
        <f>MAX(0,1.77*MIN(Q22/100-1,R22/100-1,S22/100-1))/(1+AG22)^(($A$12-A8)/365)</f>
        <v>8.0725527469909672E-2</v>
      </c>
      <c r="Y22">
        <f t="shared" si="46"/>
        <v>9.9221483780777497E-2</v>
      </c>
      <c r="Z22">
        <f t="shared" si="33"/>
        <v>8.0725527469909672E-2</v>
      </c>
      <c r="AA22">
        <f t="shared" si="34"/>
        <v>8.0725527469909672E-2</v>
      </c>
      <c r="AB22">
        <f t="shared" si="35"/>
        <v>1.7923799248257002E-2</v>
      </c>
      <c r="AC22">
        <f>(Z22-$X22)/(1%*I8)</f>
        <v>0</v>
      </c>
      <c r="AD22">
        <f t="shared" si="37"/>
        <v>0</v>
      </c>
      <c r="AE22">
        <f t="shared" si="38"/>
        <v>99.885698234207666</v>
      </c>
      <c r="AF22">
        <f t="shared" si="39"/>
        <v>1</v>
      </c>
      <c r="AG22">
        <f t="shared" si="40"/>
        <v>0.06</v>
      </c>
      <c r="AH22">
        <f t="shared" si="44"/>
        <v>8.0725527469909672E-2</v>
      </c>
      <c r="AI22">
        <f t="shared" si="41"/>
        <v>-5.5208353190663601E-3</v>
      </c>
      <c r="AJ22">
        <f t="shared" si="45"/>
        <v>3.7645449054143916E-2</v>
      </c>
      <c r="AK22">
        <f t="shared" si="24"/>
        <v>7.7353662440021748E-6</v>
      </c>
      <c r="AL22">
        <f t="shared" si="42"/>
        <v>-2.9463779586175892E-6</v>
      </c>
      <c r="AM22">
        <f>$AE22+AJ22+SUM($AK$16:AK22)+AL22-100-AH22</f>
        <v>-0.1573864420201696</v>
      </c>
      <c r="AO22" s="4">
        <f t="shared" si="43"/>
        <v>-0.14448153541703074</v>
      </c>
    </row>
    <row r="23" spans="1:41">
      <c r="B23" t="s">
        <v>7</v>
      </c>
      <c r="C23">
        <v>89.484064906117496</v>
      </c>
      <c r="D23">
        <v>102.458598454954</v>
      </c>
      <c r="G23" t="s">
        <v>7</v>
      </c>
      <c r="H23">
        <v>92.968138384907803</v>
      </c>
      <c r="I23">
        <v>102.982880415525</v>
      </c>
      <c r="L23" t="s">
        <v>7</v>
      </c>
      <c r="M23">
        <v>93.811755835229903</v>
      </c>
      <c r="N23">
        <v>102.089152824145</v>
      </c>
      <c r="Q23">
        <f t="shared" si="25"/>
        <v>101.92506755783756</v>
      </c>
      <c r="R23">
        <f t="shared" si="26"/>
        <v>107.41514007655631</v>
      </c>
      <c r="S23">
        <f t="shared" si="27"/>
        <v>104.74458408690305</v>
      </c>
      <c r="T23">
        <f>MAX(0,1.77*MIN(Q23/100-1,R23/100-1,S23/100-1,1))</f>
        <v>3.4073695773724946E-2</v>
      </c>
      <c r="U23">
        <f t="shared" si="29"/>
        <v>102.94431823341594</v>
      </c>
      <c r="V23">
        <f t="shared" si="30"/>
        <v>108.48929147732187</v>
      </c>
      <c r="W23">
        <f t="shared" si="31"/>
        <v>105.79202992777208</v>
      </c>
      <c r="X23" s="3">
        <f t="shared" si="32"/>
        <v>3.4057381020115879E-2</v>
      </c>
      <c r="Y23">
        <f>MAX(0,1.77*MIN(U23/100-1,R23/100-1,S23/100-1))/(1+AG23)^(($A$12-A9)/365)</f>
        <v>5.2089479931063422E-2</v>
      </c>
      <c r="Z23">
        <f t="shared" si="33"/>
        <v>3.4057381020115879E-2</v>
      </c>
      <c r="AA23">
        <f>MAX(0,1.77*MIN(W23/100-1,Q23/100-1,R23/100-1))/(1+AG23)^(($A$12-A9)/365)</f>
        <v>3.4057381020115879E-2</v>
      </c>
      <c r="AB23">
        <f t="shared" si="35"/>
        <v>1.7526605843012074E-2</v>
      </c>
      <c r="AC23">
        <f t="shared" si="36"/>
        <v>0</v>
      </c>
      <c r="AD23">
        <f t="shared" si="37"/>
        <v>0</v>
      </c>
      <c r="AE23">
        <f t="shared" si="38"/>
        <v>99.914261421480845</v>
      </c>
      <c r="AF23">
        <f t="shared" si="39"/>
        <v>1</v>
      </c>
      <c r="AG23">
        <f t="shared" si="40"/>
        <v>0.06</v>
      </c>
      <c r="AH23">
        <f t="shared" si="44"/>
        <v>3.4057381020115879E-2</v>
      </c>
      <c r="AI23">
        <f t="shared" si="41"/>
        <v>-3.2729811284667752E-2</v>
      </c>
      <c r="AJ23">
        <f t="shared" si="45"/>
        <v>4.9156377694761638E-3</v>
      </c>
      <c r="AK23">
        <f t="shared" si="24"/>
        <v>1.0100625553718145E-6</v>
      </c>
      <c r="AL23">
        <f t="shared" si="42"/>
        <v>-2.8810858920019845E-6</v>
      </c>
      <c r="AM23">
        <f>$AE23+AJ23+SUM($AK$16:AK23)+AL23-100-AH23</f>
        <v>-0.11488384422724726</v>
      </c>
      <c r="AO23" s="4">
        <f t="shared" si="43"/>
        <v>-0.12250320645096303</v>
      </c>
    </row>
    <row r="24" spans="1:41">
      <c r="B24" t="s">
        <v>8</v>
      </c>
      <c r="C24">
        <v>89.378955002027396</v>
      </c>
      <c r="D24">
        <v>103.202517566049</v>
      </c>
      <c r="G24" t="s">
        <v>8</v>
      </c>
      <c r="H24">
        <v>91.463472256769293</v>
      </c>
      <c r="I24">
        <v>105.625960850122</v>
      </c>
      <c r="L24" t="s">
        <v>8</v>
      </c>
      <c r="M24">
        <v>92.865753560271699</v>
      </c>
      <c r="N24">
        <v>103.88088348779</v>
      </c>
      <c r="Q24">
        <f t="shared" si="25"/>
        <v>99.353664689372167</v>
      </c>
      <c r="R24">
        <f t="shared" si="26"/>
        <v>103.65928323927606</v>
      </c>
      <c r="S24">
        <f t="shared" si="27"/>
        <v>100.95178025172972</v>
      </c>
      <c r="T24">
        <f>MAX(0,1.77*MIN(Q24/100-1,R24/100-1,S24/100-1,1))</f>
        <v>0</v>
      </c>
      <c r="U24">
        <f t="shared" si="29"/>
        <v>100.34720133626588</v>
      </c>
      <c r="V24">
        <f t="shared" si="30"/>
        <v>104.69587607166882</v>
      </c>
      <c r="W24">
        <f t="shared" si="31"/>
        <v>101.96129805424701</v>
      </c>
      <c r="X24" s="3">
        <f>MAX(0,1.77*MIN(Q24/100-1,R24/100-1,S24/100-1))/(1+AG24)^(($A$12-A10)/365)</f>
        <v>0</v>
      </c>
      <c r="Y24">
        <f t="shared" si="46"/>
        <v>6.1435018310991695E-3</v>
      </c>
      <c r="Z24">
        <f t="shared" si="33"/>
        <v>0</v>
      </c>
      <c r="AA24">
        <f>MAX(0,1.77*MIN(W24/100-1,Q24/100-1,R24/100-1))/(1+AG24)^(($A$12-A10)/365)</f>
        <v>0</v>
      </c>
      <c r="AB24">
        <f t="shared" si="35"/>
        <v>6.0816688262907755E-3</v>
      </c>
      <c r="AC24">
        <f t="shared" si="36"/>
        <v>0</v>
      </c>
      <c r="AD24">
        <f t="shared" si="37"/>
        <v>0</v>
      </c>
      <c r="AE24">
        <f t="shared" si="38"/>
        <v>99.942832776646711</v>
      </c>
      <c r="AF24">
        <f t="shared" si="39"/>
        <v>1</v>
      </c>
      <c r="AG24">
        <f t="shared" si="40"/>
        <v>0.06</v>
      </c>
      <c r="AH24">
        <f t="shared" si="44"/>
        <v>0</v>
      </c>
      <c r="AI24">
        <f t="shared" si="41"/>
        <v>-8.0835806085342091E-3</v>
      </c>
      <c r="AJ24">
        <f t="shared" si="45"/>
        <v>-3.1679428390580452E-3</v>
      </c>
      <c r="AK24">
        <f t="shared" si="24"/>
        <v>-6.5094715871055725E-7</v>
      </c>
      <c r="AL24">
        <f t="shared" si="42"/>
        <v>-9.9972638240396306E-7</v>
      </c>
      <c r="AM24">
        <f>$AE24+AJ24+SUM($AK$16:AK24)+AL24-100-AH24</f>
        <v>-6.033745823744141E-2</v>
      </c>
      <c r="AO24" s="4">
        <f t="shared" si="43"/>
        <v>-7.7243330346666389E-2</v>
      </c>
    </row>
    <row r="25" spans="1:41">
      <c r="B25" t="s">
        <v>9</v>
      </c>
      <c r="C25">
        <v>88.9699046255068</v>
      </c>
      <c r="D25">
        <v>101.002722796059</v>
      </c>
      <c r="G25" t="s">
        <v>9</v>
      </c>
      <c r="H25">
        <v>92.706406466167493</v>
      </c>
      <c r="I25">
        <v>104.301413687153</v>
      </c>
      <c r="L25" t="s">
        <v>9</v>
      </c>
      <c r="M25">
        <v>93.507824521560195</v>
      </c>
      <c r="N25">
        <v>102.107160370134</v>
      </c>
      <c r="Q25">
        <f t="shared" si="25"/>
        <v>100.1817823220269</v>
      </c>
      <c r="R25">
        <f t="shared" si="26"/>
        <v>105.02374233460013</v>
      </c>
      <c r="S25">
        <f t="shared" si="27"/>
        <v>102.24706295057989</v>
      </c>
      <c r="T25">
        <f t="shared" si="28"/>
        <v>3.217547099876168E-3</v>
      </c>
      <c r="U25">
        <f t="shared" si="29"/>
        <v>101.18360014524717</v>
      </c>
      <c r="V25">
        <f t="shared" si="30"/>
        <v>106.07397975794613</v>
      </c>
      <c r="W25">
        <f t="shared" si="31"/>
        <v>103.26953358008569</v>
      </c>
      <c r="X25" s="3">
        <f>MAX(0,1.77*MIN(Q25/100-1,R25/100-1,S25/100-1))/(1+AG25)^(($A$12-A11)/365)</f>
        <v>3.2170334889387031E-3</v>
      </c>
      <c r="Y25">
        <f t="shared" si="46"/>
        <v>2.0946378406418102E-2</v>
      </c>
      <c r="Z25">
        <f t="shared" si="33"/>
        <v>3.2170334889387031E-3</v>
      </c>
      <c r="AA25">
        <f>MAX(0,1.77*MIN(W25/100-1,Q25/100-1,R25/100-1))/(1+AG25)^(($A$12-A11)/365)</f>
        <v>3.2170334889387031E-3</v>
      </c>
      <c r="AB25">
        <f t="shared" si="35"/>
        <v>1.7784915720299031E-2</v>
      </c>
      <c r="AC25">
        <f t="shared" si="36"/>
        <v>0</v>
      </c>
      <c r="AD25">
        <f t="shared" si="37"/>
        <v>0</v>
      </c>
      <c r="AE25">
        <f t="shared" si="38"/>
        <v>99.971412302040989</v>
      </c>
      <c r="AF25">
        <f t="shared" si="39"/>
        <v>1</v>
      </c>
      <c r="AG25">
        <f t="shared" si="40"/>
        <v>0.06</v>
      </c>
      <c r="AH25">
        <f t="shared" si="44"/>
        <v>3.2170334889387031E-3</v>
      </c>
      <c r="AI25">
        <f t="shared" si="41"/>
        <v>3.2005189292040472E-2</v>
      </c>
      <c r="AJ25">
        <f t="shared" si="45"/>
        <v>2.8837246452982426E-2</v>
      </c>
      <c r="AK25">
        <f>AJ25*7.5%*(1/365)</f>
        <v>5.9254615999278962E-6</v>
      </c>
      <c r="AL25">
        <f t="shared" si="42"/>
        <v>-2.9235477896381971E-6</v>
      </c>
      <c r="AM25">
        <f>$AE25+AJ25+SUM($AK$16:AK25)+AL25-100-AH25</f>
        <v>-2.9657753998734715E-3</v>
      </c>
      <c r="AO25" s="4">
        <f t="shared" si="43"/>
        <v>-1.0466361921190902E-2</v>
      </c>
    </row>
    <row r="26" spans="1:41">
      <c r="A26" t="s">
        <v>88</v>
      </c>
      <c r="B26" t="s">
        <v>10</v>
      </c>
      <c r="C26">
        <v>89.7465547712454</v>
      </c>
      <c r="D26">
        <v>101.503485998031</v>
      </c>
      <c r="G26" t="s">
        <v>10</v>
      </c>
      <c r="H26">
        <v>91.824563188172903</v>
      </c>
      <c r="I26">
        <v>104.974707515904</v>
      </c>
      <c r="L26" t="s">
        <v>10</v>
      </c>
      <c r="M26">
        <v>94.324241954556896</v>
      </c>
      <c r="N26">
        <v>103.257602016097</v>
      </c>
      <c r="Q26">
        <f t="shared" si="25"/>
        <v>101.487109043755</v>
      </c>
      <c r="R26">
        <f t="shared" si="26"/>
        <v>105.074054929019</v>
      </c>
      <c r="S26">
        <f t="shared" si="27"/>
        <v>102.424373716129</v>
      </c>
      <c r="T26">
        <f t="shared" si="28"/>
        <v>2.632183007446345E-2</v>
      </c>
      <c r="U26">
        <f t="shared" si="29"/>
        <v>102.50198013419255</v>
      </c>
      <c r="V26">
        <f t="shared" si="30"/>
        <v>106.1247954783092</v>
      </c>
      <c r="W26">
        <f t="shared" si="31"/>
        <v>103.44861745329028</v>
      </c>
      <c r="X26" s="3">
        <f>MAX(0,1.77*MIN(Q26/100-1,R26/100-1,S26/100-1))/(1+AG26)^(($A$12-A12)/365)</f>
        <v>2.632183007446345E-2</v>
      </c>
      <c r="Y26">
        <f t="shared" si="46"/>
        <v>4.2911414775483346E-2</v>
      </c>
      <c r="Z26">
        <f t="shared" si="33"/>
        <v>2.632183007446345E-2</v>
      </c>
      <c r="AA26">
        <f>MAX(0,1.77*MIN(W26/100-1,Q26/100-1,R26/100-1))/(1+AG26)^(($A$12-A12)/365)</f>
        <v>2.632183007446345E-2</v>
      </c>
      <c r="AB26">
        <f t="shared" si="35"/>
        <v>1.6346494502929913E-2</v>
      </c>
      <c r="AC26">
        <f t="shared" si="36"/>
        <v>0</v>
      </c>
      <c r="AD26">
        <f t="shared" si="37"/>
        <v>0</v>
      </c>
      <c r="AE26">
        <f t="shared" si="38"/>
        <v>100</v>
      </c>
      <c r="AF26">
        <f t="shared" si="39"/>
        <v>1</v>
      </c>
      <c r="AG26">
        <f t="shared" si="40"/>
        <v>0.06</v>
      </c>
      <c r="AH26">
        <f>T26/((1+AG26)^(($A$12-A12)/365))</f>
        <v>2.632183007446345E-2</v>
      </c>
      <c r="AJ26">
        <f>AJ25+AI26</f>
        <v>2.8837246452982426E-2</v>
      </c>
      <c r="AK26">
        <f>AJ26*7.5%*(1/365)</f>
        <v>5.9254615999278962E-6</v>
      </c>
      <c r="AL26">
        <f t="shared" si="42"/>
        <v>-2.6870949867829993E-6</v>
      </c>
      <c r="AM26">
        <f>$AE26+AJ26+SUM($AK$16:AK26)+AL26-100-AH26</f>
        <v>2.5232878880123467E-3</v>
      </c>
    </row>
    <row r="27" spans="1:41">
      <c r="A27" t="s">
        <v>89</v>
      </c>
      <c r="B27" t="s">
        <v>11</v>
      </c>
      <c r="C27" t="s">
        <v>12</v>
      </c>
      <c r="D27" t="s">
        <v>12</v>
      </c>
      <c r="G27" t="s">
        <v>11</v>
      </c>
      <c r="H27" t="s">
        <v>12</v>
      </c>
      <c r="I27" t="s">
        <v>12</v>
      </c>
      <c r="L27" t="s">
        <v>11</v>
      </c>
      <c r="AB27" s="9" t="s">
        <v>63</v>
      </c>
      <c r="AC27" s="9" t="s">
        <v>64</v>
      </c>
      <c r="AD27" s="9" t="s">
        <v>65</v>
      </c>
      <c r="AE27" s="10" t="s">
        <v>66</v>
      </c>
      <c r="AF27" s="2" t="s">
        <v>58</v>
      </c>
      <c r="AG27" s="10" t="s">
        <v>67</v>
      </c>
      <c r="AH27" s="10" t="s">
        <v>32</v>
      </c>
      <c r="AI27" s="10" t="s">
        <v>68</v>
      </c>
      <c r="AJ27" s="10" t="s">
        <v>56</v>
      </c>
      <c r="AK27" s="10" t="s">
        <v>82</v>
      </c>
      <c r="AL27" s="11" t="s">
        <v>69</v>
      </c>
    </row>
    <row r="28" spans="1:41">
      <c r="T28" t="s">
        <v>34</v>
      </c>
      <c r="U28" s="1">
        <v>42648</v>
      </c>
      <c r="X28" s="1">
        <v>42650</v>
      </c>
      <c r="AA28" t="s">
        <v>70</v>
      </c>
      <c r="AB28" s="7">
        <f>AVERAGE(AB16,AB2)</f>
        <v>8.9687293210492739E-3</v>
      </c>
      <c r="AC28" s="7">
        <f>AVERAGE(AC16,AC2)</f>
        <v>0</v>
      </c>
      <c r="AD28" s="7">
        <f>AVERAGE(AD16,AD2)</f>
        <v>0</v>
      </c>
      <c r="AE28">
        <f>AB28*(D3-D2)+AC28*(I3-I2)+AD28*(N3-N2)</f>
        <v>-7.8772911901018525E-3</v>
      </c>
      <c r="AF28">
        <f>AE28</f>
        <v>-7.8772911901018525E-3</v>
      </c>
      <c r="AG28">
        <f t="shared" ref="AG28:AG38" si="47">AF28*0.075*1/365</f>
        <v>-1.618621477418189E-6</v>
      </c>
      <c r="AH28">
        <f t="shared" ref="AH28:AH36" si="48">100/((1+11%)^(($C$32-A2)/365))</f>
        <v>99.714490505601816</v>
      </c>
      <c r="AI28">
        <v>100</v>
      </c>
      <c r="AJ28">
        <f>(AH2+AH16)/2</f>
        <v>1.3284626455675875E-2</v>
      </c>
      <c r="AK28" s="13">
        <f t="shared" ref="AK28:AK37" si="49">(AB28*$B$36*(-1)+AC28*$B$37*(-1)+AD28*$B$38*(-1))*(1/365)</f>
        <v>-1.474311669213579E-6</v>
      </c>
      <c r="AL28" s="6">
        <f>AE28+AG28+AH37-AI28-AJ28</f>
        <v>-4.9751234226267836E-2</v>
      </c>
    </row>
    <row r="29" spans="1:41">
      <c r="A29" t="s">
        <v>33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39</v>
      </c>
      <c r="H29" t="s">
        <v>40</v>
      </c>
      <c r="I29" t="s">
        <v>41</v>
      </c>
      <c r="J29" t="s">
        <v>42</v>
      </c>
      <c r="K29" t="s">
        <v>43</v>
      </c>
      <c r="L29" t="s">
        <v>44</v>
      </c>
      <c r="M29" t="s">
        <v>45</v>
      </c>
      <c r="N29" t="s">
        <v>46</v>
      </c>
      <c r="O29" t="s">
        <v>47</v>
      </c>
      <c r="P29" t="s">
        <v>48</v>
      </c>
      <c r="T29" t="s">
        <v>35</v>
      </c>
      <c r="U29" s="1">
        <v>42660</v>
      </c>
      <c r="V29">
        <f>U29-U35</f>
        <v>10</v>
      </c>
      <c r="X29" s="1">
        <f>X28+1</f>
        <v>42651</v>
      </c>
      <c r="AA29" t="s">
        <v>71</v>
      </c>
      <c r="AB29" s="7">
        <f t="shared" ref="AB29:AB38" si="50">AVERAGE(AB17,AB3)</f>
        <v>0</v>
      </c>
      <c r="AC29" s="7">
        <f t="shared" ref="AC29:AD29" si="51">AVERAGE(AC17,AC3)</f>
        <v>0</v>
      </c>
      <c r="AD29" s="7">
        <f t="shared" si="51"/>
        <v>0</v>
      </c>
      <c r="AE29">
        <f t="shared" ref="AE29:AE37" si="52">AB29*(D4-D3)+AC29*(I4-I3)+AD29*(N4-N3)</f>
        <v>0</v>
      </c>
      <c r="AF29" s="5">
        <f>AE29+AF28</f>
        <v>-7.8772911901018525E-3</v>
      </c>
      <c r="AG29">
        <f t="shared" si="47"/>
        <v>-1.618621477418189E-6</v>
      </c>
      <c r="AH29">
        <f t="shared" si="48"/>
        <v>99.743004734530587</v>
      </c>
      <c r="AI29">
        <v>100</v>
      </c>
      <c r="AJ29">
        <f t="shared" ref="AJ29:AJ38" si="53">(AH3+AH17)/2</f>
        <v>0</v>
      </c>
      <c r="AK29" s="13">
        <f t="shared" si="49"/>
        <v>0</v>
      </c>
      <c r="AL29" s="6">
        <f t="shared" ref="AL29:AL37" si="54">AE29+AG29+AH29-AI29-AJ29</f>
        <v>-0.25699688409089561</v>
      </c>
    </row>
    <row r="30" spans="1:41">
      <c r="A30" t="s">
        <v>49</v>
      </c>
      <c r="B30" s="1">
        <v>42681</v>
      </c>
      <c r="C30" s="1">
        <v>42693</v>
      </c>
      <c r="D30">
        <v>95</v>
      </c>
      <c r="E30" s="1">
        <v>42693</v>
      </c>
      <c r="F30">
        <v>100</v>
      </c>
      <c r="G30">
        <v>17</v>
      </c>
      <c r="H30">
        <v>5</v>
      </c>
      <c r="I30" s="1">
        <v>42683</v>
      </c>
      <c r="J30">
        <v>2</v>
      </c>
      <c r="K30">
        <v>11.75</v>
      </c>
      <c r="L30">
        <v>0</v>
      </c>
      <c r="M30">
        <v>1</v>
      </c>
      <c r="N30">
        <v>3</v>
      </c>
      <c r="O30">
        <v>2</v>
      </c>
      <c r="P30">
        <v>0.04</v>
      </c>
      <c r="U30" s="1"/>
      <c r="X30" s="1">
        <f t="shared" ref="X30:X38" si="55">X29+1</f>
        <v>42652</v>
      </c>
      <c r="AA30" t="s">
        <v>72</v>
      </c>
      <c r="AB30" s="7">
        <f t="shared" si="50"/>
        <v>8.8427843160641239E-3</v>
      </c>
      <c r="AC30" s="7">
        <f t="shared" ref="AC30:AD30" si="56">AVERAGE(AC18,AC4)</f>
        <v>0</v>
      </c>
      <c r="AD30" s="7">
        <f t="shared" si="56"/>
        <v>0</v>
      </c>
      <c r="AE30">
        <f t="shared" si="52"/>
        <v>-5.8243523171795358E-3</v>
      </c>
      <c r="AF30" s="5">
        <f t="shared" ref="AF30:AF36" si="57">AE30+AF29</f>
        <v>-1.3701643507281388E-2</v>
      </c>
      <c r="AG30">
        <f t="shared" si="47"/>
        <v>-2.8154062001263123E-6</v>
      </c>
      <c r="AH30">
        <f t="shared" si="48"/>
        <v>99.771527117351994</v>
      </c>
      <c r="AI30">
        <v>100</v>
      </c>
      <c r="AJ30">
        <f t="shared" si="53"/>
        <v>1.7445108211819364E-3</v>
      </c>
      <c r="AK30" s="13">
        <f t="shared" si="49"/>
        <v>-1.4536083807228696E-6</v>
      </c>
      <c r="AL30" s="6">
        <f t="shared" si="54"/>
        <v>-0.23604456119257006</v>
      </c>
    </row>
    <row r="31" spans="1:41">
      <c r="B31">
        <v>0</v>
      </c>
      <c r="T31" t="s">
        <v>37</v>
      </c>
      <c r="U31" s="1">
        <v>42664</v>
      </c>
      <c r="X31" s="1">
        <f t="shared" si="55"/>
        <v>42653</v>
      </c>
      <c r="AA31" t="s">
        <v>73</v>
      </c>
      <c r="AB31" s="8">
        <f t="shared" si="50"/>
        <v>0</v>
      </c>
      <c r="AC31" s="7">
        <f t="shared" ref="AC31:AD31" si="58">AVERAGE(AC19,AC5)</f>
        <v>0</v>
      </c>
      <c r="AD31" s="7">
        <f t="shared" si="58"/>
        <v>0</v>
      </c>
      <c r="AE31">
        <f t="shared" si="52"/>
        <v>0</v>
      </c>
      <c r="AF31" s="5">
        <f t="shared" si="57"/>
        <v>-1.3701643507281388E-2</v>
      </c>
      <c r="AG31">
        <f t="shared" si="47"/>
        <v>-2.8154062001263123E-6</v>
      </c>
      <c r="AH31">
        <f t="shared" si="48"/>
        <v>99.80005765639774</v>
      </c>
      <c r="AI31">
        <v>100</v>
      </c>
      <c r="AJ31">
        <f t="shared" si="53"/>
        <v>0</v>
      </c>
      <c r="AK31" s="13">
        <f t="shared" si="49"/>
        <v>0</v>
      </c>
      <c r="AL31" s="6">
        <f t="shared" si="54"/>
        <v>-0.19994515900846466</v>
      </c>
    </row>
    <row r="32" spans="1:41">
      <c r="B32" t="s">
        <v>50</v>
      </c>
      <c r="C32">
        <f>E30-B30</f>
        <v>12</v>
      </c>
      <c r="U32" s="1"/>
      <c r="V32">
        <v>750</v>
      </c>
      <c r="W32">
        <v>913</v>
      </c>
      <c r="X32" s="1">
        <f t="shared" si="55"/>
        <v>42654</v>
      </c>
      <c r="AA32" t="s">
        <v>74</v>
      </c>
      <c r="AB32" s="7">
        <f t="shared" si="50"/>
        <v>9.015483930803753E-3</v>
      </c>
      <c r="AC32" s="7">
        <f t="shared" ref="AC32:AD32" si="59">AVERAGE(AC20,AC6)</f>
        <v>0</v>
      </c>
      <c r="AD32" s="7">
        <f t="shared" si="59"/>
        <v>0</v>
      </c>
      <c r="AE32">
        <f t="shared" si="52"/>
        <v>1.2435156523097556E-2</v>
      </c>
      <c r="AF32" s="5">
        <f t="shared" si="57"/>
        <v>-1.2664869841838323E-3</v>
      </c>
      <c r="AG32">
        <f t="shared" si="47"/>
        <v>-2.6023705154462308E-7</v>
      </c>
      <c r="AH32">
        <f t="shared" si="48"/>
        <v>99.82859635400014</v>
      </c>
      <c r="AI32">
        <v>100</v>
      </c>
      <c r="AJ32">
        <f t="shared" si="53"/>
        <v>1.0733699012289129E-2</v>
      </c>
      <c r="AK32" s="13">
        <f t="shared" si="49"/>
        <v>-1.4819973584882883E-6</v>
      </c>
      <c r="AL32" s="6">
        <f t="shared" si="54"/>
        <v>-0.16970244872609638</v>
      </c>
    </row>
    <row r="33" spans="1:38">
      <c r="B33" t="s">
        <v>51</v>
      </c>
      <c r="C33">
        <f>C30-I30</f>
        <v>10</v>
      </c>
      <c r="U33" s="14">
        <f>500*20/50/60</f>
        <v>3.3333333333333335</v>
      </c>
      <c r="V33">
        <f>V32*50/W32</f>
        <v>41.073384446878421</v>
      </c>
      <c r="X33" s="1">
        <f t="shared" si="55"/>
        <v>42655</v>
      </c>
      <c r="AA33" t="s">
        <v>75</v>
      </c>
      <c r="AB33" s="7">
        <f t="shared" si="50"/>
        <v>1.7127478377490891E-2</v>
      </c>
      <c r="AC33" s="7">
        <f t="shared" ref="AC33:AD33" si="60">AVERAGE(AC21,AC7)</f>
        <v>0</v>
      </c>
      <c r="AD33" s="7">
        <f t="shared" si="60"/>
        <v>0</v>
      </c>
      <c r="AE33">
        <f t="shared" si="52"/>
        <v>4.3705929164064891E-2</v>
      </c>
      <c r="AF33" s="5">
        <f t="shared" si="57"/>
        <v>4.2439442179881062E-2</v>
      </c>
      <c r="AG33">
        <f t="shared" si="47"/>
        <v>8.7204333246330942E-6</v>
      </c>
      <c r="AH33">
        <f t="shared" si="48"/>
        <v>99.857143212492218</v>
      </c>
      <c r="AI33">
        <v>100</v>
      </c>
      <c r="AJ33">
        <f t="shared" si="53"/>
        <v>1.6871340332177159E-2</v>
      </c>
      <c r="AK33" s="13">
        <f t="shared" si="49"/>
        <v>-2.8154758976697351E-6</v>
      </c>
      <c r="AL33" s="6">
        <f t="shared" si="54"/>
        <v>-0.11601347824256833</v>
      </c>
    </row>
    <row r="34" spans="1:38">
      <c r="U34" s="1"/>
      <c r="X34" s="1">
        <f t="shared" si="55"/>
        <v>42656</v>
      </c>
      <c r="AA34" t="s">
        <v>76</v>
      </c>
      <c r="AB34" s="7">
        <f t="shared" si="50"/>
        <v>1.0580661191146593E-2</v>
      </c>
      <c r="AC34" s="7">
        <f t="shared" ref="AC34:AD34" si="61">AVERAGE(AC22,AC8)</f>
        <v>0</v>
      </c>
      <c r="AD34" s="7">
        <f t="shared" si="61"/>
        <v>0</v>
      </c>
      <c r="AE34">
        <f t="shared" si="52"/>
        <v>-3.2590237814026693E-3</v>
      </c>
      <c r="AF34" s="5">
        <f t="shared" si="57"/>
        <v>3.9180418398478391E-2</v>
      </c>
      <c r="AG34">
        <f t="shared" si="47"/>
        <v>8.0507709037969285E-6</v>
      </c>
      <c r="AH34">
        <f t="shared" si="48"/>
        <v>99.885698234207666</v>
      </c>
      <c r="AI34">
        <v>100</v>
      </c>
      <c r="AJ34">
        <f t="shared" si="53"/>
        <v>6.9361806107126778E-2</v>
      </c>
      <c r="AK34" s="13">
        <f t="shared" si="49"/>
        <v>-1.7392867711473852E-6</v>
      </c>
      <c r="AL34" s="6">
        <f t="shared" si="54"/>
        <v>-0.18691454490995535</v>
      </c>
    </row>
    <row r="35" spans="1:38">
      <c r="A35" t="s">
        <v>53</v>
      </c>
      <c r="B35" t="s">
        <v>54</v>
      </c>
      <c r="T35" t="s">
        <v>41</v>
      </c>
      <c r="U35" s="1">
        <v>42650</v>
      </c>
      <c r="X35" s="1">
        <f t="shared" si="55"/>
        <v>42657</v>
      </c>
      <c r="AA35" t="s">
        <v>77</v>
      </c>
      <c r="AB35" s="7">
        <f t="shared" si="50"/>
        <v>1.6457034097164824E-2</v>
      </c>
      <c r="AC35" s="7">
        <f t="shared" ref="AC35:AD35" si="62">AVERAGE(AC23,AC9)</f>
        <v>0</v>
      </c>
      <c r="AD35" s="7">
        <f t="shared" si="62"/>
        <v>0</v>
      </c>
      <c r="AE35">
        <f t="shared" si="52"/>
        <v>-3.0732454710864814E-2</v>
      </c>
      <c r="AF35" s="5">
        <f t="shared" si="57"/>
        <v>8.4479636876135765E-3</v>
      </c>
      <c r="AG35">
        <f t="shared" si="47"/>
        <v>1.735882949509639E-6</v>
      </c>
      <c r="AH35">
        <f t="shared" si="48"/>
        <v>99.914261421480845</v>
      </c>
      <c r="AI35">
        <v>100</v>
      </c>
      <c r="AJ35">
        <f t="shared" si="53"/>
        <v>4.5210796519432613E-2</v>
      </c>
      <c r="AK35" s="13">
        <f t="shared" si="49"/>
        <v>-2.7052658789859983E-6</v>
      </c>
      <c r="AL35" s="6">
        <f t="shared" si="54"/>
        <v>-0.16168009386649906</v>
      </c>
    </row>
    <row r="36" spans="1:38">
      <c r="A36">
        <v>0.2</v>
      </c>
      <c r="B36">
        <v>0.06</v>
      </c>
      <c r="X36" s="1">
        <f t="shared" si="55"/>
        <v>42658</v>
      </c>
      <c r="AA36" t="s">
        <v>78</v>
      </c>
      <c r="AB36" s="7">
        <f t="shared" si="50"/>
        <v>1.1924396080069639E-2</v>
      </c>
      <c r="AC36" s="7">
        <f t="shared" ref="AC36:AD36" si="63">AVERAGE(AC24,AC10)</f>
        <v>0</v>
      </c>
      <c r="AD36" s="7">
        <f t="shared" si="63"/>
        <v>0</v>
      </c>
      <c r="AE36">
        <f t="shared" si="52"/>
        <v>-1.5849566899242336E-2</v>
      </c>
      <c r="AF36" s="5">
        <f t="shared" si="57"/>
        <v>-7.4016032116287593E-3</v>
      </c>
      <c r="AG36">
        <f t="shared" si="47"/>
        <v>-1.5208773722524848E-6</v>
      </c>
      <c r="AH36">
        <f t="shared" si="48"/>
        <v>99.942832776646711</v>
      </c>
      <c r="AI36">
        <v>100</v>
      </c>
      <c r="AJ36">
        <f t="shared" si="53"/>
        <v>1.2670702043903607E-2</v>
      </c>
      <c r="AK36" s="13">
        <f t="shared" si="49"/>
        <v>-1.9601746980936393E-6</v>
      </c>
      <c r="AL36" s="6">
        <f t="shared" si="54"/>
        <v>-8.568901317380348E-2</v>
      </c>
    </row>
    <row r="37" spans="1:38">
      <c r="A37">
        <v>0.18</v>
      </c>
      <c r="B37">
        <v>0.05</v>
      </c>
      <c r="X37" s="1">
        <f t="shared" si="55"/>
        <v>42659</v>
      </c>
      <c r="AA37" t="s">
        <v>79</v>
      </c>
      <c r="AB37" s="7">
        <f t="shared" si="50"/>
        <v>1.7818287637409759E-2</v>
      </c>
      <c r="AC37" s="7">
        <f>AVERAGE(AC25,AC11)</f>
        <v>0</v>
      </c>
      <c r="AD37" s="7">
        <f t="shared" ref="AD37:AD38" si="64">AVERAGE(AD25,AD11)</f>
        <v>0</v>
      </c>
      <c r="AE37">
        <f t="shared" si="52"/>
        <v>3.206524437135401E-2</v>
      </c>
      <c r="AF37" s="5">
        <f>AE37+AF36</f>
        <v>2.466364115972525E-2</v>
      </c>
      <c r="AG37">
        <f t="shared" si="47"/>
        <v>5.0678714711764206E-6</v>
      </c>
      <c r="AH37">
        <f t="shared" ref="AH37" si="65">100/((1+11%)^(($C$32-A11)/365))</f>
        <v>99.971412302040989</v>
      </c>
      <c r="AI37">
        <v>100</v>
      </c>
      <c r="AJ37">
        <f t="shared" si="53"/>
        <v>6.5437978004414749E-3</v>
      </c>
      <c r="AK37" s="13">
        <f t="shared" si="49"/>
        <v>-2.9290335842317407E-6</v>
      </c>
      <c r="AL37" s="6">
        <f t="shared" si="54"/>
        <v>-3.0611835166301166E-3</v>
      </c>
    </row>
    <row r="38" spans="1:38">
      <c r="A38">
        <v>0.16</v>
      </c>
      <c r="B38">
        <v>0.04</v>
      </c>
      <c r="X38" s="1">
        <f t="shared" si="55"/>
        <v>42660</v>
      </c>
      <c r="AA38" t="s">
        <v>80</v>
      </c>
      <c r="AB38" s="7">
        <f t="shared" si="50"/>
        <v>1.6346494502929913E-2</v>
      </c>
      <c r="AC38" s="7">
        <f>AVERAGE(AC26,AC12)</f>
        <v>0</v>
      </c>
      <c r="AD38" s="7">
        <f t="shared" si="64"/>
        <v>0</v>
      </c>
      <c r="AE38" s="4"/>
      <c r="AF38" s="5">
        <f>AE38+AF37</f>
        <v>2.466364115972525E-2</v>
      </c>
      <c r="AG38" s="13">
        <f t="shared" si="47"/>
        <v>5.0678714711764206E-6</v>
      </c>
      <c r="AH38">
        <f>100/((1+11%)^(($C$32-A12)/365))</f>
        <v>100</v>
      </c>
      <c r="AI38">
        <v>100</v>
      </c>
      <c r="AJ38">
        <f t="shared" si="53"/>
        <v>2.632183007446345E-2</v>
      </c>
      <c r="AK38" s="13"/>
      <c r="AL38" s="12">
        <f>AF37+(SUM(AG28:AG38))+AH38-AI37-AJ38+AK39</f>
        <v>-1.6567544086324279E-3</v>
      </c>
    </row>
    <row r="39" spans="1:38">
      <c r="AF39">
        <f>SUM(AF28:AF38)</f>
        <v>8.7569146994844443E-2</v>
      </c>
      <c r="AG39" s="6">
        <f>SUM(AG28:AG38)</f>
        <v>1.7993660341406395E-5</v>
      </c>
      <c r="AK39" s="13">
        <f>SUM(AK28:AK38)</f>
        <v>-1.6559154238553236E-5</v>
      </c>
    </row>
    <row r="41" spans="1:38">
      <c r="AK41">
        <f>500*500*3*1200/100/3600</f>
        <v>2500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asset- 1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Kumar</dc:creator>
  <cp:lastModifiedBy>KunalKumar</cp:lastModifiedBy>
  <dcterms:created xsi:type="dcterms:W3CDTF">2016-11-04T16:10:27Z</dcterms:created>
  <dcterms:modified xsi:type="dcterms:W3CDTF">2016-12-06T06:32:00Z</dcterms:modified>
</cp:coreProperties>
</file>