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List\consulting\"/>
    </mc:Choice>
  </mc:AlternateContent>
  <bookViews>
    <workbookView xWindow="0" yWindow="0" windowWidth="20484" windowHeight="7752" activeTab="1"/>
  </bookViews>
  <sheets>
    <sheet name="Data" sheetId="5" r:id="rId1"/>
    <sheet name="Time" sheetId="1" r:id="rId2"/>
    <sheet name="Budg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E22" i="1"/>
  <c r="G8" i="1" l="1"/>
  <c r="F8" i="1"/>
  <c r="E8" i="1"/>
  <c r="D8" i="1"/>
  <c r="G26" i="1" l="1"/>
  <c r="F26" i="1"/>
  <c r="E26" i="1"/>
  <c r="D26" i="1"/>
  <c r="G27" i="1"/>
  <c r="F27" i="1"/>
  <c r="E27" i="1"/>
  <c r="D27" i="1"/>
  <c r="G23" i="1"/>
  <c r="F23" i="1"/>
  <c r="E23" i="1"/>
  <c r="D23" i="1"/>
  <c r="G22" i="1"/>
  <c r="G21" i="1"/>
  <c r="F22" i="1"/>
  <c r="F21" i="1"/>
  <c r="E21" i="1"/>
  <c r="D22" i="1"/>
  <c r="D21" i="1"/>
  <c r="E42" i="5"/>
  <c r="E41" i="5"/>
  <c r="E40" i="5"/>
  <c r="G20" i="1"/>
  <c r="F20" i="1"/>
  <c r="E20" i="1"/>
  <c r="D20" i="1"/>
  <c r="C20" i="1"/>
  <c r="C19" i="1"/>
  <c r="C18" i="1"/>
  <c r="C17" i="1"/>
  <c r="D12" i="5" l="1"/>
  <c r="E28" i="1" l="1"/>
  <c r="C29" i="1"/>
  <c r="C28" i="1"/>
  <c r="C27" i="1"/>
  <c r="C25" i="1"/>
  <c r="G28" i="1"/>
  <c r="F28" i="1"/>
  <c r="D28" i="1"/>
  <c r="C7" i="1" l="1"/>
  <c r="C11" i="1"/>
  <c r="C10" i="1"/>
  <c r="C9" i="1"/>
  <c r="C8" i="1"/>
  <c r="C15" i="1"/>
  <c r="C14" i="1"/>
  <c r="C13" i="1"/>
  <c r="D7" i="4"/>
  <c r="D6" i="4"/>
  <c r="D5" i="4"/>
  <c r="D4" i="4"/>
  <c r="D2" i="4"/>
  <c r="C23" i="1"/>
  <c r="C32" i="1" l="1"/>
  <c r="C31" i="1"/>
  <c r="D29" i="1"/>
  <c r="E21" i="4"/>
  <c r="C22" i="1"/>
  <c r="C21" i="1"/>
  <c r="E24" i="4" l="1"/>
  <c r="E30" i="4"/>
  <c r="G10" i="1"/>
  <c r="G34" i="1"/>
  <c r="G33" i="1"/>
  <c r="F34" i="1"/>
  <c r="F33" i="1"/>
  <c r="E34" i="1"/>
  <c r="E33" i="1"/>
  <c r="D34" i="1"/>
  <c r="D33" i="1"/>
  <c r="C34" i="1"/>
  <c r="C33" i="1"/>
  <c r="G29" i="1"/>
  <c r="F29" i="1"/>
  <c r="E29" i="1"/>
  <c r="F21" i="4" l="1"/>
  <c r="E14" i="4"/>
  <c r="F24" i="4" l="1"/>
  <c r="F30" i="4"/>
  <c r="G35" i="5"/>
  <c r="G36" i="5"/>
  <c r="G37" i="5"/>
  <c r="G34" i="5"/>
  <c r="D35" i="5" l="1"/>
  <c r="H35" i="5" s="1"/>
  <c r="E35" i="5"/>
  <c r="I35" i="5" s="1"/>
  <c r="D36" i="5"/>
  <c r="D37" i="5"/>
  <c r="D34" i="5"/>
  <c r="H34" i="5" s="1"/>
  <c r="D32" i="5"/>
  <c r="D31" i="5"/>
  <c r="D30" i="5"/>
  <c r="D29" i="5"/>
  <c r="E37" i="5" l="1"/>
  <c r="I37" i="5" s="1"/>
  <c r="H37" i="5"/>
  <c r="E36" i="5"/>
  <c r="I36" i="5" s="1"/>
  <c r="H36" i="5"/>
  <c r="E34" i="5"/>
  <c r="I34" i="5" s="1"/>
  <c r="E20" i="4"/>
  <c r="F20" i="4"/>
  <c r="G20" i="4"/>
  <c r="H20" i="4"/>
  <c r="E15" i="4"/>
  <c r="F15" i="4"/>
  <c r="G15" i="4"/>
  <c r="H15" i="4"/>
  <c r="C5" i="1" l="1"/>
  <c r="D15" i="4" s="1"/>
  <c r="C4" i="1"/>
  <c r="D20" i="4" s="1"/>
  <c r="J20" i="4" s="1"/>
  <c r="H14" i="4"/>
  <c r="G2" i="1"/>
  <c r="G14" i="4"/>
  <c r="F2" i="1"/>
  <c r="F14" i="4"/>
  <c r="E2" i="1"/>
  <c r="D2" i="1"/>
  <c r="D14" i="4"/>
  <c r="C2" i="1"/>
  <c r="B17" i="4"/>
  <c r="B16" i="4"/>
  <c r="M15" i="1"/>
  <c r="M14" i="1"/>
  <c r="L15" i="1"/>
  <c r="L14" i="1"/>
  <c r="N15" i="1"/>
  <c r="N14" i="1"/>
  <c r="G11" i="1"/>
  <c r="F11" i="1"/>
  <c r="E11" i="1"/>
  <c r="D11" i="1"/>
  <c r="D10" i="1"/>
  <c r="F10" i="1"/>
  <c r="E10" i="1"/>
  <c r="M7" i="1"/>
  <c r="N7" i="1" s="1"/>
  <c r="L7" i="1"/>
  <c r="D16" i="4"/>
  <c r="M5" i="1"/>
  <c r="L5" i="1"/>
  <c r="N5" i="1" l="1"/>
  <c r="J15" i="4"/>
  <c r="J8" i="1"/>
  <c r="J32" i="1"/>
  <c r="J33" i="1"/>
  <c r="J34" i="1"/>
  <c r="J31" i="1"/>
  <c r="J26" i="1"/>
  <c r="J27" i="1"/>
  <c r="J29" i="1"/>
  <c r="J25" i="1"/>
  <c r="J18" i="1"/>
  <c r="J19" i="1"/>
  <c r="J21" i="1"/>
  <c r="J22" i="1"/>
  <c r="J23" i="1"/>
  <c r="J17" i="1"/>
  <c r="J14" i="1"/>
  <c r="J15" i="1"/>
  <c r="J13" i="1"/>
  <c r="J9" i="1"/>
  <c r="J10" i="1"/>
  <c r="J11" i="1"/>
  <c r="J7" i="1"/>
  <c r="J5" i="1"/>
  <c r="J4" i="1"/>
  <c r="G16" i="4"/>
  <c r="H16" i="4"/>
  <c r="G17" i="4"/>
  <c r="H17" i="4"/>
  <c r="G18" i="4"/>
  <c r="H18" i="4"/>
  <c r="G19" i="4"/>
  <c r="H19" i="4"/>
  <c r="G21" i="4"/>
  <c r="H21" i="4"/>
  <c r="G22" i="4"/>
  <c r="H22" i="4"/>
  <c r="F37" i="1"/>
  <c r="G37" i="1"/>
  <c r="H24" i="4" l="1"/>
  <c r="H30" i="4"/>
  <c r="G24" i="4"/>
  <c r="G30" i="4"/>
  <c r="H29" i="4"/>
  <c r="H23" i="4"/>
  <c r="G29" i="4"/>
  <c r="G23" i="4"/>
  <c r="G25" i="4"/>
  <c r="H25" i="4"/>
  <c r="J37" i="1"/>
  <c r="E37" i="1"/>
  <c r="D18" i="4"/>
  <c r="D19" i="4"/>
  <c r="D21" i="4"/>
  <c r="D22" i="4"/>
  <c r="F16" i="4"/>
  <c r="F18" i="4"/>
  <c r="F19" i="4"/>
  <c r="F22" i="4"/>
  <c r="E22" i="4"/>
  <c r="E19" i="4"/>
  <c r="E18" i="4"/>
  <c r="E17" i="4"/>
  <c r="E16" i="4"/>
  <c r="F17" i="4"/>
  <c r="D17" i="4"/>
  <c r="C37" i="1"/>
  <c r="H31" i="4" l="1"/>
  <c r="D29" i="4"/>
  <c r="G31" i="4"/>
  <c r="D30" i="4"/>
  <c r="J30" i="4" s="1"/>
  <c r="D24" i="4"/>
  <c r="J24" i="4" s="1"/>
  <c r="F23" i="4"/>
  <c r="F29" i="4"/>
  <c r="F31" i="4" s="1"/>
  <c r="E23" i="4"/>
  <c r="E29" i="4"/>
  <c r="E31" i="4" s="1"/>
  <c r="D23" i="4"/>
  <c r="J16" i="4"/>
  <c r="J22" i="4"/>
  <c r="E25" i="4"/>
  <c r="J17" i="4"/>
  <c r="F25" i="4"/>
  <c r="J19" i="4"/>
  <c r="J21" i="4"/>
  <c r="J18" i="4"/>
  <c r="D25" i="4"/>
  <c r="E2" i="4"/>
  <c r="E7" i="4"/>
  <c r="E5" i="4"/>
  <c r="E3" i="4"/>
  <c r="F3" i="4" s="1"/>
  <c r="E6" i="4"/>
  <c r="H7" i="4" s="1"/>
  <c r="E4" i="4"/>
  <c r="D31" i="4" l="1"/>
  <c r="J31" i="4" s="1"/>
  <c r="J29" i="4"/>
  <c r="J25" i="4"/>
  <c r="J23" i="4"/>
  <c r="E9" i="4"/>
  <c r="B7" i="4"/>
  <c r="B22" i="4" s="1"/>
  <c r="B6" i="4"/>
  <c r="B21" i="4" s="1"/>
  <c r="B5" i="4"/>
  <c r="B19" i="4" s="1"/>
  <c r="B4" i="4"/>
  <c r="B18" i="4" s="1"/>
  <c r="F4" i="4" l="1"/>
  <c r="D37" i="1"/>
  <c r="F6" i="4" l="1"/>
  <c r="F7" i="4"/>
  <c r="F5" i="4"/>
  <c r="F2" i="4" l="1"/>
  <c r="F9" i="4" s="1"/>
  <c r="H6" i="4"/>
  <c r="F10" i="4" l="1"/>
  <c r="F11" i="4" s="1"/>
</calcChain>
</file>

<file path=xl/sharedStrings.xml><?xml version="1.0" encoding="utf-8"?>
<sst xmlns="http://schemas.openxmlformats.org/spreadsheetml/2006/main" count="183" uniqueCount="150">
  <si>
    <t>Task</t>
  </si>
  <si>
    <t>Days</t>
  </si>
  <si>
    <t>notes</t>
  </si>
  <si>
    <t>TOTAL</t>
  </si>
  <si>
    <t>Development and hosting of a central database</t>
  </si>
  <si>
    <t>Set-up of the structure of the repository</t>
  </si>
  <si>
    <t>Hosting of the database</t>
  </si>
  <si>
    <t>Set-up and management of the users’ profiles and rights</t>
  </si>
  <si>
    <t>Support to users</t>
  </si>
  <si>
    <t>Database maintenance</t>
  </si>
  <si>
    <t>Edit checks programming to control consistency</t>
  </si>
  <si>
    <t>Extra days should be charged depending on the support to perform</t>
  </si>
  <si>
    <t>LIH provide with the usage of the DB for the duration of the project. In case of any service interruption, LIH would fix the situation in the shortest possible time</t>
  </si>
  <si>
    <t>Cost</t>
  </si>
  <si>
    <t>Role</t>
  </si>
  <si>
    <t>Data Manager</t>
  </si>
  <si>
    <t>Value</t>
  </si>
  <si>
    <t>If needed, MedDRA coding of AE and ATC coding of drugs</t>
  </si>
  <si>
    <t>The project will benefit the full infrastructure of the LIH IT network with fully secured and protected file servers with a backup every day.</t>
  </si>
  <si>
    <t>Statistician</t>
  </si>
  <si>
    <t>0.5 days per report, 4 reports</t>
  </si>
  <si>
    <t>Coding with MEDDRA, WHO DD for adverse events (dictionnary used for OFLOTUB) and WHO ATC for medications
(duration and cost depending on the number of terms, 2.3€ per coded term)</t>
  </si>
  <si>
    <t>study database developped in Ennov Clinical with full audit trail</t>
  </si>
  <si>
    <t>As defined by the sites where data entry will take place</t>
  </si>
  <si>
    <t>Data Validation guidelines</t>
  </si>
  <si>
    <t>Cleaning and quality controls</t>
  </si>
  <si>
    <t>data entry mask development</t>
  </si>
  <si>
    <t>Data entry fields characteristics development</t>
  </si>
  <si>
    <t>definition of variable type for each field, label, name and target file name, range or values, formatting</t>
  </si>
  <si>
    <t>review of the CRF and identification of controls to be applied in order to detect inconsistencies between variables</t>
  </si>
  <si>
    <t>programming in the specific module of Ennov Clinical</t>
  </si>
  <si>
    <t>Data entry mask validation</t>
  </si>
  <si>
    <t>Validation of edit checks</t>
  </si>
  <si>
    <t xml:space="preserve">data entry of data planned to produce inconsistencies, execution of the edit checks, determination if all inconsistencies are detected
positive and negative tests are produced by data </t>
  </si>
  <si>
    <t>TOTAL (€)</t>
  </si>
  <si>
    <t>database freeze</t>
  </si>
  <si>
    <t>database audit</t>
  </si>
  <si>
    <t xml:space="preserve">Data management report </t>
  </si>
  <si>
    <t>detailing how data was handled and corrected during data entry and cleaning process (curation process)</t>
  </si>
  <si>
    <t>Statistical Analysis Plan</t>
  </si>
  <si>
    <t>including QA/QC of all data in the report relative to Tables, listings, figures</t>
  </si>
  <si>
    <t>Provide basic quarterly report on database activities (e.g. global and per site data entry status, global and per site cleaning status, etc)</t>
  </si>
  <si>
    <t>Development fo data entry guidelines</t>
  </si>
  <si>
    <t>Statistical analysis and study report</t>
  </si>
  <si>
    <t>Development of eCRF user guide</t>
  </si>
  <si>
    <t>Programming of Primary and Secondary Analyses</t>
  </si>
  <si>
    <t>Development of Statistical Analytical Plan to summarize the methodology by which the data  will be analysed including tables, listings and figures (TLF) shells</t>
  </si>
  <si>
    <t>Generation of tables, listings, figures (TLF) for data analysis</t>
  </si>
  <si>
    <t>Guide to enable the user navigating the web service and using all functions</t>
  </si>
  <si>
    <t>guide to data entry of all pages of the eCRF</t>
  </si>
  <si>
    <t>screen capture of CRF pages, deletion of field mark and positionning of electronic fields, 2 languages are supported</t>
  </si>
  <si>
    <t>Hosting and maintenance of database</t>
  </si>
  <si>
    <t>IT</t>
  </si>
  <si>
    <t>Development of a central database</t>
  </si>
  <si>
    <t>Development of data entry mask</t>
  </si>
  <si>
    <t>Documents finalization</t>
  </si>
  <si>
    <t>Protocole review</t>
  </si>
  <si>
    <t>design of the case report form</t>
  </si>
  <si>
    <t>Review protocole for methodology of the RCT, trial procedures and protocol criteria</t>
  </si>
  <si>
    <t>Specific programming required to select (population of analyses) and put data in a form (flat or longitudinal) such that it will enable statistical models to be run
primary endpoint: PFS at 8months, secondary endpoint: median PFS, safety and tolerability</t>
  </si>
  <si>
    <t>Programming of TLF shells
Modification of TFL during review of data pre-data base freeze and after availability of final TFL if required</t>
  </si>
  <si>
    <t>Statistical study report writing and review</t>
  </si>
  <si>
    <t>Person-Month DM</t>
  </si>
  <si>
    <t>Person-Month Stat</t>
  </si>
  <si>
    <t>DM</t>
  </si>
  <si>
    <t>STAT</t>
  </si>
  <si>
    <t>Storage of data in an oracle database on a dedicated server
Infrastructure for web access to DB (DMZ, Firewall, Web Server)
0.5 day / week</t>
  </si>
  <si>
    <t>10 pages for the baseline visit, 1 page for FU information and 3 pages for transfers of biomarkers, immune cells, microbiome bacteria counts and degrading ability data per FU visit (5 visits)</t>
  </si>
  <si>
    <t>durée (année)</t>
  </si>
  <si>
    <t>Année de début</t>
  </si>
  <si>
    <t>durée de recrutement</t>
  </si>
  <si>
    <t>nombre de pages de CRF à la baseline</t>
  </si>
  <si>
    <t>nombre de pages de CRF de suivi</t>
  </si>
  <si>
    <t>nom de jours de maintenance par semaine</t>
  </si>
  <si>
    <t>CRF</t>
  </si>
  <si>
    <t>DB</t>
  </si>
  <si>
    <t>Etude</t>
  </si>
  <si>
    <t>pages</t>
  </si>
  <si>
    <t>heures</t>
  </si>
  <si>
    <t>1 jour</t>
  </si>
  <si>
    <t>GUIDES</t>
  </si>
  <si>
    <t>CODING</t>
  </si>
  <si>
    <t>TOTAL PM Data Management</t>
  </si>
  <si>
    <t>TOTAL PM Statistics</t>
  </si>
  <si>
    <t>No data entry is performed at CCMS</t>
  </si>
  <si>
    <t>Caution:</t>
  </si>
  <si>
    <t>provide year of start of the study</t>
  </si>
  <si>
    <t>provide duration of the study</t>
  </si>
  <si>
    <t>provide enrolment duration of the study</t>
  </si>
  <si>
    <t>number of pages for selection and characteristics/history of patients at baseline</t>
  </si>
  <si>
    <t>number of pages for follow-up visits</t>
  </si>
  <si>
    <t>maintenance of the database by LIH IT services</t>
  </si>
  <si>
    <t>Electronic questionnaires/case report form user guide writing (YES=1, NO=)</t>
  </si>
  <si>
    <t>data entry guidelines writing (YES=1, NO=)</t>
  </si>
  <si>
    <t xml:space="preserve"> (YES=1, NO=)</t>
  </si>
  <si>
    <t>Protocol</t>
  </si>
  <si>
    <t>review</t>
  </si>
  <si>
    <t>CRF design</t>
  </si>
  <si>
    <t>platform cost of 65€ per hour</t>
  </si>
  <si>
    <t>Data entry of fake data in CRFs and comparison of entered data with CRFs data</t>
  </si>
  <si>
    <t>nombre de variables</t>
  </si>
  <si>
    <t>Protocol review</t>
  </si>
  <si>
    <t>CRF review</t>
  </si>
  <si>
    <t>2020 : 878 EUR / J</t>
  </si>
  <si>
    <t>2021 : 892 EUR / J</t>
  </si>
  <si>
    <t>2022 : 928 EUR / J</t>
  </si>
  <si>
    <t>2023 : 965 EUR / J</t>
  </si>
  <si>
    <t>volet 1</t>
  </si>
  <si>
    <t>volet 2</t>
  </si>
  <si>
    <t>volet 3</t>
  </si>
  <si>
    <t>coût CCMS donné par Nancy (V Bocquet sur base de 1720 heures / an, charges patronales inclues, en appliquant 25% overheads et 15% de marge)</t>
  </si>
  <si>
    <t>25% overheads &amp; 15% marge</t>
  </si>
  <si>
    <t xml:space="preserve">sans marge </t>
  </si>
  <si>
    <t>sans marge ni overheads</t>
  </si>
  <si>
    <t>TARIFS</t>
  </si>
  <si>
    <t>Running of edit checks and management of queries</t>
  </si>
  <si>
    <t>to run a posteriori edit checks on all data and extract queries to correct incoherent data based on source data</t>
  </si>
  <si>
    <t>TOTAL hours</t>
  </si>
  <si>
    <t>coût plateforme en fonction de la nature du client (Romain)</t>
  </si>
  <si>
    <t>Internal price (€/h)</t>
  </si>
  <si>
    <t>Academic price (€/h)</t>
  </si>
  <si>
    <t>Commecrcial price (€/h)</t>
  </si>
  <si>
    <t>Entry Mask</t>
  </si>
  <si>
    <t>Cleaning</t>
  </si>
  <si>
    <t>Lock &amp; Audit</t>
  </si>
  <si>
    <t>Report</t>
  </si>
  <si>
    <t>nb sites</t>
  </si>
  <si>
    <t>provide number of sites</t>
  </si>
  <si>
    <t>Other (guidelines)</t>
  </si>
  <si>
    <t>Type</t>
  </si>
  <si>
    <t>Partenaire</t>
  </si>
  <si>
    <t>1=LIH, 2=academique, 3=commercial</t>
  </si>
  <si>
    <t>Overheads</t>
  </si>
  <si>
    <t>Total + overheads</t>
  </si>
  <si>
    <t>nombre de visites de suivi</t>
  </si>
  <si>
    <t>number of follow-up visits</t>
  </si>
  <si>
    <t>number of data from another source</t>
  </si>
  <si>
    <t>number of variables</t>
  </si>
  <si>
    <t>Nombre de données d'une autre source</t>
  </si>
  <si>
    <t>statistiques classiques</t>
  </si>
  <si>
    <t xml:space="preserve">Machine Learning </t>
  </si>
  <si>
    <t>usual statistics</t>
  </si>
  <si>
    <t>Machine Learning</t>
  </si>
  <si>
    <t>number of sampling times</t>
  </si>
  <si>
    <t>par page</t>
  </si>
  <si>
    <t>TOTAL hours Data Management</t>
  </si>
  <si>
    <t>TOTAL hours Statistics</t>
  </si>
  <si>
    <t>Hours per day</t>
  </si>
  <si>
    <t>23 pages dans draft CRF</t>
  </si>
  <si>
    <t>9 pages dans draft 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</si>
</sst>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3" fontId="0" fillId="0" borderId="0" xfId="0" applyNumberFormat="1"/>
    <xf numFmtId="3" fontId="0" fillId="0" borderId="4" xfId="0" applyNumberFormat="1" applyBorder="1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8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Fill="1" applyBorder="1"/>
    <xf numFmtId="0" fontId="0" fillId="0" borderId="8" xfId="0" applyNumberFormat="1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Fill="1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workbookViewId="0">
      <selection activeCell="D9" sqref="D9"/>
    </sheetView>
  </sheetViews>
  <sheetFormatPr defaultRowHeight="14.4" x14ac:dyDescent="0.3"/>
  <cols>
    <col min="3" max="3" width="36.109375" bestFit="1" customWidth="1"/>
  </cols>
  <sheetData>
    <row r="1" spans="2:17" ht="15" thickBot="1" x14ac:dyDescent="0.35">
      <c r="B1" t="s">
        <v>130</v>
      </c>
      <c r="C1" t="s">
        <v>129</v>
      </c>
      <c r="D1">
        <v>1</v>
      </c>
      <c r="F1" t="s">
        <v>131</v>
      </c>
      <c r="N1" s="40" t="s">
        <v>107</v>
      </c>
      <c r="O1" s="40" t="s">
        <v>108</v>
      </c>
      <c r="P1" s="40" t="s">
        <v>109</v>
      </c>
    </row>
    <row r="2" spans="2:17" x14ac:dyDescent="0.3">
      <c r="B2" s="30" t="s">
        <v>76</v>
      </c>
      <c r="C2" s="28" t="s">
        <v>69</v>
      </c>
      <c r="D2" s="28">
        <v>2024</v>
      </c>
      <c r="E2" s="28"/>
      <c r="F2" s="28" t="s">
        <v>86</v>
      </c>
      <c r="G2" s="28"/>
      <c r="H2" s="28"/>
      <c r="I2" s="28"/>
      <c r="J2" s="28"/>
      <c r="K2" s="28"/>
      <c r="L2" s="28"/>
      <c r="M2" s="28"/>
      <c r="N2" s="41"/>
      <c r="O2" s="41"/>
      <c r="P2" s="41"/>
    </row>
    <row r="3" spans="2:17" x14ac:dyDescent="0.3">
      <c r="B3" s="29"/>
      <c r="C3" s="32" t="s">
        <v>68</v>
      </c>
      <c r="D3" s="32">
        <v>3</v>
      </c>
      <c r="E3" s="32"/>
      <c r="F3" s="32" t="s">
        <v>87</v>
      </c>
      <c r="G3" s="32"/>
      <c r="H3" s="32"/>
      <c r="I3" s="32"/>
      <c r="J3" s="32"/>
      <c r="K3" s="32"/>
      <c r="L3" s="32"/>
      <c r="M3" s="32"/>
      <c r="N3" s="41"/>
      <c r="O3" s="41"/>
      <c r="P3" s="41"/>
    </row>
    <row r="4" spans="2:17" x14ac:dyDescent="0.3">
      <c r="B4" s="29"/>
      <c r="C4" s="32" t="s">
        <v>70</v>
      </c>
      <c r="D4" s="32">
        <v>1</v>
      </c>
      <c r="E4" s="32"/>
      <c r="F4" s="32" t="s">
        <v>88</v>
      </c>
      <c r="G4" s="32"/>
      <c r="H4" s="32"/>
      <c r="I4" s="32"/>
      <c r="J4" s="32"/>
      <c r="K4" s="32"/>
      <c r="L4" s="32"/>
      <c r="M4" s="49"/>
      <c r="N4" s="41"/>
      <c r="O4" s="41"/>
      <c r="P4" s="41"/>
    </row>
    <row r="5" spans="2:17" ht="15" thickBot="1" x14ac:dyDescent="0.35">
      <c r="B5" s="31"/>
      <c r="C5" s="51" t="s">
        <v>126</v>
      </c>
      <c r="D5" s="33">
        <v>3</v>
      </c>
      <c r="E5" s="33"/>
      <c r="F5" s="51" t="s">
        <v>127</v>
      </c>
      <c r="G5" s="33"/>
      <c r="H5" s="33"/>
      <c r="I5" s="33"/>
      <c r="J5" s="33"/>
      <c r="K5" s="33"/>
      <c r="L5" s="33"/>
      <c r="M5" s="50"/>
      <c r="N5" s="41"/>
      <c r="O5" s="41"/>
      <c r="P5" s="41"/>
    </row>
    <row r="6" spans="2:17" x14ac:dyDescent="0.3">
      <c r="B6" s="30" t="s">
        <v>95</v>
      </c>
      <c r="C6" s="28" t="s">
        <v>96</v>
      </c>
      <c r="D6" s="28">
        <v>1</v>
      </c>
      <c r="E6" s="28"/>
      <c r="F6" s="28"/>
      <c r="G6" s="28"/>
      <c r="H6" s="28"/>
      <c r="I6" s="28"/>
      <c r="J6" s="28"/>
      <c r="K6" s="28"/>
      <c r="L6" s="28"/>
      <c r="M6" s="28"/>
      <c r="N6" s="41"/>
      <c r="O6" s="41"/>
      <c r="P6" s="41"/>
    </row>
    <row r="7" spans="2:17" ht="15" thickBot="1" x14ac:dyDescent="0.35">
      <c r="B7" s="31"/>
      <c r="C7" s="33" t="s">
        <v>97</v>
      </c>
      <c r="D7" s="33">
        <v>1</v>
      </c>
      <c r="E7" s="33"/>
      <c r="F7" s="33"/>
      <c r="G7" s="33"/>
      <c r="H7" s="33"/>
      <c r="I7" s="33"/>
      <c r="J7" s="33"/>
      <c r="K7" s="33"/>
      <c r="L7" s="33"/>
      <c r="M7" s="33"/>
      <c r="N7" s="41"/>
      <c r="O7" s="41"/>
      <c r="P7" s="41"/>
    </row>
    <row r="8" spans="2:17" x14ac:dyDescent="0.3">
      <c r="B8" s="30" t="s">
        <v>74</v>
      </c>
      <c r="C8" s="28" t="s">
        <v>71</v>
      </c>
      <c r="D8" s="52">
        <v>10</v>
      </c>
      <c r="E8" s="28"/>
      <c r="F8" s="28" t="s">
        <v>89</v>
      </c>
      <c r="G8" s="28"/>
      <c r="H8" s="28"/>
      <c r="I8" s="28"/>
      <c r="J8" s="28"/>
      <c r="K8" s="28"/>
      <c r="L8" s="28"/>
      <c r="M8" s="28"/>
      <c r="N8" s="41"/>
      <c r="O8" s="41"/>
      <c r="P8" s="41"/>
      <c r="Q8" t="s">
        <v>148</v>
      </c>
    </row>
    <row r="9" spans="2:17" x14ac:dyDescent="0.3">
      <c r="B9" s="29"/>
      <c r="C9" s="32" t="s">
        <v>72</v>
      </c>
      <c r="D9" s="32">
        <v>8</v>
      </c>
      <c r="E9" s="32"/>
      <c r="F9" s="32" t="s">
        <v>90</v>
      </c>
      <c r="G9" s="32"/>
      <c r="H9" s="32"/>
      <c r="I9" s="32"/>
      <c r="J9" s="32"/>
      <c r="K9" s="32"/>
      <c r="L9" s="32"/>
      <c r="M9" s="49"/>
      <c r="N9" s="41"/>
      <c r="O9" s="41"/>
      <c r="P9" s="41"/>
      <c r="Q9" t="s">
        <v>149</v>
      </c>
    </row>
    <row r="10" spans="2:17" ht="15" thickBot="1" x14ac:dyDescent="0.35">
      <c r="B10" s="29"/>
      <c r="C10" s="45" t="s">
        <v>134</v>
      </c>
      <c r="D10" s="45">
        <v>3</v>
      </c>
      <c r="E10" s="32"/>
      <c r="F10" s="45" t="s">
        <v>135</v>
      </c>
      <c r="G10" s="32"/>
      <c r="H10" s="32"/>
      <c r="I10" s="32"/>
      <c r="J10" s="32"/>
      <c r="K10" s="32"/>
      <c r="L10" s="32"/>
      <c r="M10" s="32"/>
      <c r="N10" s="41"/>
      <c r="O10" s="41"/>
      <c r="P10" s="41"/>
    </row>
    <row r="11" spans="2:17" x14ac:dyDescent="0.3">
      <c r="B11" s="30" t="s">
        <v>75</v>
      </c>
      <c r="C11" s="28" t="s">
        <v>73</v>
      </c>
      <c r="D11" s="28">
        <v>0.05</v>
      </c>
      <c r="E11" s="28"/>
      <c r="F11" s="28" t="s">
        <v>91</v>
      </c>
      <c r="G11" s="28"/>
      <c r="H11" s="28"/>
      <c r="I11" s="28"/>
      <c r="J11" s="28"/>
      <c r="K11" s="28"/>
      <c r="L11" s="28"/>
      <c r="M11" s="28"/>
      <c r="N11" s="41"/>
      <c r="O11" s="41"/>
      <c r="P11" s="41"/>
    </row>
    <row r="12" spans="2:17" ht="15" thickBot="1" x14ac:dyDescent="0.35">
      <c r="B12" s="29"/>
      <c r="C12" s="32" t="s">
        <v>100</v>
      </c>
      <c r="D12" s="32">
        <f>(D8+(D9*D10))*H12</f>
        <v>340</v>
      </c>
      <c r="E12" s="32"/>
      <c r="F12" s="45" t="s">
        <v>137</v>
      </c>
      <c r="G12" s="32"/>
      <c r="H12" s="32">
        <v>10</v>
      </c>
      <c r="I12" s="32" t="s">
        <v>144</v>
      </c>
      <c r="J12" s="32"/>
      <c r="K12" s="32"/>
      <c r="L12" s="32"/>
      <c r="M12" s="49"/>
      <c r="N12" s="41"/>
      <c r="O12" s="41"/>
      <c r="P12" s="41"/>
    </row>
    <row r="13" spans="2:17" ht="15" thickBot="1" x14ac:dyDescent="0.35">
      <c r="B13" s="29"/>
      <c r="C13" s="45" t="s">
        <v>138</v>
      </c>
      <c r="D13" s="45">
        <v>80</v>
      </c>
      <c r="E13" s="32"/>
      <c r="F13" s="45" t="s">
        <v>136</v>
      </c>
      <c r="G13" s="32"/>
      <c r="H13" s="32"/>
      <c r="I13" s="32"/>
      <c r="J13" s="34" t="s">
        <v>143</v>
      </c>
      <c r="K13" s="35"/>
      <c r="L13" s="35"/>
      <c r="M13" s="54">
        <v>3</v>
      </c>
      <c r="N13" s="53"/>
      <c r="O13" s="41"/>
      <c r="P13" s="41"/>
    </row>
    <row r="14" spans="2:17" x14ac:dyDescent="0.3">
      <c r="B14" s="30" t="s">
        <v>64</v>
      </c>
      <c r="C14" s="28" t="s">
        <v>122</v>
      </c>
      <c r="D14" s="28">
        <v>1</v>
      </c>
      <c r="E14" s="28"/>
      <c r="F14" s="28" t="s">
        <v>94</v>
      </c>
      <c r="G14" s="28"/>
      <c r="H14" s="28"/>
      <c r="I14" s="28"/>
      <c r="J14" s="28"/>
      <c r="K14" s="28"/>
      <c r="L14" s="28"/>
      <c r="M14" s="48"/>
      <c r="N14" s="41"/>
      <c r="O14" s="41"/>
      <c r="P14" s="41"/>
    </row>
    <row r="15" spans="2:17" x14ac:dyDescent="0.3">
      <c r="B15" s="29"/>
      <c r="C15" s="45" t="s">
        <v>123</v>
      </c>
      <c r="D15" s="45">
        <v>1</v>
      </c>
      <c r="E15" s="32"/>
      <c r="F15" s="32" t="s">
        <v>94</v>
      </c>
      <c r="G15" s="32"/>
      <c r="H15" s="32"/>
      <c r="I15" s="32"/>
      <c r="J15" s="32"/>
      <c r="K15" s="32"/>
      <c r="L15" s="32"/>
      <c r="M15" s="49"/>
      <c r="N15" s="41"/>
      <c r="O15" s="41"/>
      <c r="P15" s="41"/>
    </row>
    <row r="16" spans="2:17" x14ac:dyDescent="0.3">
      <c r="B16" s="29"/>
      <c r="C16" s="32" t="s">
        <v>124</v>
      </c>
      <c r="D16" s="45">
        <v>1</v>
      </c>
      <c r="E16" s="32"/>
      <c r="F16" s="32" t="s">
        <v>94</v>
      </c>
      <c r="G16" s="32"/>
      <c r="H16" s="32"/>
      <c r="I16" s="32"/>
      <c r="J16" s="32"/>
      <c r="K16" s="32"/>
      <c r="L16" s="32"/>
      <c r="M16" s="49"/>
      <c r="N16" s="41"/>
      <c r="O16" s="41"/>
      <c r="P16" s="41"/>
    </row>
    <row r="17" spans="2:16" ht="15" thickBot="1" x14ac:dyDescent="0.35">
      <c r="B17" s="31"/>
      <c r="C17" s="51" t="s">
        <v>125</v>
      </c>
      <c r="D17" s="51">
        <v>0</v>
      </c>
      <c r="E17" s="33"/>
      <c r="F17" s="33" t="s">
        <v>94</v>
      </c>
      <c r="G17" s="33"/>
      <c r="H17" s="33"/>
      <c r="I17" s="33"/>
      <c r="J17" s="33"/>
      <c r="K17" s="33"/>
      <c r="L17" s="33"/>
      <c r="M17" s="50"/>
      <c r="N17" s="41"/>
      <c r="O17" s="41"/>
      <c r="P17" s="41"/>
    </row>
    <row r="18" spans="2:16" x14ac:dyDescent="0.3">
      <c r="B18" s="30" t="s">
        <v>65</v>
      </c>
      <c r="C18" s="28" t="s">
        <v>139</v>
      </c>
      <c r="D18" s="28">
        <v>1</v>
      </c>
      <c r="E18" s="28"/>
      <c r="F18" s="28" t="s">
        <v>141</v>
      </c>
      <c r="G18" s="28"/>
      <c r="H18" s="28"/>
      <c r="I18" s="28"/>
      <c r="J18" s="28"/>
      <c r="K18" s="28"/>
      <c r="L18" s="28"/>
      <c r="M18" s="48"/>
      <c r="N18" s="41"/>
      <c r="O18" s="41"/>
      <c r="P18" s="41"/>
    </row>
    <row r="19" spans="2:16" ht="15" thickBot="1" x14ac:dyDescent="0.35">
      <c r="B19" s="29"/>
      <c r="C19" s="32" t="s">
        <v>140</v>
      </c>
      <c r="D19" s="45">
        <v>0</v>
      </c>
      <c r="E19" s="32"/>
      <c r="F19" s="32" t="s">
        <v>142</v>
      </c>
      <c r="G19" s="32"/>
      <c r="H19" s="32"/>
      <c r="I19" s="32"/>
      <c r="J19" s="32"/>
      <c r="K19" s="32"/>
      <c r="L19" s="32"/>
      <c r="M19" s="32"/>
      <c r="N19" s="41"/>
      <c r="O19" s="41"/>
      <c r="P19" s="41"/>
    </row>
    <row r="20" spans="2:16" x14ac:dyDescent="0.3">
      <c r="B20" s="30" t="s">
        <v>80</v>
      </c>
      <c r="C20" s="36" t="s">
        <v>44</v>
      </c>
      <c r="D20" s="28">
        <v>1</v>
      </c>
      <c r="E20" s="28"/>
      <c r="F20" s="28" t="s">
        <v>92</v>
      </c>
      <c r="G20" s="28"/>
      <c r="H20" s="28"/>
      <c r="I20" s="28"/>
      <c r="J20" s="28"/>
      <c r="K20" s="28"/>
      <c r="L20" s="28"/>
      <c r="M20" s="28"/>
      <c r="N20" s="41"/>
      <c r="O20" s="41"/>
      <c r="P20" s="41"/>
    </row>
    <row r="21" spans="2:16" x14ac:dyDescent="0.3">
      <c r="B21" s="29"/>
      <c r="C21" s="37" t="s">
        <v>42</v>
      </c>
      <c r="D21" s="45">
        <v>1</v>
      </c>
      <c r="E21" s="32"/>
      <c r="F21" s="32" t="s">
        <v>93</v>
      </c>
      <c r="G21" s="32"/>
      <c r="H21" s="32"/>
      <c r="I21" s="32"/>
      <c r="J21" s="32"/>
      <c r="K21" s="32"/>
      <c r="L21" s="32"/>
      <c r="M21" s="32"/>
      <c r="N21" s="41"/>
      <c r="O21" s="41"/>
      <c r="P21" s="41"/>
    </row>
    <row r="22" spans="2:16" ht="58.2" thickBot="1" x14ac:dyDescent="0.35">
      <c r="B22" s="31"/>
      <c r="C22" s="38" t="s">
        <v>41</v>
      </c>
      <c r="D22" s="33">
        <v>0</v>
      </c>
      <c r="E22" s="33"/>
      <c r="F22" s="33" t="s">
        <v>94</v>
      </c>
      <c r="G22" s="33"/>
      <c r="H22" s="33"/>
      <c r="I22" s="33"/>
      <c r="J22" s="33"/>
      <c r="K22" s="33"/>
      <c r="L22" s="33"/>
      <c r="M22" s="33"/>
      <c r="N22" s="41"/>
      <c r="O22" s="41"/>
      <c r="P22" s="41"/>
    </row>
    <row r="23" spans="2:16" ht="29.4" thickBot="1" x14ac:dyDescent="0.35">
      <c r="B23" s="34" t="s">
        <v>81</v>
      </c>
      <c r="C23" s="39" t="s">
        <v>17</v>
      </c>
      <c r="D23" s="35">
        <v>0</v>
      </c>
      <c r="E23" s="35"/>
      <c r="F23" s="35" t="s">
        <v>94</v>
      </c>
      <c r="G23" s="35"/>
      <c r="H23" s="35"/>
      <c r="I23" s="35"/>
      <c r="J23" s="35"/>
      <c r="K23" s="35"/>
      <c r="L23" s="35"/>
      <c r="M23" s="35"/>
      <c r="N23" s="42"/>
      <c r="O23" s="42"/>
      <c r="P23" s="42"/>
    </row>
    <row r="25" spans="2:16" x14ac:dyDescent="0.3">
      <c r="B25" s="23" t="s">
        <v>85</v>
      </c>
      <c r="C25" s="24" t="s">
        <v>84</v>
      </c>
    </row>
    <row r="27" spans="2:16" x14ac:dyDescent="0.3">
      <c r="B27" s="16" t="s">
        <v>114</v>
      </c>
    </row>
    <row r="28" spans="2:16" x14ac:dyDescent="0.3">
      <c r="B28" t="s">
        <v>110</v>
      </c>
    </row>
    <row r="29" spans="2:16" x14ac:dyDescent="0.3">
      <c r="B29" t="s">
        <v>103</v>
      </c>
      <c r="D29">
        <f>878/1.25</f>
        <v>702.4</v>
      </c>
    </row>
    <row r="30" spans="2:16" x14ac:dyDescent="0.3">
      <c r="B30" t="s">
        <v>104</v>
      </c>
      <c r="D30">
        <f>892/1.25</f>
        <v>713.6</v>
      </c>
    </row>
    <row r="31" spans="2:16" x14ac:dyDescent="0.3">
      <c r="B31" t="s">
        <v>105</v>
      </c>
      <c r="D31">
        <f>928/1.25</f>
        <v>742.4</v>
      </c>
    </row>
    <row r="32" spans="2:16" x14ac:dyDescent="0.3">
      <c r="B32" t="s">
        <v>106</v>
      </c>
      <c r="D32">
        <f>965/1.25</f>
        <v>772</v>
      </c>
    </row>
    <row r="33" spans="2:9" x14ac:dyDescent="0.3">
      <c r="C33" t="s">
        <v>111</v>
      </c>
      <c r="D33" t="s">
        <v>112</v>
      </c>
      <c r="E33" t="s">
        <v>113</v>
      </c>
    </row>
    <row r="34" spans="2:9" x14ac:dyDescent="0.3">
      <c r="B34">
        <v>2020</v>
      </c>
      <c r="C34">
        <v>878</v>
      </c>
      <c r="D34" s="43">
        <f>C34/1.15</f>
        <v>763.47826086956525</v>
      </c>
      <c r="E34" s="43">
        <f>D34/1.25</f>
        <v>610.78260869565224</v>
      </c>
      <c r="G34" s="44">
        <f>C34/8</f>
        <v>109.75</v>
      </c>
      <c r="H34" s="44">
        <f t="shared" ref="H34:I34" si="0">D34/8</f>
        <v>95.434782608695656</v>
      </c>
      <c r="I34" s="44">
        <f t="shared" si="0"/>
        <v>76.34782608695653</v>
      </c>
    </row>
    <row r="35" spans="2:9" x14ac:dyDescent="0.3">
      <c r="B35">
        <v>2021</v>
      </c>
      <c r="C35">
        <v>892</v>
      </c>
      <c r="D35" s="43">
        <f t="shared" ref="D35:D37" si="1">C35/1.15</f>
        <v>775.6521739130435</v>
      </c>
      <c r="E35" s="43">
        <f t="shared" ref="E35:E37" si="2">D35/1.25</f>
        <v>620.52173913043475</v>
      </c>
      <c r="G35" s="44">
        <f t="shared" ref="G35:G37" si="3">C35/8</f>
        <v>111.5</v>
      </c>
      <c r="H35" s="44">
        <f t="shared" ref="H35:H37" si="4">D35/8</f>
        <v>96.956521739130437</v>
      </c>
      <c r="I35" s="44">
        <f t="shared" ref="I35:I37" si="5">E35/8</f>
        <v>77.565217391304344</v>
      </c>
    </row>
    <row r="36" spans="2:9" x14ac:dyDescent="0.3">
      <c r="B36">
        <v>2022</v>
      </c>
      <c r="C36">
        <v>928</v>
      </c>
      <c r="D36" s="43">
        <f t="shared" si="1"/>
        <v>806.95652173913049</v>
      </c>
      <c r="E36" s="43">
        <f t="shared" si="2"/>
        <v>645.56521739130437</v>
      </c>
      <c r="G36" s="44">
        <f t="shared" si="3"/>
        <v>116</v>
      </c>
      <c r="H36" s="44">
        <f t="shared" si="4"/>
        <v>100.86956521739131</v>
      </c>
      <c r="I36" s="44">
        <f t="shared" si="5"/>
        <v>80.695652173913047</v>
      </c>
    </row>
    <row r="37" spans="2:9" x14ac:dyDescent="0.3">
      <c r="B37">
        <v>2023</v>
      </c>
      <c r="C37">
        <v>965</v>
      </c>
      <c r="D37" s="43">
        <f t="shared" si="1"/>
        <v>839.13043478260875</v>
      </c>
      <c r="E37" s="43">
        <f t="shared" si="2"/>
        <v>671.304347826087</v>
      </c>
      <c r="G37" s="44">
        <f t="shared" si="3"/>
        <v>120.625</v>
      </c>
      <c r="H37" s="44">
        <f t="shared" si="4"/>
        <v>104.89130434782609</v>
      </c>
      <c r="I37" s="44">
        <f t="shared" si="5"/>
        <v>83.913043478260875</v>
      </c>
    </row>
    <row r="39" spans="2:9" x14ac:dyDescent="0.3">
      <c r="B39" t="s">
        <v>118</v>
      </c>
    </row>
    <row r="40" spans="2:9" x14ac:dyDescent="0.3">
      <c r="B40" t="s">
        <v>119</v>
      </c>
      <c r="D40">
        <v>65</v>
      </c>
      <c r="E40">
        <f>D40</f>
        <v>65</v>
      </c>
    </row>
    <row r="41" spans="2:9" x14ac:dyDescent="0.3">
      <c r="B41" t="s">
        <v>120</v>
      </c>
      <c r="D41">
        <v>150</v>
      </c>
      <c r="E41">
        <f>D40*2.308</f>
        <v>150.01999999999998</v>
      </c>
    </row>
    <row r="42" spans="2:9" x14ac:dyDescent="0.3">
      <c r="B42" t="s">
        <v>121</v>
      </c>
      <c r="D42">
        <v>175</v>
      </c>
      <c r="E42">
        <f>D40*2.308*1.167</f>
        <v>175.07333999999997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2"/>
  <sheetViews>
    <sheetView tabSelected="1" zoomScale="80" zoomScaleNormal="80" workbookViewId="0">
      <selection activeCell="B26" sqref="B26"/>
    </sheetView>
  </sheetViews>
  <sheetFormatPr defaultRowHeight="14.4" x14ac:dyDescent="0.3"/>
  <cols>
    <col min="2" max="2" width="50.109375" style="1" customWidth="1"/>
    <col min="4" max="7" width="9" customWidth="1"/>
    <col min="8" max="8" width="73.88671875" customWidth="1"/>
  </cols>
  <sheetData>
    <row r="2" spans="2:14" x14ac:dyDescent="0.3">
      <c r="B2" s="13" t="s">
        <v>0</v>
      </c>
      <c r="C2" s="14">
        <f>Data!D2</f>
        <v>2024</v>
      </c>
      <c r="D2" s="14">
        <f>IF(Data!D3&gt;1,Data!D2+1,)</f>
        <v>2025</v>
      </c>
      <c r="E2" s="13">
        <f>IF(Data!D3&gt;2,Data!D2+2,)</f>
        <v>2026</v>
      </c>
      <c r="F2" s="13">
        <f>IF(Data!D3&gt;3,Data!D2+3,)</f>
        <v>0</v>
      </c>
      <c r="G2" s="13">
        <f>IF(Data!D3&gt;4,Data!D2+4,)</f>
        <v>0</v>
      </c>
      <c r="H2" s="13" t="s">
        <v>2</v>
      </c>
      <c r="L2" t="s">
        <v>79</v>
      </c>
      <c r="M2" t="s">
        <v>78</v>
      </c>
      <c r="N2" t="s">
        <v>77</v>
      </c>
    </row>
    <row r="3" spans="2:14" x14ac:dyDescent="0.3">
      <c r="B3" s="18" t="s">
        <v>55</v>
      </c>
      <c r="C3" s="22"/>
      <c r="D3" s="22"/>
      <c r="E3" s="22"/>
      <c r="F3" s="22"/>
      <c r="G3" s="22"/>
      <c r="H3" s="22"/>
    </row>
    <row r="4" spans="2:14" x14ac:dyDescent="0.3">
      <c r="B4" t="s">
        <v>56</v>
      </c>
      <c r="C4">
        <f>IF(Data!D6=1,5,)</f>
        <v>5</v>
      </c>
      <c r="H4" t="s">
        <v>58</v>
      </c>
      <c r="J4">
        <f>SUM(C4:G4)</f>
        <v>5</v>
      </c>
    </row>
    <row r="5" spans="2:14" ht="43.2" x14ac:dyDescent="0.3">
      <c r="B5" t="s">
        <v>57</v>
      </c>
      <c r="C5">
        <f>IF(Data!D7=1,(Data!D8+Data!D9)*0.35,)</f>
        <v>6.3</v>
      </c>
      <c r="H5" s="1" t="s">
        <v>67</v>
      </c>
      <c r="J5">
        <f>SUM(C5:G5)</f>
        <v>6.3</v>
      </c>
      <c r="L5">
        <f>8*0.35</f>
        <v>2.8</v>
      </c>
      <c r="M5">
        <f>4.9*8</f>
        <v>39.200000000000003</v>
      </c>
      <c r="N5">
        <f>M5/L5</f>
        <v>14.000000000000002</v>
      </c>
    </row>
    <row r="6" spans="2:14" x14ac:dyDescent="0.3">
      <c r="B6" s="18" t="s">
        <v>4</v>
      </c>
      <c r="C6" s="17"/>
      <c r="D6" s="17"/>
      <c r="E6" s="17"/>
      <c r="F6" s="17"/>
      <c r="G6" s="17"/>
      <c r="H6" s="17"/>
    </row>
    <row r="7" spans="2:14" ht="15" customHeight="1" x14ac:dyDescent="0.3">
      <c r="B7" s="2" t="s">
        <v>5</v>
      </c>
      <c r="C7">
        <f>IF(Data!D11&gt;0,(Data!D8+Data!D9)*0.15,)</f>
        <v>2.6999999999999997</v>
      </c>
      <c r="H7" s="1" t="s">
        <v>22</v>
      </c>
      <c r="J7">
        <f>SUM(C7:G7)</f>
        <v>2.6999999999999997</v>
      </c>
      <c r="L7">
        <f>8*0.15</f>
        <v>1.2</v>
      </c>
      <c r="M7">
        <f>2.1*8</f>
        <v>16.8</v>
      </c>
      <c r="N7">
        <f>M7/L7</f>
        <v>14.000000000000002</v>
      </c>
    </row>
    <row r="8" spans="2:14" ht="43.2" x14ac:dyDescent="0.3">
      <c r="B8" s="2" t="s">
        <v>6</v>
      </c>
      <c r="C8">
        <f>IF(Data!D11&gt;0,52*Data!D11,)</f>
        <v>2.6</v>
      </c>
      <c r="D8">
        <f>IF(Data!D3&gt;1,52*Data!D11,)</f>
        <v>2.6</v>
      </c>
      <c r="E8">
        <f>IF(Data!D3&gt;2,52*Data!D11,)</f>
        <v>2.6</v>
      </c>
      <c r="F8">
        <f>IF(Data!D3&gt;3,52*Data!D11,)</f>
        <v>0</v>
      </c>
      <c r="G8">
        <f>IF(Data!D3&gt;4,52*Data!D11,)</f>
        <v>0</v>
      </c>
      <c r="H8" s="1" t="s">
        <v>66</v>
      </c>
      <c r="J8">
        <f>SUM(C8:G8)</f>
        <v>7.8000000000000007</v>
      </c>
    </row>
    <row r="9" spans="2:14" x14ac:dyDescent="0.3">
      <c r="B9" s="2" t="s">
        <v>7</v>
      </c>
      <c r="C9">
        <f>IF(Data!D11&gt;0,1,)</f>
        <v>1</v>
      </c>
      <c r="H9" s="1" t="s">
        <v>23</v>
      </c>
      <c r="J9">
        <f t="shared" ref="J9:J11" si="0">SUM(C9:G9)</f>
        <v>1</v>
      </c>
    </row>
    <row r="10" spans="2:14" x14ac:dyDescent="0.3">
      <c r="B10" s="2" t="s">
        <v>8</v>
      </c>
      <c r="C10">
        <f>IF(Data!D11&gt;0,1,)</f>
        <v>1</v>
      </c>
      <c r="D10">
        <f>IF(Data!D3&gt;1,1,)</f>
        <v>1</v>
      </c>
      <c r="E10">
        <f>IF(Data!D3&gt;2,1,)</f>
        <v>1</v>
      </c>
      <c r="F10">
        <f>IF(Data!D3&gt;3,1,)</f>
        <v>0</v>
      </c>
      <c r="G10">
        <f>IF(Data!D3&gt;4,1,)</f>
        <v>0</v>
      </c>
      <c r="H10" s="8" t="s">
        <v>11</v>
      </c>
      <c r="J10">
        <f t="shared" si="0"/>
        <v>3</v>
      </c>
    </row>
    <row r="11" spans="2:14" ht="28.8" x14ac:dyDescent="0.3">
      <c r="B11" s="2" t="s">
        <v>9</v>
      </c>
      <c r="C11">
        <f>IF(Data!D11&gt;0,1,)</f>
        <v>1</v>
      </c>
      <c r="D11">
        <f>IF(Data!D3&gt;1,1,)</f>
        <v>1</v>
      </c>
      <c r="E11">
        <f>IF(Data!D3&gt;2,1,)</f>
        <v>1</v>
      </c>
      <c r="F11">
        <f>IF(Data!D3&gt;3,1,)</f>
        <v>0</v>
      </c>
      <c r="G11">
        <f>IF(Data!D3&gt;4,1,)</f>
        <v>0</v>
      </c>
      <c r="H11" s="8" t="s">
        <v>12</v>
      </c>
      <c r="J11">
        <f t="shared" si="0"/>
        <v>3</v>
      </c>
    </row>
    <row r="12" spans="2:14" x14ac:dyDescent="0.3">
      <c r="B12" s="20" t="s">
        <v>54</v>
      </c>
      <c r="C12" s="17"/>
      <c r="D12" s="17"/>
      <c r="E12" s="17"/>
      <c r="F12" s="17"/>
      <c r="G12" s="17"/>
      <c r="H12" s="19"/>
    </row>
    <row r="13" spans="2:14" ht="28.8" x14ac:dyDescent="0.3">
      <c r="B13" s="2" t="s">
        <v>26</v>
      </c>
      <c r="C13">
        <f>IF(Data!D14=1,(Data!D8+Data!D9)*0.35,)</f>
        <v>6.3</v>
      </c>
      <c r="H13" s="12" t="s">
        <v>50</v>
      </c>
      <c r="J13">
        <f>SUM(C13:G13)</f>
        <v>6.3</v>
      </c>
    </row>
    <row r="14" spans="2:14" ht="28.8" x14ac:dyDescent="0.3">
      <c r="B14" s="2" t="s">
        <v>27</v>
      </c>
      <c r="C14">
        <f>IF(Data!D14=1,(Data!D8+Data!D9)*0.25,)</f>
        <v>4.5</v>
      </c>
      <c r="H14" s="12" t="s">
        <v>28</v>
      </c>
      <c r="J14">
        <f t="shared" ref="J14:J15" si="1">SUM(C14:G14)</f>
        <v>4.5</v>
      </c>
      <c r="L14">
        <f>8*0.25</f>
        <v>2</v>
      </c>
      <c r="M14">
        <f>3.5*8</f>
        <v>28</v>
      </c>
      <c r="N14">
        <f>M14/L14</f>
        <v>14</v>
      </c>
    </row>
    <row r="15" spans="2:14" x14ac:dyDescent="0.3">
      <c r="B15" s="2" t="s">
        <v>31</v>
      </c>
      <c r="C15">
        <f>IF(Data!D14=1,(Data!D8+Data!D9)*0.1,)</f>
        <v>1.8</v>
      </c>
      <c r="H15" s="12" t="s">
        <v>99</v>
      </c>
      <c r="J15">
        <f t="shared" si="1"/>
        <v>1.8</v>
      </c>
      <c r="L15">
        <f>8*0.2</f>
        <v>1.6</v>
      </c>
      <c r="M15">
        <f>2.8*8</f>
        <v>22.4</v>
      </c>
      <c r="N15">
        <f>M15/L15</f>
        <v>13.999999999999998</v>
      </c>
    </row>
    <row r="16" spans="2:14" x14ac:dyDescent="0.3">
      <c r="B16" s="18" t="s">
        <v>25</v>
      </c>
      <c r="C16" s="17"/>
      <c r="D16" s="17"/>
      <c r="E16" s="17"/>
      <c r="F16" s="17"/>
      <c r="G16" s="17"/>
      <c r="H16" s="17"/>
    </row>
    <row r="17" spans="2:10" ht="28.8" x14ac:dyDescent="0.3">
      <c r="B17" s="2" t="s">
        <v>24</v>
      </c>
      <c r="C17">
        <f>IF(Data!D16=1,(Data!D8+Data!D9)*0.35,)</f>
        <v>6.3</v>
      </c>
      <c r="H17" s="1" t="s">
        <v>29</v>
      </c>
      <c r="J17">
        <f>SUM(C17:G17)</f>
        <v>6.3</v>
      </c>
    </row>
    <row r="18" spans="2:10" x14ac:dyDescent="0.3">
      <c r="B18" s="2" t="s">
        <v>10</v>
      </c>
      <c r="C18">
        <f>IF(Data!D16=1,(Data!D8+Data!D9)*0.7,)</f>
        <v>12.6</v>
      </c>
      <c r="H18" s="1" t="s">
        <v>30</v>
      </c>
      <c r="J18">
        <f t="shared" ref="J18:J23" si="2">SUM(C18:G18)</f>
        <v>12.6</v>
      </c>
    </row>
    <row r="19" spans="2:10" ht="43.2" x14ac:dyDescent="0.3">
      <c r="B19" s="2" t="s">
        <v>32</v>
      </c>
      <c r="C19">
        <f>IF(Data!D16=1,(Data!D8+Data!D9)*0.2,)</f>
        <v>3.6</v>
      </c>
      <c r="H19" s="1" t="s">
        <v>33</v>
      </c>
      <c r="J19">
        <f t="shared" si="2"/>
        <v>3.6</v>
      </c>
    </row>
    <row r="20" spans="2:10" ht="28.8" x14ac:dyDescent="0.3">
      <c r="B20" s="2" t="s">
        <v>115</v>
      </c>
      <c r="C20">
        <f>IF(Data!D16=1,IF(Data!D3&gt;0.9,(Data!D8+Data!D9)*0.2,),)</f>
        <v>3.6</v>
      </c>
      <c r="D20">
        <f>IF(Data!D16=1,IF(Data!D3&gt;1.9,(Data!D8+Data!D9)*0.2,),)</f>
        <v>3.6</v>
      </c>
      <c r="E20">
        <f>IF(Data!D3&gt;2.9,(Data!D8+Data!D9)*0.2,)</f>
        <v>3.6</v>
      </c>
      <c r="F20">
        <f>IF(Data!D3&gt;3.9,(Data!D8+Data!D9)*0.2,)</f>
        <v>0</v>
      </c>
      <c r="G20">
        <f>IF(Data!D3&gt;4.9,(Data!D8+Data!D9)*0.2,)</f>
        <v>0</v>
      </c>
      <c r="H20" s="1" t="s">
        <v>116</v>
      </c>
    </row>
    <row r="21" spans="2:10" x14ac:dyDescent="0.3">
      <c r="B21" s="2" t="s">
        <v>35</v>
      </c>
      <c r="C21">
        <f>IF(Data!D17=1,IF(Data!D3&gt;1,0,1),)</f>
        <v>0</v>
      </c>
      <c r="D21">
        <f>IF(Data!D17=1,IF(Data!D3&lt;2.1,1,0),)</f>
        <v>0</v>
      </c>
      <c r="E21">
        <f>IF(2&lt;Data!D3,IF(Data!D3&lt;3.1,1,0),)</f>
        <v>1</v>
      </c>
      <c r="F21">
        <f>IF(3&lt;Data!D3,IF(Data!D3&lt;4.1,1,0),)</f>
        <v>0</v>
      </c>
      <c r="G21">
        <f>IF(4&lt;Data!D3,IF(Data!D3&lt;5.1,1,0),)</f>
        <v>0</v>
      </c>
      <c r="H21" s="1"/>
      <c r="J21">
        <f t="shared" si="2"/>
        <v>1</v>
      </c>
    </row>
    <row r="22" spans="2:10" x14ac:dyDescent="0.3">
      <c r="B22" s="2" t="s">
        <v>36</v>
      </c>
      <c r="C22">
        <f>IF(Data!D17=1,IF(Data!D3&gt;1,0,1),)</f>
        <v>0</v>
      </c>
      <c r="D22">
        <f>IF(Data!D17=1,IF(Data!D3&lt;2,1,0),)</f>
        <v>0</v>
      </c>
      <c r="E22">
        <f>IF(2&lt;Data!D3,IF(Data!D3&lt;3.1,1,0),)</f>
        <v>1</v>
      </c>
      <c r="F22">
        <f>IF(3&lt;Data!D3,IF(Data!D3&lt;4.1,1,0),)</f>
        <v>0</v>
      </c>
      <c r="G22">
        <f>IF(4&lt;Data!D3,IF(Data!D3&lt;5.1,1,0),)</f>
        <v>0</v>
      </c>
      <c r="J22">
        <f t="shared" si="2"/>
        <v>1</v>
      </c>
    </row>
    <row r="23" spans="2:10" ht="28.8" x14ac:dyDescent="0.3">
      <c r="B23" s="2" t="s">
        <v>37</v>
      </c>
      <c r="C23">
        <f>IF(Data!D17=1,IF(Data!D3&gt;1,0,1),)</f>
        <v>0</v>
      </c>
      <c r="D23">
        <f>IF(Data!D17=1,IF(Data!D3&lt;2,1,0),)</f>
        <v>0</v>
      </c>
      <c r="E23">
        <f>IF(Data!D17=1,IF(Data!D3&lt;3.1,1,0),)</f>
        <v>0</v>
      </c>
      <c r="F23">
        <f>IF(Data!D17=1,IF(Data!D3&lt;4.1,1,0),)</f>
        <v>0</v>
      </c>
      <c r="G23">
        <f>IF(Data!D17=1,IF(Data!D3&lt;5.1,1,0),)</f>
        <v>0</v>
      </c>
      <c r="H23" s="1" t="s">
        <v>38</v>
      </c>
      <c r="J23">
        <f t="shared" si="2"/>
        <v>0</v>
      </c>
    </row>
    <row r="24" spans="2:10" x14ac:dyDescent="0.3">
      <c r="B24" s="21" t="s">
        <v>43</v>
      </c>
      <c r="C24" s="17"/>
      <c r="D24" s="17"/>
      <c r="E24" s="17"/>
      <c r="F24" s="17"/>
      <c r="G24" s="17"/>
      <c r="H24" s="17"/>
    </row>
    <row r="25" spans="2:10" ht="46.5" customHeight="1" x14ac:dyDescent="0.3">
      <c r="B25" s="2" t="s">
        <v>39</v>
      </c>
      <c r="C25">
        <f>IF(Data!D18=1,(Data!D8+Data!D9*Data!D10)*0.3,)</f>
        <v>10.199999999999999</v>
      </c>
      <c r="H25" s="1" t="s">
        <v>46</v>
      </c>
      <c r="J25">
        <f>SUM(C25:G25)</f>
        <v>10.199999999999999</v>
      </c>
    </row>
    <row r="26" spans="2:10" ht="44.4" customHeight="1" x14ac:dyDescent="0.3">
      <c r="B26" s="2" t="s">
        <v>45</v>
      </c>
      <c r="C26">
        <f>IF(Data!D18=1,(Data!D8+Data!D9*Data!D10)*0.4,)</f>
        <v>13.600000000000001</v>
      </c>
      <c r="D26">
        <f>IF(Data!D18=1,IF(1&lt;Data!D3,IF(Data!D3&lt;2.1,(Data!D8+Data!D9)*0.2,),),)</f>
        <v>0</v>
      </c>
      <c r="E26">
        <f>IF(Data!D18=1,IF(2&lt;Data!D3,IF(Data!D3&lt;3.1,(Data!D8+Data!D9)*0.2,),),)</f>
        <v>3.6</v>
      </c>
      <c r="F26">
        <f>IF(Data!D18=1,IF(3&lt;Data!D3,IF(Data!D3&lt;4.1,(Data!D8+Data!D9)*0.2,),),)</f>
        <v>0</v>
      </c>
      <c r="G26">
        <f>IF(Data!D18=1,IF(4&lt;Data!D3,IF(Data!D3&lt;5.1,(Data!D8+Data!D9)*0.2,),),)</f>
        <v>0</v>
      </c>
      <c r="H26" s="1" t="s">
        <v>59</v>
      </c>
      <c r="J26">
        <f t="shared" ref="J26:J29" si="3">SUM(C26:G26)</f>
        <v>17.200000000000003</v>
      </c>
    </row>
    <row r="27" spans="2:10" ht="43.2" x14ac:dyDescent="0.3">
      <c r="B27" s="2" t="s">
        <v>47</v>
      </c>
      <c r="C27" s="16">
        <f>IF(Data!D18=1,IF(Data!D3=1,(Data!D8+Data!D9*Data!D10),(Data!D8+Data!D9*Data!D10)*0.55),)</f>
        <v>18.700000000000003</v>
      </c>
      <c r="D27">
        <f>IF(Data!D18=1,IF(1&lt;Data!D3,IF(Data!D3&lt;2.1,(Data!D8+Data!D9)*0.25,),),)</f>
        <v>0</v>
      </c>
      <c r="E27">
        <f>IF(Data!D18=1,IF(2&lt;Data!D3,IF(Data!D3&lt;3.1,(Data!D8+Data!D9)*0.35,),),)</f>
        <v>6.3</v>
      </c>
      <c r="F27">
        <f>IF(Data!D18=1,IF(3&lt;Data!D3,IF(Data!D3&lt;4.1,(Data!D8+Data!D9)*0.35,),),)</f>
        <v>0</v>
      </c>
      <c r="G27">
        <f>IF(Data!D18=1,IF(4&lt;Data!D3,IF(Data!D3&lt;5.1,(Data!D8+Data!D9)*0.35,),),)</f>
        <v>0</v>
      </c>
      <c r="H27" s="1" t="s">
        <v>60</v>
      </c>
      <c r="J27">
        <f t="shared" si="3"/>
        <v>25.000000000000004</v>
      </c>
    </row>
    <row r="28" spans="2:10" x14ac:dyDescent="0.3">
      <c r="B28" s="2" t="s">
        <v>142</v>
      </c>
      <c r="C28">
        <f>IF(Data!D19=1,IF(Data!D3=1,(Data!D8+Data!D9*Data!D10)*0.35,),)</f>
        <v>0</v>
      </c>
      <c r="D28">
        <f>IF(Data!D19=1,IF(1&lt;Data!D3,IF(Data!D3&lt;2.1,(Data!D7+Data!D8)*0.35,),),)</f>
        <v>0</v>
      </c>
      <c r="E28">
        <f>IF(Data!D19=1,IF(2&lt;Data!D3,IF(Data!D3&lt;3.1,(Data!D13*Data!M13)*0.02,),),)</f>
        <v>0</v>
      </c>
      <c r="F28">
        <f>IF(Data!D19=1,IF(3&lt;Data!D3,IF(Data!D3&lt;4.1,(Data!D7+Data!D8)*0.35,),),)</f>
        <v>0</v>
      </c>
      <c r="G28">
        <f>IF(Data!D19=1,IF(4&lt;Data!D3,IF(Data!D3&lt;5.1,(Data!D7+Data!D8)*0.35,),),)</f>
        <v>0</v>
      </c>
      <c r="H28" s="1"/>
    </row>
    <row r="29" spans="2:10" x14ac:dyDescent="0.3">
      <c r="B29" s="2" t="s">
        <v>61</v>
      </c>
      <c r="C29">
        <f>IF(Data!D18=1,IF(Data!D3=1,(Data!D8+Data!D9*Data!D10)*0.35,),)</f>
        <v>0</v>
      </c>
      <c r="D29">
        <f>IF(Data!D18=1,IF(1&lt;Data!D3,IF(Data!D3&lt;2.1,(Data!D8+Data!D9)*0.35,),),)</f>
        <v>0</v>
      </c>
      <c r="E29">
        <f>IF(Data!D18=1,IF(2&lt;Data!D3,IF(Data!D3&lt;3.1,(Data!D8+Data!D9)*0.35,),),)</f>
        <v>6.3</v>
      </c>
      <c r="F29">
        <f>IF(Data!D18=1,IF(3&lt;Data!D3,IF(Data!D3&lt;4.1,(Data!D8+Data!D9)*0.35,),),)</f>
        <v>0</v>
      </c>
      <c r="G29">
        <f>IF(Data!D18=1,IF(4&lt;Data!D3,IF(Data!D3&lt;5.1,(Data!D8+Data!D9)*0.35,),),)</f>
        <v>0</v>
      </c>
      <c r="H29" t="s">
        <v>40</v>
      </c>
      <c r="J29">
        <f t="shared" si="3"/>
        <v>6.3</v>
      </c>
    </row>
    <row r="30" spans="2:10" x14ac:dyDescent="0.3">
      <c r="B30" s="18" t="s">
        <v>128</v>
      </c>
      <c r="C30" s="17"/>
      <c r="D30" s="17"/>
      <c r="E30" s="17"/>
      <c r="F30" s="17"/>
      <c r="G30" s="17"/>
      <c r="H30" s="17"/>
    </row>
    <row r="31" spans="2:10" x14ac:dyDescent="0.3">
      <c r="B31" s="2" t="s">
        <v>44</v>
      </c>
      <c r="C31">
        <f>IF(Data!D20=1,(Data!D8+Data!D9)*0.1,)</f>
        <v>1.8</v>
      </c>
      <c r="H31" s="1" t="s">
        <v>48</v>
      </c>
      <c r="J31">
        <f>SUM(C31:G31)</f>
        <v>1.8</v>
      </c>
    </row>
    <row r="32" spans="2:10" x14ac:dyDescent="0.3">
      <c r="B32" s="2" t="s">
        <v>42</v>
      </c>
      <c r="C32">
        <f>IF(Data!D21=1,(Data!D8+Data!D9)*0.1,)</f>
        <v>1.8</v>
      </c>
      <c r="H32" s="1" t="s">
        <v>49</v>
      </c>
      <c r="J32">
        <f t="shared" ref="J32:J34" si="4">SUM(C32:G32)</f>
        <v>1.8</v>
      </c>
    </row>
    <row r="33" spans="2:10" ht="43.2" x14ac:dyDescent="0.3">
      <c r="B33" s="2" t="s">
        <v>41</v>
      </c>
      <c r="C33">
        <f>IF(Data!D22=1,IF(Data!D3=1,(Data!D8+Data!D9)*0.2,(Data!D8+Data!D9)*0.2),)</f>
        <v>0</v>
      </c>
      <c r="D33">
        <f>IF(Data!D22=1,IF(Data!D3&gt;1.9,(Data!D8+Data!D9)*0.1,),)</f>
        <v>0</v>
      </c>
      <c r="E33">
        <f>IF(Data!D22=1,IF(Data!D3&gt;2.9,(Data!D8+Data!D9)*0.1,),)</f>
        <v>0</v>
      </c>
      <c r="F33">
        <f>IF(Data!D22=1,IF(Data!D3&gt;3.9,(Data!D8+Data!D9)*0.1,),)</f>
        <v>0</v>
      </c>
      <c r="G33">
        <f>IF(Data!D22=1,IF(Data!D3&gt;4.9,(Data!D8+Data!D9)*0.2,),)</f>
        <v>0</v>
      </c>
      <c r="H33" t="s">
        <v>20</v>
      </c>
      <c r="J33">
        <f t="shared" si="4"/>
        <v>0</v>
      </c>
    </row>
    <row r="34" spans="2:10" ht="43.2" x14ac:dyDescent="0.3">
      <c r="B34" s="2" t="s">
        <v>17</v>
      </c>
      <c r="C34">
        <f>IF(Data!D22=1,IF(Data!D3=1,(Data!D8+Data!D9)*0.35,(Data!D8+Data!D9)*0.35),)</f>
        <v>0</v>
      </c>
      <c r="D34">
        <f>IF(Data!D22=1,IF(Data!D3&gt;1.9,(Data!D8+Data!D9)*0.1,),)</f>
        <v>0</v>
      </c>
      <c r="E34">
        <f>IF(Data!D22=1,IF(Data!D3&gt;2.9,(Data!D8+Data!D9)*0.1,),)</f>
        <v>0</v>
      </c>
      <c r="F34">
        <f>IF(Data!D22=1,IF(Data!D3&gt;3.9,(Data!D8+Data!D9)*0.1,),)</f>
        <v>0</v>
      </c>
      <c r="G34">
        <f>IF(Data!D22=1,IF(Data!D3&gt;4.9,(Data!D8+Data!D9)*0.2,),)</f>
        <v>0</v>
      </c>
      <c r="H34" s="1" t="s">
        <v>21</v>
      </c>
      <c r="J34">
        <f t="shared" si="4"/>
        <v>0</v>
      </c>
    </row>
    <row r="35" spans="2:10" x14ac:dyDescent="0.3">
      <c r="B35" s="2"/>
    </row>
    <row r="36" spans="2:10" x14ac:dyDescent="0.3">
      <c r="B36" s="2"/>
      <c r="H36" s="1"/>
    </row>
    <row r="37" spans="2:10" x14ac:dyDescent="0.3">
      <c r="B37" s="4" t="s">
        <v>3</v>
      </c>
      <c r="C37" s="6">
        <f>SUM(C6:C36)</f>
        <v>93.100000000000009</v>
      </c>
      <c r="D37" s="6">
        <f>SUM(D6:D36)</f>
        <v>8.1999999999999993</v>
      </c>
      <c r="E37" s="6">
        <f>SUM(E6:E36)</f>
        <v>26.4</v>
      </c>
      <c r="F37" s="6">
        <f t="shared" ref="F37:G37" si="5">SUM(F6:F36)</f>
        <v>0</v>
      </c>
      <c r="G37" s="6">
        <f t="shared" si="5"/>
        <v>0</v>
      </c>
      <c r="H37" s="7"/>
      <c r="J37" s="6">
        <f t="shared" ref="J37" si="6">SUM(J6:J36)</f>
        <v>116.89999999999999</v>
      </c>
    </row>
    <row r="39" spans="2:10" x14ac:dyDescent="0.3">
      <c r="B39" s="56" t="s">
        <v>18</v>
      </c>
      <c r="C39" s="56"/>
      <c r="D39" s="56"/>
      <c r="E39" s="56"/>
      <c r="F39" s="56"/>
      <c r="G39" s="56"/>
      <c r="H39" s="56"/>
    </row>
    <row r="40" spans="2:10" ht="15" customHeight="1" x14ac:dyDescent="0.3">
      <c r="B40" s="25" t="s">
        <v>85</v>
      </c>
      <c r="C40" s="26" t="s">
        <v>84</v>
      </c>
    </row>
    <row r="46" spans="2:10" ht="15" customHeight="1" x14ac:dyDescent="0.3"/>
    <row r="62" ht="45" customHeight="1" x14ac:dyDescent="0.3"/>
  </sheetData>
  <mergeCells count="1">
    <mergeCell ref="B39:H39"/>
  </mergeCells>
  <pageMargins left="0.7" right="0.7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5"/>
  <sheetViews>
    <sheetView workbookViewId="0">
      <selection activeCell="O44" sqref="O44"/>
    </sheetView>
  </sheetViews>
  <sheetFormatPr defaultRowHeight="14.4" x14ac:dyDescent="0.3"/>
  <cols>
    <col min="2" max="2" width="50.109375" customWidth="1"/>
    <col min="3" max="3" width="13.33203125" bestFit="1" customWidth="1"/>
    <col min="4" max="4" width="8.109375" customWidth="1"/>
  </cols>
  <sheetData>
    <row r="1" spans="2:14" x14ac:dyDescent="0.3">
      <c r="B1" s="13" t="s">
        <v>0</v>
      </c>
      <c r="C1" s="14" t="s">
        <v>14</v>
      </c>
      <c r="D1" s="14" t="s">
        <v>16</v>
      </c>
      <c r="E1" s="14" t="s">
        <v>1</v>
      </c>
      <c r="F1" s="14" t="s">
        <v>13</v>
      </c>
      <c r="N1" s="27"/>
    </row>
    <row r="2" spans="2:14" x14ac:dyDescent="0.3">
      <c r="B2" s="3" t="s">
        <v>53</v>
      </c>
      <c r="C2" s="3" t="s">
        <v>15</v>
      </c>
      <c r="D2" s="9">
        <f>IF(Data!D1=1,Data!D40*8,IF(Data!D1=2,Data!D41*8,IF(Data!D1=3,Data!D42*8,0)))</f>
        <v>520</v>
      </c>
      <c r="E2">
        <f>SUM(D16:H16)</f>
        <v>6.6999999999999993</v>
      </c>
      <c r="F2" s="10">
        <f t="shared" ref="F2:F7" si="0">D2*E2</f>
        <v>3483.9999999999995</v>
      </c>
      <c r="N2" s="27"/>
    </row>
    <row r="3" spans="2:14" x14ac:dyDescent="0.3">
      <c r="B3" s="3" t="s">
        <v>51</v>
      </c>
      <c r="C3" s="3" t="s">
        <v>52</v>
      </c>
      <c r="D3" s="9">
        <v>30</v>
      </c>
      <c r="E3">
        <f>SUM(D17:H17)</f>
        <v>10.8</v>
      </c>
      <c r="F3" s="10">
        <f t="shared" si="0"/>
        <v>324</v>
      </c>
      <c r="N3" s="27"/>
    </row>
    <row r="4" spans="2:14" x14ac:dyDescent="0.3">
      <c r="B4" s="15" t="str">
        <f>Time!B12</f>
        <v>Development of data entry mask</v>
      </c>
      <c r="C4" s="3" t="s">
        <v>15</v>
      </c>
      <c r="D4" s="9">
        <f>IF(Data!D1=1,Data!D40*8,IF(Data!D1=2,Data!D41*8,IF(Data!D1=3,Data!D42*8,0)))</f>
        <v>520</v>
      </c>
      <c r="E4">
        <f>SUM(D18:H18)</f>
        <v>12.600000000000001</v>
      </c>
      <c r="F4" s="10">
        <f t="shared" si="0"/>
        <v>6552.0000000000009</v>
      </c>
      <c r="N4" s="27"/>
    </row>
    <row r="5" spans="2:14" x14ac:dyDescent="0.3">
      <c r="B5" s="3" t="str">
        <f>Time!B16</f>
        <v>Cleaning and quality controls</v>
      </c>
      <c r="C5" s="3" t="s">
        <v>15</v>
      </c>
      <c r="D5" s="9">
        <f>IF(Data!D1=1,Data!D40*8,IF(Data!D1=2,Data!D41*8,IF(Data!D1=3,Data!D42*8,0)))</f>
        <v>520</v>
      </c>
      <c r="E5">
        <f>SUM(D19:H19)</f>
        <v>35.300000000000004</v>
      </c>
      <c r="F5" s="10">
        <f t="shared" si="0"/>
        <v>18356.000000000004</v>
      </c>
    </row>
    <row r="6" spans="2:14" x14ac:dyDescent="0.3">
      <c r="B6" s="16" t="str">
        <f>Time!B24</f>
        <v>Statistical analysis and study report</v>
      </c>
      <c r="C6" s="3" t="s">
        <v>19</v>
      </c>
      <c r="D6" s="9">
        <f>IF(Data!D1=1,Data!D40*8,IF(Data!D1=2,Data!D41*8,IF(Data!D1=3,Data!D42*8,0)))</f>
        <v>520</v>
      </c>
      <c r="E6">
        <f>SUM(D21:H21)</f>
        <v>58.7</v>
      </c>
      <c r="F6" s="10">
        <f t="shared" si="0"/>
        <v>30524</v>
      </c>
      <c r="H6">
        <f>E10/21</f>
        <v>0</v>
      </c>
      <c r="I6" t="s">
        <v>62</v>
      </c>
    </row>
    <row r="7" spans="2:14" x14ac:dyDescent="0.3">
      <c r="B7" s="3" t="str">
        <f>Time!B30</f>
        <v>Other (guidelines)</v>
      </c>
      <c r="C7" s="3" t="s">
        <v>15</v>
      </c>
      <c r="D7" s="9">
        <f>IF(Data!D1=1,Data!D40*8,IF(Data!D1=2,Data!D41*8,IF(Data!D1=3,Data!D42*8,0)))</f>
        <v>520</v>
      </c>
      <c r="E7">
        <f>SUM(D22:H22)</f>
        <v>3.6</v>
      </c>
      <c r="F7" s="10">
        <f t="shared" si="0"/>
        <v>1872</v>
      </c>
      <c r="H7">
        <f>E6/21</f>
        <v>2.7952380952380955</v>
      </c>
      <c r="I7" t="s">
        <v>63</v>
      </c>
    </row>
    <row r="8" spans="2:14" x14ac:dyDescent="0.3">
      <c r="B8" s="2"/>
      <c r="C8" s="2"/>
      <c r="D8" s="2"/>
      <c r="F8" s="10"/>
    </row>
    <row r="9" spans="2:14" x14ac:dyDescent="0.3">
      <c r="B9" s="4" t="s">
        <v>34</v>
      </c>
      <c r="C9" s="5"/>
      <c r="D9" s="5"/>
      <c r="E9" s="6">
        <f>SUM(E2:E8)</f>
        <v>127.7</v>
      </c>
      <c r="F9" s="11">
        <f>SUM(F2:F8)</f>
        <v>61112</v>
      </c>
    </row>
    <row r="10" spans="2:14" x14ac:dyDescent="0.3">
      <c r="B10" s="4" t="s">
        <v>132</v>
      </c>
      <c r="C10" s="5"/>
      <c r="D10" s="5"/>
      <c r="E10" s="6"/>
      <c r="F10" s="11">
        <f>F9*0.25</f>
        <v>15278</v>
      </c>
    </row>
    <row r="11" spans="2:14" x14ac:dyDescent="0.3">
      <c r="B11" s="4" t="s">
        <v>133</v>
      </c>
      <c r="C11" s="5"/>
      <c r="D11" s="5"/>
      <c r="E11" s="6"/>
      <c r="F11" s="11">
        <f>SUM(F9:F10)</f>
        <v>76390</v>
      </c>
    </row>
    <row r="14" spans="2:14" x14ac:dyDescent="0.3">
      <c r="B14" s="13" t="s">
        <v>0</v>
      </c>
      <c r="C14" s="13"/>
      <c r="D14" s="13">
        <f>Data!D2</f>
        <v>2024</v>
      </c>
      <c r="E14" s="13">
        <f>IF(Data!D3&gt;1,Data!D2+1,)</f>
        <v>2025</v>
      </c>
      <c r="F14" s="13">
        <f>IF(Data!D3&gt;2,Data!D2+2,)</f>
        <v>2026</v>
      </c>
      <c r="G14" s="13">
        <f>IF(Data!D3&gt;3,Data!D2+3,)</f>
        <v>0</v>
      </c>
      <c r="H14" s="13">
        <f>IF(Data!D3&gt;4,Data!D2+4,)</f>
        <v>0</v>
      </c>
      <c r="J14" s="13" t="s">
        <v>3</v>
      </c>
    </row>
    <row r="15" spans="2:14" x14ac:dyDescent="0.3">
      <c r="B15" s="3" t="s">
        <v>102</v>
      </c>
      <c r="C15" t="s">
        <v>64</v>
      </c>
      <c r="D15">
        <f>Time!C5</f>
        <v>6.3</v>
      </c>
      <c r="E15">
        <f>Time!D5</f>
        <v>0</v>
      </c>
      <c r="F15">
        <f>Time!E5</f>
        <v>0</v>
      </c>
      <c r="G15">
        <f>Time!F5</f>
        <v>0</v>
      </c>
      <c r="H15">
        <f>Time!G5</f>
        <v>0</v>
      </c>
      <c r="J15" s="44">
        <f>SUM(D15:H15)</f>
        <v>6.3</v>
      </c>
    </row>
    <row r="16" spans="2:14" x14ac:dyDescent="0.3">
      <c r="B16" s="3" t="str">
        <f>B2</f>
        <v>Development of a central database</v>
      </c>
      <c r="C16" t="s">
        <v>64</v>
      </c>
      <c r="D16">
        <f>SUM(Time!C7,Time!C9:C10)</f>
        <v>4.6999999999999993</v>
      </c>
      <c r="E16">
        <f>SUM(Time!D7,Time!D9:D10)</f>
        <v>1</v>
      </c>
      <c r="F16">
        <f>SUM(Time!E7,Time!E9:E10)</f>
        <v>1</v>
      </c>
      <c r="G16">
        <f>SUM(Time!F7,Time!F9:F10)</f>
        <v>0</v>
      </c>
      <c r="H16">
        <f>SUM(Time!G7,Time!G9:G10)</f>
        <v>0</v>
      </c>
      <c r="J16" s="44">
        <f t="shared" ref="J16:J24" si="1">SUM(D16:H16)</f>
        <v>6.6999999999999993</v>
      </c>
    </row>
    <row r="17" spans="2:10" x14ac:dyDescent="0.3">
      <c r="B17" s="3" t="str">
        <f>B3</f>
        <v>Hosting and maintenance of database</v>
      </c>
      <c r="C17" t="s">
        <v>64</v>
      </c>
      <c r="D17">
        <f>SUM(Time!C8,Time!C11)</f>
        <v>3.6</v>
      </c>
      <c r="E17">
        <f>SUM(Time!D8,Time!D11)</f>
        <v>3.6</v>
      </c>
      <c r="F17">
        <f>SUM(Time!E8,Time!E11)</f>
        <v>3.6</v>
      </c>
      <c r="G17">
        <f>SUM(Time!F8,Time!F11)</f>
        <v>0</v>
      </c>
      <c r="H17">
        <f>SUM(Time!G8,Time!G11)</f>
        <v>0</v>
      </c>
      <c r="J17" s="44">
        <f t="shared" si="1"/>
        <v>10.8</v>
      </c>
    </row>
    <row r="18" spans="2:10" x14ac:dyDescent="0.3">
      <c r="B18" s="15" t="str">
        <f>B4</f>
        <v>Development of data entry mask</v>
      </c>
      <c r="C18" t="s">
        <v>64</v>
      </c>
      <c r="D18">
        <f>SUM(Time!C13:C15)</f>
        <v>12.600000000000001</v>
      </c>
      <c r="E18">
        <f>SUM(Time!D13:D15)</f>
        <v>0</v>
      </c>
      <c r="F18">
        <f>SUM(Time!E13:E15)</f>
        <v>0</v>
      </c>
      <c r="G18">
        <f>SUM(Time!F13:F15)</f>
        <v>0</v>
      </c>
      <c r="H18">
        <f>SUM(Time!G13:G15)</f>
        <v>0</v>
      </c>
      <c r="J18" s="44">
        <f t="shared" si="1"/>
        <v>12.600000000000001</v>
      </c>
    </row>
    <row r="19" spans="2:10" x14ac:dyDescent="0.3">
      <c r="B19" s="3" t="str">
        <f>B5</f>
        <v>Cleaning and quality controls</v>
      </c>
      <c r="C19" t="s">
        <v>64</v>
      </c>
      <c r="D19">
        <f>SUM(Time!C17:C23)</f>
        <v>26.1</v>
      </c>
      <c r="E19">
        <f>SUM(Time!D17:D23)</f>
        <v>3.6</v>
      </c>
      <c r="F19">
        <f>SUM(Time!E17:E23)</f>
        <v>5.6</v>
      </c>
      <c r="G19">
        <f>SUM(Time!F17:F23)</f>
        <v>0</v>
      </c>
      <c r="H19">
        <f>SUM(Time!G17:G23)</f>
        <v>0</v>
      </c>
      <c r="J19" s="44">
        <f t="shared" si="1"/>
        <v>35.300000000000004</v>
      </c>
    </row>
    <row r="20" spans="2:10" x14ac:dyDescent="0.3">
      <c r="B20" s="3" t="s">
        <v>101</v>
      </c>
      <c r="C20" t="s">
        <v>65</v>
      </c>
      <c r="D20">
        <f>Time!C4</f>
        <v>5</v>
      </c>
      <c r="E20">
        <f>Time!D4</f>
        <v>0</v>
      </c>
      <c r="F20">
        <f>Time!E4</f>
        <v>0</v>
      </c>
      <c r="G20">
        <f>Time!F4</f>
        <v>0</v>
      </c>
      <c r="H20">
        <f>Time!G4</f>
        <v>0</v>
      </c>
      <c r="J20" s="44">
        <f t="shared" si="1"/>
        <v>5</v>
      </c>
    </row>
    <row r="21" spans="2:10" x14ac:dyDescent="0.3">
      <c r="B21" s="16" t="str">
        <f>B6</f>
        <v>Statistical analysis and study report</v>
      </c>
      <c r="C21" t="s">
        <v>65</v>
      </c>
      <c r="D21">
        <f>SUM(Time!C25:C29)</f>
        <v>42.5</v>
      </c>
      <c r="E21">
        <f>SUM(Time!D25:D29)</f>
        <v>0</v>
      </c>
      <c r="F21">
        <f>SUM(Time!E25:E29)</f>
        <v>16.2</v>
      </c>
      <c r="G21">
        <f>SUM(Time!F25:F29)</f>
        <v>0</v>
      </c>
      <c r="H21">
        <f>SUM(Time!G25:G29)</f>
        <v>0</v>
      </c>
      <c r="J21" s="44">
        <f t="shared" si="1"/>
        <v>58.7</v>
      </c>
    </row>
    <row r="22" spans="2:10" x14ac:dyDescent="0.3">
      <c r="B22" s="3" t="str">
        <f>B7</f>
        <v>Other (guidelines)</v>
      </c>
      <c r="C22" t="s">
        <v>64</v>
      </c>
      <c r="D22">
        <f>SUM(Time!C31:C34)</f>
        <v>3.6</v>
      </c>
      <c r="E22">
        <f>SUM(Time!D31:D34)</f>
        <v>0</v>
      </c>
      <c r="F22">
        <f>SUM(Time!E31:E34)</f>
        <v>0</v>
      </c>
      <c r="G22">
        <f>SUM(Time!F31:F34)</f>
        <v>0</v>
      </c>
      <c r="H22">
        <f>SUM(Time!G31:G34)</f>
        <v>0</v>
      </c>
      <c r="J22" s="44">
        <f t="shared" si="1"/>
        <v>3.6</v>
      </c>
    </row>
    <row r="23" spans="2:10" x14ac:dyDescent="0.3">
      <c r="B23" s="4" t="s">
        <v>82</v>
      </c>
      <c r="C23" s="6" t="s">
        <v>64</v>
      </c>
      <c r="D23" s="6">
        <f>(D15+D16+D17+D18+D19+D22)/21</f>
        <v>2.7095238095238097</v>
      </c>
      <c r="E23" s="6">
        <f>(E16+E17+E18+E19+E22)/21</f>
        <v>0.39047619047619042</v>
      </c>
      <c r="F23" s="6">
        <f>(F16+F17+F18+F19+F22)/21</f>
        <v>0.48571428571428565</v>
      </c>
      <c r="G23" s="6">
        <f>(G16+G17+G18+G19+G22)/21</f>
        <v>0</v>
      </c>
      <c r="H23" s="7">
        <f>(H16+H17+H18+H19+H22)/21</f>
        <v>0</v>
      </c>
      <c r="J23" s="46">
        <f t="shared" si="1"/>
        <v>3.5857142857142859</v>
      </c>
    </row>
    <row r="24" spans="2:10" x14ac:dyDescent="0.3">
      <c r="B24" s="4" t="s">
        <v>83</v>
      </c>
      <c r="C24" s="6" t="s">
        <v>65</v>
      </c>
      <c r="D24" s="6">
        <f>(D20+D21)/21</f>
        <v>2.2619047619047619</v>
      </c>
      <c r="E24" s="6">
        <f>E21/21</f>
        <v>0</v>
      </c>
      <c r="F24" s="6">
        <f>F21/21</f>
        <v>0.77142857142857135</v>
      </c>
      <c r="G24" s="6">
        <f>G21/21</f>
        <v>0</v>
      </c>
      <c r="H24" s="7">
        <f>H21/21</f>
        <v>0</v>
      </c>
      <c r="J24" s="46">
        <f t="shared" si="1"/>
        <v>3.0333333333333332</v>
      </c>
    </row>
    <row r="25" spans="2:10" x14ac:dyDescent="0.3">
      <c r="B25" s="4" t="s">
        <v>117</v>
      </c>
      <c r="C25" s="6"/>
      <c r="D25" s="6">
        <f>SUM(D15:D16,D18:D22)*8</f>
        <v>806.4</v>
      </c>
      <c r="E25" s="6">
        <f>SUM(E15:E16,E18:E22)*8</f>
        <v>36.799999999999997</v>
      </c>
      <c r="F25" s="6">
        <f>SUM(F15:F16,F18:F22)*8</f>
        <v>182.39999999999998</v>
      </c>
      <c r="G25" s="6">
        <f>SUM(G15:G16,G18:G22)</f>
        <v>0</v>
      </c>
      <c r="H25" s="7">
        <f>SUM(H15:H16,H18:H22)</f>
        <v>0</v>
      </c>
      <c r="J25" s="47">
        <f>SUM(D25:H25)</f>
        <v>1025.5999999999999</v>
      </c>
    </row>
    <row r="26" spans="2:10" x14ac:dyDescent="0.3">
      <c r="B26" s="25" t="s">
        <v>85</v>
      </c>
      <c r="C26" s="26" t="s">
        <v>84</v>
      </c>
    </row>
    <row r="27" spans="2:10" x14ac:dyDescent="0.3">
      <c r="C27" s="23" t="s">
        <v>98</v>
      </c>
    </row>
    <row r="28" spans="2:10" x14ac:dyDescent="0.3">
      <c r="B28" s="55" t="s">
        <v>147</v>
      </c>
      <c r="C28" s="7">
        <v>7.38</v>
      </c>
    </row>
    <row r="29" spans="2:10" x14ac:dyDescent="0.3">
      <c r="B29" s="4" t="s">
        <v>145</v>
      </c>
      <c r="C29" s="6" t="s">
        <v>64</v>
      </c>
      <c r="D29" s="6">
        <f>(D15+D16+D17+D18+D19+D22)*C28</f>
        <v>419.92200000000003</v>
      </c>
      <c r="E29" s="6">
        <f>(E16+E17+E18+E19+E22)*C28</f>
        <v>60.515999999999991</v>
      </c>
      <c r="F29" s="6">
        <f>(F16+F17+F18+F19+F22)*C28</f>
        <v>75.275999999999996</v>
      </c>
      <c r="G29" s="6">
        <f>(G16+G17+G18+G19+G22)*C28</f>
        <v>0</v>
      </c>
      <c r="H29" s="7">
        <f>(H16+H17+H18+H19+H22)*C28</f>
        <v>0</v>
      </c>
      <c r="J29" s="46">
        <f t="shared" ref="J29:J30" si="2">SUM(D29:H29)</f>
        <v>555.71399999999994</v>
      </c>
    </row>
    <row r="30" spans="2:10" x14ac:dyDescent="0.3">
      <c r="B30" s="4" t="s">
        <v>146</v>
      </c>
      <c r="C30" s="6" t="s">
        <v>65</v>
      </c>
      <c r="D30" s="6">
        <f>(D20+D21)*C28</f>
        <v>350.55</v>
      </c>
      <c r="E30" s="6">
        <f>E21*C28</f>
        <v>0</v>
      </c>
      <c r="F30" s="6">
        <f>F21*C28</f>
        <v>119.556</v>
      </c>
      <c r="G30" s="6">
        <f>G21*C28</f>
        <v>0</v>
      </c>
      <c r="H30" s="7">
        <f>H21*C28</f>
        <v>0</v>
      </c>
      <c r="J30" s="46">
        <f t="shared" si="2"/>
        <v>470.10599999999999</v>
      </c>
    </row>
    <row r="31" spans="2:10" x14ac:dyDescent="0.3">
      <c r="B31" s="4" t="s">
        <v>117</v>
      </c>
      <c r="C31" s="6"/>
      <c r="D31" s="6">
        <f>SUM(D29:D30)</f>
        <v>770.47199999999998</v>
      </c>
      <c r="E31" s="6">
        <f>SUM(E29:E30)</f>
        <v>60.515999999999991</v>
      </c>
      <c r="F31" s="6">
        <f>SUM(F29:F30)</f>
        <v>194.83199999999999</v>
      </c>
      <c r="G31" s="6">
        <f>SUM(G29:G30)</f>
        <v>0</v>
      </c>
      <c r="H31" s="7">
        <f>SUM(H29:H30)</f>
        <v>0</v>
      </c>
      <c r="J31" s="47">
        <f>SUM(D31:H31)</f>
        <v>1025.82</v>
      </c>
    </row>
    <row r="34" spans="3:7" x14ac:dyDescent="0.3">
      <c r="C34" s="44"/>
      <c r="D34" s="44"/>
      <c r="E34" s="44"/>
      <c r="F34" s="44"/>
    </row>
    <row r="35" spans="3:7" x14ac:dyDescent="0.3">
      <c r="C35" s="44"/>
      <c r="D35" s="44"/>
      <c r="E35" s="44"/>
      <c r="F35" s="44"/>
      <c r="G35" s="44"/>
    </row>
  </sheetData>
  <pageMargins left="0.25" right="0.25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Time</vt:lpstr>
      <vt:lpstr>Budget</vt:lpstr>
    </vt:vector>
  </TitlesOfParts>
  <Company>CRP-Santé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Vaillant</dc:creator>
  <cp:lastModifiedBy>Michel Vaillant</cp:lastModifiedBy>
  <cp:lastPrinted>2021-06-11T06:01:40Z</cp:lastPrinted>
  <dcterms:created xsi:type="dcterms:W3CDTF">2015-07-21T15:06:05Z</dcterms:created>
  <dcterms:modified xsi:type="dcterms:W3CDTF">2023-08-29T08:21:31Z</dcterms:modified>
</cp:coreProperties>
</file>