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S:\Villány\Közös\Kisker\Kata\Kimutatások, táblázatok\Heti árbevétel\"/>
    </mc:Choice>
  </mc:AlternateContent>
  <xr:revisionPtr revIDLastSave="0" documentId="13_ncr:1_{6ED46E61-5AC3-43CF-B6AC-3E6D78473016}" xr6:coauthVersionLast="47" xr6:coauthVersionMax="47" xr10:uidLastSave="{00000000-0000-0000-0000-000000000000}"/>
  <bookViews>
    <workbookView xWindow="20370" yWindow="-120" windowWidth="29040" windowHeight="15840" activeTab="4" xr2:uid="{00000000-000D-0000-FFFF-FFFF00000000}"/>
  </bookViews>
  <sheets>
    <sheet name="0501-0502" sheetId="5" r:id="rId1"/>
    <sheet name="0503-0509" sheetId="6" r:id="rId2"/>
    <sheet name="0510-0516" sheetId="1" r:id="rId3"/>
    <sheet name="0517-0523" sheetId="10" r:id="rId4"/>
    <sheet name="0524-0530" sheetId="12" r:id="rId5"/>
    <sheet name="0531" sheetId="11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" i="12" l="1"/>
  <c r="I6" i="12"/>
  <c r="I4" i="12"/>
  <c r="H3" i="12"/>
  <c r="H9" i="12" s="1"/>
  <c r="G3" i="12"/>
  <c r="G9" i="12" s="1"/>
  <c r="G4" i="12"/>
  <c r="F3" i="12"/>
  <c r="F9" i="12" s="1"/>
  <c r="E3" i="12"/>
  <c r="E4" i="12"/>
  <c r="E9" i="12" s="1"/>
  <c r="D4" i="12"/>
  <c r="C6" i="12"/>
  <c r="J6" i="12" s="1"/>
  <c r="C3" i="12"/>
  <c r="I13" i="12"/>
  <c r="J12" i="12"/>
  <c r="L12" i="12" s="1"/>
  <c r="J11" i="12"/>
  <c r="L11" i="12" s="1"/>
  <c r="J5" i="12"/>
  <c r="L5" i="12" s="1"/>
  <c r="J7" i="12"/>
  <c r="L7" i="12" s="1"/>
  <c r="I3" i="10"/>
  <c r="I4" i="10"/>
  <c r="I6" i="10"/>
  <c r="H3" i="10"/>
  <c r="H6" i="10"/>
  <c r="G3" i="10"/>
  <c r="G4" i="10"/>
  <c r="J4" i="10" s="1"/>
  <c r="I13" i="10"/>
  <c r="J12" i="10"/>
  <c r="J11" i="10"/>
  <c r="J5" i="10"/>
  <c r="J7" i="10"/>
  <c r="J3" i="10"/>
  <c r="F3" i="10"/>
  <c r="F6" i="10"/>
  <c r="F4" i="10"/>
  <c r="E5" i="10"/>
  <c r="E3" i="10"/>
  <c r="E4" i="10"/>
  <c r="C4" i="10"/>
  <c r="G4" i="1"/>
  <c r="G6" i="1"/>
  <c r="H6" i="1"/>
  <c r="H3" i="1"/>
  <c r="H4" i="1"/>
  <c r="I3" i="1"/>
  <c r="I4" i="1"/>
  <c r="F4" i="1"/>
  <c r="F3" i="1"/>
  <c r="E4" i="1"/>
  <c r="E3" i="1"/>
  <c r="D4" i="1"/>
  <c r="D3" i="1"/>
  <c r="C4" i="1"/>
  <c r="I3" i="6"/>
  <c r="I4" i="6"/>
  <c r="I6" i="6"/>
  <c r="H6" i="6"/>
  <c r="H3" i="6"/>
  <c r="G6" i="6"/>
  <c r="G4" i="6"/>
  <c r="G3" i="6"/>
  <c r="E6" i="6"/>
  <c r="E4" i="6"/>
  <c r="E3" i="6"/>
  <c r="F6" i="6"/>
  <c r="F4" i="6"/>
  <c r="F3" i="6"/>
  <c r="D5" i="6"/>
  <c r="D4" i="6"/>
  <c r="D7" i="6"/>
  <c r="D6" i="5"/>
  <c r="D4" i="5"/>
  <c r="D3" i="5"/>
  <c r="C6" i="5"/>
  <c r="C3" i="5"/>
  <c r="F11" i="11"/>
  <c r="F4" i="11"/>
  <c r="F5" i="11"/>
  <c r="F6" i="11"/>
  <c r="F7" i="11"/>
  <c r="F3" i="11"/>
  <c r="H13" i="12"/>
  <c r="G13" i="12"/>
  <c r="F13" i="12"/>
  <c r="E13" i="12"/>
  <c r="D13" i="12"/>
  <c r="C13" i="12"/>
  <c r="D9" i="12"/>
  <c r="H15" i="12" l="1"/>
  <c r="G15" i="12"/>
  <c r="F15" i="12"/>
  <c r="E15" i="12"/>
  <c r="D15" i="12"/>
  <c r="J13" i="12"/>
  <c r="I9" i="12"/>
  <c r="I15" i="12" s="1"/>
  <c r="J3" i="12"/>
  <c r="L3" i="12" s="1"/>
  <c r="J4" i="12"/>
  <c r="L4" i="12" s="1"/>
  <c r="C9" i="12"/>
  <c r="C15" i="12" s="1"/>
  <c r="L6" i="12"/>
  <c r="I9" i="10"/>
  <c r="I15" i="10" s="1"/>
  <c r="J6" i="10"/>
  <c r="C13" i="5"/>
  <c r="D13" i="5"/>
  <c r="J9" i="12" l="1"/>
  <c r="J15" i="12" s="1"/>
  <c r="N15" i="1"/>
  <c r="F13" i="11" l="1"/>
  <c r="F12" i="11"/>
  <c r="C13" i="11"/>
  <c r="D13" i="11" s="1"/>
  <c r="D12" i="11"/>
  <c r="D11" i="11"/>
  <c r="C9" i="11"/>
  <c r="D7" i="11"/>
  <c r="D6" i="11"/>
  <c r="D5" i="11"/>
  <c r="D4" i="11"/>
  <c r="D3" i="11"/>
  <c r="F9" i="11" l="1"/>
  <c r="F15" i="11" s="1"/>
  <c r="C15" i="11"/>
  <c r="D9" i="11"/>
  <c r="D15" i="11" s="1"/>
  <c r="H13" i="10"/>
  <c r="G13" i="10"/>
  <c r="F13" i="10"/>
  <c r="E13" i="10"/>
  <c r="D13" i="10"/>
  <c r="C13" i="10"/>
  <c r="H9" i="10"/>
  <c r="G9" i="10"/>
  <c r="F9" i="10"/>
  <c r="E9" i="10"/>
  <c r="D9" i="10"/>
  <c r="C9" i="10"/>
  <c r="H15" i="10" l="1"/>
  <c r="F15" i="10"/>
  <c r="E15" i="10"/>
  <c r="D15" i="10"/>
  <c r="J13" i="10"/>
  <c r="J9" i="10"/>
  <c r="C15" i="10"/>
  <c r="G15" i="10"/>
  <c r="D13" i="6"/>
  <c r="E13" i="6"/>
  <c r="F13" i="6"/>
  <c r="G13" i="6"/>
  <c r="H13" i="6"/>
  <c r="I13" i="6"/>
  <c r="C13" i="6"/>
  <c r="J15" i="10" l="1"/>
  <c r="F13" i="1"/>
  <c r="G13" i="1"/>
  <c r="F9" i="1"/>
  <c r="G9" i="1"/>
  <c r="G15" i="1" l="1"/>
  <c r="F15" i="1"/>
  <c r="D9" i="1" l="1"/>
  <c r="E9" i="1"/>
  <c r="H9" i="1"/>
  <c r="I9" i="1"/>
  <c r="D13" i="1"/>
  <c r="E13" i="1"/>
  <c r="H13" i="1"/>
  <c r="I13" i="1"/>
  <c r="E11" i="5"/>
  <c r="G11" i="5" s="1"/>
  <c r="E12" i="5"/>
  <c r="G12" i="5" s="1"/>
  <c r="J12" i="6"/>
  <c r="J12" i="1"/>
  <c r="J11" i="6"/>
  <c r="J11" i="1"/>
  <c r="J3" i="6"/>
  <c r="J4" i="6"/>
  <c r="J5" i="6"/>
  <c r="J6" i="6"/>
  <c r="J7" i="6"/>
  <c r="I9" i="6"/>
  <c r="H9" i="6"/>
  <c r="G9" i="6"/>
  <c r="F9" i="6"/>
  <c r="E9" i="6"/>
  <c r="D9" i="6"/>
  <c r="C9" i="6"/>
  <c r="J4" i="1"/>
  <c r="J5" i="1"/>
  <c r="J6" i="1"/>
  <c r="J7" i="1"/>
  <c r="J3" i="1"/>
  <c r="D9" i="5"/>
  <c r="C9" i="5"/>
  <c r="E7" i="5"/>
  <c r="G7" i="5" s="1"/>
  <c r="E6" i="5"/>
  <c r="G6" i="5" s="1"/>
  <c r="E5" i="5"/>
  <c r="G5" i="5" s="1"/>
  <c r="E4" i="5"/>
  <c r="G4" i="5" s="1"/>
  <c r="E3" i="5"/>
  <c r="G3" i="5" s="1"/>
  <c r="C13" i="1"/>
  <c r="C9" i="1"/>
  <c r="D15" i="1" l="1"/>
  <c r="L7" i="6"/>
  <c r="L7" i="1" s="1"/>
  <c r="L4" i="6"/>
  <c r="L4" i="1" s="1"/>
  <c r="L11" i="6"/>
  <c r="L5" i="6"/>
  <c r="L5" i="1" s="1"/>
  <c r="L6" i="6"/>
  <c r="L6" i="1" s="1"/>
  <c r="I15" i="1"/>
  <c r="H15" i="1"/>
  <c r="E15" i="1"/>
  <c r="J13" i="1"/>
  <c r="C15" i="1"/>
  <c r="J9" i="1"/>
  <c r="I15" i="6"/>
  <c r="H15" i="6"/>
  <c r="G15" i="6"/>
  <c r="F15" i="6"/>
  <c r="E15" i="6"/>
  <c r="J13" i="6"/>
  <c r="D15" i="6"/>
  <c r="C15" i="6"/>
  <c r="J9" i="6"/>
  <c r="D15" i="5"/>
  <c r="C15" i="5"/>
  <c r="E13" i="5"/>
  <c r="E9" i="5"/>
  <c r="L4" i="10" l="1"/>
  <c r="L6" i="10"/>
  <c r="L7" i="10"/>
  <c r="L5" i="10"/>
  <c r="L12" i="6"/>
  <c r="L12" i="1" s="1"/>
  <c r="L11" i="1"/>
  <c r="J15" i="1"/>
  <c r="J15" i="6"/>
  <c r="E15" i="5"/>
  <c r="L11" i="10" l="1"/>
  <c r="L12" i="10"/>
  <c r="G13" i="5"/>
  <c r="L13" i="6" s="1"/>
  <c r="L13" i="1" s="1"/>
  <c r="L13" i="10" l="1"/>
  <c r="L13" i="12"/>
  <c r="L3" i="6"/>
  <c r="L3" i="1" s="1"/>
  <c r="G9" i="5"/>
  <c r="G15" i="5" s="1"/>
  <c r="L3" i="10" l="1"/>
  <c r="L9" i="10" s="1"/>
  <c r="L15" i="10" s="1"/>
  <c r="L9" i="12"/>
  <c r="L15" i="12" s="1"/>
  <c r="L9" i="1"/>
  <c r="L9" i="6"/>
  <c r="L15" i="6" s="1"/>
  <c r="L15" i="1" l="1"/>
</calcChain>
</file>

<file path=xl/sharedStrings.xml><?xml version="1.0" encoding="utf-8"?>
<sst xmlns="http://schemas.openxmlformats.org/spreadsheetml/2006/main" count="120" uniqueCount="30">
  <si>
    <t>péntek</t>
  </si>
  <si>
    <t>szombat</t>
  </si>
  <si>
    <t>vasárnap</t>
  </si>
  <si>
    <t>heti összes</t>
  </si>
  <si>
    <t>havi összes mai napig</t>
  </si>
  <si>
    <t>Étel (5%)</t>
  </si>
  <si>
    <t>Ital (5%)</t>
  </si>
  <si>
    <t>Ásványvíz (27%)</t>
  </si>
  <si>
    <t>Bor-helyben (27%)</t>
  </si>
  <si>
    <t>Bor-elviteles (27%)</t>
  </si>
  <si>
    <t>nettó bevétel összesen</t>
  </si>
  <si>
    <t>vendégszám étterem</t>
  </si>
  <si>
    <t>vendégszám kóstoló</t>
  </si>
  <si>
    <t>vendégszám összes</t>
  </si>
  <si>
    <t>átlag költés</t>
  </si>
  <si>
    <t>hétfő</t>
  </si>
  <si>
    <t>kedd</t>
  </si>
  <si>
    <t>szerda</t>
  </si>
  <si>
    <t>csütörtök</t>
  </si>
  <si>
    <t>17. hét</t>
  </si>
  <si>
    <t>18. hét</t>
  </si>
  <si>
    <t>19. hét</t>
  </si>
  <si>
    <t>20. hét</t>
  </si>
  <si>
    <t>21. hét</t>
  </si>
  <si>
    <t>22. hét</t>
  </si>
  <si>
    <t>2021.05.17-2021.05.23</t>
  </si>
  <si>
    <t>2021.05.10-2021.05-16</t>
  </si>
  <si>
    <t>2021.05.03-2021.05.09</t>
  </si>
  <si>
    <t>2021.05.01-2021.05.02</t>
  </si>
  <si>
    <t>2021.05.24-2021.05.30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</si>
</sst>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\ &quot;Ft&quot;"/>
    <numFmt numFmtId="165" formatCode="[$-40E]mmmm\ d\.;@"/>
  </numFmts>
  <fonts count="6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name val="Calibri Light"/>
      <family val="2"/>
      <charset val="238"/>
      <scheme val="major"/>
    </font>
    <font>
      <b/>
      <sz val="11"/>
      <color theme="1"/>
      <name val="Calibri Light"/>
      <family val="2"/>
      <charset val="238"/>
      <scheme val="major"/>
    </font>
    <font>
      <sz val="11"/>
      <color theme="1"/>
      <name val="Calibri Light"/>
      <family val="2"/>
      <charset val="238"/>
      <scheme val="major"/>
    </font>
    <font>
      <sz val="11"/>
      <name val="Calibri Light"/>
      <family val="2"/>
      <charset val="238"/>
      <scheme val="major"/>
    </font>
  </fonts>
  <fills count="3">
    <fill>
      <patternFill patternType="none"/>
    </fill>
    <fill>
      <patternFill patternType="gray125"/>
    </fill>
    <fill>
      <patternFill patternType="solid">
        <fgColor rgb="FFCFE3DF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68">
    <xf numFmtId="0" fontId="0" fillId="0" borderId="0" xfId="0"/>
    <xf numFmtId="164" fontId="1" fillId="0" borderId="1" xfId="0" applyNumberFormat="1" applyFont="1" applyBorder="1"/>
    <xf numFmtId="164" fontId="0" fillId="0" borderId="0" xfId="0" applyNumberFormat="1" applyAlignment="1">
      <alignment horizontal="center"/>
    </xf>
    <xf numFmtId="164" fontId="0" fillId="0" borderId="0" xfId="0" applyNumberFormat="1"/>
    <xf numFmtId="164" fontId="1" fillId="0" borderId="0" xfId="0" applyNumberFormat="1" applyFont="1"/>
    <xf numFmtId="165" fontId="0" fillId="0" borderId="0" xfId="0" applyNumberFormat="1" applyAlignment="1">
      <alignment vertical="center"/>
    </xf>
    <xf numFmtId="164" fontId="0" fillId="0" borderId="0" xfId="0" applyNumberFormat="1" applyBorder="1"/>
    <xf numFmtId="164" fontId="1" fillId="0" borderId="0" xfId="0" applyNumberFormat="1" applyFont="1" applyBorder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vertical="center"/>
    </xf>
    <xf numFmtId="164" fontId="3" fillId="0" borderId="0" xfId="0" applyNumberFormat="1" applyFont="1" applyFill="1" applyBorder="1" applyAlignment="1">
      <alignment horizontal="center"/>
    </xf>
    <xf numFmtId="164" fontId="4" fillId="2" borderId="0" xfId="0" applyNumberFormat="1" applyFont="1" applyFill="1" applyBorder="1"/>
    <xf numFmtId="164" fontId="3" fillId="0" borderId="0" xfId="0" applyNumberFormat="1" applyFont="1" applyBorder="1"/>
    <xf numFmtId="0" fontId="4" fillId="0" borderId="0" xfId="0" applyFont="1" applyBorder="1"/>
    <xf numFmtId="164" fontId="5" fillId="2" borderId="0" xfId="0" applyNumberFormat="1" applyFont="1" applyFill="1" applyBorder="1"/>
    <xf numFmtId="164" fontId="5" fillId="2" borderId="0" xfId="0" applyNumberFormat="1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164" fontId="4" fillId="0" borderId="0" xfId="0" applyNumberFormat="1" applyFont="1" applyBorder="1" applyAlignment="1">
      <alignment horizontal="center"/>
    </xf>
    <xf numFmtId="164" fontId="4" fillId="0" borderId="0" xfId="0" applyNumberFormat="1" applyFont="1" applyBorder="1"/>
    <xf numFmtId="164" fontId="3" fillId="0" borderId="0" xfId="0" applyNumberFormat="1" applyFont="1" applyBorder="1" applyAlignment="1">
      <alignment horizontal="center"/>
    </xf>
    <xf numFmtId="165" fontId="4" fillId="0" borderId="0" xfId="0" applyNumberFormat="1" applyFont="1" applyBorder="1" applyAlignment="1">
      <alignment vertical="center"/>
    </xf>
    <xf numFmtId="0" fontId="4" fillId="0" borderId="0" xfId="0" applyFont="1" applyBorder="1" applyAlignment="1">
      <alignment horizontal="center"/>
    </xf>
    <xf numFmtId="3" fontId="4" fillId="0" borderId="0" xfId="0" applyNumberFormat="1" applyFont="1" applyBorder="1" applyAlignment="1">
      <alignment horizontal="center"/>
    </xf>
    <xf numFmtId="1" fontId="4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4" fontId="3" fillId="0" borderId="0" xfId="0" applyNumberFormat="1" applyFont="1" applyFill="1" applyAlignment="1">
      <alignment horizontal="center"/>
    </xf>
    <xf numFmtId="164" fontId="4" fillId="2" borderId="0" xfId="0" applyNumberFormat="1" applyFont="1" applyFill="1"/>
    <xf numFmtId="164" fontId="4" fillId="2" borderId="0" xfId="0" applyNumberFormat="1" applyFont="1" applyFill="1" applyAlignment="1">
      <alignment horizontal="center"/>
    </xf>
    <xf numFmtId="164" fontId="4" fillId="0" borderId="0" xfId="0" applyNumberFormat="1" applyFont="1" applyFill="1" applyAlignment="1">
      <alignment horizontal="center"/>
    </xf>
    <xf numFmtId="164" fontId="4" fillId="0" borderId="0" xfId="0" applyNumberFormat="1" applyFont="1"/>
    <xf numFmtId="164" fontId="4" fillId="0" borderId="0" xfId="0" applyNumberFormat="1" applyFont="1" applyAlignment="1">
      <alignment horizontal="center"/>
    </xf>
    <xf numFmtId="164" fontId="3" fillId="0" borderId="0" xfId="0" applyNumberFormat="1" applyFont="1"/>
    <xf numFmtId="164" fontId="3" fillId="0" borderId="0" xfId="0" applyNumberFormat="1" applyFont="1" applyAlignment="1">
      <alignment horizontal="center"/>
    </xf>
    <xf numFmtId="0" fontId="4" fillId="0" borderId="0" xfId="0" applyFont="1"/>
    <xf numFmtId="165" fontId="4" fillId="0" borderId="0" xfId="0" applyNumberFormat="1" applyFont="1" applyAlignment="1">
      <alignment vertical="center"/>
    </xf>
    <xf numFmtId="0" fontId="4" fillId="0" borderId="0" xfId="0" applyFont="1" applyAlignment="1">
      <alignment horizontal="center"/>
    </xf>
    <xf numFmtId="3" fontId="4" fillId="0" borderId="0" xfId="0" applyNumberFormat="1" applyFont="1" applyAlignment="1">
      <alignment horizontal="center"/>
    </xf>
    <xf numFmtId="1" fontId="4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3" fontId="3" fillId="0" borderId="0" xfId="0" applyNumberFormat="1" applyFont="1" applyAlignment="1">
      <alignment horizontal="center"/>
    </xf>
    <xf numFmtId="164" fontId="4" fillId="2" borderId="3" xfId="0" applyNumberFormat="1" applyFont="1" applyFill="1" applyBorder="1"/>
    <xf numFmtId="164" fontId="4" fillId="0" borderId="3" xfId="0" applyNumberFormat="1" applyFont="1" applyBorder="1" applyAlignment="1">
      <alignment horizontal="center"/>
    </xf>
    <xf numFmtId="164" fontId="3" fillId="0" borderId="3" xfId="0" applyNumberFormat="1" applyFont="1" applyBorder="1" applyAlignment="1">
      <alignment horizontal="center"/>
    </xf>
    <xf numFmtId="1" fontId="4" fillId="0" borderId="3" xfId="0" applyNumberFormat="1" applyFont="1" applyBorder="1" applyAlignment="1">
      <alignment horizontal="center"/>
    </xf>
    <xf numFmtId="164" fontId="4" fillId="0" borderId="3" xfId="0" applyNumberFormat="1" applyFont="1" applyBorder="1"/>
    <xf numFmtId="164" fontId="3" fillId="0" borderId="4" xfId="0" applyNumberFormat="1" applyFont="1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0" fontId="3" fillId="2" borderId="2" xfId="0" applyNumberFormat="1" applyFont="1" applyFill="1" applyBorder="1" applyAlignment="1">
      <alignment horizontal="center" vertical="center"/>
    </xf>
    <xf numFmtId="1" fontId="3" fillId="0" borderId="3" xfId="0" applyNumberFormat="1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164" fontId="3" fillId="2" borderId="5" xfId="0" applyNumberFormat="1" applyFont="1" applyFill="1" applyBorder="1" applyAlignment="1">
      <alignment horizontal="center"/>
    </xf>
    <xf numFmtId="164" fontId="4" fillId="2" borderId="5" xfId="0" applyNumberFormat="1" applyFont="1" applyFill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164" fontId="3" fillId="0" borderId="5" xfId="0" applyNumberFormat="1" applyFont="1" applyBorder="1" applyAlignment="1">
      <alignment horizontal="center"/>
    </xf>
    <xf numFmtId="0" fontId="4" fillId="0" borderId="5" xfId="0" applyFont="1" applyBorder="1"/>
    <xf numFmtId="3" fontId="4" fillId="0" borderId="5" xfId="0" applyNumberFormat="1" applyFont="1" applyBorder="1" applyAlignment="1">
      <alignment horizontal="center"/>
    </xf>
    <xf numFmtId="3" fontId="3" fillId="0" borderId="5" xfId="0" applyNumberFormat="1" applyFont="1" applyBorder="1" applyAlignment="1">
      <alignment horizontal="center"/>
    </xf>
    <xf numFmtId="164" fontId="3" fillId="2" borderId="5" xfId="0" applyNumberFormat="1" applyFont="1" applyFill="1" applyBorder="1" applyAlignment="1"/>
    <xf numFmtId="164" fontId="2" fillId="2" borderId="5" xfId="0" applyNumberFormat="1" applyFont="1" applyFill="1" applyBorder="1" applyAlignment="1"/>
    <xf numFmtId="164" fontId="5" fillId="2" borderId="5" xfId="0" applyNumberFormat="1" applyFont="1" applyFill="1" applyBorder="1" applyAlignment="1">
      <alignment horizontal="center"/>
    </xf>
    <xf numFmtId="164" fontId="3" fillId="2" borderId="0" xfId="0" applyNumberFormat="1" applyFont="1" applyFill="1" applyAlignment="1">
      <alignment horizontal="center"/>
    </xf>
    <xf numFmtId="164" fontId="3" fillId="2" borderId="0" xfId="0" applyNumberFormat="1" applyFont="1" applyFill="1" applyAlignment="1">
      <alignment horizontal="center"/>
    </xf>
    <xf numFmtId="165" fontId="5" fillId="2" borderId="0" xfId="0" applyNumberFormat="1" applyFont="1" applyFill="1" applyBorder="1" applyAlignment="1">
      <alignment horizontal="center" vertical="center" wrapText="1"/>
    </xf>
    <xf numFmtId="164" fontId="2" fillId="2" borderId="0" xfId="0" applyNumberFormat="1" applyFont="1" applyFill="1" applyBorder="1" applyAlignment="1">
      <alignment horizontal="center"/>
    </xf>
    <xf numFmtId="165" fontId="4" fillId="2" borderId="0" xfId="0" applyNumberFormat="1" applyFont="1" applyFill="1" applyAlignment="1">
      <alignment horizontal="center" vertical="center" wrapText="1"/>
    </xf>
    <xf numFmtId="164" fontId="3" fillId="2" borderId="0" xfId="0" applyNumberFormat="1" applyFont="1" applyFill="1" applyAlignment="1">
      <alignment horizontal="center"/>
    </xf>
  </cellXfs>
  <cellStyles count="1">
    <cellStyle name="Normál" xfId="0" builtinId="0"/>
  </cellStyles>
  <dxfs count="0"/>
  <tableStyles count="0" defaultTableStyle="TableStyleMedium2" defaultPivotStyle="PivotStyleLight16"/>
  <colors>
    <mruColors>
      <color rgb="FFCFE3DF"/>
      <color rgb="FFE2DAEA"/>
      <color rgb="FFCCFFFF"/>
      <color rgb="FFDBE0E9"/>
      <color rgb="FFD2F2E0"/>
      <color rgb="FFBBE3E2"/>
      <color rgb="FFBCD2D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23"/>
  <sheetViews>
    <sheetView zoomScaleNormal="100" workbookViewId="0">
      <selection activeCell="C24" sqref="C24"/>
    </sheetView>
  </sheetViews>
  <sheetFormatPr defaultRowHeight="15" x14ac:dyDescent="0.25"/>
  <cols>
    <col min="1" max="1" width="11.42578125" customWidth="1"/>
    <col min="2" max="2" width="24.42578125" bestFit="1" customWidth="1"/>
    <col min="3" max="3" width="14.140625" bestFit="1" customWidth="1"/>
    <col min="4" max="4" width="13" customWidth="1"/>
    <col min="5" max="5" width="14.140625" bestFit="1" customWidth="1"/>
    <col min="6" max="6" width="3.5703125" customWidth="1"/>
    <col min="7" max="7" width="20.5703125" bestFit="1" customWidth="1"/>
    <col min="8" max="8" width="4" customWidth="1"/>
    <col min="9" max="9" width="19" customWidth="1"/>
  </cols>
  <sheetData>
    <row r="1" spans="1:12" x14ac:dyDescent="0.25">
      <c r="A1" s="65" t="s">
        <v>19</v>
      </c>
      <c r="B1" s="65"/>
      <c r="C1" s="65"/>
      <c r="D1" s="65"/>
      <c r="E1" s="60"/>
      <c r="F1" s="11"/>
      <c r="G1" s="12"/>
      <c r="H1" s="13"/>
      <c r="I1" s="49">
        <v>2019</v>
      </c>
      <c r="J1" s="14"/>
      <c r="K1" s="8"/>
      <c r="L1" s="8"/>
    </row>
    <row r="2" spans="1:12" x14ac:dyDescent="0.25">
      <c r="A2" s="64" t="s">
        <v>28</v>
      </c>
      <c r="B2" s="15"/>
      <c r="C2" s="16" t="s">
        <v>1</v>
      </c>
      <c r="D2" s="16" t="s">
        <v>2</v>
      </c>
      <c r="E2" s="61" t="s">
        <v>3</v>
      </c>
      <c r="F2" s="17"/>
      <c r="G2" s="12" t="s">
        <v>4</v>
      </c>
      <c r="H2" s="18"/>
      <c r="I2" s="42" t="s">
        <v>4</v>
      </c>
      <c r="J2" s="14"/>
      <c r="K2" s="8"/>
      <c r="L2" s="8"/>
    </row>
    <row r="3" spans="1:12" x14ac:dyDescent="0.25">
      <c r="A3" s="64"/>
      <c r="B3" s="19" t="s">
        <v>5</v>
      </c>
      <c r="C3" s="18">
        <f>740588-28571</f>
        <v>712017</v>
      </c>
      <c r="D3" s="18">
        <f>361492-35569</f>
        <v>325923</v>
      </c>
      <c r="E3" s="54">
        <f>SUM(C3:D3)</f>
        <v>1037940</v>
      </c>
      <c r="F3" s="18"/>
      <c r="G3" s="18">
        <f>E3</f>
        <v>1037940</v>
      </c>
      <c r="H3" s="19"/>
      <c r="I3" s="43">
        <v>1881408</v>
      </c>
      <c r="J3" s="14"/>
      <c r="K3" s="8"/>
      <c r="L3" s="8"/>
    </row>
    <row r="4" spans="1:12" x14ac:dyDescent="0.25">
      <c r="A4" s="64"/>
      <c r="B4" s="19" t="s">
        <v>6</v>
      </c>
      <c r="C4" s="18">
        <v>88974</v>
      </c>
      <c r="D4" s="18">
        <f>54728-2978</f>
        <v>51750</v>
      </c>
      <c r="E4" s="54">
        <f>SUM(C4:D4)</f>
        <v>140724</v>
      </c>
      <c r="F4" s="18"/>
      <c r="G4" s="18">
        <f t="shared" ref="G4:G7" si="0">E4</f>
        <v>140724</v>
      </c>
      <c r="H4" s="19"/>
      <c r="I4" s="43">
        <v>130562</v>
      </c>
      <c r="J4" s="14"/>
      <c r="K4" s="8"/>
      <c r="L4" s="8"/>
    </row>
    <row r="5" spans="1:12" x14ac:dyDescent="0.25">
      <c r="A5" s="64"/>
      <c r="B5" s="19" t="s">
        <v>7</v>
      </c>
      <c r="C5" s="18">
        <v>4057</v>
      </c>
      <c r="D5" s="18">
        <v>1014</v>
      </c>
      <c r="E5" s="54">
        <f>SUM(C5:D5)</f>
        <v>5071</v>
      </c>
      <c r="F5" s="18"/>
      <c r="G5" s="18">
        <f t="shared" si="0"/>
        <v>5071</v>
      </c>
      <c r="H5" s="19"/>
      <c r="I5" s="43">
        <v>11302</v>
      </c>
      <c r="J5" s="14"/>
      <c r="K5" s="8"/>
      <c r="L5" s="8"/>
    </row>
    <row r="6" spans="1:12" x14ac:dyDescent="0.25">
      <c r="A6" s="64"/>
      <c r="B6" s="19" t="s">
        <v>8</v>
      </c>
      <c r="C6" s="18">
        <f>251079-925</f>
        <v>250154</v>
      </c>
      <c r="D6" s="18">
        <f>90258-2596</f>
        <v>87662</v>
      </c>
      <c r="E6" s="54">
        <f>SUM(C6:D6)</f>
        <v>337816</v>
      </c>
      <c r="F6" s="18"/>
      <c r="G6" s="18">
        <f t="shared" si="0"/>
        <v>337816</v>
      </c>
      <c r="H6" s="19"/>
      <c r="I6" s="43">
        <v>830504</v>
      </c>
      <c r="J6" s="14"/>
      <c r="K6" s="8"/>
      <c r="L6" s="8"/>
    </row>
    <row r="7" spans="1:12" x14ac:dyDescent="0.25">
      <c r="A7" s="64"/>
      <c r="B7" s="19" t="s">
        <v>9</v>
      </c>
      <c r="C7" s="18">
        <v>48054</v>
      </c>
      <c r="D7" s="18">
        <v>28934</v>
      </c>
      <c r="E7" s="54">
        <f>SUM(C7:D7)</f>
        <v>76988</v>
      </c>
      <c r="F7" s="18"/>
      <c r="G7" s="18">
        <f t="shared" si="0"/>
        <v>76988</v>
      </c>
      <c r="H7" s="19"/>
      <c r="I7" s="43">
        <v>939470</v>
      </c>
      <c r="J7" s="14"/>
      <c r="K7" s="8"/>
      <c r="L7" s="8"/>
    </row>
    <row r="8" spans="1:12" x14ac:dyDescent="0.25">
      <c r="A8" s="64"/>
      <c r="B8" s="19"/>
      <c r="C8" s="18"/>
      <c r="D8" s="18"/>
      <c r="E8" s="54"/>
      <c r="F8" s="18"/>
      <c r="G8" s="18"/>
      <c r="H8" s="19"/>
      <c r="I8" s="43"/>
      <c r="J8" s="14"/>
      <c r="K8" s="8"/>
      <c r="L8" s="8"/>
    </row>
    <row r="9" spans="1:12" x14ac:dyDescent="0.25">
      <c r="A9" s="64"/>
      <c r="B9" s="13" t="s">
        <v>10</v>
      </c>
      <c r="C9" s="20">
        <f t="shared" ref="C9:E9" si="1">SUM(C3:C7)</f>
        <v>1103256</v>
      </c>
      <c r="D9" s="20">
        <f t="shared" si="1"/>
        <v>495283</v>
      </c>
      <c r="E9" s="55">
        <f t="shared" si="1"/>
        <v>1598539</v>
      </c>
      <c r="F9" s="20"/>
      <c r="G9" s="20">
        <f>SUM(G3:G7)</f>
        <v>1598539</v>
      </c>
      <c r="H9" s="13"/>
      <c r="I9" s="44">
        <v>3793246</v>
      </c>
      <c r="J9" s="14"/>
      <c r="K9" s="8"/>
      <c r="L9" s="8"/>
    </row>
    <row r="10" spans="1:12" x14ac:dyDescent="0.25">
      <c r="A10" s="14"/>
      <c r="B10" s="14"/>
      <c r="C10" s="14"/>
      <c r="D10" s="14"/>
      <c r="E10" s="56"/>
      <c r="F10" s="14"/>
      <c r="G10" s="18"/>
      <c r="H10" s="14"/>
      <c r="I10" s="43"/>
      <c r="J10" s="14"/>
      <c r="K10" s="8"/>
      <c r="L10" s="8"/>
    </row>
    <row r="11" spans="1:12" x14ac:dyDescent="0.25">
      <c r="A11" s="21"/>
      <c r="B11" s="19" t="s">
        <v>11</v>
      </c>
      <c r="C11" s="22">
        <v>91</v>
      </c>
      <c r="D11" s="22">
        <v>39</v>
      </c>
      <c r="E11" s="57">
        <f>SUM(C11:D11)</f>
        <v>130</v>
      </c>
      <c r="F11" s="23"/>
      <c r="G11" s="24">
        <f>E11</f>
        <v>130</v>
      </c>
      <c r="H11" s="18"/>
      <c r="I11" s="45">
        <v>199</v>
      </c>
      <c r="J11" s="14"/>
      <c r="K11" s="8"/>
      <c r="L11" s="8"/>
    </row>
    <row r="12" spans="1:12" x14ac:dyDescent="0.25">
      <c r="A12" s="21"/>
      <c r="B12" s="19" t="s">
        <v>12</v>
      </c>
      <c r="C12" s="22">
        <v>67</v>
      </c>
      <c r="D12" s="22">
        <v>30</v>
      </c>
      <c r="E12" s="57">
        <f>SUM(C12:D12)</f>
        <v>97</v>
      </c>
      <c r="F12" s="23"/>
      <c r="G12" s="24">
        <f>E12</f>
        <v>97</v>
      </c>
      <c r="H12" s="19"/>
      <c r="I12" s="45">
        <v>205</v>
      </c>
      <c r="J12" s="14"/>
      <c r="K12" s="8"/>
      <c r="L12" s="8"/>
    </row>
    <row r="13" spans="1:12" x14ac:dyDescent="0.25">
      <c r="A13" s="21"/>
      <c r="B13" s="13" t="s">
        <v>13</v>
      </c>
      <c r="C13" s="25">
        <f t="shared" ref="C13:D13" si="2">SUM(C11:C12)</f>
        <v>158</v>
      </c>
      <c r="D13" s="25">
        <f t="shared" si="2"/>
        <v>69</v>
      </c>
      <c r="E13" s="58">
        <f>SUM(C13:D13)</f>
        <v>227</v>
      </c>
      <c r="F13" s="26"/>
      <c r="G13" s="48">
        <f>SUM(G11:G12)</f>
        <v>227</v>
      </c>
      <c r="H13" s="19"/>
      <c r="I13" s="50">
        <v>404</v>
      </c>
      <c r="J13" s="14"/>
      <c r="K13" s="8"/>
      <c r="L13" s="8"/>
    </row>
    <row r="14" spans="1:12" x14ac:dyDescent="0.25">
      <c r="A14" s="21"/>
      <c r="B14" s="19"/>
      <c r="C14" s="18"/>
      <c r="D14" s="18"/>
      <c r="E14" s="54"/>
      <c r="F14" s="18"/>
      <c r="G14" s="19"/>
      <c r="H14" s="19"/>
      <c r="I14" s="46"/>
      <c r="J14" s="14"/>
      <c r="K14" s="8"/>
      <c r="L14" s="8"/>
    </row>
    <row r="15" spans="1:12" x14ac:dyDescent="0.25">
      <c r="A15" s="21"/>
      <c r="B15" s="19" t="s">
        <v>14</v>
      </c>
      <c r="C15" s="18">
        <f t="shared" ref="C15:D15" si="3">C9/C13</f>
        <v>6982.6329113924048</v>
      </c>
      <c r="D15" s="18">
        <f t="shared" si="3"/>
        <v>7178.014492753623</v>
      </c>
      <c r="E15" s="54">
        <f>E9/E13</f>
        <v>7042.0220264317177</v>
      </c>
      <c r="F15" s="18"/>
      <c r="G15" s="20">
        <f>G9/G13</f>
        <v>7042.0220264317177</v>
      </c>
      <c r="H15" s="19"/>
      <c r="I15" s="47">
        <v>9389</v>
      </c>
      <c r="J15" s="14"/>
      <c r="K15" s="8"/>
      <c r="L15" s="8"/>
    </row>
    <row r="16" spans="1:12" x14ac:dyDescent="0.25">
      <c r="A16" s="21"/>
      <c r="B16" s="19"/>
      <c r="C16" s="18"/>
      <c r="D16" s="18"/>
      <c r="E16" s="18"/>
      <c r="F16" s="18"/>
      <c r="G16" s="19"/>
      <c r="H16" s="19"/>
      <c r="I16" s="14"/>
      <c r="J16" s="14"/>
      <c r="K16" s="8"/>
      <c r="L16" s="8"/>
    </row>
    <row r="17" spans="1:12" x14ac:dyDescent="0.25">
      <c r="A17" s="10"/>
      <c r="B17" s="7"/>
      <c r="C17" s="9"/>
      <c r="D17" s="9"/>
      <c r="E17" s="9"/>
      <c r="F17" s="9"/>
      <c r="G17" s="7"/>
      <c r="H17" s="7"/>
      <c r="I17" s="8"/>
      <c r="J17" s="8"/>
      <c r="K17" s="8"/>
      <c r="L17" s="8"/>
    </row>
    <row r="18" spans="1:12" x14ac:dyDescent="0.25">
      <c r="A18" s="6"/>
      <c r="B18" s="6"/>
      <c r="C18" s="9"/>
      <c r="D18" s="9"/>
      <c r="E18" s="9"/>
      <c r="F18" s="9"/>
      <c r="G18" s="8"/>
      <c r="H18" s="8"/>
      <c r="I18" s="8"/>
      <c r="J18" s="8"/>
      <c r="K18" s="8"/>
      <c r="L18" s="8"/>
    </row>
    <row r="19" spans="1:12" x14ac:dyDescent="0.25">
      <c r="A19" s="3"/>
      <c r="B19" s="3"/>
      <c r="C19" s="2"/>
      <c r="D19" s="2"/>
      <c r="E19" s="2"/>
      <c r="F19" s="2"/>
    </row>
    <row r="20" spans="1:12" x14ac:dyDescent="0.25">
      <c r="A20" s="5"/>
      <c r="B20" s="3"/>
      <c r="C20" s="2"/>
      <c r="E20" s="2"/>
      <c r="F20" s="2"/>
      <c r="G20" s="2"/>
      <c r="H20" s="2"/>
    </row>
    <row r="21" spans="1:12" x14ac:dyDescent="0.25">
      <c r="A21" s="5"/>
      <c r="B21" s="3"/>
      <c r="C21" s="2"/>
      <c r="D21" s="2"/>
      <c r="E21" s="2"/>
      <c r="F21" s="2"/>
      <c r="G21" s="3"/>
      <c r="H21" s="3"/>
    </row>
    <row r="22" spans="1:12" x14ac:dyDescent="0.25">
      <c r="A22" s="5"/>
      <c r="B22" s="3"/>
      <c r="C22" s="2"/>
      <c r="D22" s="2"/>
      <c r="E22" s="2"/>
      <c r="F22" s="2"/>
      <c r="G22" s="3"/>
      <c r="H22" s="3"/>
    </row>
    <row r="23" spans="1:12" x14ac:dyDescent="0.25">
      <c r="A23" s="3"/>
      <c r="B23" s="3"/>
      <c r="C23" s="2"/>
      <c r="D23" s="2"/>
      <c r="E23" s="2"/>
      <c r="F23" s="2"/>
    </row>
  </sheetData>
  <mergeCells count="2">
    <mergeCell ref="A2:A9"/>
    <mergeCell ref="A1:D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ED372-1EF4-4C54-8C55-15E89B90B69B}">
  <dimension ref="A1:N23"/>
  <sheetViews>
    <sheetView zoomScaleNormal="100" workbookViewId="0">
      <selection activeCell="E24" sqref="E24"/>
    </sheetView>
  </sheetViews>
  <sheetFormatPr defaultRowHeight="15" x14ac:dyDescent="0.25"/>
  <cols>
    <col min="1" max="1" width="11.42578125" customWidth="1"/>
    <col min="2" max="2" width="23.85546875" customWidth="1"/>
    <col min="3" max="4" width="11.85546875" customWidth="1"/>
    <col min="5" max="10" width="14.140625" bestFit="1" customWidth="1"/>
    <col min="11" max="11" width="5" customWidth="1"/>
    <col min="12" max="12" width="20.28515625" bestFit="1" customWidth="1"/>
    <col min="13" max="13" width="4.5703125" customWidth="1"/>
    <col min="14" max="14" width="19.5703125" bestFit="1" customWidth="1"/>
  </cols>
  <sheetData>
    <row r="1" spans="1:14" x14ac:dyDescent="0.25">
      <c r="A1" s="67" t="s">
        <v>20</v>
      </c>
      <c r="B1" s="67"/>
      <c r="C1" s="67"/>
      <c r="D1" s="67"/>
      <c r="E1" s="67"/>
      <c r="F1" s="67"/>
      <c r="G1" s="67"/>
      <c r="H1" s="67"/>
      <c r="I1" s="67"/>
      <c r="J1" s="59"/>
      <c r="K1" s="27"/>
      <c r="L1" s="28"/>
      <c r="M1" s="1"/>
      <c r="N1" s="49">
        <v>2019</v>
      </c>
    </row>
    <row r="2" spans="1:14" x14ac:dyDescent="0.25">
      <c r="A2" s="66" t="s">
        <v>27</v>
      </c>
      <c r="B2" s="28"/>
      <c r="C2" s="29" t="s">
        <v>15</v>
      </c>
      <c r="D2" s="29" t="s">
        <v>16</v>
      </c>
      <c r="E2" s="29" t="s">
        <v>17</v>
      </c>
      <c r="F2" s="29" t="s">
        <v>18</v>
      </c>
      <c r="G2" s="29" t="s">
        <v>0</v>
      </c>
      <c r="H2" s="29" t="s">
        <v>1</v>
      </c>
      <c r="I2" s="29" t="s">
        <v>2</v>
      </c>
      <c r="J2" s="53" t="s">
        <v>3</v>
      </c>
      <c r="K2" s="30"/>
      <c r="L2" s="28" t="s">
        <v>4</v>
      </c>
      <c r="M2" s="2"/>
      <c r="N2" s="42" t="s">
        <v>4</v>
      </c>
    </row>
    <row r="3" spans="1:14" x14ac:dyDescent="0.25">
      <c r="A3" s="66"/>
      <c r="B3" s="31" t="s">
        <v>5</v>
      </c>
      <c r="C3" s="32">
        <v>0</v>
      </c>
      <c r="D3" s="32">
        <v>0</v>
      </c>
      <c r="E3" s="32">
        <f>171657-22857</f>
        <v>148800</v>
      </c>
      <c r="F3" s="32">
        <f>692838-28571</f>
        <v>664267</v>
      </c>
      <c r="G3" s="32">
        <f>234540-26762</f>
        <v>207778</v>
      </c>
      <c r="H3" s="32">
        <f>1072333-34285</f>
        <v>1038048</v>
      </c>
      <c r="I3" s="32">
        <f>378302-35046</f>
        <v>343256</v>
      </c>
      <c r="J3" s="54">
        <f>SUM(C3:I3)</f>
        <v>2402149</v>
      </c>
      <c r="K3" s="32"/>
      <c r="L3" s="32">
        <f>J3+'0501-0502'!G3</f>
        <v>3440089</v>
      </c>
      <c r="M3" s="3"/>
      <c r="N3" s="43">
        <v>3211346</v>
      </c>
    </row>
    <row r="4" spans="1:14" x14ac:dyDescent="0.25">
      <c r="A4" s="66"/>
      <c r="B4" s="31" t="s">
        <v>6</v>
      </c>
      <c r="C4" s="32">
        <v>0</v>
      </c>
      <c r="D4" s="32">
        <f>14831-6710</f>
        <v>8121</v>
      </c>
      <c r="E4" s="32">
        <f>14283-1285</f>
        <v>12998</v>
      </c>
      <c r="F4" s="32">
        <f>38107-4713</f>
        <v>33394</v>
      </c>
      <c r="G4" s="32">
        <f>15160-1999</f>
        <v>13161</v>
      </c>
      <c r="H4" s="32">
        <v>141874</v>
      </c>
      <c r="I4" s="32">
        <f>49432-5368</f>
        <v>44064</v>
      </c>
      <c r="J4" s="54">
        <f>SUM(C4:I4)</f>
        <v>253612</v>
      </c>
      <c r="K4" s="32"/>
      <c r="L4" s="32">
        <f>J4+'0501-0502'!G4</f>
        <v>394336</v>
      </c>
      <c r="M4" s="3"/>
      <c r="N4" s="43">
        <v>201932</v>
      </c>
    </row>
    <row r="5" spans="1:14" x14ac:dyDescent="0.25">
      <c r="A5" s="66"/>
      <c r="B5" s="31" t="s">
        <v>7</v>
      </c>
      <c r="C5" s="32">
        <v>0</v>
      </c>
      <c r="D5" s="32">
        <f>6773-2715</f>
        <v>4058</v>
      </c>
      <c r="E5" s="32">
        <v>0</v>
      </c>
      <c r="F5" s="32">
        <v>0</v>
      </c>
      <c r="G5" s="32">
        <v>0</v>
      </c>
      <c r="H5" s="32">
        <v>9128</v>
      </c>
      <c r="I5" s="32">
        <v>9128</v>
      </c>
      <c r="J5" s="54">
        <f>SUM(C5:I5)</f>
        <v>22314</v>
      </c>
      <c r="K5" s="32"/>
      <c r="L5" s="32">
        <f>J5+'0501-0502'!G5</f>
        <v>27385</v>
      </c>
      <c r="M5" s="3"/>
      <c r="N5" s="43">
        <v>22995</v>
      </c>
    </row>
    <row r="6" spans="1:14" x14ac:dyDescent="0.25">
      <c r="A6" s="66"/>
      <c r="B6" s="31" t="s">
        <v>8</v>
      </c>
      <c r="C6" s="32">
        <v>0</v>
      </c>
      <c r="D6" s="32">
        <v>37436</v>
      </c>
      <c r="E6" s="32">
        <f>66450-4804</f>
        <v>61646</v>
      </c>
      <c r="F6" s="32">
        <f>80649-1102</f>
        <v>79547</v>
      </c>
      <c r="G6" s="32">
        <f>50596-2401</f>
        <v>48195</v>
      </c>
      <c r="H6" s="32">
        <f>366571-10629</f>
        <v>355942</v>
      </c>
      <c r="I6" s="32">
        <f>110328-3502</f>
        <v>106826</v>
      </c>
      <c r="J6" s="54">
        <f>SUM(C6:I6)</f>
        <v>689592</v>
      </c>
      <c r="K6" s="32"/>
      <c r="L6" s="32">
        <f>J6+'0501-0502'!G6</f>
        <v>1027408</v>
      </c>
      <c r="M6" s="3"/>
      <c r="N6" s="43">
        <v>1766498</v>
      </c>
    </row>
    <row r="7" spans="1:14" x14ac:dyDescent="0.25">
      <c r="A7" s="66"/>
      <c r="B7" s="31" t="s">
        <v>9</v>
      </c>
      <c r="C7" s="32">
        <v>0</v>
      </c>
      <c r="D7" s="32">
        <f>10079-10079</f>
        <v>0</v>
      </c>
      <c r="E7" s="32">
        <v>54504</v>
      </c>
      <c r="F7" s="32">
        <v>94805</v>
      </c>
      <c r="G7" s="32">
        <v>5205</v>
      </c>
      <c r="H7" s="32">
        <v>110937</v>
      </c>
      <c r="I7" s="32">
        <v>26134</v>
      </c>
      <c r="J7" s="54">
        <f>SUM(C7:I7)</f>
        <v>291585</v>
      </c>
      <c r="K7" s="32"/>
      <c r="L7" s="32">
        <f>J7+'0501-0502'!G7</f>
        <v>368573</v>
      </c>
      <c r="M7" s="3"/>
      <c r="N7" s="43">
        <v>1544703</v>
      </c>
    </row>
    <row r="8" spans="1:14" x14ac:dyDescent="0.25">
      <c r="A8" s="66"/>
      <c r="B8" s="31"/>
      <c r="C8" s="32"/>
      <c r="D8" s="32"/>
      <c r="E8" s="32"/>
      <c r="F8" s="32"/>
      <c r="G8" s="32"/>
      <c r="H8" s="32"/>
      <c r="I8" s="32"/>
      <c r="J8" s="54"/>
      <c r="K8" s="32"/>
      <c r="L8" s="32"/>
      <c r="M8" s="3"/>
      <c r="N8" s="43"/>
    </row>
    <row r="9" spans="1:14" x14ac:dyDescent="0.25">
      <c r="A9" s="66"/>
      <c r="B9" s="33" t="s">
        <v>10</v>
      </c>
      <c r="C9" s="34">
        <f t="shared" ref="C9:J9" si="0">SUM(C3:C7)</f>
        <v>0</v>
      </c>
      <c r="D9" s="34">
        <f t="shared" si="0"/>
        <v>49615</v>
      </c>
      <c r="E9" s="34">
        <f t="shared" si="0"/>
        <v>277948</v>
      </c>
      <c r="F9" s="34">
        <f t="shared" si="0"/>
        <v>872013</v>
      </c>
      <c r="G9" s="34">
        <f t="shared" si="0"/>
        <v>274339</v>
      </c>
      <c r="H9" s="34">
        <f t="shared" si="0"/>
        <v>1655929</v>
      </c>
      <c r="I9" s="34">
        <f t="shared" si="0"/>
        <v>529408</v>
      </c>
      <c r="J9" s="55">
        <f t="shared" si="0"/>
        <v>3659252</v>
      </c>
      <c r="K9" s="34"/>
      <c r="L9" s="34">
        <f>SUM(L3:L7)</f>
        <v>5257791</v>
      </c>
      <c r="M9" s="4"/>
      <c r="N9" s="44">
        <v>6747474</v>
      </c>
    </row>
    <row r="10" spans="1:14" x14ac:dyDescent="0.25">
      <c r="A10" s="35"/>
      <c r="B10" s="35"/>
      <c r="C10" s="35"/>
      <c r="D10" s="35"/>
      <c r="E10" s="35"/>
      <c r="F10" s="35"/>
      <c r="G10" s="35"/>
      <c r="H10" s="35"/>
      <c r="I10" s="35"/>
      <c r="J10" s="56"/>
      <c r="K10" s="35"/>
      <c r="L10" s="32"/>
      <c r="N10" s="43"/>
    </row>
    <row r="11" spans="1:14" x14ac:dyDescent="0.25">
      <c r="A11" s="36"/>
      <c r="B11" s="31" t="s">
        <v>11</v>
      </c>
      <c r="C11" s="37">
        <v>0</v>
      </c>
      <c r="D11" s="37">
        <v>0</v>
      </c>
      <c r="E11" s="37">
        <v>17</v>
      </c>
      <c r="F11" s="37">
        <v>57</v>
      </c>
      <c r="G11" s="37">
        <v>18</v>
      </c>
      <c r="H11" s="37">
        <v>111</v>
      </c>
      <c r="I11" s="37">
        <v>35</v>
      </c>
      <c r="J11" s="57">
        <f>SUM(C11:I11)</f>
        <v>238</v>
      </c>
      <c r="K11" s="38"/>
      <c r="L11" s="39">
        <f>J11+'0501-0502'!G11</f>
        <v>368</v>
      </c>
      <c r="M11" s="2"/>
      <c r="N11" s="45">
        <v>395</v>
      </c>
    </row>
    <row r="12" spans="1:14" x14ac:dyDescent="0.25">
      <c r="A12" s="36"/>
      <c r="B12" s="31" t="s">
        <v>12</v>
      </c>
      <c r="C12" s="37">
        <v>0</v>
      </c>
      <c r="D12" s="37">
        <v>17</v>
      </c>
      <c r="E12" s="37">
        <v>2</v>
      </c>
      <c r="F12" s="37">
        <v>0</v>
      </c>
      <c r="G12" s="37">
        <v>0</v>
      </c>
      <c r="H12" s="37">
        <v>88</v>
      </c>
      <c r="I12" s="37">
        <v>70</v>
      </c>
      <c r="J12" s="57">
        <f>SUM(C12:I12)</f>
        <v>177</v>
      </c>
      <c r="K12" s="38"/>
      <c r="L12" s="39">
        <f>J12+'0501-0502'!G12</f>
        <v>274</v>
      </c>
      <c r="M12" s="3"/>
      <c r="N12" s="45">
        <v>371</v>
      </c>
    </row>
    <row r="13" spans="1:14" x14ac:dyDescent="0.25">
      <c r="A13" s="36"/>
      <c r="B13" s="33" t="s">
        <v>13</v>
      </c>
      <c r="C13" s="40">
        <f>SUM(C11:C12)</f>
        <v>0</v>
      </c>
      <c r="D13" s="40">
        <f t="shared" ref="D13:I13" si="1">SUM(D11:D12)</f>
        <v>17</v>
      </c>
      <c r="E13" s="40">
        <f t="shared" si="1"/>
        <v>19</v>
      </c>
      <c r="F13" s="40">
        <f t="shared" si="1"/>
        <v>57</v>
      </c>
      <c r="G13" s="40">
        <f t="shared" si="1"/>
        <v>18</v>
      </c>
      <c r="H13" s="40">
        <f t="shared" si="1"/>
        <v>199</v>
      </c>
      <c r="I13" s="40">
        <f t="shared" si="1"/>
        <v>105</v>
      </c>
      <c r="J13" s="58">
        <f>SUM(C13:I13)</f>
        <v>415</v>
      </c>
      <c r="K13" s="41"/>
      <c r="L13" s="51">
        <f>J13+'0501-0502'!G13</f>
        <v>642</v>
      </c>
      <c r="M13" s="3"/>
      <c r="N13" s="50">
        <v>766</v>
      </c>
    </row>
    <row r="14" spans="1:14" x14ac:dyDescent="0.25">
      <c r="A14" s="36"/>
      <c r="B14" s="31"/>
      <c r="C14" s="32"/>
      <c r="D14" s="32"/>
      <c r="E14" s="32"/>
      <c r="F14" s="32"/>
      <c r="G14" s="32"/>
      <c r="H14" s="32"/>
      <c r="I14" s="32"/>
      <c r="J14" s="54"/>
      <c r="K14" s="32"/>
      <c r="L14" s="31"/>
      <c r="M14" s="3"/>
      <c r="N14" s="46"/>
    </row>
    <row r="15" spans="1:14" x14ac:dyDescent="0.25">
      <c r="A15" s="36"/>
      <c r="B15" s="31" t="s">
        <v>14</v>
      </c>
      <c r="C15" s="32" t="e">
        <f t="shared" ref="C15:I15" si="2">C9/C13</f>
        <v>#DIV/0!</v>
      </c>
      <c r="D15" s="32">
        <f t="shared" si="2"/>
        <v>2918.5294117647059</v>
      </c>
      <c r="E15" s="32">
        <f t="shared" si="2"/>
        <v>14628.842105263158</v>
      </c>
      <c r="F15" s="32">
        <f t="shared" si="2"/>
        <v>15298.473684210527</v>
      </c>
      <c r="G15" s="32">
        <f t="shared" si="2"/>
        <v>15241.055555555555</v>
      </c>
      <c r="H15" s="32">
        <f t="shared" si="2"/>
        <v>8321.2512562814063</v>
      </c>
      <c r="I15" s="32">
        <f t="shared" si="2"/>
        <v>5041.9809523809527</v>
      </c>
      <c r="J15" s="54">
        <f>J9/J13</f>
        <v>8817.4746987951803</v>
      </c>
      <c r="K15" s="32"/>
      <c r="L15" s="34">
        <f>L9/L13</f>
        <v>8189.7056074766351</v>
      </c>
      <c r="M15" s="3"/>
      <c r="N15" s="47">
        <v>8809</v>
      </c>
    </row>
    <row r="16" spans="1:14" x14ac:dyDescent="0.25">
      <c r="A16" s="5"/>
      <c r="B16" s="3"/>
      <c r="C16" s="2"/>
      <c r="D16" s="2"/>
      <c r="E16" s="2"/>
      <c r="F16" s="2"/>
      <c r="G16" s="2"/>
      <c r="H16" s="2"/>
      <c r="I16" s="2"/>
      <c r="J16" s="2"/>
      <c r="K16" s="2"/>
      <c r="L16" s="3"/>
      <c r="M16" s="3"/>
    </row>
    <row r="17" spans="1:13" x14ac:dyDescent="0.25">
      <c r="A17" s="5"/>
      <c r="B17" s="4"/>
      <c r="C17" s="2"/>
      <c r="D17" s="2"/>
      <c r="E17" s="2"/>
      <c r="F17" s="2"/>
      <c r="G17" s="2"/>
      <c r="H17" s="2"/>
      <c r="I17" s="2"/>
      <c r="J17" s="2"/>
      <c r="K17" s="2"/>
      <c r="L17" s="4"/>
      <c r="M17" s="4"/>
    </row>
    <row r="18" spans="1:13" x14ac:dyDescent="0.25">
      <c r="A18" s="3"/>
      <c r="B18" s="3"/>
      <c r="C18" s="2"/>
      <c r="D18" s="2"/>
      <c r="E18" s="2"/>
      <c r="F18" s="2"/>
      <c r="G18" s="2"/>
      <c r="H18" s="2"/>
      <c r="I18" s="2"/>
      <c r="J18" s="2"/>
      <c r="K18" s="2"/>
    </row>
    <row r="19" spans="1:13" x14ac:dyDescent="0.25">
      <c r="A19" s="3"/>
      <c r="B19" s="3"/>
      <c r="C19" s="2"/>
      <c r="D19" s="2"/>
      <c r="E19" s="2"/>
      <c r="F19" s="2"/>
      <c r="G19" s="2"/>
      <c r="H19" s="2"/>
      <c r="I19" s="2"/>
      <c r="J19" s="2"/>
      <c r="K19" s="2"/>
    </row>
    <row r="20" spans="1:13" x14ac:dyDescent="0.25">
      <c r="A20" s="5"/>
      <c r="B20" s="3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</row>
    <row r="21" spans="1:13" x14ac:dyDescent="0.25">
      <c r="A21" s="5"/>
      <c r="B21" s="3"/>
      <c r="C21" s="2"/>
      <c r="D21" s="2"/>
      <c r="E21" s="2"/>
      <c r="F21" s="2"/>
      <c r="G21" s="2"/>
      <c r="H21" s="2"/>
      <c r="I21" s="2"/>
      <c r="J21" s="2"/>
      <c r="K21" s="2"/>
      <c r="L21" s="3"/>
      <c r="M21" s="3"/>
    </row>
    <row r="22" spans="1:13" x14ac:dyDescent="0.25">
      <c r="A22" s="5"/>
      <c r="B22" s="3"/>
      <c r="C22" s="2"/>
      <c r="D22" s="2"/>
      <c r="E22" s="2"/>
      <c r="F22" s="2"/>
      <c r="G22" s="2"/>
      <c r="H22" s="2"/>
      <c r="I22" s="2"/>
      <c r="J22" s="2"/>
      <c r="K22" s="2"/>
      <c r="L22" s="3"/>
      <c r="M22" s="3"/>
    </row>
    <row r="23" spans="1:13" x14ac:dyDescent="0.25">
      <c r="A23" s="3"/>
      <c r="B23" s="3"/>
      <c r="C23" s="2"/>
      <c r="D23" s="2"/>
      <c r="E23" s="2"/>
      <c r="F23" s="2"/>
      <c r="G23" s="2"/>
      <c r="H23" s="2"/>
      <c r="I23" s="2"/>
      <c r="J23" s="2"/>
      <c r="K23" s="2"/>
    </row>
  </sheetData>
  <mergeCells count="2">
    <mergeCell ref="A2:A9"/>
    <mergeCell ref="A1:I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3"/>
  <sheetViews>
    <sheetView workbookViewId="0">
      <selection activeCell="H27" sqref="H27"/>
    </sheetView>
  </sheetViews>
  <sheetFormatPr defaultRowHeight="15" x14ac:dyDescent="0.25"/>
  <cols>
    <col min="1" max="1" width="11.42578125" customWidth="1"/>
    <col min="2" max="2" width="24.42578125" bestFit="1" customWidth="1"/>
    <col min="3" max="5" width="13.28515625" bestFit="1" customWidth="1"/>
    <col min="6" max="6" width="13.28515625" customWidth="1"/>
    <col min="7" max="8" width="14.140625" bestFit="1" customWidth="1"/>
    <col min="9" max="9" width="13.28515625" bestFit="1" customWidth="1"/>
    <col min="10" max="10" width="14.140625" bestFit="1" customWidth="1"/>
    <col min="11" max="11" width="3.7109375" customWidth="1"/>
    <col min="12" max="12" width="20.28515625" bestFit="1" customWidth="1"/>
    <col min="13" max="13" width="3.28515625" customWidth="1"/>
    <col min="14" max="14" width="19.5703125" bestFit="1" customWidth="1"/>
    <col min="17" max="17" width="9.140625" customWidth="1"/>
  </cols>
  <sheetData>
    <row r="1" spans="1:14" x14ac:dyDescent="0.25">
      <c r="A1" s="67" t="s">
        <v>21</v>
      </c>
      <c r="B1" s="67"/>
      <c r="C1" s="67"/>
      <c r="D1" s="67"/>
      <c r="E1" s="67"/>
      <c r="F1" s="67"/>
      <c r="G1" s="67"/>
      <c r="H1" s="67"/>
      <c r="I1" s="67"/>
      <c r="J1" s="52"/>
      <c r="K1" s="27"/>
      <c r="L1" s="28"/>
      <c r="M1" s="1"/>
      <c r="N1" s="49">
        <v>2019</v>
      </c>
    </row>
    <row r="2" spans="1:14" x14ac:dyDescent="0.25">
      <c r="A2" s="66" t="s">
        <v>26</v>
      </c>
      <c r="B2" s="28"/>
      <c r="C2" s="29" t="s">
        <v>15</v>
      </c>
      <c r="D2" s="29" t="s">
        <v>16</v>
      </c>
      <c r="E2" s="29" t="s">
        <v>17</v>
      </c>
      <c r="F2" s="29" t="s">
        <v>18</v>
      </c>
      <c r="G2" s="29" t="s">
        <v>0</v>
      </c>
      <c r="H2" s="29" t="s">
        <v>1</v>
      </c>
      <c r="I2" s="29" t="s">
        <v>2</v>
      </c>
      <c r="J2" s="53" t="s">
        <v>3</v>
      </c>
      <c r="K2" s="30"/>
      <c r="L2" s="28" t="s">
        <v>4</v>
      </c>
      <c r="M2" s="2"/>
      <c r="N2" s="42" t="s">
        <v>4</v>
      </c>
    </row>
    <row r="3" spans="1:14" x14ac:dyDescent="0.25">
      <c r="A3" s="66"/>
      <c r="B3" s="31" t="s">
        <v>5</v>
      </c>
      <c r="C3" s="32">
        <v>0</v>
      </c>
      <c r="D3" s="32">
        <f>16136-3761</f>
        <v>12375</v>
      </c>
      <c r="E3" s="32">
        <f>63063-17142</f>
        <v>45921</v>
      </c>
      <c r="F3" s="32">
        <f>109463-17142</f>
        <v>92321</v>
      </c>
      <c r="G3" s="32">
        <v>275946</v>
      </c>
      <c r="H3" s="32">
        <f>853677-46475</f>
        <v>807202</v>
      </c>
      <c r="I3" s="32">
        <f>424603-31428</f>
        <v>393175</v>
      </c>
      <c r="J3" s="54">
        <f>SUM(C3:I3)</f>
        <v>1626940</v>
      </c>
      <c r="K3" s="32"/>
      <c r="L3" s="32">
        <f>J3+'0503-0509'!L3</f>
        <v>5067029</v>
      </c>
      <c r="M3" s="3"/>
      <c r="N3" s="43">
        <v>4448805</v>
      </c>
    </row>
    <row r="4" spans="1:14" x14ac:dyDescent="0.25">
      <c r="A4" s="66"/>
      <c r="B4" s="31" t="s">
        <v>6</v>
      </c>
      <c r="C4" s="32">
        <f>6261-4139</f>
        <v>2122</v>
      </c>
      <c r="D4" s="32">
        <f>9830-4873</f>
        <v>4957</v>
      </c>
      <c r="E4" s="32">
        <f>5659-1285</f>
        <v>4374</v>
      </c>
      <c r="F4" s="32">
        <f>9219-856</f>
        <v>8363</v>
      </c>
      <c r="G4" s="32">
        <f>53330-3569</f>
        <v>49761</v>
      </c>
      <c r="H4" s="32">
        <f>105809-2108</f>
        <v>103701</v>
      </c>
      <c r="I4" s="32">
        <f>59504-3148</f>
        <v>56356</v>
      </c>
      <c r="J4" s="54">
        <f>SUM(C4:I4)</f>
        <v>229634</v>
      </c>
      <c r="K4" s="32"/>
      <c r="L4" s="32">
        <f>J4+'0503-0509'!L4</f>
        <v>623970</v>
      </c>
      <c r="M4" s="3"/>
      <c r="N4" s="43">
        <v>259170</v>
      </c>
    </row>
    <row r="5" spans="1:14" x14ac:dyDescent="0.25">
      <c r="A5" s="66"/>
      <c r="B5" s="31" t="s">
        <v>7</v>
      </c>
      <c r="C5" s="32">
        <v>0</v>
      </c>
      <c r="D5" s="32">
        <v>0</v>
      </c>
      <c r="E5" s="32">
        <v>1014</v>
      </c>
      <c r="F5" s="32">
        <v>1014</v>
      </c>
      <c r="G5" s="32">
        <v>1014</v>
      </c>
      <c r="H5" s="32">
        <v>5071</v>
      </c>
      <c r="I5" s="32">
        <v>0</v>
      </c>
      <c r="J5" s="54">
        <f>SUM(C5:I5)</f>
        <v>8113</v>
      </c>
      <c r="K5" s="32"/>
      <c r="L5" s="32">
        <f>J5+'0503-0509'!L5</f>
        <v>35498</v>
      </c>
      <c r="M5" s="3"/>
      <c r="N5" s="43">
        <v>28842</v>
      </c>
    </row>
    <row r="6" spans="1:14" x14ac:dyDescent="0.25">
      <c r="A6" s="66"/>
      <c r="B6" s="31" t="s">
        <v>8</v>
      </c>
      <c r="C6" s="32">
        <v>617</v>
      </c>
      <c r="D6" s="32">
        <v>18255</v>
      </c>
      <c r="E6" s="32">
        <v>0</v>
      </c>
      <c r="F6" s="32">
        <v>58117</v>
      </c>
      <c r="G6" s="32">
        <f>102205-7754</f>
        <v>94451</v>
      </c>
      <c r="H6" s="32">
        <f>195973-24484</f>
        <v>171489</v>
      </c>
      <c r="I6" s="32">
        <v>34702</v>
      </c>
      <c r="J6" s="54">
        <f>SUM(C6:I6)</f>
        <v>377631</v>
      </c>
      <c r="K6" s="32"/>
      <c r="L6" s="32">
        <f>J6+'0503-0509'!L6</f>
        <v>1405039</v>
      </c>
      <c r="M6" s="3"/>
      <c r="N6" s="43">
        <v>1649892</v>
      </c>
    </row>
    <row r="7" spans="1:14" x14ac:dyDescent="0.25">
      <c r="A7" s="66"/>
      <c r="B7" s="31" t="s">
        <v>9</v>
      </c>
      <c r="C7" s="32">
        <v>7110</v>
      </c>
      <c r="D7" s="32">
        <v>41898</v>
      </c>
      <c r="E7" s="32">
        <v>0</v>
      </c>
      <c r="F7" s="32">
        <v>0</v>
      </c>
      <c r="G7" s="32">
        <v>16735</v>
      </c>
      <c r="H7" s="32">
        <v>142196</v>
      </c>
      <c r="I7" s="32">
        <v>50504</v>
      </c>
      <c r="J7" s="54">
        <f>SUM(C7:I7)</f>
        <v>258443</v>
      </c>
      <c r="K7" s="32"/>
      <c r="L7" s="32">
        <f>J7+'0503-0509'!L7</f>
        <v>627016</v>
      </c>
      <c r="M7" s="3"/>
      <c r="N7" s="43">
        <v>1974048</v>
      </c>
    </row>
    <row r="8" spans="1:14" x14ac:dyDescent="0.25">
      <c r="A8" s="66"/>
      <c r="B8" s="31"/>
      <c r="C8" s="32"/>
      <c r="D8" s="32"/>
      <c r="E8" s="32"/>
      <c r="F8" s="32"/>
      <c r="G8" s="32"/>
      <c r="H8" s="32"/>
      <c r="I8" s="32"/>
      <c r="J8" s="54"/>
      <c r="K8" s="32"/>
      <c r="L8" s="31"/>
      <c r="M8" s="3"/>
      <c r="N8" s="43"/>
    </row>
    <row r="9" spans="1:14" x14ac:dyDescent="0.25">
      <c r="A9" s="66"/>
      <c r="B9" s="33" t="s">
        <v>10</v>
      </c>
      <c r="C9" s="34">
        <f>SUM(C3:C7)</f>
        <v>9849</v>
      </c>
      <c r="D9" s="34">
        <f t="shared" ref="D9:I9" si="0">SUM(D3:D7)</f>
        <v>77485</v>
      </c>
      <c r="E9" s="34">
        <f t="shared" si="0"/>
        <v>51309</v>
      </c>
      <c r="F9" s="34">
        <f t="shared" si="0"/>
        <v>159815</v>
      </c>
      <c r="G9" s="34">
        <f t="shared" si="0"/>
        <v>437907</v>
      </c>
      <c r="H9" s="34">
        <f t="shared" si="0"/>
        <v>1229659</v>
      </c>
      <c r="I9" s="34">
        <f t="shared" si="0"/>
        <v>534737</v>
      </c>
      <c r="J9" s="55">
        <f t="shared" ref="J9" si="1">SUM(J3:J7)</f>
        <v>2500761</v>
      </c>
      <c r="K9" s="34"/>
      <c r="L9" s="34">
        <f>SUM(L3:L7)</f>
        <v>7758552</v>
      </c>
      <c r="M9" s="4"/>
      <c r="N9" s="44">
        <v>9360757</v>
      </c>
    </row>
    <row r="10" spans="1:14" x14ac:dyDescent="0.25">
      <c r="A10" s="35"/>
      <c r="B10" s="35"/>
      <c r="C10" s="35"/>
      <c r="D10" s="35"/>
      <c r="E10" s="35"/>
      <c r="F10" s="35"/>
      <c r="G10" s="35"/>
      <c r="H10" s="35"/>
      <c r="I10" s="35"/>
      <c r="J10" s="56"/>
      <c r="K10" s="35"/>
      <c r="L10" s="35"/>
      <c r="N10" s="43"/>
    </row>
    <row r="11" spans="1:14" x14ac:dyDescent="0.25">
      <c r="A11" s="36"/>
      <c r="B11" s="31" t="s">
        <v>11</v>
      </c>
      <c r="C11" s="37">
        <v>0</v>
      </c>
      <c r="D11" s="37">
        <v>6</v>
      </c>
      <c r="E11" s="37">
        <v>4</v>
      </c>
      <c r="F11" s="37">
        <v>11</v>
      </c>
      <c r="G11" s="37">
        <v>26</v>
      </c>
      <c r="H11" s="37">
        <v>85</v>
      </c>
      <c r="I11" s="37">
        <v>34</v>
      </c>
      <c r="J11" s="57">
        <f>SUM(C11:I11)</f>
        <v>166</v>
      </c>
      <c r="K11" s="38"/>
      <c r="L11" s="38">
        <f>J11+'0503-0509'!L11</f>
        <v>534</v>
      </c>
      <c r="M11" s="2"/>
      <c r="N11" s="45">
        <v>547</v>
      </c>
    </row>
    <row r="12" spans="1:14" x14ac:dyDescent="0.25">
      <c r="A12" s="36"/>
      <c r="B12" s="31" t="s">
        <v>12</v>
      </c>
      <c r="C12" s="37">
        <v>2</v>
      </c>
      <c r="D12" s="37">
        <v>4</v>
      </c>
      <c r="E12" s="37">
        <v>4</v>
      </c>
      <c r="F12" s="37">
        <v>11</v>
      </c>
      <c r="G12" s="37">
        <v>14</v>
      </c>
      <c r="H12" s="37">
        <v>57</v>
      </c>
      <c r="I12" s="37">
        <v>22</v>
      </c>
      <c r="J12" s="57">
        <f>SUM(C12:I12)</f>
        <v>114</v>
      </c>
      <c r="K12" s="38"/>
      <c r="L12" s="38">
        <f>J12+'0503-0509'!L12</f>
        <v>388</v>
      </c>
      <c r="M12" s="3"/>
      <c r="N12" s="45">
        <v>478</v>
      </c>
    </row>
    <row r="13" spans="1:14" x14ac:dyDescent="0.25">
      <c r="A13" s="36"/>
      <c r="B13" s="33" t="s">
        <v>13</v>
      </c>
      <c r="C13" s="40">
        <f>SUM(C11:C12)</f>
        <v>2</v>
      </c>
      <c r="D13" s="40">
        <f t="shared" ref="D13:I13" si="2">SUM(D11:D12)</f>
        <v>10</v>
      </c>
      <c r="E13" s="40">
        <f t="shared" si="2"/>
        <v>8</v>
      </c>
      <c r="F13" s="40">
        <f t="shared" si="2"/>
        <v>22</v>
      </c>
      <c r="G13" s="40">
        <f t="shared" si="2"/>
        <v>40</v>
      </c>
      <c r="H13" s="40">
        <f t="shared" si="2"/>
        <v>142</v>
      </c>
      <c r="I13" s="40">
        <f t="shared" si="2"/>
        <v>56</v>
      </c>
      <c r="J13" s="58">
        <f>SUM(C13:I13)</f>
        <v>280</v>
      </c>
      <c r="K13" s="38"/>
      <c r="L13" s="41">
        <f>J13+'0503-0509'!L13</f>
        <v>922</v>
      </c>
      <c r="M13" s="3"/>
      <c r="N13" s="50">
        <v>1025</v>
      </c>
    </row>
    <row r="14" spans="1:14" x14ac:dyDescent="0.25">
      <c r="A14" s="36"/>
      <c r="B14" s="31"/>
      <c r="C14" s="32"/>
      <c r="D14" s="32"/>
      <c r="E14" s="32"/>
      <c r="F14" s="32"/>
      <c r="G14" s="32"/>
      <c r="H14" s="32"/>
      <c r="I14" s="32"/>
      <c r="J14" s="54"/>
      <c r="K14" s="32"/>
      <c r="L14" s="31"/>
      <c r="M14" s="3"/>
      <c r="N14" s="46"/>
    </row>
    <row r="15" spans="1:14" x14ac:dyDescent="0.25">
      <c r="A15" s="36"/>
      <c r="B15" s="31" t="s">
        <v>14</v>
      </c>
      <c r="C15" s="32">
        <f t="shared" ref="C15:I15" si="3">C9/C13</f>
        <v>4924.5</v>
      </c>
      <c r="D15" s="32">
        <f t="shared" si="3"/>
        <v>7748.5</v>
      </c>
      <c r="E15" s="32">
        <f t="shared" si="3"/>
        <v>6413.625</v>
      </c>
      <c r="F15" s="32">
        <f t="shared" si="3"/>
        <v>7264.318181818182</v>
      </c>
      <c r="G15" s="32">
        <f t="shared" si="3"/>
        <v>10947.674999999999</v>
      </c>
      <c r="H15" s="32">
        <f t="shared" si="3"/>
        <v>8659.570422535211</v>
      </c>
      <c r="I15" s="32">
        <f t="shared" si="3"/>
        <v>9548.875</v>
      </c>
      <c r="J15" s="54">
        <f>J9/J13</f>
        <v>8931.2892857142851</v>
      </c>
      <c r="K15" s="32"/>
      <c r="L15" s="34">
        <f>L9/L13</f>
        <v>8414.9154013015177</v>
      </c>
      <c r="M15" s="3"/>
      <c r="N15" s="47">
        <f>N9/N13</f>
        <v>9132.4458536585371</v>
      </c>
    </row>
    <row r="16" spans="1:14" x14ac:dyDescent="0.25">
      <c r="A16" s="36"/>
      <c r="B16" s="31"/>
      <c r="C16" s="32"/>
      <c r="D16" s="32"/>
      <c r="E16" s="32"/>
      <c r="F16" s="32"/>
      <c r="G16" s="32"/>
      <c r="H16" s="32"/>
      <c r="I16" s="32"/>
      <c r="J16" s="32"/>
      <c r="K16" s="32"/>
      <c r="L16" s="31"/>
      <c r="M16" s="3"/>
    </row>
    <row r="17" spans="1:13" x14ac:dyDescent="0.25">
      <c r="A17" s="36"/>
      <c r="B17" s="33"/>
      <c r="C17" s="32"/>
      <c r="D17" s="32"/>
      <c r="E17" s="32"/>
      <c r="F17" s="32"/>
      <c r="G17" s="32"/>
      <c r="H17" s="32"/>
      <c r="I17" s="32"/>
      <c r="J17" s="32"/>
      <c r="K17" s="32"/>
      <c r="L17" s="33"/>
      <c r="M17" s="4"/>
    </row>
    <row r="18" spans="1:13" x14ac:dyDescent="0.25">
      <c r="A18" s="31"/>
      <c r="B18" s="31"/>
      <c r="C18" s="32"/>
      <c r="D18" s="32"/>
      <c r="E18" s="32"/>
      <c r="F18" s="32"/>
      <c r="G18" s="32"/>
      <c r="H18" s="32"/>
      <c r="I18" s="32"/>
      <c r="J18" s="32"/>
      <c r="K18" s="32"/>
      <c r="L18" s="35"/>
    </row>
    <row r="19" spans="1:13" x14ac:dyDescent="0.25">
      <c r="A19" s="3"/>
      <c r="B19" s="3"/>
      <c r="C19" s="2"/>
      <c r="D19" s="2"/>
      <c r="E19" s="2"/>
      <c r="F19" s="2"/>
      <c r="G19" s="2"/>
      <c r="H19" s="2"/>
      <c r="I19" s="2"/>
      <c r="J19" s="2"/>
      <c r="K19" s="2"/>
    </row>
    <row r="20" spans="1:13" x14ac:dyDescent="0.25">
      <c r="A20" s="5"/>
      <c r="B20" s="3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</row>
    <row r="21" spans="1:13" x14ac:dyDescent="0.25">
      <c r="A21" s="5"/>
      <c r="B21" s="3"/>
      <c r="C21" s="2"/>
      <c r="D21" s="2"/>
      <c r="E21" s="2"/>
      <c r="F21" s="2"/>
      <c r="G21" s="2"/>
      <c r="H21" s="2"/>
      <c r="I21" s="2"/>
      <c r="J21" s="2"/>
      <c r="K21" s="2"/>
      <c r="L21" s="3"/>
      <c r="M21" s="3"/>
    </row>
    <row r="22" spans="1:13" x14ac:dyDescent="0.25">
      <c r="A22" s="5"/>
      <c r="B22" s="3"/>
      <c r="C22" s="2"/>
      <c r="D22" s="2"/>
      <c r="E22" s="2"/>
      <c r="F22" s="2"/>
      <c r="G22" s="2"/>
      <c r="H22" s="2"/>
      <c r="I22" s="2"/>
      <c r="J22" s="2"/>
      <c r="K22" s="2"/>
      <c r="L22" s="3"/>
      <c r="M22" s="3"/>
    </row>
    <row r="23" spans="1:13" x14ac:dyDescent="0.25">
      <c r="A23" s="3"/>
      <c r="B23" s="3"/>
      <c r="C23" s="2"/>
      <c r="D23" s="2"/>
      <c r="E23" s="2"/>
      <c r="F23" s="2"/>
      <c r="G23" s="2"/>
      <c r="H23" s="2"/>
      <c r="I23" s="2"/>
      <c r="J23" s="2"/>
      <c r="K23" s="2"/>
    </row>
  </sheetData>
  <mergeCells count="2">
    <mergeCell ref="A1:I1"/>
    <mergeCell ref="A2:A9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7300F6-C652-452B-B1ED-101FDF15C89D}">
  <dimension ref="A1:N23"/>
  <sheetViews>
    <sheetView workbookViewId="0">
      <selection activeCell="H27" sqref="H27"/>
    </sheetView>
  </sheetViews>
  <sheetFormatPr defaultRowHeight="15" x14ac:dyDescent="0.25"/>
  <cols>
    <col min="1" max="1" width="11.42578125" customWidth="1"/>
    <col min="2" max="2" width="24.42578125" bestFit="1" customWidth="1"/>
    <col min="3" max="5" width="13.28515625" bestFit="1" customWidth="1"/>
    <col min="6" max="6" width="13.28515625" customWidth="1"/>
    <col min="7" max="8" width="14.140625" bestFit="1" customWidth="1"/>
    <col min="9" max="9" width="14.140625" customWidth="1"/>
    <col min="10" max="10" width="14.140625" bestFit="1" customWidth="1"/>
    <col min="11" max="11" width="3.7109375" customWidth="1"/>
    <col min="12" max="12" width="20.28515625" bestFit="1" customWidth="1"/>
    <col min="13" max="13" width="3.28515625" customWidth="1"/>
    <col min="14" max="14" width="19.5703125" bestFit="1" customWidth="1"/>
  </cols>
  <sheetData>
    <row r="1" spans="1:14" x14ac:dyDescent="0.25">
      <c r="A1" s="67" t="s">
        <v>22</v>
      </c>
      <c r="B1" s="67"/>
      <c r="C1" s="67"/>
      <c r="D1" s="67"/>
      <c r="E1" s="67"/>
      <c r="F1" s="67"/>
      <c r="G1" s="67"/>
      <c r="H1" s="67"/>
      <c r="I1" s="62"/>
      <c r="J1" s="52"/>
      <c r="K1" s="27"/>
      <c r="L1" s="28"/>
      <c r="M1" s="1"/>
      <c r="N1" s="49">
        <v>2019</v>
      </c>
    </row>
    <row r="2" spans="1:14" x14ac:dyDescent="0.25">
      <c r="A2" s="66" t="s">
        <v>25</v>
      </c>
      <c r="B2" s="28"/>
      <c r="C2" s="29" t="s">
        <v>15</v>
      </c>
      <c r="D2" s="29" t="s">
        <v>16</v>
      </c>
      <c r="E2" s="29" t="s">
        <v>17</v>
      </c>
      <c r="F2" s="29" t="s">
        <v>18</v>
      </c>
      <c r="G2" s="29" t="s">
        <v>0</v>
      </c>
      <c r="H2" s="29" t="s">
        <v>1</v>
      </c>
      <c r="I2" s="29" t="s">
        <v>2</v>
      </c>
      <c r="J2" s="53" t="s">
        <v>3</v>
      </c>
      <c r="K2" s="30"/>
      <c r="L2" s="28" t="s">
        <v>4</v>
      </c>
      <c r="M2" s="2"/>
      <c r="N2" s="42" t="s">
        <v>4</v>
      </c>
    </row>
    <row r="3" spans="1:14" x14ac:dyDescent="0.25">
      <c r="A3" s="66"/>
      <c r="B3" s="31" t="s">
        <v>5</v>
      </c>
      <c r="C3" s="32">
        <v>0</v>
      </c>
      <c r="D3" s="32">
        <v>0</v>
      </c>
      <c r="E3" s="32">
        <f>185154-59714</f>
        <v>125440</v>
      </c>
      <c r="F3" s="32">
        <f>80190-22857</f>
        <v>57333</v>
      </c>
      <c r="G3" s="32">
        <f>807170-34285</f>
        <v>772885</v>
      </c>
      <c r="H3" s="32">
        <f>981450-22474</f>
        <v>958976</v>
      </c>
      <c r="I3" s="32">
        <f>1379816-34285</f>
        <v>1345531</v>
      </c>
      <c r="J3" s="54">
        <f>SUM(C3:I3)</f>
        <v>3260165</v>
      </c>
      <c r="K3" s="32"/>
      <c r="L3" s="32">
        <f>J3+'0510-0516'!L3</f>
        <v>8327194</v>
      </c>
      <c r="M3" s="3"/>
      <c r="N3" s="43">
        <v>5791289</v>
      </c>
    </row>
    <row r="4" spans="1:14" x14ac:dyDescent="0.25">
      <c r="A4" s="66"/>
      <c r="B4" s="31" t="s">
        <v>6</v>
      </c>
      <c r="C4" s="32">
        <f>9154-6428</f>
        <v>2726</v>
      </c>
      <c r="D4" s="32">
        <v>0</v>
      </c>
      <c r="E4" s="32">
        <f>13566-6139</f>
        <v>7427</v>
      </c>
      <c r="F4" s="32">
        <f>14517-10423</f>
        <v>4094</v>
      </c>
      <c r="G4" s="32">
        <f>48811-5910</f>
        <v>42901</v>
      </c>
      <c r="H4" s="32">
        <v>91445</v>
      </c>
      <c r="I4" s="32">
        <f>164851-4571</f>
        <v>160280</v>
      </c>
      <c r="J4" s="54">
        <f t="shared" ref="J4:J7" si="0">SUM(C4:I4)</f>
        <v>308873</v>
      </c>
      <c r="K4" s="32"/>
      <c r="L4" s="32">
        <f>J4+'0510-0516'!L4</f>
        <v>932843</v>
      </c>
      <c r="M4" s="3"/>
      <c r="N4" s="43">
        <v>333523</v>
      </c>
    </row>
    <row r="5" spans="1:14" x14ac:dyDescent="0.25">
      <c r="A5" s="66"/>
      <c r="B5" s="31" t="s">
        <v>7</v>
      </c>
      <c r="C5" s="32">
        <v>0</v>
      </c>
      <c r="D5" s="32">
        <v>0</v>
      </c>
      <c r="E5" s="32">
        <f>1811-1811</f>
        <v>0</v>
      </c>
      <c r="F5" s="32">
        <v>0</v>
      </c>
      <c r="G5" s="32">
        <v>2934</v>
      </c>
      <c r="H5" s="32">
        <v>7099</v>
      </c>
      <c r="I5" s="32">
        <v>6085</v>
      </c>
      <c r="J5" s="54">
        <f t="shared" si="0"/>
        <v>16118</v>
      </c>
      <c r="K5" s="32"/>
      <c r="L5" s="32">
        <f>J5+'0510-0516'!L5</f>
        <v>51616</v>
      </c>
      <c r="M5" s="3"/>
      <c r="N5" s="43">
        <v>32090</v>
      </c>
    </row>
    <row r="6" spans="1:14" x14ac:dyDescent="0.25">
      <c r="A6" s="66"/>
      <c r="B6" s="31" t="s">
        <v>8</v>
      </c>
      <c r="C6" s="32">
        <v>0</v>
      </c>
      <c r="D6" s="32">
        <v>0</v>
      </c>
      <c r="E6" s="32">
        <v>34659</v>
      </c>
      <c r="F6" s="32">
        <f>9121-2992</f>
        <v>6129</v>
      </c>
      <c r="G6" s="32">
        <v>339884</v>
      </c>
      <c r="H6" s="32">
        <f>365572-34772</f>
        <v>330800</v>
      </c>
      <c r="I6" s="32">
        <f>348834-17045</f>
        <v>331789</v>
      </c>
      <c r="J6" s="54">
        <f t="shared" si="0"/>
        <v>1043261</v>
      </c>
      <c r="K6" s="32"/>
      <c r="L6" s="32">
        <f>J6+'0510-0516'!L6</f>
        <v>2448300</v>
      </c>
      <c r="M6" s="3"/>
      <c r="N6" s="43">
        <v>3238411</v>
      </c>
    </row>
    <row r="7" spans="1:14" x14ac:dyDescent="0.25">
      <c r="A7" s="66"/>
      <c r="B7" s="31" t="s">
        <v>9</v>
      </c>
      <c r="C7" s="32">
        <v>28669</v>
      </c>
      <c r="D7" s="32">
        <v>0</v>
      </c>
      <c r="E7" s="32">
        <v>0</v>
      </c>
      <c r="F7" s="32">
        <v>6510</v>
      </c>
      <c r="G7" s="32">
        <v>374219</v>
      </c>
      <c r="H7" s="32">
        <v>63147</v>
      </c>
      <c r="I7" s="32">
        <v>433631</v>
      </c>
      <c r="J7" s="54">
        <f t="shared" si="0"/>
        <v>906176</v>
      </c>
      <c r="K7" s="32"/>
      <c r="L7" s="32">
        <f>J7+'0510-0516'!L7</f>
        <v>1533192</v>
      </c>
      <c r="M7" s="3"/>
      <c r="N7" s="43">
        <v>2253178</v>
      </c>
    </row>
    <row r="8" spans="1:14" x14ac:dyDescent="0.25">
      <c r="A8" s="66"/>
      <c r="B8" s="31"/>
      <c r="C8" s="32"/>
      <c r="D8" s="32"/>
      <c r="E8" s="32"/>
      <c r="F8" s="32"/>
      <c r="G8" s="32"/>
      <c r="H8" s="32"/>
      <c r="I8" s="32"/>
      <c r="J8" s="54"/>
      <c r="K8" s="32"/>
      <c r="L8" s="31"/>
      <c r="M8" s="3"/>
      <c r="N8" s="43"/>
    </row>
    <row r="9" spans="1:14" x14ac:dyDescent="0.25">
      <c r="A9" s="66"/>
      <c r="B9" s="33" t="s">
        <v>10</v>
      </c>
      <c r="C9" s="34">
        <f>SUM(C3:C7)</f>
        <v>31395</v>
      </c>
      <c r="D9" s="34">
        <f t="shared" ref="D9:J9" si="1">SUM(D3:D7)</f>
        <v>0</v>
      </c>
      <c r="E9" s="34">
        <f t="shared" si="1"/>
        <v>167526</v>
      </c>
      <c r="F9" s="34">
        <f t="shared" si="1"/>
        <v>74066</v>
      </c>
      <c r="G9" s="34">
        <f t="shared" si="1"/>
        <v>1532823</v>
      </c>
      <c r="H9" s="34">
        <f t="shared" si="1"/>
        <v>1451467</v>
      </c>
      <c r="I9" s="34">
        <f t="shared" si="1"/>
        <v>2277316</v>
      </c>
      <c r="J9" s="55">
        <f t="shared" si="1"/>
        <v>5534593</v>
      </c>
      <c r="K9" s="34"/>
      <c r="L9" s="34">
        <f>SUM(L3:L7)</f>
        <v>13293145</v>
      </c>
      <c r="M9" s="4"/>
      <c r="N9" s="44">
        <v>11648491</v>
      </c>
    </row>
    <row r="10" spans="1:14" x14ac:dyDescent="0.25">
      <c r="A10" s="35"/>
      <c r="B10" s="35"/>
      <c r="C10" s="35"/>
      <c r="D10" s="35"/>
      <c r="E10" s="35"/>
      <c r="F10" s="35"/>
      <c r="G10" s="35"/>
      <c r="H10" s="35"/>
      <c r="I10" s="35"/>
      <c r="J10" s="56"/>
      <c r="K10" s="35"/>
      <c r="L10" s="35"/>
      <c r="N10" s="43"/>
    </row>
    <row r="11" spans="1:14" x14ac:dyDescent="0.25">
      <c r="A11" s="36"/>
      <c r="B11" s="31" t="s">
        <v>11</v>
      </c>
      <c r="C11" s="37">
        <v>0</v>
      </c>
      <c r="D11" s="37">
        <v>0</v>
      </c>
      <c r="E11" s="37">
        <v>16</v>
      </c>
      <c r="F11" s="37">
        <v>6</v>
      </c>
      <c r="G11" s="37">
        <v>76</v>
      </c>
      <c r="H11" s="37">
        <v>86</v>
      </c>
      <c r="I11" s="37">
        <v>148</v>
      </c>
      <c r="J11" s="57">
        <f>SUM(C11:I11)</f>
        <v>332</v>
      </c>
      <c r="K11" s="38"/>
      <c r="L11" s="38">
        <f>J11+'0510-0516'!L11</f>
        <v>866</v>
      </c>
      <c r="M11" s="2"/>
      <c r="N11" s="45">
        <v>698</v>
      </c>
    </row>
    <row r="12" spans="1:14" x14ac:dyDescent="0.25">
      <c r="A12" s="36"/>
      <c r="B12" s="31" t="s">
        <v>12</v>
      </c>
      <c r="C12" s="37">
        <v>4</v>
      </c>
      <c r="D12" s="37">
        <v>0</v>
      </c>
      <c r="E12" s="37">
        <v>2</v>
      </c>
      <c r="F12" s="37">
        <v>4</v>
      </c>
      <c r="G12" s="37">
        <v>68</v>
      </c>
      <c r="H12" s="37">
        <v>94</v>
      </c>
      <c r="I12" s="37">
        <v>55</v>
      </c>
      <c r="J12" s="57">
        <f>SUM(C12:I12)</f>
        <v>227</v>
      </c>
      <c r="K12" s="38"/>
      <c r="L12" s="38">
        <f>J12+'0510-0516'!L12</f>
        <v>615</v>
      </c>
      <c r="M12" s="3"/>
      <c r="N12" s="45">
        <v>558</v>
      </c>
    </row>
    <row r="13" spans="1:14" x14ac:dyDescent="0.25">
      <c r="A13" s="36"/>
      <c r="B13" s="33" t="s">
        <v>13</v>
      </c>
      <c r="C13" s="40">
        <f>SUM(C11:C12)</f>
        <v>4</v>
      </c>
      <c r="D13" s="40">
        <f t="shared" ref="D13:I13" si="2">SUM(D11:D12)</f>
        <v>0</v>
      </c>
      <c r="E13" s="40">
        <f t="shared" si="2"/>
        <v>18</v>
      </c>
      <c r="F13" s="40">
        <f t="shared" si="2"/>
        <v>10</v>
      </c>
      <c r="G13" s="40">
        <f t="shared" si="2"/>
        <v>144</v>
      </c>
      <c r="H13" s="40">
        <f t="shared" si="2"/>
        <v>180</v>
      </c>
      <c r="I13" s="40">
        <f t="shared" si="2"/>
        <v>203</v>
      </c>
      <c r="J13" s="58">
        <f>SUM(C13:I13)</f>
        <v>559</v>
      </c>
      <c r="K13" s="38"/>
      <c r="L13" s="41">
        <f>J13+'0510-0516'!L13</f>
        <v>1481</v>
      </c>
      <c r="M13" s="3"/>
      <c r="N13" s="50">
        <v>1256</v>
      </c>
    </row>
    <row r="14" spans="1:14" x14ac:dyDescent="0.25">
      <c r="A14" s="36"/>
      <c r="B14" s="31"/>
      <c r="C14" s="32"/>
      <c r="D14" s="32"/>
      <c r="E14" s="32"/>
      <c r="F14" s="32"/>
      <c r="G14" s="32"/>
      <c r="H14" s="32"/>
      <c r="I14" s="32"/>
      <c r="J14" s="54"/>
      <c r="K14" s="32"/>
      <c r="L14" s="31"/>
      <c r="M14" s="3"/>
      <c r="N14" s="46"/>
    </row>
    <row r="15" spans="1:14" x14ac:dyDescent="0.25">
      <c r="A15" s="36"/>
      <c r="B15" s="31" t="s">
        <v>14</v>
      </c>
      <c r="C15" s="32">
        <f t="shared" ref="C15:I15" si="3">C9/C13</f>
        <v>7848.75</v>
      </c>
      <c r="D15" s="32" t="e">
        <f t="shared" si="3"/>
        <v>#DIV/0!</v>
      </c>
      <c r="E15" s="32">
        <f t="shared" si="3"/>
        <v>9307</v>
      </c>
      <c r="F15" s="32">
        <f t="shared" si="3"/>
        <v>7406.6</v>
      </c>
      <c r="G15" s="32">
        <f t="shared" si="3"/>
        <v>10644.604166666666</v>
      </c>
      <c r="H15" s="32">
        <f t="shared" si="3"/>
        <v>8063.7055555555553</v>
      </c>
      <c r="I15" s="32">
        <f t="shared" si="3"/>
        <v>11218.305418719212</v>
      </c>
      <c r="J15" s="54">
        <f>J9/J13</f>
        <v>9900.8819320214661</v>
      </c>
      <c r="K15" s="32"/>
      <c r="L15" s="34">
        <f>L9/L13</f>
        <v>8975.790006752195</v>
      </c>
      <c r="M15" s="3"/>
      <c r="N15" s="47">
        <v>9274</v>
      </c>
    </row>
    <row r="16" spans="1:14" x14ac:dyDescent="0.25">
      <c r="A16" s="36"/>
      <c r="B16" s="31"/>
      <c r="C16" s="32"/>
      <c r="D16" s="32"/>
      <c r="E16" s="32"/>
      <c r="F16" s="32"/>
      <c r="G16" s="32"/>
      <c r="H16" s="32"/>
      <c r="I16" s="32"/>
      <c r="J16" s="32"/>
      <c r="K16" s="32"/>
      <c r="L16" s="31"/>
      <c r="M16" s="3"/>
    </row>
    <row r="17" spans="1:13" x14ac:dyDescent="0.25">
      <c r="A17" s="36"/>
      <c r="B17" s="33"/>
      <c r="C17" s="32"/>
      <c r="D17" s="32"/>
      <c r="E17" s="32"/>
      <c r="F17" s="32"/>
      <c r="G17" s="32"/>
      <c r="H17" s="32"/>
      <c r="I17" s="32"/>
      <c r="J17" s="32"/>
      <c r="K17" s="32"/>
      <c r="L17" s="33"/>
      <c r="M17" s="4"/>
    </row>
    <row r="18" spans="1:13" x14ac:dyDescent="0.25">
      <c r="A18" s="31"/>
      <c r="B18" s="31"/>
      <c r="C18" s="32"/>
      <c r="D18" s="32"/>
      <c r="E18" s="32"/>
      <c r="F18" s="32"/>
      <c r="G18" s="32"/>
      <c r="H18" s="32"/>
      <c r="I18" s="32"/>
      <c r="J18" s="32"/>
      <c r="K18" s="32"/>
      <c r="L18" s="35"/>
    </row>
    <row r="19" spans="1:13" x14ac:dyDescent="0.25">
      <c r="A19" s="3"/>
      <c r="B19" s="3"/>
      <c r="C19" s="2"/>
      <c r="D19" s="2"/>
      <c r="E19" s="2"/>
      <c r="F19" s="2"/>
      <c r="G19" s="2"/>
      <c r="H19" s="2"/>
      <c r="I19" s="2"/>
      <c r="J19" s="2"/>
      <c r="K19" s="2"/>
    </row>
    <row r="20" spans="1:13" x14ac:dyDescent="0.25">
      <c r="A20" s="5"/>
      <c r="B20" s="3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</row>
    <row r="21" spans="1:13" x14ac:dyDescent="0.25">
      <c r="A21" s="5"/>
      <c r="B21" s="3"/>
      <c r="C21" s="2"/>
      <c r="D21" s="2"/>
      <c r="E21" s="2"/>
      <c r="F21" s="2"/>
      <c r="G21" s="2"/>
      <c r="H21" s="2"/>
      <c r="I21" s="2"/>
      <c r="J21" s="2"/>
      <c r="K21" s="2"/>
      <c r="L21" s="3"/>
      <c r="M21" s="3"/>
    </row>
    <row r="22" spans="1:13" x14ac:dyDescent="0.25">
      <c r="A22" s="5"/>
      <c r="B22" s="3"/>
      <c r="C22" s="2"/>
      <c r="D22" s="2"/>
      <c r="E22" s="2"/>
      <c r="F22" s="2"/>
      <c r="G22" s="2"/>
      <c r="H22" s="2"/>
      <c r="I22" s="2"/>
      <c r="J22" s="2"/>
      <c r="K22" s="2"/>
      <c r="L22" s="3"/>
      <c r="M22" s="3"/>
    </row>
    <row r="23" spans="1:13" x14ac:dyDescent="0.25">
      <c r="A23" s="3"/>
      <c r="B23" s="3"/>
      <c r="C23" s="2"/>
      <c r="D23" s="2"/>
      <c r="E23" s="2"/>
      <c r="F23" s="2"/>
      <c r="G23" s="2"/>
      <c r="H23" s="2"/>
      <c r="I23" s="2"/>
      <c r="J23" s="2"/>
      <c r="K23" s="2"/>
    </row>
  </sheetData>
  <mergeCells count="2">
    <mergeCell ref="A1:H1"/>
    <mergeCell ref="A2:A9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DEFBC0-7FF3-48EC-A27F-6CF463B22D3D}">
  <dimension ref="A1:N23"/>
  <sheetViews>
    <sheetView tabSelected="1" workbookViewId="0">
      <selection activeCell="I24" sqref="I24"/>
    </sheetView>
  </sheetViews>
  <sheetFormatPr defaultRowHeight="15" x14ac:dyDescent="0.25"/>
  <cols>
    <col min="1" max="1" width="11.42578125" customWidth="1"/>
    <col min="2" max="2" width="24.42578125" bestFit="1" customWidth="1"/>
    <col min="3" max="5" width="13.28515625" bestFit="1" customWidth="1"/>
    <col min="6" max="6" width="13.28515625" customWidth="1"/>
    <col min="7" max="8" width="14.140625" bestFit="1" customWidth="1"/>
    <col min="9" max="9" width="14.140625" customWidth="1"/>
    <col min="10" max="10" width="14.140625" bestFit="1" customWidth="1"/>
    <col min="11" max="11" width="3.7109375" customWidth="1"/>
    <col min="12" max="12" width="20.28515625" bestFit="1" customWidth="1"/>
    <col min="13" max="13" width="3.28515625" customWidth="1"/>
    <col min="14" max="14" width="19.5703125" bestFit="1" customWidth="1"/>
  </cols>
  <sheetData>
    <row r="1" spans="1:14" x14ac:dyDescent="0.25">
      <c r="A1" s="67" t="s">
        <v>23</v>
      </c>
      <c r="B1" s="67"/>
      <c r="C1" s="67"/>
      <c r="D1" s="67"/>
      <c r="E1" s="67"/>
      <c r="F1" s="67"/>
      <c r="G1" s="67"/>
      <c r="H1" s="67"/>
      <c r="I1" s="63"/>
      <c r="J1" s="52"/>
      <c r="K1" s="27"/>
      <c r="L1" s="28"/>
      <c r="M1" s="1"/>
      <c r="N1" s="49">
        <v>2019</v>
      </c>
    </row>
    <row r="2" spans="1:14" x14ac:dyDescent="0.25">
      <c r="A2" s="66" t="s">
        <v>29</v>
      </c>
      <c r="B2" s="28"/>
      <c r="C2" s="29" t="s">
        <v>15</v>
      </c>
      <c r="D2" s="29" t="s">
        <v>16</v>
      </c>
      <c r="E2" s="29" t="s">
        <v>17</v>
      </c>
      <c r="F2" s="29" t="s">
        <v>18</v>
      </c>
      <c r="G2" s="29" t="s">
        <v>0</v>
      </c>
      <c r="H2" s="29" t="s">
        <v>1</v>
      </c>
      <c r="I2" s="29" t="s">
        <v>2</v>
      </c>
      <c r="J2" s="53" t="s">
        <v>3</v>
      </c>
      <c r="K2" s="30"/>
      <c r="L2" s="28" t="s">
        <v>4</v>
      </c>
      <c r="M2" s="2"/>
      <c r="N2" s="42" t="s">
        <v>4</v>
      </c>
    </row>
    <row r="3" spans="1:14" x14ac:dyDescent="0.25">
      <c r="A3" s="66"/>
      <c r="B3" s="31" t="s">
        <v>5</v>
      </c>
      <c r="C3" s="32">
        <f>385638-28571</f>
        <v>357067</v>
      </c>
      <c r="D3" s="32">
        <v>0</v>
      </c>
      <c r="E3" s="32">
        <f>231223-17142</f>
        <v>214081</v>
      </c>
      <c r="F3" s="32">
        <f>588128-28571</f>
        <v>559557</v>
      </c>
      <c r="G3" s="32">
        <f>580536-34285</f>
        <v>546251</v>
      </c>
      <c r="H3" s="32">
        <f>1095238-28571</f>
        <v>1066667</v>
      </c>
      <c r="I3" s="32">
        <f>638316-28571</f>
        <v>609745</v>
      </c>
      <c r="J3" s="54">
        <f>SUM(C3:I3)</f>
        <v>3353368</v>
      </c>
      <c r="K3" s="32"/>
      <c r="L3" s="32">
        <f>J3+'0517-0523'!M3</f>
        <v>3353368</v>
      </c>
      <c r="M3" s="3"/>
      <c r="N3" s="43">
        <v>5791289</v>
      </c>
    </row>
    <row r="4" spans="1:14" x14ac:dyDescent="0.25">
      <c r="A4" s="66"/>
      <c r="B4" s="31" t="s">
        <v>6</v>
      </c>
      <c r="C4" s="32">
        <v>77122</v>
      </c>
      <c r="D4" s="32">
        <f>2714-2714</f>
        <v>0</v>
      </c>
      <c r="E4" s="32">
        <f>21492-3569</f>
        <v>17923</v>
      </c>
      <c r="F4" s="32">
        <v>51231</v>
      </c>
      <c r="G4" s="32">
        <f>35429-5597</f>
        <v>29832</v>
      </c>
      <c r="H4" s="32">
        <v>93677</v>
      </c>
      <c r="I4" s="32">
        <f>54567-9847</f>
        <v>44720</v>
      </c>
      <c r="J4" s="54">
        <f t="shared" ref="J4:J7" si="0">SUM(C4:I4)</f>
        <v>314505</v>
      </c>
      <c r="K4" s="32"/>
      <c r="L4" s="32">
        <f>J4+'0517-0523'!M4</f>
        <v>314505</v>
      </c>
      <c r="M4" s="3"/>
      <c r="N4" s="43">
        <v>333523</v>
      </c>
    </row>
    <row r="5" spans="1:14" x14ac:dyDescent="0.25">
      <c r="A5" s="66"/>
      <c r="B5" s="31" t="s">
        <v>7</v>
      </c>
      <c r="C5" s="32">
        <v>1920</v>
      </c>
      <c r="D5" s="32">
        <v>0</v>
      </c>
      <c r="E5" s="32">
        <v>0</v>
      </c>
      <c r="F5" s="32">
        <v>0</v>
      </c>
      <c r="G5" s="32">
        <v>0</v>
      </c>
      <c r="H5" s="32">
        <v>3043</v>
      </c>
      <c r="I5" s="32">
        <v>0</v>
      </c>
      <c r="J5" s="54">
        <f t="shared" si="0"/>
        <v>4963</v>
      </c>
      <c r="K5" s="32"/>
      <c r="L5" s="32">
        <f>J5+'0517-0523'!M5</f>
        <v>4963</v>
      </c>
      <c r="M5" s="3"/>
      <c r="N5" s="43">
        <v>32090</v>
      </c>
    </row>
    <row r="6" spans="1:14" x14ac:dyDescent="0.25">
      <c r="A6" s="66"/>
      <c r="B6" s="31" t="s">
        <v>8</v>
      </c>
      <c r="C6" s="32">
        <f>53950-11608</f>
        <v>42342</v>
      </c>
      <c r="D6" s="32">
        <v>15874</v>
      </c>
      <c r="E6" s="32">
        <v>57396</v>
      </c>
      <c r="F6" s="32">
        <v>263056</v>
      </c>
      <c r="G6" s="32">
        <v>155786</v>
      </c>
      <c r="H6" s="32">
        <v>426792</v>
      </c>
      <c r="I6" s="32">
        <f>67406-20445</f>
        <v>46961</v>
      </c>
      <c r="J6" s="54">
        <f t="shared" si="0"/>
        <v>1008207</v>
      </c>
      <c r="K6" s="32"/>
      <c r="L6" s="32">
        <f>J6+'0517-0523'!M6</f>
        <v>1008207</v>
      </c>
      <c r="M6" s="3"/>
      <c r="N6" s="43">
        <v>3238411</v>
      </c>
    </row>
    <row r="7" spans="1:14" x14ac:dyDescent="0.25">
      <c r="A7" s="66"/>
      <c r="B7" s="31" t="s">
        <v>9</v>
      </c>
      <c r="C7" s="32">
        <v>302085</v>
      </c>
      <c r="D7" s="32">
        <v>5646</v>
      </c>
      <c r="E7" s="32">
        <v>27661</v>
      </c>
      <c r="F7" s="32">
        <v>55087</v>
      </c>
      <c r="G7" s="32">
        <v>59564</v>
      </c>
      <c r="H7" s="32">
        <v>77756</v>
      </c>
      <c r="I7" s="32">
        <v>109349</v>
      </c>
      <c r="J7" s="54">
        <f t="shared" si="0"/>
        <v>637148</v>
      </c>
      <c r="K7" s="32"/>
      <c r="L7" s="32">
        <f>J7+'0517-0523'!M7</f>
        <v>637148</v>
      </c>
      <c r="M7" s="3"/>
      <c r="N7" s="43">
        <v>2253178</v>
      </c>
    </row>
    <row r="8" spans="1:14" x14ac:dyDescent="0.25">
      <c r="A8" s="66"/>
      <c r="B8" s="31"/>
      <c r="C8" s="32"/>
      <c r="D8" s="32"/>
      <c r="E8" s="32"/>
      <c r="F8" s="32"/>
      <c r="G8" s="32"/>
      <c r="H8" s="32"/>
      <c r="I8" s="32"/>
      <c r="J8" s="54"/>
      <c r="K8" s="32"/>
      <c r="L8" s="31"/>
      <c r="M8" s="3"/>
      <c r="N8" s="43"/>
    </row>
    <row r="9" spans="1:14" x14ac:dyDescent="0.25">
      <c r="A9" s="66"/>
      <c r="B9" s="33" t="s">
        <v>10</v>
      </c>
      <c r="C9" s="34">
        <f>SUM(C3:C7)</f>
        <v>780536</v>
      </c>
      <c r="D9" s="34">
        <f t="shared" ref="D9:J9" si="1">SUM(D3:D7)</f>
        <v>21520</v>
      </c>
      <c r="E9" s="34">
        <f t="shared" si="1"/>
        <v>317061</v>
      </c>
      <c r="F9" s="34">
        <f t="shared" si="1"/>
        <v>928931</v>
      </c>
      <c r="G9" s="34">
        <f t="shared" si="1"/>
        <v>791433</v>
      </c>
      <c r="H9" s="34">
        <f t="shared" si="1"/>
        <v>1667935</v>
      </c>
      <c r="I9" s="34">
        <f t="shared" si="1"/>
        <v>810775</v>
      </c>
      <c r="J9" s="55">
        <f>SUM(J3:J7)</f>
        <v>5318191</v>
      </c>
      <c r="K9" s="34"/>
      <c r="L9" s="34">
        <f>SUM(L3:L7)</f>
        <v>5318191</v>
      </c>
      <c r="M9" s="4"/>
      <c r="N9" s="44">
        <v>11648491</v>
      </c>
    </row>
    <row r="10" spans="1:14" x14ac:dyDescent="0.25">
      <c r="A10" s="35"/>
      <c r="B10" s="35"/>
      <c r="C10" s="35"/>
      <c r="D10" s="35"/>
      <c r="E10" s="35"/>
      <c r="F10" s="35"/>
      <c r="G10" s="35"/>
      <c r="H10" s="35"/>
      <c r="I10" s="35"/>
      <c r="J10" s="56"/>
      <c r="K10" s="35"/>
      <c r="L10" s="35"/>
      <c r="N10" s="43"/>
    </row>
    <row r="11" spans="1:14" x14ac:dyDescent="0.25">
      <c r="A11" s="36"/>
      <c r="B11" s="31" t="s">
        <v>11</v>
      </c>
      <c r="C11" s="37">
        <v>45</v>
      </c>
      <c r="D11" s="37">
        <v>0</v>
      </c>
      <c r="E11" s="37">
        <v>28</v>
      </c>
      <c r="F11" s="37">
        <v>64</v>
      </c>
      <c r="G11" s="37">
        <v>60</v>
      </c>
      <c r="H11" s="37">
        <v>118</v>
      </c>
      <c r="I11" s="37">
        <v>68</v>
      </c>
      <c r="J11" s="57">
        <f>SUM(C11:I11)</f>
        <v>383</v>
      </c>
      <c r="K11" s="38"/>
      <c r="L11" s="38">
        <f>J11+'0517-0523'!M11</f>
        <v>383</v>
      </c>
      <c r="M11" s="2"/>
      <c r="N11" s="45">
        <v>698</v>
      </c>
    </row>
    <row r="12" spans="1:14" x14ac:dyDescent="0.25">
      <c r="A12" s="36"/>
      <c r="B12" s="31" t="s">
        <v>12</v>
      </c>
      <c r="C12" s="37">
        <v>49</v>
      </c>
      <c r="D12" s="37">
        <v>2</v>
      </c>
      <c r="E12" s="37">
        <v>4</v>
      </c>
      <c r="F12" s="37">
        <v>13</v>
      </c>
      <c r="G12" s="37">
        <v>19</v>
      </c>
      <c r="H12" s="37">
        <v>76</v>
      </c>
      <c r="I12" s="37">
        <v>5</v>
      </c>
      <c r="J12" s="57">
        <f>SUM(C12:I12)</f>
        <v>168</v>
      </c>
      <c r="K12" s="38"/>
      <c r="L12" s="38">
        <f>J12+'0517-0523'!M12</f>
        <v>168</v>
      </c>
      <c r="M12" s="3"/>
      <c r="N12" s="45">
        <v>558</v>
      </c>
    </row>
    <row r="13" spans="1:14" x14ac:dyDescent="0.25">
      <c r="A13" s="36"/>
      <c r="B13" s="33" t="s">
        <v>13</v>
      </c>
      <c r="C13" s="40">
        <f>SUM(C11:C12)</f>
        <v>94</v>
      </c>
      <c r="D13" s="40">
        <f t="shared" ref="D13:I13" si="2">SUM(D11:D12)</f>
        <v>2</v>
      </c>
      <c r="E13" s="40">
        <f t="shared" si="2"/>
        <v>32</v>
      </c>
      <c r="F13" s="40">
        <f t="shared" si="2"/>
        <v>77</v>
      </c>
      <c r="G13" s="40">
        <f t="shared" si="2"/>
        <v>79</v>
      </c>
      <c r="H13" s="40">
        <f t="shared" si="2"/>
        <v>194</v>
      </c>
      <c r="I13" s="40">
        <f t="shared" si="2"/>
        <v>73</v>
      </c>
      <c r="J13" s="58">
        <f>SUM(C13:I13)</f>
        <v>551</v>
      </c>
      <c r="K13" s="38"/>
      <c r="L13" s="41">
        <f>J13+'0510-0516'!L13</f>
        <v>1473</v>
      </c>
      <c r="M13" s="3"/>
      <c r="N13" s="50">
        <v>1256</v>
      </c>
    </row>
    <row r="14" spans="1:14" x14ac:dyDescent="0.25">
      <c r="A14" s="36"/>
      <c r="B14" s="31"/>
      <c r="C14" s="32"/>
      <c r="D14" s="32"/>
      <c r="E14" s="32"/>
      <c r="F14" s="32"/>
      <c r="G14" s="32"/>
      <c r="H14" s="32"/>
      <c r="I14" s="32"/>
      <c r="J14" s="54"/>
      <c r="K14" s="32"/>
      <c r="L14" s="31"/>
      <c r="M14" s="3"/>
      <c r="N14" s="46"/>
    </row>
    <row r="15" spans="1:14" x14ac:dyDescent="0.25">
      <c r="A15" s="36"/>
      <c r="B15" s="31" t="s">
        <v>14</v>
      </c>
      <c r="C15" s="32">
        <f t="shared" ref="C15:I15" si="3">C9/C13</f>
        <v>8303.5744680851058</v>
      </c>
      <c r="D15" s="32">
        <f t="shared" si="3"/>
        <v>10760</v>
      </c>
      <c r="E15" s="32">
        <f t="shared" si="3"/>
        <v>9908.15625</v>
      </c>
      <c r="F15" s="32">
        <f t="shared" si="3"/>
        <v>12064.038961038961</v>
      </c>
      <c r="G15" s="32">
        <f t="shared" si="3"/>
        <v>10018.139240506329</v>
      </c>
      <c r="H15" s="32">
        <f t="shared" si="3"/>
        <v>8597.6030927835054</v>
      </c>
      <c r="I15" s="32">
        <f t="shared" si="3"/>
        <v>11106.506849315068</v>
      </c>
      <c r="J15" s="54">
        <f>J9/J13</f>
        <v>9651.8892921960069</v>
      </c>
      <c r="K15" s="32"/>
      <c r="L15" s="34">
        <f>L9/L13</f>
        <v>3610.4487440597422</v>
      </c>
      <c r="M15" s="3"/>
      <c r="N15" s="47">
        <v>9274</v>
      </c>
    </row>
    <row r="16" spans="1:14" x14ac:dyDescent="0.25">
      <c r="A16" s="36"/>
      <c r="B16" s="31"/>
      <c r="C16" s="32"/>
      <c r="D16" s="32"/>
      <c r="E16" s="32"/>
      <c r="F16" s="32"/>
      <c r="G16" s="32"/>
      <c r="H16" s="32"/>
      <c r="I16" s="32"/>
      <c r="J16" s="32"/>
      <c r="K16" s="32"/>
      <c r="L16" s="31"/>
      <c r="M16" s="3"/>
    </row>
    <row r="17" spans="1:13" x14ac:dyDescent="0.25">
      <c r="A17" s="36"/>
      <c r="B17" s="33"/>
      <c r="C17" s="32"/>
      <c r="D17" s="32"/>
      <c r="E17" s="32"/>
      <c r="F17" s="32"/>
      <c r="G17" s="32"/>
      <c r="H17" s="32"/>
      <c r="I17" s="32"/>
      <c r="J17" s="32"/>
      <c r="K17" s="32"/>
      <c r="L17" s="33"/>
      <c r="M17" s="4"/>
    </row>
    <row r="18" spans="1:13" x14ac:dyDescent="0.25">
      <c r="A18" s="31"/>
      <c r="B18" s="31"/>
      <c r="C18" s="32"/>
      <c r="D18" s="32"/>
      <c r="E18" s="32"/>
      <c r="F18" s="32"/>
      <c r="G18" s="32"/>
      <c r="H18" s="32"/>
      <c r="I18" s="32"/>
      <c r="J18" s="32"/>
      <c r="K18" s="32"/>
      <c r="L18" s="35"/>
    </row>
    <row r="19" spans="1:13" x14ac:dyDescent="0.25">
      <c r="A19" s="3"/>
      <c r="B19" s="3"/>
      <c r="C19" s="2"/>
      <c r="D19" s="2"/>
      <c r="E19" s="2"/>
      <c r="F19" s="2"/>
      <c r="G19" s="2"/>
      <c r="H19" s="2"/>
      <c r="I19" s="2"/>
      <c r="J19" s="2"/>
      <c r="K19" s="2"/>
    </row>
    <row r="20" spans="1:13" x14ac:dyDescent="0.25">
      <c r="A20" s="5"/>
      <c r="B20" s="3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</row>
    <row r="21" spans="1:13" x14ac:dyDescent="0.25">
      <c r="A21" s="5"/>
      <c r="B21" s="3"/>
      <c r="C21" s="2"/>
      <c r="D21" s="2"/>
      <c r="E21" s="2"/>
      <c r="F21" s="2"/>
      <c r="G21" s="2"/>
      <c r="H21" s="2"/>
      <c r="I21" s="2"/>
      <c r="J21" s="2"/>
      <c r="K21" s="2"/>
      <c r="L21" s="3"/>
      <c r="M21" s="3"/>
    </row>
    <row r="22" spans="1:13" x14ac:dyDescent="0.25">
      <c r="A22" s="5"/>
      <c r="B22" s="3"/>
      <c r="C22" s="2"/>
      <c r="D22" s="2"/>
      <c r="E22" s="2"/>
      <c r="F22" s="2"/>
      <c r="G22" s="2"/>
      <c r="H22" s="2"/>
      <c r="I22" s="2"/>
      <c r="J22" s="2"/>
      <c r="K22" s="2"/>
      <c r="L22" s="3"/>
      <c r="M22" s="3"/>
    </row>
    <row r="23" spans="1:13" x14ac:dyDescent="0.25">
      <c r="A23" s="3"/>
      <c r="B23" s="3"/>
      <c r="C23" s="2"/>
      <c r="D23" s="2"/>
      <c r="E23" s="2"/>
      <c r="F23" s="2"/>
      <c r="G23" s="2"/>
      <c r="H23" s="2"/>
      <c r="I23" s="2"/>
      <c r="J23" s="2"/>
      <c r="K23" s="2"/>
    </row>
  </sheetData>
  <mergeCells count="2">
    <mergeCell ref="A1:H1"/>
    <mergeCell ref="A2:A9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C79C5-3229-40E0-A2BA-AD9B351CBC1B}">
  <dimension ref="A1:H23"/>
  <sheetViews>
    <sheetView workbookViewId="0">
      <selection activeCell="F23" sqref="F23"/>
    </sheetView>
  </sheetViews>
  <sheetFormatPr defaultRowHeight="15" x14ac:dyDescent="0.25"/>
  <cols>
    <col min="1" max="1" width="13.28515625" bestFit="1" customWidth="1"/>
    <col min="2" max="2" width="24.42578125" bestFit="1" customWidth="1"/>
    <col min="3" max="3" width="13.28515625" bestFit="1" customWidth="1"/>
    <col min="4" max="4" width="14.140625" bestFit="1" customWidth="1"/>
    <col min="5" max="5" width="3.7109375" customWidth="1"/>
    <col min="6" max="6" width="20.28515625" bestFit="1" customWidth="1"/>
    <col min="7" max="7" width="3.28515625" customWidth="1"/>
    <col min="8" max="8" width="19.5703125" bestFit="1" customWidth="1"/>
  </cols>
  <sheetData>
    <row r="1" spans="1:8" x14ac:dyDescent="0.25">
      <c r="A1" s="67" t="s">
        <v>24</v>
      </c>
      <c r="B1" s="67"/>
      <c r="C1" s="67"/>
      <c r="D1" s="52"/>
      <c r="E1" s="27"/>
      <c r="F1" s="28"/>
      <c r="G1" s="1"/>
      <c r="H1" s="49">
        <v>2019</v>
      </c>
    </row>
    <row r="2" spans="1:8" x14ac:dyDescent="0.25">
      <c r="A2" s="66">
        <v>44347</v>
      </c>
      <c r="B2" s="28"/>
      <c r="C2" s="29" t="s">
        <v>15</v>
      </c>
      <c r="D2" s="53" t="s">
        <v>3</v>
      </c>
      <c r="E2" s="30"/>
      <c r="F2" s="28" t="s">
        <v>4</v>
      </c>
      <c r="G2" s="2"/>
      <c r="H2" s="42" t="s">
        <v>4</v>
      </c>
    </row>
    <row r="3" spans="1:8" x14ac:dyDescent="0.25">
      <c r="A3" s="66"/>
      <c r="B3" s="31" t="s">
        <v>5</v>
      </c>
      <c r="C3" s="32"/>
      <c r="D3" s="54">
        <f>SUM(C3:C3)</f>
        <v>0</v>
      </c>
      <c r="E3" s="32"/>
      <c r="F3" s="32">
        <f>D3+'0524-0530'!M3</f>
        <v>0</v>
      </c>
      <c r="G3" s="3"/>
      <c r="H3" s="43">
        <v>5791289</v>
      </c>
    </row>
    <row r="4" spans="1:8" x14ac:dyDescent="0.25">
      <c r="A4" s="66"/>
      <c r="B4" s="31" t="s">
        <v>6</v>
      </c>
      <c r="C4" s="32"/>
      <c r="D4" s="54">
        <f>SUM(C4:C4)</f>
        <v>0</v>
      </c>
      <c r="E4" s="32"/>
      <c r="F4" s="32">
        <f>D4+'0524-0530'!M4</f>
        <v>0</v>
      </c>
      <c r="G4" s="3"/>
      <c r="H4" s="43">
        <v>333523</v>
      </c>
    </row>
    <row r="5" spans="1:8" x14ac:dyDescent="0.25">
      <c r="A5" s="66"/>
      <c r="B5" s="31" t="s">
        <v>7</v>
      </c>
      <c r="C5" s="32"/>
      <c r="D5" s="54">
        <f>SUM(C5:C5)</f>
        <v>0</v>
      </c>
      <c r="E5" s="32"/>
      <c r="F5" s="32">
        <f>D5+'0524-0530'!M5</f>
        <v>0</v>
      </c>
      <c r="G5" s="3"/>
      <c r="H5" s="43">
        <v>32090</v>
      </c>
    </row>
    <row r="6" spans="1:8" x14ac:dyDescent="0.25">
      <c r="A6" s="66"/>
      <c r="B6" s="31" t="s">
        <v>8</v>
      </c>
      <c r="C6" s="32"/>
      <c r="D6" s="54">
        <f>SUM(C6:C6)</f>
        <v>0</v>
      </c>
      <c r="E6" s="32"/>
      <c r="F6" s="32">
        <f>D6+'0524-0530'!M6</f>
        <v>0</v>
      </c>
      <c r="G6" s="3"/>
      <c r="H6" s="43">
        <v>3238411</v>
      </c>
    </row>
    <row r="7" spans="1:8" x14ac:dyDescent="0.25">
      <c r="A7" s="66"/>
      <c r="B7" s="31" t="s">
        <v>9</v>
      </c>
      <c r="C7" s="32"/>
      <c r="D7" s="54">
        <f>SUM(C7:C7)</f>
        <v>0</v>
      </c>
      <c r="E7" s="32"/>
      <c r="F7" s="32">
        <f>D7+'0524-0530'!M7</f>
        <v>0</v>
      </c>
      <c r="G7" s="3"/>
      <c r="H7" s="43">
        <v>2253178</v>
      </c>
    </row>
    <row r="8" spans="1:8" x14ac:dyDescent="0.25">
      <c r="A8" s="66"/>
      <c r="B8" s="31"/>
      <c r="C8" s="32"/>
      <c r="D8" s="54"/>
      <c r="E8" s="32"/>
      <c r="F8" s="31"/>
      <c r="G8" s="3"/>
      <c r="H8" s="43"/>
    </row>
    <row r="9" spans="1:8" x14ac:dyDescent="0.25">
      <c r="A9" s="66"/>
      <c r="B9" s="33" t="s">
        <v>10</v>
      </c>
      <c r="C9" s="34">
        <f>SUM(C3:C7)</f>
        <v>0</v>
      </c>
      <c r="D9" s="55">
        <f t="shared" ref="D9" si="0">SUM(D3:D7)</f>
        <v>0</v>
      </c>
      <c r="E9" s="34"/>
      <c r="F9" s="34">
        <f>SUM(F3:F7)</f>
        <v>0</v>
      </c>
      <c r="G9" s="4"/>
      <c r="H9" s="44">
        <v>11648491</v>
      </c>
    </row>
    <row r="10" spans="1:8" x14ac:dyDescent="0.25">
      <c r="A10" s="35"/>
      <c r="B10" s="35"/>
      <c r="C10" s="35"/>
      <c r="D10" s="56"/>
      <c r="E10" s="35"/>
      <c r="F10" s="35"/>
      <c r="H10" s="43"/>
    </row>
    <row r="11" spans="1:8" x14ac:dyDescent="0.25">
      <c r="A11" s="36"/>
      <c r="B11" s="31" t="s">
        <v>11</v>
      </c>
      <c r="C11" s="37"/>
      <c r="D11" s="57">
        <f>SUM(C11:C11)</f>
        <v>0</v>
      </c>
      <c r="E11" s="38"/>
      <c r="F11" s="38">
        <f>D11+'0524-0530'!M11</f>
        <v>0</v>
      </c>
      <c r="G11" s="2"/>
      <c r="H11" s="45">
        <v>698</v>
      </c>
    </row>
    <row r="12" spans="1:8" x14ac:dyDescent="0.25">
      <c r="A12" s="36"/>
      <c r="B12" s="31" t="s">
        <v>12</v>
      </c>
      <c r="C12" s="37"/>
      <c r="D12" s="57">
        <f>SUM(C12:C12)</f>
        <v>0</v>
      </c>
      <c r="E12" s="38"/>
      <c r="F12" s="38">
        <f>D12+'0517-0523'!M12</f>
        <v>0</v>
      </c>
      <c r="G12" s="3"/>
      <c r="H12" s="45">
        <v>558</v>
      </c>
    </row>
    <row r="13" spans="1:8" x14ac:dyDescent="0.25">
      <c r="A13" s="36"/>
      <c r="B13" s="33" t="s">
        <v>13</v>
      </c>
      <c r="C13" s="40">
        <f>SUM(C11:C12)</f>
        <v>0</v>
      </c>
      <c r="D13" s="58">
        <f>SUM(C13:C13)</f>
        <v>0</v>
      </c>
      <c r="E13" s="38"/>
      <c r="F13" s="41">
        <f>D13+'0517-0523'!M13</f>
        <v>0</v>
      </c>
      <c r="G13" s="3"/>
      <c r="H13" s="50">
        <v>1256</v>
      </c>
    </row>
    <row r="14" spans="1:8" x14ac:dyDescent="0.25">
      <c r="A14" s="36"/>
      <c r="B14" s="31"/>
      <c r="C14" s="32"/>
      <c r="D14" s="54"/>
      <c r="E14" s="32"/>
      <c r="F14" s="31"/>
      <c r="G14" s="3"/>
      <c r="H14" s="46"/>
    </row>
    <row r="15" spans="1:8" x14ac:dyDescent="0.25">
      <c r="A15" s="36"/>
      <c r="B15" s="31" t="s">
        <v>14</v>
      </c>
      <c r="C15" s="32" t="e">
        <f t="shared" ref="C15" si="1">C9/C13</f>
        <v>#DIV/0!</v>
      </c>
      <c r="D15" s="54" t="e">
        <f>D9/D13</f>
        <v>#DIV/0!</v>
      </c>
      <c r="E15" s="32"/>
      <c r="F15" s="34" t="e">
        <f>F9/F13</f>
        <v>#DIV/0!</v>
      </c>
      <c r="G15" s="3"/>
      <c r="H15" s="47">
        <v>9274</v>
      </c>
    </row>
    <row r="16" spans="1:8" x14ac:dyDescent="0.25">
      <c r="A16" s="36"/>
      <c r="B16" s="31"/>
      <c r="C16" s="32"/>
      <c r="D16" s="32"/>
      <c r="E16" s="32"/>
      <c r="F16" s="31"/>
      <c r="G16" s="3"/>
    </row>
    <row r="17" spans="1:7" x14ac:dyDescent="0.25">
      <c r="A17" s="36"/>
      <c r="B17" s="33"/>
      <c r="C17" s="32"/>
      <c r="D17" s="32"/>
      <c r="E17" s="32"/>
      <c r="F17" s="33"/>
      <c r="G17" s="4"/>
    </row>
    <row r="18" spans="1:7" x14ac:dyDescent="0.25">
      <c r="A18" s="31"/>
      <c r="B18" s="31"/>
      <c r="C18" s="32"/>
      <c r="D18" s="32"/>
      <c r="E18" s="32"/>
      <c r="F18" s="35"/>
    </row>
    <row r="19" spans="1:7" x14ac:dyDescent="0.25">
      <c r="A19" s="3"/>
      <c r="B19" s="3"/>
      <c r="C19" s="2"/>
      <c r="D19" s="2"/>
      <c r="E19" s="2"/>
    </row>
    <row r="20" spans="1:7" x14ac:dyDescent="0.25">
      <c r="A20" s="5"/>
      <c r="B20" s="3"/>
      <c r="C20" s="2"/>
      <c r="D20" s="2"/>
      <c r="E20" s="2"/>
      <c r="F20" s="2"/>
      <c r="G20" s="2"/>
    </row>
    <row r="21" spans="1:7" x14ac:dyDescent="0.25">
      <c r="A21" s="5"/>
      <c r="B21" s="3"/>
      <c r="C21" s="2"/>
      <c r="D21" s="2"/>
      <c r="E21" s="2"/>
      <c r="F21" s="3"/>
      <c r="G21" s="3"/>
    </row>
    <row r="22" spans="1:7" x14ac:dyDescent="0.25">
      <c r="A22" s="5"/>
      <c r="B22" s="3"/>
      <c r="C22" s="2"/>
      <c r="D22" s="2"/>
      <c r="E22" s="2"/>
      <c r="F22" s="3"/>
      <c r="G22" s="3"/>
    </row>
    <row r="23" spans="1:7" x14ac:dyDescent="0.25">
      <c r="A23" s="3"/>
      <c r="B23" s="3"/>
      <c r="C23" s="2"/>
      <c r="D23" s="2"/>
      <c r="E23" s="2"/>
    </row>
  </sheetData>
  <mergeCells count="2">
    <mergeCell ref="A1:C1"/>
    <mergeCell ref="A2:A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6</vt:i4>
      </vt:variant>
    </vt:vector>
  </HeadingPairs>
  <TitlesOfParts>
    <vt:vector size="6" baseType="lpstr">
      <vt:lpstr>0501-0502</vt:lpstr>
      <vt:lpstr>0503-0509</vt:lpstr>
      <vt:lpstr>0510-0516</vt:lpstr>
      <vt:lpstr>0517-0523</vt:lpstr>
      <vt:lpstr>0524-0530</vt:lpstr>
      <vt:lpstr>0531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Hetényi Laura</dc:creator>
  <cp:lastModifiedBy>Szabó Anna Kata</cp:lastModifiedBy>
  <dcterms:created xsi:type="dcterms:W3CDTF">2019-06-03T05:54:54Z</dcterms:created>
  <dcterms:modified xsi:type="dcterms:W3CDTF">2021-05-31T10:47:09Z</dcterms:modified>
</cp:coreProperties>
</file>