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5EAABC81-3D02-4740-A147-44D969C5A06C}" xr6:coauthVersionLast="47" xr6:coauthVersionMax="47" xr10:uidLastSave="{00000000-0000-0000-0000-000000000000}"/>
  <bookViews>
    <workbookView xWindow="7850" yWindow="240" windowWidth="11660" windowHeight="9930" xr2:uid="{00000000-000D-0000-FFFF-FFFF00000000}"/>
  </bookViews>
  <sheets>
    <sheet name="Sheet1" sheetId="1" r:id="rId1"/>
  </sheets>
  <definedNames>
    <definedName name="_xlnm._FilterDatabase" localSheetId="0" hidden="1">Sheet1!$A$1:$A$296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6" i="1" l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96" i="1"/>
  <c r="E95" i="1"/>
  <c r="E94" i="1"/>
  <c r="E93" i="1"/>
  <c r="E9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06" i="1"/>
  <c r="E105" i="1"/>
  <c r="E104" i="1"/>
  <c r="E103" i="1"/>
  <c r="E102" i="1"/>
  <c r="E101" i="1"/>
  <c r="E100" i="1"/>
  <c r="E99" i="1"/>
  <c r="E98" i="1"/>
  <c r="E97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2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1" i="1"/>
  <c r="H160" i="1"/>
  <c r="H159" i="1"/>
  <c r="H158" i="1"/>
  <c r="H157" i="1"/>
  <c r="H156" i="1"/>
  <c r="H155" i="1"/>
  <c r="H154" i="1"/>
  <c r="H153" i="1"/>
  <c r="H152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69" i="1"/>
  <c r="G266" i="1"/>
  <c r="G265" i="1"/>
  <c r="G264" i="1"/>
  <c r="G263" i="1"/>
  <c r="G262" i="1"/>
  <c r="G261" i="1"/>
  <c r="G260" i="1"/>
  <c r="G259" i="1"/>
  <c r="G258" i="1"/>
  <c r="G257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7" i="1"/>
  <c r="G22" i="1"/>
  <c r="G57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<sst xmlns="http://schemas.openxmlformats.org/spreadsheetml/2006/main" count="598" uniqueCount="72">
  <si>
    <t>Aosta</t>
  </si>
  <si>
    <t>Bari</t>
  </si>
  <si>
    <t>Bari Politecnico</t>
  </si>
  <si>
    <t>Basilicata</t>
  </si>
  <si>
    <t>Bergamo</t>
  </si>
  <si>
    <t>Bologna</t>
  </si>
  <si>
    <t>Brescia</t>
  </si>
  <si>
    <t>Cagliari</t>
  </si>
  <si>
    <t>Calabria</t>
  </si>
  <si>
    <t>Catania</t>
  </si>
  <si>
    <t>Catanzaro</t>
  </si>
  <si>
    <t>Chieti e Pescara</t>
  </si>
  <si>
    <t>Enna KORE</t>
  </si>
  <si>
    <t>Ferrara</t>
  </si>
  <si>
    <t>Firenze</t>
  </si>
  <si>
    <t>Foggia</t>
  </si>
  <si>
    <t>Genova</t>
  </si>
  <si>
    <t>Macerata</t>
  </si>
  <si>
    <t>Marche</t>
  </si>
  <si>
    <t>Messina</t>
  </si>
  <si>
    <t>Milano</t>
  </si>
  <si>
    <t>Milano Bicocca</t>
  </si>
  <si>
    <t>Milano Bocconi</t>
  </si>
  <si>
    <t>Milano Cattolica</t>
  </si>
  <si>
    <t>Milano IULM</t>
  </si>
  <si>
    <t>Milano Politecnico</t>
  </si>
  <si>
    <t>Milano San Raffaele</t>
  </si>
  <si>
    <t>Modena e Reggio Emilia</t>
  </si>
  <si>
    <t>Molise</t>
  </si>
  <si>
    <t>Napoli Benincasa</t>
  </si>
  <si>
    <t>Napoli Federico II</t>
  </si>
  <si>
    <t>Napoli L'Orientale</t>
  </si>
  <si>
    <t>Napoli Parthenope</t>
  </si>
  <si>
    <t>Napoli Vanvitelli</t>
  </si>
  <si>
    <t>Padova</t>
  </si>
  <si>
    <t>Palermo</t>
  </si>
  <si>
    <t>Parma</t>
  </si>
  <si>
    <t>Pavia</t>
  </si>
  <si>
    <t>Perugia</t>
  </si>
  <si>
    <t>Pisa</t>
  </si>
  <si>
    <t>Roma Biomedico</t>
  </si>
  <si>
    <t>Roma Foro Italico</t>
  </si>
  <si>
    <t>Roma La Sapienza</t>
  </si>
  <si>
    <t>Roma LUISS</t>
  </si>
  <si>
    <t>Roma LUMSA</t>
  </si>
  <si>
    <t>Roma Tor Vergata</t>
  </si>
  <si>
    <t>Roma Tre</t>
  </si>
  <si>
    <t>Salerno</t>
  </si>
  <si>
    <t>Sassari</t>
  </si>
  <si>
    <t>Siena</t>
  </si>
  <si>
    <t>Teramo</t>
  </si>
  <si>
    <t>Torino</t>
  </si>
  <si>
    <t>Torino Politecnico</t>
  </si>
  <si>
    <t>Trento</t>
  </si>
  <si>
    <t>Trieste</t>
  </si>
  <si>
    <t>Udine</t>
  </si>
  <si>
    <t>Venezia Cà Foscari</t>
  </si>
  <si>
    <t>Venezia Iuav</t>
  </si>
  <si>
    <t>Verona</t>
  </si>
  <si>
    <t>FuoriSede</t>
  </si>
  <si>
    <t>2021/2022</t>
  </si>
  <si>
    <t>2022/2023</t>
  </si>
  <si>
    <t>2023/2024</t>
  </si>
  <si>
    <t>2024/2025</t>
  </si>
  <si>
    <t>2025/2026</t>
  </si>
  <si>
    <t>AnnoAccademico</t>
  </si>
  <si>
    <t>Ateneo</t>
  </si>
  <si>
    <t>PopolazioneP</t>
  </si>
  <si>
    <t>AteneiP</t>
  </si>
  <si>
    <t>PopolazioneR</t>
  </si>
  <si>
    <t>AteneiR</t>
  </si>
  <si>
    <t>Immatricolati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</si>
</sst>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"/>
  <sheetViews>
    <sheetView tabSelected="1" topLeftCell="A269" zoomScale="55" zoomScaleNormal="55" workbookViewId="0">
      <selection activeCell="D288" sqref="D288"/>
    </sheetView>
  </sheetViews>
  <sheetFormatPr defaultRowHeight="14.5" x14ac:dyDescent="0.35"/>
  <cols>
    <col min="1" max="1" width="15" customWidth="1"/>
    <col min="2" max="2" width="31.81640625" customWidth="1"/>
    <col min="3" max="3" width="25.26953125" customWidth="1"/>
    <col min="4" max="4" width="21.54296875" customWidth="1"/>
    <col min="5" max="5" width="19.453125" customWidth="1"/>
    <col min="6" max="7" width="21.54296875" customWidth="1"/>
    <col min="8" max="8" width="17" customWidth="1"/>
    <col min="10" max="10" width="8.7265625" customWidth="1"/>
  </cols>
  <sheetData>
    <row r="1" spans="1:8" x14ac:dyDescent="0.3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59</v>
      </c>
      <c r="H1" t="s">
        <v>71</v>
      </c>
    </row>
    <row r="2" spans="1:8" x14ac:dyDescent="0.35">
      <c r="A2" t="s">
        <v>60</v>
      </c>
      <c r="B2" t="s">
        <v>0</v>
      </c>
      <c r="C2">
        <f>123337-296</f>
        <v>123041</v>
      </c>
      <c r="D2">
        <v>1</v>
      </c>
      <c r="E2">
        <f>124000-296</f>
        <v>123704</v>
      </c>
      <c r="F2">
        <v>1</v>
      </c>
      <c r="G2">
        <f xml:space="preserve"> 73+4</f>
        <v>77</v>
      </c>
      <c r="H2">
        <v>246</v>
      </c>
    </row>
    <row r="3" spans="1:8" x14ac:dyDescent="0.35">
      <c r="A3" t="s">
        <v>61</v>
      </c>
      <c r="B3" t="s">
        <v>0</v>
      </c>
      <c r="C3">
        <f>123041-296</f>
        <v>122745</v>
      </c>
      <c r="D3">
        <v>1</v>
      </c>
      <c r="E3">
        <f>123704-296</f>
        <v>123408</v>
      </c>
      <c r="F3">
        <v>1</v>
      </c>
      <c r="G3">
        <f xml:space="preserve"> 77+4</f>
        <v>81</v>
      </c>
      <c r="H3">
        <v>248</v>
      </c>
    </row>
    <row r="4" spans="1:8" x14ac:dyDescent="0.35">
      <c r="A4" t="s">
        <v>62</v>
      </c>
      <c r="B4" t="s">
        <v>0</v>
      </c>
      <c r="C4">
        <f>122745-296</f>
        <v>122449</v>
      </c>
      <c r="D4">
        <v>1</v>
      </c>
      <c r="E4">
        <f>123408-296</f>
        <v>123112</v>
      </c>
      <c r="F4">
        <v>1</v>
      </c>
      <c r="G4">
        <f>81+4</f>
        <v>85</v>
      </c>
      <c r="H4">
        <v>250</v>
      </c>
    </row>
    <row r="5" spans="1:8" x14ac:dyDescent="0.35">
      <c r="A5" t="s">
        <v>63</v>
      </c>
      <c r="B5" t="s">
        <v>0</v>
      </c>
      <c r="C5">
        <f>122449-296</f>
        <v>122153</v>
      </c>
      <c r="D5">
        <v>1</v>
      </c>
      <c r="E5">
        <f>123112-296</f>
        <v>122816</v>
      </c>
      <c r="F5">
        <v>1</v>
      </c>
      <c r="G5">
        <f>85+4</f>
        <v>89</v>
      </c>
      <c r="H5">
        <v>252</v>
      </c>
    </row>
    <row r="6" spans="1:8" x14ac:dyDescent="0.35">
      <c r="A6" t="s">
        <v>64</v>
      </c>
      <c r="B6" t="s">
        <v>0</v>
      </c>
      <c r="C6">
        <f>122153-296</f>
        <v>121857</v>
      </c>
      <c r="D6">
        <v>1</v>
      </c>
      <c r="E6">
        <f>122816-296</f>
        <v>122520</v>
      </c>
      <c r="F6">
        <v>1</v>
      </c>
      <c r="G6">
        <f>89+4</f>
        <v>93</v>
      </c>
      <c r="H6">
        <v>254</v>
      </c>
    </row>
    <row r="7" spans="1:8" x14ac:dyDescent="0.35">
      <c r="A7" t="s">
        <v>60</v>
      </c>
      <c r="B7" t="s">
        <v>1</v>
      </c>
      <c r="C7">
        <f>1224756-2666</f>
        <v>1222090</v>
      </c>
      <c r="D7">
        <v>2</v>
      </c>
      <c r="E7">
        <f>3934000-15611</f>
        <v>3918389</v>
      </c>
      <c r="F7">
        <v>3</v>
      </c>
      <c r="G7">
        <f>3211-79</f>
        <v>3132</v>
      </c>
      <c r="H7">
        <f>7695-147</f>
        <v>7548</v>
      </c>
    </row>
    <row r="8" spans="1:8" x14ac:dyDescent="0.35">
      <c r="A8" t="s">
        <v>61</v>
      </c>
      <c r="B8" t="s">
        <v>1</v>
      </c>
      <c r="C8">
        <f>1222090-2666</f>
        <v>1219424</v>
      </c>
      <c r="D8">
        <v>2</v>
      </c>
      <c r="E8">
        <f>3918389-15611</f>
        <v>3902778</v>
      </c>
      <c r="F8">
        <v>3</v>
      </c>
      <c r="G8">
        <f>3132-79</f>
        <v>3053</v>
      </c>
      <c r="H8">
        <f>7548-147</f>
        <v>7401</v>
      </c>
    </row>
    <row r="9" spans="1:8" x14ac:dyDescent="0.35">
      <c r="A9" t="s">
        <v>62</v>
      </c>
      <c r="B9" t="s">
        <v>1</v>
      </c>
      <c r="C9">
        <f>1219424-2666</f>
        <v>1216758</v>
      </c>
      <c r="D9">
        <v>2</v>
      </c>
      <c r="E9">
        <f>3902778-15611</f>
        <v>3887167</v>
      </c>
      <c r="F9">
        <v>3</v>
      </c>
      <c r="G9">
        <f>3053-79</f>
        <v>2974</v>
      </c>
      <c r="H9">
        <f>7401-147</f>
        <v>7254</v>
      </c>
    </row>
    <row r="10" spans="1:8" x14ac:dyDescent="0.35">
      <c r="A10" t="s">
        <v>63</v>
      </c>
      <c r="B10" t="s">
        <v>1</v>
      </c>
      <c r="C10">
        <f>1216758-2666</f>
        <v>1214092</v>
      </c>
      <c r="D10">
        <v>2</v>
      </c>
      <c r="E10">
        <f>3887167-15611</f>
        <v>3871556</v>
      </c>
      <c r="F10">
        <v>3</v>
      </c>
      <c r="G10">
        <f>2974-79</f>
        <v>2895</v>
      </c>
      <c r="H10">
        <f>7254-147</f>
        <v>7107</v>
      </c>
    </row>
    <row r="11" spans="1:8" x14ac:dyDescent="0.35">
      <c r="A11" t="s">
        <v>64</v>
      </c>
      <c r="B11" t="s">
        <v>1</v>
      </c>
      <c r="C11">
        <f>1214092-2666</f>
        <v>1211426</v>
      </c>
      <c r="D11">
        <v>2</v>
      </c>
      <c r="E11">
        <f>3871556-15611</f>
        <v>3855945</v>
      </c>
      <c r="F11">
        <v>3</v>
      </c>
      <c r="G11">
        <f>2895-79</f>
        <v>2816</v>
      </c>
      <c r="H11">
        <f>7107-147</f>
        <v>6960</v>
      </c>
    </row>
    <row r="12" spans="1:8" x14ac:dyDescent="0.35">
      <c r="A12" t="s">
        <v>60</v>
      </c>
      <c r="B12" t="s">
        <v>2</v>
      </c>
      <c r="C12">
        <f>1224756-2666</f>
        <v>1222090</v>
      </c>
      <c r="D12">
        <v>2</v>
      </c>
      <c r="E12">
        <f>3855945-15611</f>
        <v>3840334</v>
      </c>
      <c r="F12">
        <v>3</v>
      </c>
      <c r="G12">
        <f>767-2</f>
        <v>765</v>
      </c>
      <c r="H12">
        <f>1890+8</f>
        <v>1898</v>
      </c>
    </row>
    <row r="13" spans="1:8" x14ac:dyDescent="0.35">
      <c r="A13" t="s">
        <v>61</v>
      </c>
      <c r="B13" t="s">
        <v>2</v>
      </c>
      <c r="C13">
        <f>1222090-2666</f>
        <v>1219424</v>
      </c>
      <c r="D13">
        <v>2</v>
      </c>
      <c r="E13">
        <f>3840334-15611</f>
        <v>3824723</v>
      </c>
      <c r="F13">
        <v>3</v>
      </c>
      <c r="G13">
        <f>765-2</f>
        <v>763</v>
      </c>
      <c r="H13">
        <f>1898+8</f>
        <v>1906</v>
      </c>
    </row>
    <row r="14" spans="1:8" x14ac:dyDescent="0.35">
      <c r="A14" t="s">
        <v>62</v>
      </c>
      <c r="B14" t="s">
        <v>2</v>
      </c>
      <c r="C14">
        <f>1219424-2666</f>
        <v>1216758</v>
      </c>
      <c r="D14">
        <v>2</v>
      </c>
      <c r="E14">
        <f>3824723-15611</f>
        <v>3809112</v>
      </c>
      <c r="F14">
        <v>3</v>
      </c>
      <c r="G14">
        <f>763-2</f>
        <v>761</v>
      </c>
      <c r="H14">
        <f>1906+8</f>
        <v>1914</v>
      </c>
    </row>
    <row r="15" spans="1:8" x14ac:dyDescent="0.35">
      <c r="A15" t="s">
        <v>63</v>
      </c>
      <c r="B15" t="s">
        <v>2</v>
      </c>
      <c r="C15">
        <f>1216758-2666</f>
        <v>1214092</v>
      </c>
      <c r="D15">
        <v>2</v>
      </c>
      <c r="E15">
        <f>3809112-15611</f>
        <v>3793501</v>
      </c>
      <c r="F15">
        <v>3</v>
      </c>
      <c r="G15">
        <f>761-2</f>
        <v>759</v>
      </c>
      <c r="H15">
        <f>1914+8</f>
        <v>1922</v>
      </c>
    </row>
    <row r="16" spans="1:8" x14ac:dyDescent="0.35">
      <c r="A16" t="s">
        <v>64</v>
      </c>
      <c r="B16" t="s">
        <v>2</v>
      </c>
      <c r="C16">
        <f>1214092-2666</f>
        <v>1211426</v>
      </c>
      <c r="D16">
        <v>2</v>
      </c>
      <c r="E16">
        <f>3793501-15611</f>
        <v>3777890</v>
      </c>
      <c r="F16">
        <v>3</v>
      </c>
      <c r="G16">
        <f>759-2</f>
        <v>757</v>
      </c>
      <c r="H16">
        <f>1922+8</f>
        <v>1930</v>
      </c>
    </row>
    <row r="17" spans="1:8" x14ac:dyDescent="0.35">
      <c r="A17" t="s">
        <v>60</v>
      </c>
      <c r="B17" t="s">
        <v>3</v>
      </c>
      <c r="C17">
        <f>539999-3762</f>
        <v>536237</v>
      </c>
      <c r="D17">
        <v>1</v>
      </c>
      <c r="E17">
        <f>545000-3761</f>
        <v>541239</v>
      </c>
      <c r="F17">
        <v>1</v>
      </c>
      <c r="G17">
        <f>157-2</f>
        <v>155</v>
      </c>
      <c r="H17">
        <f>960-11</f>
        <v>949</v>
      </c>
    </row>
    <row r="18" spans="1:8" x14ac:dyDescent="0.35">
      <c r="A18" t="s">
        <v>61</v>
      </c>
      <c r="B18" t="s">
        <v>3</v>
      </c>
      <c r="C18">
        <f>536237-3762</f>
        <v>532475</v>
      </c>
      <c r="D18">
        <v>1</v>
      </c>
      <c r="E18">
        <f>541239-3761</f>
        <v>537478</v>
      </c>
      <c r="F18">
        <v>1</v>
      </c>
      <c r="G18">
        <v>153</v>
      </c>
      <c r="H18">
        <f>949-11</f>
        <v>938</v>
      </c>
    </row>
    <row r="19" spans="1:8" x14ac:dyDescent="0.35">
      <c r="A19" t="s">
        <v>62</v>
      </c>
      <c r="B19" t="s">
        <v>3</v>
      </c>
      <c r="C19">
        <f>532475-3762</f>
        <v>528713</v>
      </c>
      <c r="D19">
        <v>1</v>
      </c>
      <c r="E19">
        <f>537478-3761</f>
        <v>533717</v>
      </c>
      <c r="F19">
        <v>1</v>
      </c>
      <c r="G19">
        <v>151</v>
      </c>
      <c r="H19">
        <f>938-11</f>
        <v>927</v>
      </c>
    </row>
    <row r="20" spans="1:8" x14ac:dyDescent="0.35">
      <c r="A20" t="s">
        <v>63</v>
      </c>
      <c r="B20" t="s">
        <v>3</v>
      </c>
      <c r="C20">
        <f>528713-3762</f>
        <v>524951</v>
      </c>
      <c r="D20">
        <v>1</v>
      </c>
      <c r="E20">
        <f>533717-3761</f>
        <v>529956</v>
      </c>
      <c r="F20">
        <v>1</v>
      </c>
      <c r="G20">
        <v>149</v>
      </c>
      <c r="H20">
        <f>927-11</f>
        <v>916</v>
      </c>
    </row>
    <row r="21" spans="1:8" x14ac:dyDescent="0.35">
      <c r="A21" t="s">
        <v>64</v>
      </c>
      <c r="B21" t="s">
        <v>3</v>
      </c>
      <c r="C21">
        <f>524951-3762</f>
        <v>521189</v>
      </c>
      <c r="D21">
        <v>1</v>
      </c>
      <c r="E21">
        <f>529956-3761</f>
        <v>526195</v>
      </c>
      <c r="F21">
        <v>1</v>
      </c>
      <c r="G21">
        <v>147</v>
      </c>
      <c r="H21">
        <f>916-11</f>
        <v>905</v>
      </c>
    </row>
    <row r="22" spans="1:8" x14ac:dyDescent="0.35">
      <c r="A22" t="s">
        <v>60</v>
      </c>
      <c r="B22" t="s">
        <v>4</v>
      </c>
      <c r="C22">
        <f>1102670+2303</f>
        <v>1104973</v>
      </c>
      <c r="D22">
        <v>1</v>
      </c>
      <c r="E22">
        <f>9982000+31139</f>
        <v>10013139</v>
      </c>
      <c r="F22">
        <v>10</v>
      </c>
      <c r="G22">
        <f>1251+54</f>
        <v>1305</v>
      </c>
      <c r="H22">
        <f>3525+77</f>
        <v>3602</v>
      </c>
    </row>
    <row r="23" spans="1:8" x14ac:dyDescent="0.35">
      <c r="A23" t="s">
        <v>61</v>
      </c>
      <c r="B23" t="s">
        <v>4</v>
      </c>
      <c r="C23">
        <f>1104973+2303</f>
        <v>1107276</v>
      </c>
      <c r="D23">
        <v>1</v>
      </c>
      <c r="E23">
        <f>10013139+31139</f>
        <v>10044278</v>
      </c>
      <c r="F23">
        <v>10</v>
      </c>
      <c r="G23">
        <f>1305+54</f>
        <v>1359</v>
      </c>
      <c r="H23">
        <f>3602+77</f>
        <v>3679</v>
      </c>
    </row>
    <row r="24" spans="1:8" x14ac:dyDescent="0.35">
      <c r="A24" t="s">
        <v>62</v>
      </c>
      <c r="B24" t="s">
        <v>4</v>
      </c>
      <c r="C24">
        <f>1107276+2303</f>
        <v>1109579</v>
      </c>
      <c r="D24">
        <v>1</v>
      </c>
      <c r="E24">
        <f>10044278+31139</f>
        <v>10075417</v>
      </c>
      <c r="F24">
        <v>10</v>
      </c>
      <c r="G24">
        <f>1359+54</f>
        <v>1413</v>
      </c>
      <c r="H24">
        <f>3679+77</f>
        <v>3756</v>
      </c>
    </row>
    <row r="25" spans="1:8" x14ac:dyDescent="0.35">
      <c r="A25" t="s">
        <v>63</v>
      </c>
      <c r="B25" t="s">
        <v>4</v>
      </c>
      <c r="C25">
        <f>1109579+2303</f>
        <v>1111882</v>
      </c>
      <c r="D25">
        <v>1</v>
      </c>
      <c r="E25">
        <f>10075417+31139</f>
        <v>10106556</v>
      </c>
      <c r="F25">
        <v>10</v>
      </c>
      <c r="G25">
        <f>1413+54</f>
        <v>1467</v>
      </c>
      <c r="H25">
        <f>3756+77</f>
        <v>3833</v>
      </c>
    </row>
    <row r="26" spans="1:8" x14ac:dyDescent="0.35">
      <c r="A26" t="s">
        <v>64</v>
      </c>
      <c r="B26" t="s">
        <v>4</v>
      </c>
      <c r="C26">
        <f>1111882+2303</f>
        <v>1114185</v>
      </c>
      <c r="D26">
        <v>1</v>
      </c>
      <c r="E26">
        <f>10106556+31139</f>
        <v>10137695</v>
      </c>
      <c r="F26">
        <v>10</v>
      </c>
      <c r="G26">
        <f>1467+54</f>
        <v>1521</v>
      </c>
      <c r="H26">
        <f>3833+77</f>
        <v>3910</v>
      </c>
    </row>
    <row r="27" spans="1:8" x14ac:dyDescent="0.35">
      <c r="A27" t="s">
        <v>60</v>
      </c>
      <c r="B27" t="s">
        <v>5</v>
      </c>
      <c r="C27">
        <f>1015701+4213</f>
        <v>1019914</v>
      </c>
      <c r="D27">
        <v>1</v>
      </c>
      <c r="E27">
        <f>4439000+9851</f>
        <v>4448851</v>
      </c>
      <c r="F27">
        <v>4</v>
      </c>
      <c r="G27">
        <f>10334+124</f>
        <v>10458</v>
      </c>
      <c r="H27">
        <f>14419+141</f>
        <v>14560</v>
      </c>
    </row>
    <row r="28" spans="1:8" x14ac:dyDescent="0.35">
      <c r="A28" t="s">
        <v>61</v>
      </c>
      <c r="B28" t="s">
        <v>5</v>
      </c>
      <c r="C28">
        <f>1019914+4213</f>
        <v>1024127</v>
      </c>
      <c r="D28">
        <v>1</v>
      </c>
      <c r="E28">
        <f>4448851+9851</f>
        <v>4458702</v>
      </c>
      <c r="F28">
        <v>4</v>
      </c>
      <c r="G28">
        <f>10458+124</f>
        <v>10582</v>
      </c>
      <c r="H28">
        <f>14560+141</f>
        <v>14701</v>
      </c>
    </row>
    <row r="29" spans="1:8" x14ac:dyDescent="0.35">
      <c r="A29" t="s">
        <v>62</v>
      </c>
      <c r="B29" t="s">
        <v>5</v>
      </c>
      <c r="C29">
        <f>1024127+4213</f>
        <v>1028340</v>
      </c>
      <c r="D29">
        <v>1</v>
      </c>
      <c r="E29">
        <f>4458702+9851</f>
        <v>4468553</v>
      </c>
      <c r="F29">
        <v>4</v>
      </c>
      <c r="G29">
        <f>10582+124</f>
        <v>10706</v>
      </c>
      <c r="H29">
        <f>14701+141</f>
        <v>14842</v>
      </c>
    </row>
    <row r="30" spans="1:8" x14ac:dyDescent="0.35">
      <c r="A30" t="s">
        <v>63</v>
      </c>
      <c r="B30" t="s">
        <v>5</v>
      </c>
      <c r="C30">
        <f>1028340+4213</f>
        <v>1032553</v>
      </c>
      <c r="D30">
        <v>1</v>
      </c>
      <c r="E30">
        <f>4468553+9851</f>
        <v>4478404</v>
      </c>
      <c r="F30">
        <v>4</v>
      </c>
      <c r="G30">
        <f>10706+124</f>
        <v>10830</v>
      </c>
      <c r="H30">
        <f>14842+141</f>
        <v>14983</v>
      </c>
    </row>
    <row r="31" spans="1:8" x14ac:dyDescent="0.35">
      <c r="A31" t="s">
        <v>64</v>
      </c>
      <c r="B31" t="s">
        <v>5</v>
      </c>
      <c r="C31">
        <f>1032553+4213</f>
        <v>1036766</v>
      </c>
      <c r="D31">
        <v>1</v>
      </c>
      <c r="E31">
        <f>4478404+9851</f>
        <v>4488255</v>
      </c>
      <c r="F31">
        <v>4</v>
      </c>
      <c r="G31">
        <f>10830+124</f>
        <v>10954</v>
      </c>
      <c r="H31">
        <f>14983+141</f>
        <v>15124</v>
      </c>
    </row>
    <row r="32" spans="1:8" x14ac:dyDescent="0.35">
      <c r="A32" t="s">
        <v>60</v>
      </c>
      <c r="B32" t="s">
        <v>6</v>
      </c>
      <c r="C32">
        <f>1254322+2379</f>
        <v>1256701</v>
      </c>
      <c r="D32">
        <v>1</v>
      </c>
      <c r="E32">
        <f>9982000+31139</f>
        <v>10013139</v>
      </c>
      <c r="F32">
        <v>10</v>
      </c>
      <c r="G32">
        <f>786+37</f>
        <v>823</v>
      </c>
      <c r="H32">
        <f>3242+69</f>
        <v>3311</v>
      </c>
    </row>
    <row r="33" spans="1:8" x14ac:dyDescent="0.35">
      <c r="A33" t="s">
        <v>61</v>
      </c>
      <c r="B33" t="s">
        <v>6</v>
      </c>
      <c r="C33">
        <f>1256701+2379</f>
        <v>1259080</v>
      </c>
      <c r="D33">
        <v>1</v>
      </c>
      <c r="E33">
        <f>10013139+31139</f>
        <v>10044278</v>
      </c>
      <c r="F33">
        <v>10</v>
      </c>
      <c r="G33">
        <f>823+37</f>
        <v>860</v>
      </c>
      <c r="H33">
        <f>3311+69</f>
        <v>3380</v>
      </c>
    </row>
    <row r="34" spans="1:8" x14ac:dyDescent="0.35">
      <c r="A34" t="s">
        <v>62</v>
      </c>
      <c r="B34" t="s">
        <v>6</v>
      </c>
      <c r="C34">
        <f>1259080+2379</f>
        <v>1261459</v>
      </c>
      <c r="D34">
        <v>1</v>
      </c>
      <c r="E34">
        <f>10044278+31139</f>
        <v>10075417</v>
      </c>
      <c r="F34">
        <v>10</v>
      </c>
      <c r="G34">
        <f>860+37</f>
        <v>897</v>
      </c>
      <c r="H34">
        <f>3380+69</f>
        <v>3449</v>
      </c>
    </row>
    <row r="35" spans="1:8" x14ac:dyDescent="0.35">
      <c r="A35" t="s">
        <v>63</v>
      </c>
      <c r="B35" t="s">
        <v>6</v>
      </c>
      <c r="C35">
        <f>1261459+2379</f>
        <v>1263838</v>
      </c>
      <c r="D35">
        <v>1</v>
      </c>
      <c r="E35">
        <f>10075417+31139</f>
        <v>10106556</v>
      </c>
      <c r="F35">
        <v>10</v>
      </c>
      <c r="G35">
        <f>897+37</f>
        <v>934</v>
      </c>
      <c r="H35">
        <f>3449+69</f>
        <v>3518</v>
      </c>
    </row>
    <row r="36" spans="1:8" x14ac:dyDescent="0.35">
      <c r="A36" t="s">
        <v>64</v>
      </c>
      <c r="B36" t="s">
        <v>6</v>
      </c>
      <c r="C36">
        <f>1263838+2379</f>
        <v>1266217</v>
      </c>
      <c r="D36">
        <v>1</v>
      </c>
      <c r="E36">
        <f>10106556+31139</f>
        <v>10137695</v>
      </c>
      <c r="F36">
        <v>10</v>
      </c>
      <c r="G36">
        <f>934+37</f>
        <v>971</v>
      </c>
      <c r="H36">
        <f>3518+69</f>
        <v>3587</v>
      </c>
    </row>
    <row r="37" spans="1:8" x14ac:dyDescent="0.35">
      <c r="A37" t="s">
        <v>60</v>
      </c>
      <c r="B37" t="s">
        <v>7</v>
      </c>
      <c r="C37">
        <f>419770-449</f>
        <v>419321</v>
      </c>
      <c r="D37">
        <v>1</v>
      </c>
      <c r="E37">
        <f>1590000-6371</f>
        <v>1583629</v>
      </c>
      <c r="F37">
        <v>2</v>
      </c>
      <c r="G37">
        <f>2474+12</f>
        <v>2486</v>
      </c>
      <c r="H37">
        <f>4370+31</f>
        <v>4401</v>
      </c>
    </row>
    <row r="38" spans="1:8" x14ac:dyDescent="0.35">
      <c r="A38" t="s">
        <v>61</v>
      </c>
      <c r="B38" t="s">
        <v>7</v>
      </c>
      <c r="C38">
        <f>419321-449</f>
        <v>418872</v>
      </c>
      <c r="D38">
        <v>1</v>
      </c>
      <c r="E38">
        <f>1583629-6371</f>
        <v>1577258</v>
      </c>
      <c r="F38">
        <v>2</v>
      </c>
      <c r="G38">
        <f>2486+12</f>
        <v>2498</v>
      </c>
      <c r="H38">
        <f>4401+31</f>
        <v>4432</v>
      </c>
    </row>
    <row r="39" spans="1:8" x14ac:dyDescent="0.35">
      <c r="A39" t="s">
        <v>62</v>
      </c>
      <c r="B39" t="s">
        <v>7</v>
      </c>
      <c r="C39">
        <f>418872-449</f>
        <v>418423</v>
      </c>
      <c r="D39">
        <v>1</v>
      </c>
      <c r="E39">
        <f>1577258-6371</f>
        <v>1570887</v>
      </c>
      <c r="F39">
        <v>2</v>
      </c>
      <c r="G39">
        <f>2498+12</f>
        <v>2510</v>
      </c>
      <c r="H39">
        <f>4432+31</f>
        <v>4463</v>
      </c>
    </row>
    <row r="40" spans="1:8" x14ac:dyDescent="0.35">
      <c r="A40" t="s">
        <v>63</v>
      </c>
      <c r="B40" t="s">
        <v>7</v>
      </c>
      <c r="C40">
        <f>418423-449</f>
        <v>417974</v>
      </c>
      <c r="D40">
        <v>1</v>
      </c>
      <c r="E40">
        <f>1570887-6371</f>
        <v>1564516</v>
      </c>
      <c r="F40">
        <v>2</v>
      </c>
      <c r="G40">
        <f>2510+12</f>
        <v>2522</v>
      </c>
      <c r="H40">
        <f>4463+31</f>
        <v>4494</v>
      </c>
    </row>
    <row r="41" spans="1:8" x14ac:dyDescent="0.35">
      <c r="A41" t="s">
        <v>64</v>
      </c>
      <c r="B41" t="s">
        <v>7</v>
      </c>
      <c r="C41">
        <f>417974-449</f>
        <v>417525</v>
      </c>
      <c r="D41">
        <v>1</v>
      </c>
      <c r="E41">
        <f>1564516-6371</f>
        <v>1558145</v>
      </c>
      <c r="F41">
        <v>2</v>
      </c>
      <c r="G41">
        <f>2522+12</f>
        <v>2534</v>
      </c>
      <c r="H41">
        <f>4494+31</f>
        <v>4525</v>
      </c>
    </row>
    <row r="42" spans="1:8" x14ac:dyDescent="0.35">
      <c r="A42" t="s">
        <v>60</v>
      </c>
      <c r="B42" t="s">
        <v>8</v>
      </c>
      <c r="C42">
        <f>1861000-11262</f>
        <v>1849738</v>
      </c>
      <c r="D42">
        <v>2</v>
      </c>
      <c r="E42">
        <f>1861000-11262</f>
        <v>1849738</v>
      </c>
      <c r="F42">
        <v>2</v>
      </c>
      <c r="G42">
        <f>295+21</f>
        <v>316</v>
      </c>
      <c r="H42">
        <f>4114-24</f>
        <v>4090</v>
      </c>
    </row>
    <row r="43" spans="1:8" x14ac:dyDescent="0.35">
      <c r="A43" t="s">
        <v>61</v>
      </c>
      <c r="B43" t="s">
        <v>8</v>
      </c>
      <c r="C43">
        <f>1849738-11262</f>
        <v>1838476</v>
      </c>
      <c r="D43">
        <v>2</v>
      </c>
      <c r="E43">
        <f>1849738-11262</f>
        <v>1838476</v>
      </c>
      <c r="F43">
        <v>2</v>
      </c>
      <c r="G43">
        <f>316+21</f>
        <v>337</v>
      </c>
      <c r="H43">
        <f>4090-24</f>
        <v>4066</v>
      </c>
    </row>
    <row r="44" spans="1:8" x14ac:dyDescent="0.35">
      <c r="A44" t="s">
        <v>62</v>
      </c>
      <c r="B44" t="s">
        <v>8</v>
      </c>
      <c r="C44">
        <f>1838476-11262</f>
        <v>1827214</v>
      </c>
      <c r="D44">
        <v>2</v>
      </c>
      <c r="E44">
        <f>1838476-11262</f>
        <v>1827214</v>
      </c>
      <c r="F44">
        <v>2</v>
      </c>
      <c r="G44">
        <f>337+21</f>
        <v>358</v>
      </c>
      <c r="H44">
        <f>4066-24</f>
        <v>4042</v>
      </c>
    </row>
    <row r="45" spans="1:8" x14ac:dyDescent="0.35">
      <c r="A45" t="s">
        <v>63</v>
      </c>
      <c r="B45" t="s">
        <v>8</v>
      </c>
      <c r="C45">
        <f>1827214-11262</f>
        <v>1815952</v>
      </c>
      <c r="D45">
        <v>2</v>
      </c>
      <c r="E45">
        <f>1827214-11262</f>
        <v>1815952</v>
      </c>
      <c r="F45">
        <v>2</v>
      </c>
      <c r="G45">
        <f>358+21</f>
        <v>379</v>
      </c>
      <c r="H45">
        <f>4042-24</f>
        <v>4018</v>
      </c>
    </row>
    <row r="46" spans="1:8" x14ac:dyDescent="0.35">
      <c r="A46" t="s">
        <v>64</v>
      </c>
      <c r="B46" t="s">
        <v>8</v>
      </c>
      <c r="C46">
        <f>1815952-11262</f>
        <v>1804690</v>
      </c>
      <c r="D46">
        <v>2</v>
      </c>
      <c r="E46">
        <f>1815952-11262</f>
        <v>1804690</v>
      </c>
      <c r="F46">
        <v>2</v>
      </c>
      <c r="G46">
        <f>379+21</f>
        <v>400</v>
      </c>
      <c r="H46">
        <f>4018-24</f>
        <v>3994</v>
      </c>
    </row>
    <row r="47" spans="1:8" x14ac:dyDescent="0.35">
      <c r="A47" t="s">
        <v>60</v>
      </c>
      <c r="B47" t="s">
        <v>9</v>
      </c>
      <c r="C47">
        <f>1068835-1968</f>
        <v>1066867</v>
      </c>
      <c r="D47">
        <v>1</v>
      </c>
      <c r="E47">
        <f>4834000-21004</f>
        <v>4812996</v>
      </c>
      <c r="F47">
        <v>4</v>
      </c>
      <c r="G47">
        <f>2651+27</f>
        <v>2678</v>
      </c>
      <c r="H47">
        <f>6337+12</f>
        <v>6349</v>
      </c>
    </row>
    <row r="48" spans="1:8" x14ac:dyDescent="0.35">
      <c r="A48" t="s">
        <v>61</v>
      </c>
      <c r="B48" t="s">
        <v>9</v>
      </c>
      <c r="C48">
        <f>1066867-1968</f>
        <v>1064899</v>
      </c>
      <c r="D48">
        <v>1</v>
      </c>
      <c r="E48">
        <f>4812996-21004</f>
        <v>4791992</v>
      </c>
      <c r="F48">
        <v>4</v>
      </c>
      <c r="G48">
        <f>2678+27</f>
        <v>2705</v>
      </c>
      <c r="H48">
        <f>6349+12</f>
        <v>6361</v>
      </c>
    </row>
    <row r="49" spans="1:8" x14ac:dyDescent="0.35">
      <c r="A49" t="s">
        <v>62</v>
      </c>
      <c r="B49" t="s">
        <v>9</v>
      </c>
      <c r="C49">
        <f>1064899-1968</f>
        <v>1062931</v>
      </c>
      <c r="D49">
        <v>1</v>
      </c>
      <c r="E49">
        <f>4791992-21004</f>
        <v>4770988</v>
      </c>
      <c r="F49">
        <v>4</v>
      </c>
      <c r="G49">
        <f>2705+27</f>
        <v>2732</v>
      </c>
      <c r="H49">
        <f>6361+12</f>
        <v>6373</v>
      </c>
    </row>
    <row r="50" spans="1:8" x14ac:dyDescent="0.35">
      <c r="A50" t="s">
        <v>63</v>
      </c>
      <c r="B50" t="s">
        <v>9</v>
      </c>
      <c r="C50">
        <f>1062931-1968</f>
        <v>1060963</v>
      </c>
      <c r="D50">
        <v>1</v>
      </c>
      <c r="E50">
        <f>4770988-21004</f>
        <v>4749984</v>
      </c>
      <c r="F50">
        <v>4</v>
      </c>
      <c r="G50">
        <f>2732+27</f>
        <v>2759</v>
      </c>
      <c r="H50">
        <f>6373+12</f>
        <v>6385</v>
      </c>
    </row>
    <row r="51" spans="1:8" x14ac:dyDescent="0.35">
      <c r="A51" t="s">
        <v>64</v>
      </c>
      <c r="B51" t="s">
        <v>9</v>
      </c>
      <c r="C51">
        <f>1060963-1968</f>
        <v>1058995</v>
      </c>
      <c r="D51">
        <v>1</v>
      </c>
      <c r="E51">
        <f>4749984-21004</f>
        <v>4728980</v>
      </c>
      <c r="F51">
        <v>4</v>
      </c>
      <c r="G51">
        <f>2759+27</f>
        <v>2786</v>
      </c>
      <c r="H51">
        <f>6385+12</f>
        <v>6397</v>
      </c>
    </row>
    <row r="52" spans="1:8" x14ac:dyDescent="0.35">
      <c r="A52" t="s">
        <v>60</v>
      </c>
      <c r="B52" t="s">
        <v>10</v>
      </c>
      <c r="C52">
        <f>341991-2026</f>
        <v>339965</v>
      </c>
      <c r="D52">
        <v>1</v>
      </c>
      <c r="E52">
        <f>1861000-11262</f>
        <v>1849738</v>
      </c>
      <c r="F52">
        <v>2</v>
      </c>
      <c r="G52">
        <f>715+21</f>
        <v>736</v>
      </c>
      <c r="H52">
        <f>1669+23</f>
        <v>1692</v>
      </c>
    </row>
    <row r="53" spans="1:8" x14ac:dyDescent="0.35">
      <c r="A53" t="s">
        <v>61</v>
      </c>
      <c r="B53" t="s">
        <v>10</v>
      </c>
      <c r="C53">
        <f>339965-2026</f>
        <v>337939</v>
      </c>
      <c r="D53">
        <v>1</v>
      </c>
      <c r="E53">
        <f>1849738-11262</f>
        <v>1838476</v>
      </c>
      <c r="F53">
        <v>2</v>
      </c>
      <c r="G53">
        <f>736+21</f>
        <v>757</v>
      </c>
      <c r="H53">
        <f>1692+23</f>
        <v>1715</v>
      </c>
    </row>
    <row r="54" spans="1:8" x14ac:dyDescent="0.35">
      <c r="A54" t="s">
        <v>62</v>
      </c>
      <c r="B54" t="s">
        <v>10</v>
      </c>
      <c r="C54">
        <f>337939-2026</f>
        <v>335913</v>
      </c>
      <c r="D54">
        <v>1</v>
      </c>
      <c r="E54">
        <f>1838476-11262</f>
        <v>1827214</v>
      </c>
      <c r="F54">
        <v>2</v>
      </c>
      <c r="G54">
        <f>757+21</f>
        <v>778</v>
      </c>
      <c r="H54">
        <f>1715+23</f>
        <v>1738</v>
      </c>
    </row>
    <row r="55" spans="1:8" x14ac:dyDescent="0.35">
      <c r="A55" t="s">
        <v>63</v>
      </c>
      <c r="B55" t="s">
        <v>10</v>
      </c>
      <c r="C55">
        <f>335913-2026</f>
        <v>333887</v>
      </c>
      <c r="D55">
        <v>1</v>
      </c>
      <c r="E55">
        <f>1827214-11262</f>
        <v>1815952</v>
      </c>
      <c r="F55">
        <v>2</v>
      </c>
      <c r="G55">
        <f>778+21</f>
        <v>799</v>
      </c>
      <c r="H55">
        <f>1738+23</f>
        <v>1761</v>
      </c>
    </row>
    <row r="56" spans="1:8" x14ac:dyDescent="0.35">
      <c r="A56" t="s">
        <v>64</v>
      </c>
      <c r="B56" t="s">
        <v>10</v>
      </c>
      <c r="C56">
        <f>333887-2026</f>
        <v>331861</v>
      </c>
      <c r="D56">
        <v>1</v>
      </c>
      <c r="E56">
        <f>1815952-11262</f>
        <v>1804690</v>
      </c>
      <c r="F56">
        <v>2</v>
      </c>
      <c r="G56">
        <f>799+21</f>
        <v>820</v>
      </c>
      <c r="H56">
        <f>1761+23</f>
        <v>1784</v>
      </c>
    </row>
    <row r="57" spans="1:8" x14ac:dyDescent="0.35">
      <c r="A57" t="s">
        <v>60</v>
      </c>
      <c r="B57" t="s">
        <v>11</v>
      </c>
      <c r="C57">
        <f>685819-1400</f>
        <v>684419</v>
      </c>
      <c r="D57">
        <v>1</v>
      </c>
      <c r="E57">
        <f>1281000-4501</f>
        <v>1276499</v>
      </c>
      <c r="F57">
        <v>2</v>
      </c>
      <c r="G57">
        <f>2769-214</f>
        <v>2555</v>
      </c>
      <c r="H57">
        <f>3879-228</f>
        <v>3651</v>
      </c>
    </row>
    <row r="58" spans="1:8" x14ac:dyDescent="0.35">
      <c r="A58" t="s">
        <v>61</v>
      </c>
      <c r="B58" t="s">
        <v>11</v>
      </c>
      <c r="C58">
        <f>684419-1400</f>
        <v>683019</v>
      </c>
      <c r="D58">
        <v>1</v>
      </c>
      <c r="E58">
        <f>1276499-4501</f>
        <v>1271998</v>
      </c>
      <c r="F58">
        <v>2</v>
      </c>
      <c r="G58">
        <f>2555-214</f>
        <v>2341</v>
      </c>
      <c r="H58">
        <f>3651-228</f>
        <v>3423</v>
      </c>
    </row>
    <row r="59" spans="1:8" x14ac:dyDescent="0.35">
      <c r="A59" t="s">
        <v>62</v>
      </c>
      <c r="B59" t="s">
        <v>11</v>
      </c>
      <c r="C59">
        <f>683019-1400</f>
        <v>681619</v>
      </c>
      <c r="D59">
        <v>1</v>
      </c>
      <c r="E59">
        <f>1271998-4501</f>
        <v>1267497</v>
      </c>
      <c r="F59">
        <v>2</v>
      </c>
      <c r="G59">
        <f>2341-214</f>
        <v>2127</v>
      </c>
      <c r="H59">
        <f>3423-228</f>
        <v>3195</v>
      </c>
    </row>
    <row r="60" spans="1:8" x14ac:dyDescent="0.35">
      <c r="A60" t="s">
        <v>63</v>
      </c>
      <c r="B60" t="s">
        <v>11</v>
      </c>
      <c r="C60">
        <f>681619-1400</f>
        <v>680219</v>
      </c>
      <c r="D60">
        <v>1</v>
      </c>
      <c r="E60">
        <f>1267497-4501</f>
        <v>1262996</v>
      </c>
      <c r="F60">
        <v>2</v>
      </c>
      <c r="G60">
        <f>2127-214</f>
        <v>1913</v>
      </c>
      <c r="H60">
        <f>3195-228</f>
        <v>2967</v>
      </c>
    </row>
    <row r="61" spans="1:8" x14ac:dyDescent="0.35">
      <c r="A61" t="s">
        <v>64</v>
      </c>
      <c r="B61" t="s">
        <v>11</v>
      </c>
      <c r="C61">
        <f>680219-1400</f>
        <v>678819</v>
      </c>
      <c r="D61">
        <v>1</v>
      </c>
      <c r="E61">
        <f>1262996-4501</f>
        <v>1258495</v>
      </c>
      <c r="F61">
        <v>2</v>
      </c>
      <c r="G61">
        <f>1913-214</f>
        <v>1699</v>
      </c>
      <c r="H61">
        <f>2967-228</f>
        <v>2739</v>
      </c>
    </row>
    <row r="62" spans="1:8" x14ac:dyDescent="0.35">
      <c r="A62" t="s">
        <v>60</v>
      </c>
      <c r="B62" t="s">
        <v>12</v>
      </c>
      <c r="C62">
        <f>155982-1909</f>
        <v>154073</v>
      </c>
      <c r="D62">
        <v>1</v>
      </c>
      <c r="E62">
        <f>4834000-21004</f>
        <v>4812996</v>
      </c>
      <c r="F62">
        <v>4</v>
      </c>
      <c r="G62">
        <f>659-34</f>
        <v>625</v>
      </c>
      <c r="H62">
        <f>905-42</f>
        <v>863</v>
      </c>
    </row>
    <row r="63" spans="1:8" x14ac:dyDescent="0.35">
      <c r="A63" t="s">
        <v>61</v>
      </c>
      <c r="B63" t="s">
        <v>12</v>
      </c>
      <c r="C63">
        <f>154073-1909</f>
        <v>152164</v>
      </c>
      <c r="D63">
        <v>1</v>
      </c>
      <c r="E63">
        <f>4812996-21004</f>
        <v>4791992</v>
      </c>
      <c r="F63">
        <v>4</v>
      </c>
      <c r="G63">
        <f>625-34</f>
        <v>591</v>
      </c>
      <c r="H63">
        <f>863-42</f>
        <v>821</v>
      </c>
    </row>
    <row r="64" spans="1:8" x14ac:dyDescent="0.35">
      <c r="A64" t="s">
        <v>62</v>
      </c>
      <c r="B64" t="s">
        <v>12</v>
      </c>
      <c r="C64">
        <f>152164-1909</f>
        <v>150255</v>
      </c>
      <c r="D64">
        <v>1</v>
      </c>
      <c r="E64">
        <f>4791992-21004</f>
        <v>4770988</v>
      </c>
      <c r="F64">
        <v>4</v>
      </c>
      <c r="G64">
        <f>591-34</f>
        <v>557</v>
      </c>
      <c r="H64">
        <f>821-42</f>
        <v>779</v>
      </c>
    </row>
    <row r="65" spans="1:8" x14ac:dyDescent="0.35">
      <c r="A65" t="s">
        <v>63</v>
      </c>
      <c r="B65" t="s">
        <v>12</v>
      </c>
      <c r="C65">
        <f>150255-1909</f>
        <v>148346</v>
      </c>
      <c r="D65">
        <v>1</v>
      </c>
      <c r="E65">
        <f>4770988-21004</f>
        <v>4749984</v>
      </c>
      <c r="F65">
        <v>4</v>
      </c>
      <c r="G65">
        <f>557-34</f>
        <v>523</v>
      </c>
      <c r="H65">
        <f>779-42</f>
        <v>737</v>
      </c>
    </row>
    <row r="66" spans="1:8" x14ac:dyDescent="0.35">
      <c r="A66" t="s">
        <v>64</v>
      </c>
      <c r="B66" t="s">
        <v>12</v>
      </c>
      <c r="C66">
        <f>148346-1909</f>
        <v>146437</v>
      </c>
      <c r="D66">
        <v>1</v>
      </c>
      <c r="E66">
        <f>4749984-21004</f>
        <v>4728980</v>
      </c>
      <c r="F66">
        <v>4</v>
      </c>
      <c r="G66">
        <f>523-34</f>
        <v>489</v>
      </c>
      <c r="H66">
        <f>737-42</f>
        <v>695</v>
      </c>
    </row>
    <row r="67" spans="1:8" x14ac:dyDescent="0.35">
      <c r="A67" t="s">
        <v>60</v>
      </c>
      <c r="B67" t="s">
        <v>13</v>
      </c>
      <c r="C67">
        <f>340755-1512</f>
        <v>339243</v>
      </c>
      <c r="D67">
        <v>1</v>
      </c>
      <c r="E67">
        <f>4439000+9851</f>
        <v>4448851</v>
      </c>
      <c r="F67">
        <v>4</v>
      </c>
      <c r="G67">
        <f>6030+410</f>
        <v>6440</v>
      </c>
      <c r="H67">
        <f>7306+432</f>
        <v>7738</v>
      </c>
    </row>
    <row r="68" spans="1:8" x14ac:dyDescent="0.35">
      <c r="A68" t="s">
        <v>61</v>
      </c>
      <c r="B68" t="s">
        <v>13</v>
      </c>
      <c r="C68">
        <f>339243-1512</f>
        <v>337731</v>
      </c>
      <c r="D68">
        <v>1</v>
      </c>
      <c r="E68">
        <f>4448851+9851</f>
        <v>4458702</v>
      </c>
      <c r="F68">
        <v>4</v>
      </c>
      <c r="G68">
        <f>6440+410</f>
        <v>6850</v>
      </c>
      <c r="H68">
        <f>7738+432</f>
        <v>8170</v>
      </c>
    </row>
    <row r="69" spans="1:8" x14ac:dyDescent="0.35">
      <c r="A69" t="s">
        <v>62</v>
      </c>
      <c r="B69" t="s">
        <v>13</v>
      </c>
      <c r="C69">
        <f>337731-1512</f>
        <v>336219</v>
      </c>
      <c r="D69">
        <v>1</v>
      </c>
      <c r="E69">
        <f>4458702+9851</f>
        <v>4468553</v>
      </c>
      <c r="F69">
        <v>4</v>
      </c>
      <c r="G69">
        <f>6850+410</f>
        <v>7260</v>
      </c>
      <c r="H69">
        <f>8170+432</f>
        <v>8602</v>
      </c>
    </row>
    <row r="70" spans="1:8" x14ac:dyDescent="0.35">
      <c r="A70" t="s">
        <v>63</v>
      </c>
      <c r="B70" t="s">
        <v>13</v>
      </c>
      <c r="C70">
        <f>336219-1512</f>
        <v>334707</v>
      </c>
      <c r="D70">
        <v>1</v>
      </c>
      <c r="E70">
        <f>4468553+9851</f>
        <v>4478404</v>
      </c>
      <c r="F70">
        <v>4</v>
      </c>
      <c r="G70">
        <f>7260+410</f>
        <v>7670</v>
      </c>
      <c r="H70">
        <f>8602+432</f>
        <v>9034</v>
      </c>
    </row>
    <row r="71" spans="1:8" x14ac:dyDescent="0.35">
      <c r="A71" t="s">
        <v>64</v>
      </c>
      <c r="B71" t="s">
        <v>13</v>
      </c>
      <c r="C71">
        <f>334707-1512</f>
        <v>333195</v>
      </c>
      <c r="D71">
        <v>1</v>
      </c>
      <c r="E71">
        <f>4478404+9851</f>
        <v>4488255</v>
      </c>
      <c r="F71">
        <v>4</v>
      </c>
      <c r="G71">
        <f>7670+410</f>
        <v>8080</v>
      </c>
      <c r="H71">
        <f>9034+432</f>
        <v>9466</v>
      </c>
    </row>
    <row r="72" spans="1:8" x14ac:dyDescent="0.35">
      <c r="A72" t="s">
        <v>60</v>
      </c>
      <c r="B72" t="s">
        <v>14</v>
      </c>
      <c r="C72">
        <f>994717+1363</f>
        <v>996080</v>
      </c>
      <c r="D72">
        <v>1</v>
      </c>
      <c r="E72">
        <f>3693000-1359</f>
        <v>3691641</v>
      </c>
      <c r="F72">
        <v>3</v>
      </c>
      <c r="G72">
        <f>5513+78</f>
        <v>5591</v>
      </c>
      <c r="H72">
        <f>10113+150</f>
        <v>10263</v>
      </c>
    </row>
    <row r="73" spans="1:8" x14ac:dyDescent="0.35">
      <c r="A73" t="s">
        <v>61</v>
      </c>
      <c r="B73" t="s">
        <v>14</v>
      </c>
      <c r="C73">
        <f>996080+1363</f>
        <v>997443</v>
      </c>
      <c r="D73">
        <v>1</v>
      </c>
      <c r="E73">
        <f>3691641-1359</f>
        <v>3690282</v>
      </c>
      <c r="F73">
        <v>3</v>
      </c>
      <c r="G73">
        <f>5591+78</f>
        <v>5669</v>
      </c>
      <c r="H73">
        <f>10263+150</f>
        <v>10413</v>
      </c>
    </row>
    <row r="74" spans="1:8" x14ac:dyDescent="0.35">
      <c r="A74" t="s">
        <v>62</v>
      </c>
      <c r="B74" t="s">
        <v>14</v>
      </c>
      <c r="C74">
        <f>997443+1363</f>
        <v>998806</v>
      </c>
      <c r="D74">
        <v>1</v>
      </c>
      <c r="E74">
        <f>3690282-1359</f>
        <v>3688923</v>
      </c>
      <c r="F74">
        <v>3</v>
      </c>
      <c r="G74">
        <f>5669+78</f>
        <v>5747</v>
      </c>
      <c r="H74">
        <f>10413+150</f>
        <v>10563</v>
      </c>
    </row>
    <row r="75" spans="1:8" x14ac:dyDescent="0.35">
      <c r="A75" t="s">
        <v>63</v>
      </c>
      <c r="B75" t="s">
        <v>14</v>
      </c>
      <c r="C75">
        <f>998806+1363</f>
        <v>1000169</v>
      </c>
      <c r="D75">
        <v>1</v>
      </c>
      <c r="E75">
        <f>3688923-1359</f>
        <v>3687564</v>
      </c>
      <c r="F75">
        <v>3</v>
      </c>
      <c r="G75">
        <f>5747+78</f>
        <v>5825</v>
      </c>
      <c r="H75">
        <f>10563+150</f>
        <v>10713</v>
      </c>
    </row>
    <row r="76" spans="1:8" x14ac:dyDescent="0.35">
      <c r="A76" t="s">
        <v>64</v>
      </c>
      <c r="B76" t="s">
        <v>14</v>
      </c>
      <c r="C76">
        <f>1000169+1363</f>
        <v>1001532</v>
      </c>
      <c r="D76">
        <v>1</v>
      </c>
      <c r="E76">
        <f>3687564-1359</f>
        <v>3686205</v>
      </c>
      <c r="F76">
        <v>3</v>
      </c>
      <c r="G76">
        <f>5825+78</f>
        <v>5903</v>
      </c>
      <c r="H76">
        <f>10713+150</f>
        <v>10863</v>
      </c>
    </row>
    <row r="77" spans="1:8" x14ac:dyDescent="0.35">
      <c r="A77" t="s">
        <v>60</v>
      </c>
      <c r="B77" t="s">
        <v>15</v>
      </c>
      <c r="C77">
        <f>597902-4285</f>
        <v>593617</v>
      </c>
      <c r="D77">
        <v>1</v>
      </c>
      <c r="E77">
        <f>3934000-15611</f>
        <v>3918389</v>
      </c>
      <c r="F77">
        <v>3</v>
      </c>
      <c r="G77">
        <f>770+45</f>
        <v>815</v>
      </c>
      <c r="H77">
        <f>2632+90</f>
        <v>2722</v>
      </c>
    </row>
    <row r="78" spans="1:8" x14ac:dyDescent="0.35">
      <c r="A78" t="s">
        <v>61</v>
      </c>
      <c r="B78" t="s">
        <v>15</v>
      </c>
      <c r="C78">
        <f>593617-4285</f>
        <v>589332</v>
      </c>
      <c r="D78">
        <v>1</v>
      </c>
      <c r="E78">
        <f>3918389-15611</f>
        <v>3902778</v>
      </c>
      <c r="F78">
        <v>3</v>
      </c>
      <c r="G78">
        <f>815+45</f>
        <v>860</v>
      </c>
      <c r="H78">
        <f>2722+90</f>
        <v>2812</v>
      </c>
    </row>
    <row r="79" spans="1:8" x14ac:dyDescent="0.35">
      <c r="A79" t="s">
        <v>62</v>
      </c>
      <c r="B79" t="s">
        <v>15</v>
      </c>
      <c r="C79">
        <f>589332-4285</f>
        <v>585047</v>
      </c>
      <c r="D79">
        <v>1</v>
      </c>
      <c r="E79">
        <f>3902778-15611</f>
        <v>3887167</v>
      </c>
      <c r="F79">
        <v>3</v>
      </c>
      <c r="G79">
        <f>860+45</f>
        <v>905</v>
      </c>
      <c r="H79">
        <f>2812+90</f>
        <v>2902</v>
      </c>
    </row>
    <row r="80" spans="1:8" x14ac:dyDescent="0.35">
      <c r="A80" t="s">
        <v>63</v>
      </c>
      <c r="B80" t="s">
        <v>15</v>
      </c>
      <c r="C80">
        <f>585047-4285</f>
        <v>580762</v>
      </c>
      <c r="D80">
        <v>1</v>
      </c>
      <c r="E80">
        <f>3887167-15611</f>
        <v>3871556</v>
      </c>
      <c r="F80">
        <v>3</v>
      </c>
      <c r="G80">
        <f>905+45</f>
        <v>950</v>
      </c>
      <c r="H80">
        <f>2902+90</f>
        <v>2992</v>
      </c>
    </row>
    <row r="81" spans="1:8" x14ac:dyDescent="0.35">
      <c r="A81" t="s">
        <v>64</v>
      </c>
      <c r="B81" t="s">
        <v>15</v>
      </c>
      <c r="C81">
        <f>580762-4285</f>
        <v>576477</v>
      </c>
      <c r="D81">
        <v>1</v>
      </c>
      <c r="E81">
        <f>3871556-15611</f>
        <v>3855945</v>
      </c>
      <c r="F81">
        <v>3</v>
      </c>
      <c r="G81">
        <f>950+45</f>
        <v>995</v>
      </c>
      <c r="H81">
        <f>2992+90</f>
        <v>3082</v>
      </c>
    </row>
    <row r="82" spans="1:8" x14ac:dyDescent="0.35">
      <c r="A82" t="s">
        <v>60</v>
      </c>
      <c r="B82" t="s">
        <v>16</v>
      </c>
      <c r="C82">
        <f>816250-5331</f>
        <v>810919</v>
      </c>
      <c r="D82">
        <v>1</v>
      </c>
      <c r="E82">
        <f>1518000-7354</f>
        <v>1510646</v>
      </c>
      <c r="F82">
        <v>1</v>
      </c>
      <c r="G82">
        <f>2905+56</f>
        <v>2961</v>
      </c>
      <c r="H82">
        <f>7285+110</f>
        <v>7395</v>
      </c>
    </row>
    <row r="83" spans="1:8" x14ac:dyDescent="0.35">
      <c r="A83" t="s">
        <v>61</v>
      </c>
      <c r="B83" t="s">
        <v>16</v>
      </c>
      <c r="C83">
        <f>810919-5331</f>
        <v>805588</v>
      </c>
      <c r="D83">
        <v>1</v>
      </c>
      <c r="E83">
        <f>1510646-7354</f>
        <v>1503292</v>
      </c>
      <c r="F83">
        <v>1</v>
      </c>
      <c r="G83">
        <f>2961+56</f>
        <v>3017</v>
      </c>
      <c r="H83">
        <f>7395+110</f>
        <v>7505</v>
      </c>
    </row>
    <row r="84" spans="1:8" x14ac:dyDescent="0.35">
      <c r="A84" t="s">
        <v>62</v>
      </c>
      <c r="B84" t="s">
        <v>16</v>
      </c>
      <c r="C84">
        <f>805588-5331</f>
        <v>800257</v>
      </c>
      <c r="D84">
        <v>1</v>
      </c>
      <c r="E84">
        <f>1503292-7354</f>
        <v>1495938</v>
      </c>
      <c r="F84">
        <v>1</v>
      </c>
      <c r="G84">
        <f>3017+56</f>
        <v>3073</v>
      </c>
      <c r="H84">
        <f>7505+110</f>
        <v>7615</v>
      </c>
    </row>
    <row r="85" spans="1:8" x14ac:dyDescent="0.35">
      <c r="A85" t="s">
        <v>63</v>
      </c>
      <c r="B85" t="s">
        <v>16</v>
      </c>
      <c r="C85">
        <f>800257-5331</f>
        <v>794926</v>
      </c>
      <c r="D85">
        <v>1</v>
      </c>
      <c r="E85">
        <f>1495938-7354</f>
        <v>1488584</v>
      </c>
      <c r="F85">
        <v>1</v>
      </c>
      <c r="G85">
        <f>3073+56</f>
        <v>3129</v>
      </c>
      <c r="H85">
        <f>7615+110</f>
        <v>7725</v>
      </c>
    </row>
    <row r="86" spans="1:8" x14ac:dyDescent="0.35">
      <c r="A86" t="s">
        <v>64</v>
      </c>
      <c r="B86" t="s">
        <v>16</v>
      </c>
      <c r="C86">
        <f>794926-5331</f>
        <v>789595</v>
      </c>
      <c r="D86">
        <v>1</v>
      </c>
      <c r="E86">
        <f>1488584-7354</f>
        <v>1481230</v>
      </c>
      <c r="F86">
        <v>1</v>
      </c>
      <c r="G86">
        <f>3129+56</f>
        <v>3185</v>
      </c>
      <c r="H86">
        <f>7725+110</f>
        <v>7835</v>
      </c>
    </row>
    <row r="87" spans="1:8" x14ac:dyDescent="0.35">
      <c r="A87" t="s">
        <v>60</v>
      </c>
      <c r="B87" t="s">
        <v>17</v>
      </c>
      <c r="C87">
        <f>305249-1568</f>
        <v>303681</v>
      </c>
      <c r="D87">
        <v>1</v>
      </c>
      <c r="E87">
        <f>1498000-4880</f>
        <v>1493120</v>
      </c>
      <c r="F87">
        <v>2</v>
      </c>
      <c r="G87">
        <f>1105+17</f>
        <v>1122</v>
      </c>
      <c r="H87">
        <f>1637+17</f>
        <v>1654</v>
      </c>
    </row>
    <row r="88" spans="1:8" x14ac:dyDescent="0.35">
      <c r="A88" t="s">
        <v>61</v>
      </c>
      <c r="B88" t="s">
        <v>17</v>
      </c>
      <c r="C88">
        <f>303681-1568</f>
        <v>302113</v>
      </c>
      <c r="D88">
        <v>1</v>
      </c>
      <c r="E88">
        <f>1493120-4880</f>
        <v>1488240</v>
      </c>
      <c r="F88">
        <v>2</v>
      </c>
      <c r="G88">
        <f>1122+17</f>
        <v>1139</v>
      </c>
      <c r="H88">
        <f>1654+17</f>
        <v>1671</v>
      </c>
    </row>
    <row r="89" spans="1:8" x14ac:dyDescent="0.35">
      <c r="A89" t="s">
        <v>62</v>
      </c>
      <c r="B89" t="s">
        <v>17</v>
      </c>
      <c r="C89">
        <f>302113-1568</f>
        <v>300545</v>
      </c>
      <c r="D89">
        <v>1</v>
      </c>
      <c r="E89">
        <f>1488240-4880</f>
        <v>1483360</v>
      </c>
      <c r="F89">
        <v>2</v>
      </c>
      <c r="G89">
        <f>1139+17</f>
        <v>1156</v>
      </c>
      <c r="H89">
        <f>1671+17</f>
        <v>1688</v>
      </c>
    </row>
    <row r="90" spans="1:8" x14ac:dyDescent="0.35">
      <c r="A90" t="s">
        <v>63</v>
      </c>
      <c r="B90" t="s">
        <v>17</v>
      </c>
      <c r="C90">
        <f>300545-1568</f>
        <v>298977</v>
      </c>
      <c r="D90">
        <v>1</v>
      </c>
      <c r="E90">
        <f>1483360-4880</f>
        <v>1478480</v>
      </c>
      <c r="F90">
        <v>2</v>
      </c>
      <c r="G90">
        <f>1156+17</f>
        <v>1173</v>
      </c>
      <c r="H90">
        <f>1688+17</f>
        <v>1705</v>
      </c>
    </row>
    <row r="91" spans="1:8" x14ac:dyDescent="0.35">
      <c r="A91" t="s">
        <v>64</v>
      </c>
      <c r="B91" t="s">
        <v>17</v>
      </c>
      <c r="C91">
        <f>298977-1568</f>
        <v>297409</v>
      </c>
      <c r="D91">
        <v>1</v>
      </c>
      <c r="E91">
        <f>1478480-4880</f>
        <v>1473600</v>
      </c>
      <c r="F91">
        <v>2</v>
      </c>
      <c r="G91">
        <f>1173+17</f>
        <v>1190</v>
      </c>
      <c r="H91">
        <f>1705+17</f>
        <v>1722</v>
      </c>
    </row>
    <row r="92" spans="1:8" x14ac:dyDescent="0.35">
      <c r="A92" t="s">
        <v>60</v>
      </c>
      <c r="B92" t="s">
        <v>18</v>
      </c>
      <c r="C92">
        <f>1498000-4880</f>
        <v>1493120</v>
      </c>
      <c r="D92">
        <v>2</v>
      </c>
      <c r="E92">
        <f>1498000-4880</f>
        <v>1493120</v>
      </c>
      <c r="F92">
        <v>2</v>
      </c>
      <c r="G92">
        <f>640+18</f>
        <v>658</v>
      </c>
      <c r="H92">
        <v>2810</v>
      </c>
    </row>
    <row r="93" spans="1:8" x14ac:dyDescent="0.35">
      <c r="A93" t="s">
        <v>61</v>
      </c>
      <c r="B93" t="s">
        <v>18</v>
      </c>
      <c r="C93">
        <f>1493120-4880</f>
        <v>1488240</v>
      </c>
      <c r="D93">
        <v>2</v>
      </c>
      <c r="E93">
        <f>1493120-4880</f>
        <v>1488240</v>
      </c>
      <c r="F93">
        <v>2</v>
      </c>
      <c r="G93">
        <f>658+18</f>
        <v>676</v>
      </c>
      <c r="H93">
        <v>2820</v>
      </c>
    </row>
    <row r="94" spans="1:8" x14ac:dyDescent="0.35">
      <c r="A94" t="s">
        <v>62</v>
      </c>
      <c r="B94" t="s">
        <v>18</v>
      </c>
      <c r="C94">
        <f>1488240-4880</f>
        <v>1483360</v>
      </c>
      <c r="D94">
        <v>2</v>
      </c>
      <c r="E94">
        <f>1488240-4880</f>
        <v>1483360</v>
      </c>
      <c r="F94">
        <v>2</v>
      </c>
      <c r="G94">
        <f>676+18</f>
        <v>694</v>
      </c>
      <c r="H94">
        <v>2830</v>
      </c>
    </row>
    <row r="95" spans="1:8" x14ac:dyDescent="0.35">
      <c r="A95" t="s">
        <v>63</v>
      </c>
      <c r="B95" t="s">
        <v>18</v>
      </c>
      <c r="C95">
        <f>1483360-4880</f>
        <v>1478480</v>
      </c>
      <c r="D95">
        <v>2</v>
      </c>
      <c r="E95">
        <f>1483360-4880</f>
        <v>1478480</v>
      </c>
      <c r="F95">
        <v>2</v>
      </c>
      <c r="G95">
        <f>694+18</f>
        <v>712</v>
      </c>
      <c r="H95">
        <v>2840</v>
      </c>
    </row>
    <row r="96" spans="1:8" x14ac:dyDescent="0.35">
      <c r="A96" t="s">
        <v>64</v>
      </c>
      <c r="B96" t="s">
        <v>18</v>
      </c>
      <c r="C96">
        <f>1478480-4880</f>
        <v>1473600</v>
      </c>
      <c r="D96">
        <v>2</v>
      </c>
      <c r="E96">
        <f>1478480-4880</f>
        <v>1473600</v>
      </c>
      <c r="F96">
        <v>2</v>
      </c>
      <c r="G96">
        <f>712+18</f>
        <v>730</v>
      </c>
      <c r="H96">
        <v>2850</v>
      </c>
    </row>
    <row r="97" spans="1:8" x14ac:dyDescent="0.35">
      <c r="A97" t="s">
        <v>60</v>
      </c>
      <c r="B97" t="s">
        <v>19</v>
      </c>
      <c r="C97">
        <f>599990-5494</f>
        <v>594496</v>
      </c>
      <c r="D97">
        <v>1</v>
      </c>
      <c r="E97">
        <f>4834000-21004</f>
        <v>4812996</v>
      </c>
      <c r="F97">
        <v>4</v>
      </c>
      <c r="G97">
        <f>2444+40</f>
        <v>2484</v>
      </c>
      <c r="H97">
        <f>4941+17</f>
        <v>4958</v>
      </c>
    </row>
    <row r="98" spans="1:8" x14ac:dyDescent="0.35">
      <c r="A98" t="s">
        <v>61</v>
      </c>
      <c r="B98" t="s">
        <v>19</v>
      </c>
      <c r="C98">
        <f>594496-5494</f>
        <v>589002</v>
      </c>
      <c r="D98">
        <v>1</v>
      </c>
      <c r="E98">
        <f>4812996-21004</f>
        <v>4791992</v>
      </c>
      <c r="F98">
        <v>4</v>
      </c>
      <c r="G98">
        <f>2484+40</f>
        <v>2524</v>
      </c>
      <c r="H98">
        <f>4958+17</f>
        <v>4975</v>
      </c>
    </row>
    <row r="99" spans="1:8" x14ac:dyDescent="0.35">
      <c r="A99" t="s">
        <v>62</v>
      </c>
      <c r="B99" t="s">
        <v>19</v>
      </c>
      <c r="C99">
        <f>589002-5494</f>
        <v>583508</v>
      </c>
      <c r="D99">
        <v>1</v>
      </c>
      <c r="E99">
        <f>4791992-21004</f>
        <v>4770988</v>
      </c>
      <c r="F99">
        <v>4</v>
      </c>
      <c r="G99">
        <f>2524+40</f>
        <v>2564</v>
      </c>
      <c r="H99">
        <f>4975+17</f>
        <v>4992</v>
      </c>
    </row>
    <row r="100" spans="1:8" x14ac:dyDescent="0.35">
      <c r="A100" t="s">
        <v>63</v>
      </c>
      <c r="B100" t="s">
        <v>19</v>
      </c>
      <c r="C100">
        <f>583508-5494</f>
        <v>578014</v>
      </c>
      <c r="D100">
        <v>1</v>
      </c>
      <c r="E100">
        <f>4770988-21004</f>
        <v>4749984</v>
      </c>
      <c r="F100">
        <v>4</v>
      </c>
      <c r="G100">
        <f>2564+40</f>
        <v>2604</v>
      </c>
      <c r="H100">
        <f>4992+17</f>
        <v>5009</v>
      </c>
    </row>
    <row r="101" spans="1:8" x14ac:dyDescent="0.35">
      <c r="A101" t="s">
        <v>64</v>
      </c>
      <c r="B101" t="s">
        <v>19</v>
      </c>
      <c r="C101">
        <f>578014-5494</f>
        <v>572520</v>
      </c>
      <c r="D101">
        <v>1</v>
      </c>
      <c r="E101">
        <f>4749984-21004</f>
        <v>4728980</v>
      </c>
      <c r="F101">
        <v>4</v>
      </c>
      <c r="G101">
        <f>2604+40</f>
        <v>2644</v>
      </c>
      <c r="H101">
        <f>5009+17</f>
        <v>5026</v>
      </c>
    </row>
    <row r="102" spans="1:8" x14ac:dyDescent="0.35">
      <c r="A102" t="s">
        <v>60</v>
      </c>
      <c r="B102" t="s">
        <v>20</v>
      </c>
      <c r="C102">
        <f>3237101+20226</f>
        <v>3257327</v>
      </c>
      <c r="D102">
        <v>7</v>
      </c>
      <c r="E102">
        <f>9982000+31139</f>
        <v>10013139</v>
      </c>
      <c r="F102">
        <v>10</v>
      </c>
      <c r="G102">
        <f>6995+70</f>
        <v>7065</v>
      </c>
      <c r="H102">
        <f>11955+50</f>
        <v>12005</v>
      </c>
    </row>
    <row r="103" spans="1:8" x14ac:dyDescent="0.35">
      <c r="A103" t="s">
        <v>61</v>
      </c>
      <c r="B103" t="s">
        <v>20</v>
      </c>
      <c r="C103">
        <f>3257327+20226</f>
        <v>3277553</v>
      </c>
      <c r="D103">
        <v>7</v>
      </c>
      <c r="E103">
        <f>10013139+31139</f>
        <v>10044278</v>
      </c>
      <c r="F103">
        <v>10</v>
      </c>
      <c r="G103">
        <f>7065+70</f>
        <v>7135</v>
      </c>
      <c r="H103">
        <f>12005+50</f>
        <v>12055</v>
      </c>
    </row>
    <row r="104" spans="1:8" x14ac:dyDescent="0.35">
      <c r="A104" t="s">
        <v>62</v>
      </c>
      <c r="B104" t="s">
        <v>20</v>
      </c>
      <c r="C104">
        <f>3277553+20226</f>
        <v>3297779</v>
      </c>
      <c r="D104">
        <v>7</v>
      </c>
      <c r="E104">
        <f>10044278+31139</f>
        <v>10075417</v>
      </c>
      <c r="F104">
        <v>10</v>
      </c>
      <c r="G104">
        <f>7135+70</f>
        <v>7205</v>
      </c>
      <c r="H104">
        <f>12055+50</f>
        <v>12105</v>
      </c>
    </row>
    <row r="105" spans="1:8" x14ac:dyDescent="0.35">
      <c r="A105" t="s">
        <v>63</v>
      </c>
      <c r="B105" t="s">
        <v>20</v>
      </c>
      <c r="C105">
        <f>3297779+20226</f>
        <v>3318005</v>
      </c>
      <c r="D105">
        <v>7</v>
      </c>
      <c r="E105">
        <f>10075417+31139</f>
        <v>10106556</v>
      </c>
      <c r="F105">
        <v>10</v>
      </c>
      <c r="G105">
        <f>7205+70</f>
        <v>7275</v>
      </c>
      <c r="H105">
        <f>12105+50</f>
        <v>12155</v>
      </c>
    </row>
    <row r="106" spans="1:8" x14ac:dyDescent="0.35">
      <c r="A106" t="s">
        <v>64</v>
      </c>
      <c r="B106" t="s">
        <v>20</v>
      </c>
      <c r="C106">
        <f>3318005+20226</f>
        <v>3338231</v>
      </c>
      <c r="D106">
        <v>7</v>
      </c>
      <c r="E106">
        <f>10106556+31139</f>
        <v>10137695</v>
      </c>
      <c r="F106">
        <v>10</v>
      </c>
      <c r="G106">
        <f>7275+70</f>
        <v>7345</v>
      </c>
      <c r="H106">
        <f>12155+50</f>
        <v>12205</v>
      </c>
    </row>
    <row r="107" spans="1:8" x14ac:dyDescent="0.35">
      <c r="A107" t="s">
        <v>60</v>
      </c>
      <c r="B107" t="s">
        <v>21</v>
      </c>
      <c r="C107">
        <f>3237101+20226</f>
        <v>3257327</v>
      </c>
      <c r="D107">
        <v>7</v>
      </c>
      <c r="E107">
        <f>9982000+31139</f>
        <v>10013139</v>
      </c>
      <c r="F107">
        <v>10</v>
      </c>
      <c r="G107">
        <f>3635-40</f>
        <v>3595</v>
      </c>
      <c r="H107">
        <f>6024-67</f>
        <v>5957</v>
      </c>
    </row>
    <row r="108" spans="1:8" x14ac:dyDescent="0.35">
      <c r="A108" t="s">
        <v>61</v>
      </c>
      <c r="B108" t="s">
        <v>21</v>
      </c>
      <c r="C108">
        <f>3257327+20226</f>
        <v>3277553</v>
      </c>
      <c r="D108">
        <v>7</v>
      </c>
      <c r="E108">
        <f>10013139+31139</f>
        <v>10044278</v>
      </c>
      <c r="F108">
        <v>10</v>
      </c>
      <c r="G108">
        <f>3595-40</f>
        <v>3555</v>
      </c>
      <c r="H108">
        <f>5957-67</f>
        <v>5890</v>
      </c>
    </row>
    <row r="109" spans="1:8" x14ac:dyDescent="0.35">
      <c r="A109" t="s">
        <v>62</v>
      </c>
      <c r="B109" t="s">
        <v>21</v>
      </c>
      <c r="C109">
        <f>3277553+20226</f>
        <v>3297779</v>
      </c>
      <c r="D109">
        <v>7</v>
      </c>
      <c r="E109">
        <f>10044278+31139</f>
        <v>10075417</v>
      </c>
      <c r="F109">
        <v>10</v>
      </c>
      <c r="G109">
        <f>3555-40</f>
        <v>3515</v>
      </c>
      <c r="H109">
        <f>5890-67</f>
        <v>5823</v>
      </c>
    </row>
    <row r="110" spans="1:8" x14ac:dyDescent="0.35">
      <c r="A110" t="s">
        <v>63</v>
      </c>
      <c r="B110" t="s">
        <v>21</v>
      </c>
      <c r="C110">
        <f>3297779+20226</f>
        <v>3318005</v>
      </c>
      <c r="D110">
        <v>7</v>
      </c>
      <c r="E110">
        <f>10075417+31139</f>
        <v>10106556</v>
      </c>
      <c r="F110">
        <v>10</v>
      </c>
      <c r="G110">
        <f>3515-40</f>
        <v>3475</v>
      </c>
      <c r="H110">
        <f>5823-67</f>
        <v>5756</v>
      </c>
    </row>
    <row r="111" spans="1:8" x14ac:dyDescent="0.35">
      <c r="A111" t="s">
        <v>64</v>
      </c>
      <c r="B111" t="s">
        <v>21</v>
      </c>
      <c r="C111">
        <f>3318005+20226</f>
        <v>3338231</v>
      </c>
      <c r="D111">
        <v>7</v>
      </c>
      <c r="E111">
        <f>10106556+31139</f>
        <v>10137695</v>
      </c>
      <c r="F111">
        <v>10</v>
      </c>
      <c r="G111">
        <f>3475-40</f>
        <v>3435</v>
      </c>
      <c r="H111">
        <f>5756-67</f>
        <v>5689</v>
      </c>
    </row>
    <row r="112" spans="1:8" x14ac:dyDescent="0.35">
      <c r="A112" t="s">
        <v>60</v>
      </c>
      <c r="B112" t="s">
        <v>22</v>
      </c>
      <c r="C112">
        <f>3237101+20226</f>
        <v>3257327</v>
      </c>
      <c r="D112">
        <v>7</v>
      </c>
      <c r="E112">
        <f>9982000+31139</f>
        <v>10013139</v>
      </c>
      <c r="F112">
        <v>10</v>
      </c>
      <c r="G112">
        <f>2399+17</f>
        <v>2416</v>
      </c>
      <c r="H112">
        <f>2812+18</f>
        <v>2830</v>
      </c>
    </row>
    <row r="113" spans="1:8" x14ac:dyDescent="0.35">
      <c r="A113" t="s">
        <v>61</v>
      </c>
      <c r="B113" t="s">
        <v>22</v>
      </c>
      <c r="C113">
        <f>3257327+20226</f>
        <v>3277553</v>
      </c>
      <c r="D113">
        <v>7</v>
      </c>
      <c r="E113">
        <f>10013139+31139</f>
        <v>10044278</v>
      </c>
      <c r="F113">
        <v>10</v>
      </c>
      <c r="G113">
        <f>2416+17</f>
        <v>2433</v>
      </c>
      <c r="H113">
        <f>2830+18</f>
        <v>2848</v>
      </c>
    </row>
    <row r="114" spans="1:8" x14ac:dyDescent="0.35">
      <c r="A114" t="s">
        <v>62</v>
      </c>
      <c r="B114" t="s">
        <v>22</v>
      </c>
      <c r="C114">
        <f>3277553+20226</f>
        <v>3297779</v>
      </c>
      <c r="D114">
        <v>7</v>
      </c>
      <c r="E114">
        <f>10044278+31139</f>
        <v>10075417</v>
      </c>
      <c r="F114">
        <v>10</v>
      </c>
      <c r="G114">
        <f>2433+17</f>
        <v>2450</v>
      </c>
      <c r="H114">
        <f>2848+18</f>
        <v>2866</v>
      </c>
    </row>
    <row r="115" spans="1:8" x14ac:dyDescent="0.35">
      <c r="A115" t="s">
        <v>63</v>
      </c>
      <c r="B115" t="s">
        <v>22</v>
      </c>
      <c r="C115">
        <f>3297779+20226</f>
        <v>3318005</v>
      </c>
      <c r="D115">
        <v>7</v>
      </c>
      <c r="E115">
        <f>10075417+31139</f>
        <v>10106556</v>
      </c>
      <c r="F115">
        <v>10</v>
      </c>
      <c r="G115">
        <f>2450+17</f>
        <v>2467</v>
      </c>
      <c r="H115">
        <f>2866+18</f>
        <v>2884</v>
      </c>
    </row>
    <row r="116" spans="1:8" x14ac:dyDescent="0.35">
      <c r="A116" t="s">
        <v>64</v>
      </c>
      <c r="B116" t="s">
        <v>22</v>
      </c>
      <c r="C116">
        <f>3318005+20226</f>
        <v>3338231</v>
      </c>
      <c r="D116">
        <v>7</v>
      </c>
      <c r="E116">
        <f>10106556+31139</f>
        <v>10137695</v>
      </c>
      <c r="F116">
        <v>10</v>
      </c>
      <c r="G116">
        <f>2467+17</f>
        <v>2484</v>
      </c>
      <c r="H116">
        <f>2884+18</f>
        <v>2902</v>
      </c>
    </row>
    <row r="117" spans="1:8" x14ac:dyDescent="0.35">
      <c r="A117" t="s">
        <v>60</v>
      </c>
      <c r="B117" t="s">
        <v>23</v>
      </c>
      <c r="C117">
        <f>3237101+20226</f>
        <v>3257327</v>
      </c>
      <c r="D117">
        <v>7</v>
      </c>
      <c r="E117">
        <f>9982000+31139</f>
        <v>10013139</v>
      </c>
      <c r="F117">
        <v>10</v>
      </c>
      <c r="G117">
        <f>5631+72</f>
        <v>5703</v>
      </c>
      <c r="H117">
        <f>8181+96</f>
        <v>8277</v>
      </c>
    </row>
    <row r="118" spans="1:8" x14ac:dyDescent="0.35">
      <c r="A118" t="s">
        <v>61</v>
      </c>
      <c r="B118" t="s">
        <v>23</v>
      </c>
      <c r="C118">
        <f>3257327+20226</f>
        <v>3277553</v>
      </c>
      <c r="D118">
        <v>7</v>
      </c>
      <c r="E118">
        <f>10013139+31139</f>
        <v>10044278</v>
      </c>
      <c r="F118">
        <v>10</v>
      </c>
      <c r="G118">
        <f>5703+72</f>
        <v>5775</v>
      </c>
      <c r="H118">
        <f>8277+96</f>
        <v>8373</v>
      </c>
    </row>
    <row r="119" spans="1:8" x14ac:dyDescent="0.35">
      <c r="A119" t="s">
        <v>62</v>
      </c>
      <c r="B119" t="s">
        <v>23</v>
      </c>
      <c r="C119">
        <f>3277553+20226</f>
        <v>3297779</v>
      </c>
      <c r="D119">
        <v>7</v>
      </c>
      <c r="E119">
        <f>10044278+31139</f>
        <v>10075417</v>
      </c>
      <c r="F119">
        <v>10</v>
      </c>
      <c r="G119">
        <f>5775+72</f>
        <v>5847</v>
      </c>
      <c r="H119">
        <f>8373+96</f>
        <v>8469</v>
      </c>
    </row>
    <row r="120" spans="1:8" x14ac:dyDescent="0.35">
      <c r="A120" t="s">
        <v>63</v>
      </c>
      <c r="B120" t="s">
        <v>23</v>
      </c>
      <c r="C120">
        <f>3297779+20226</f>
        <v>3318005</v>
      </c>
      <c r="D120">
        <v>7</v>
      </c>
      <c r="E120">
        <f>10075417+31139</f>
        <v>10106556</v>
      </c>
      <c r="F120">
        <v>10</v>
      </c>
      <c r="G120">
        <f>5847+72</f>
        <v>5919</v>
      </c>
      <c r="H120">
        <f>8469+96</f>
        <v>8565</v>
      </c>
    </row>
    <row r="121" spans="1:8" x14ac:dyDescent="0.35">
      <c r="A121" t="s">
        <v>64</v>
      </c>
      <c r="B121" t="s">
        <v>23</v>
      </c>
      <c r="C121">
        <f>3318005+20226</f>
        <v>3338231</v>
      </c>
      <c r="D121">
        <v>7</v>
      </c>
      <c r="E121">
        <f>10106556+31139</f>
        <v>10137695</v>
      </c>
      <c r="F121">
        <v>10</v>
      </c>
      <c r="G121">
        <f>5919+72</f>
        <v>5991</v>
      </c>
      <c r="H121">
        <f>8565+96</f>
        <v>8661</v>
      </c>
    </row>
    <row r="122" spans="1:8" x14ac:dyDescent="0.35">
      <c r="A122" t="s">
        <v>60</v>
      </c>
      <c r="B122" t="s">
        <v>24</v>
      </c>
      <c r="C122">
        <f>3237101+20226</f>
        <v>3257327</v>
      </c>
      <c r="D122">
        <v>7</v>
      </c>
      <c r="E122">
        <f>9982000+31139</f>
        <v>10013139</v>
      </c>
      <c r="F122">
        <v>10</v>
      </c>
      <c r="G122">
        <f>1093+61</f>
        <v>1154</v>
      </c>
      <c r="H122">
        <f>1784+89</f>
        <v>1873</v>
      </c>
    </row>
    <row r="123" spans="1:8" x14ac:dyDescent="0.35">
      <c r="A123" t="s">
        <v>61</v>
      </c>
      <c r="B123" t="s">
        <v>24</v>
      </c>
      <c r="C123">
        <f>3257327+20226</f>
        <v>3277553</v>
      </c>
      <c r="D123">
        <v>7</v>
      </c>
      <c r="E123">
        <f>10013139+31139</f>
        <v>10044278</v>
      </c>
      <c r="F123">
        <v>10</v>
      </c>
      <c r="G123">
        <f>1154+61</f>
        <v>1215</v>
      </c>
      <c r="H123">
        <f>1873+89</f>
        <v>1962</v>
      </c>
    </row>
    <row r="124" spans="1:8" x14ac:dyDescent="0.35">
      <c r="A124" t="s">
        <v>62</v>
      </c>
      <c r="B124" t="s">
        <v>24</v>
      </c>
      <c r="C124">
        <f>3277553+20226</f>
        <v>3297779</v>
      </c>
      <c r="D124">
        <v>7</v>
      </c>
      <c r="E124">
        <f>10044278+31139</f>
        <v>10075417</v>
      </c>
      <c r="F124">
        <v>10</v>
      </c>
      <c r="G124">
        <f>1215+61</f>
        <v>1276</v>
      </c>
      <c r="H124">
        <f>1962+89</f>
        <v>2051</v>
      </c>
    </row>
    <row r="125" spans="1:8" x14ac:dyDescent="0.35">
      <c r="A125" t="s">
        <v>63</v>
      </c>
      <c r="B125" t="s">
        <v>24</v>
      </c>
      <c r="C125">
        <f>3297779+20226</f>
        <v>3318005</v>
      </c>
      <c r="D125">
        <v>7</v>
      </c>
      <c r="E125">
        <f>10075417+31139</f>
        <v>10106556</v>
      </c>
      <c r="F125">
        <v>10</v>
      </c>
      <c r="G125">
        <f>1276+61</f>
        <v>1337</v>
      </c>
      <c r="H125">
        <f>2051+89</f>
        <v>2140</v>
      </c>
    </row>
    <row r="126" spans="1:8" x14ac:dyDescent="0.35">
      <c r="A126" t="s">
        <v>64</v>
      </c>
      <c r="B126" t="s">
        <v>24</v>
      </c>
      <c r="C126">
        <f>3318005+20226</f>
        <v>3338231</v>
      </c>
      <c r="D126">
        <v>7</v>
      </c>
      <c r="E126">
        <f>10106556+31139</f>
        <v>10137695</v>
      </c>
      <c r="F126">
        <v>10</v>
      </c>
      <c r="G126">
        <f>1337+61</f>
        <v>1398</v>
      </c>
      <c r="H126">
        <f>2140+89</f>
        <v>2229</v>
      </c>
    </row>
    <row r="127" spans="1:8" x14ac:dyDescent="0.35">
      <c r="A127" t="s">
        <v>60</v>
      </c>
      <c r="B127" t="s">
        <v>25</v>
      </c>
      <c r="C127">
        <f>3237101+20226</f>
        <v>3257327</v>
      </c>
      <c r="D127">
        <v>7</v>
      </c>
      <c r="E127">
        <f>9982000+31139</f>
        <v>10013139</v>
      </c>
      <c r="F127">
        <v>10</v>
      </c>
      <c r="G127">
        <f>5578+95</f>
        <v>5673</v>
      </c>
      <c r="H127">
        <f>7744+93</f>
        <v>7837</v>
      </c>
    </row>
    <row r="128" spans="1:8" x14ac:dyDescent="0.35">
      <c r="A128" t="s">
        <v>61</v>
      </c>
      <c r="B128" t="s">
        <v>25</v>
      </c>
      <c r="C128">
        <f>3257327+20226</f>
        <v>3277553</v>
      </c>
      <c r="D128">
        <v>7</v>
      </c>
      <c r="E128">
        <f>10013139+31139</f>
        <v>10044278</v>
      </c>
      <c r="F128">
        <v>10</v>
      </c>
      <c r="G128">
        <f>5673+95</f>
        <v>5768</v>
      </c>
      <c r="H128">
        <f>7837+93</f>
        <v>7930</v>
      </c>
    </row>
    <row r="129" spans="1:8" x14ac:dyDescent="0.35">
      <c r="A129" t="s">
        <v>62</v>
      </c>
      <c r="B129" t="s">
        <v>25</v>
      </c>
      <c r="C129">
        <f>3277553+20226</f>
        <v>3297779</v>
      </c>
      <c r="D129">
        <v>7</v>
      </c>
      <c r="E129">
        <f>10044278+31139</f>
        <v>10075417</v>
      </c>
      <c r="F129">
        <v>10</v>
      </c>
      <c r="G129">
        <f>5768+95</f>
        <v>5863</v>
      </c>
      <c r="H129">
        <f>7930+93</f>
        <v>8023</v>
      </c>
    </row>
    <row r="130" spans="1:8" x14ac:dyDescent="0.35">
      <c r="A130" t="s">
        <v>63</v>
      </c>
      <c r="B130" t="s">
        <v>25</v>
      </c>
      <c r="C130">
        <f>3297779+20226</f>
        <v>3318005</v>
      </c>
      <c r="D130">
        <v>7</v>
      </c>
      <c r="E130">
        <f>10075417+31139</f>
        <v>10106556</v>
      </c>
      <c r="F130">
        <v>10</v>
      </c>
      <c r="G130">
        <f>5863+95</f>
        <v>5958</v>
      </c>
      <c r="H130">
        <f>8023+93</f>
        <v>8116</v>
      </c>
    </row>
    <row r="131" spans="1:8" x14ac:dyDescent="0.35">
      <c r="A131" t="s">
        <v>64</v>
      </c>
      <c r="B131" t="s">
        <v>25</v>
      </c>
      <c r="C131">
        <f>3318005+20226</f>
        <v>3338231</v>
      </c>
      <c r="D131">
        <v>7</v>
      </c>
      <c r="E131">
        <f>10106556+31139</f>
        <v>10137695</v>
      </c>
      <c r="F131">
        <v>10</v>
      </c>
      <c r="G131">
        <f>5958+95</f>
        <v>6053</v>
      </c>
      <c r="H131">
        <f>8116+93</f>
        <v>8209</v>
      </c>
    </row>
    <row r="132" spans="1:8" x14ac:dyDescent="0.35">
      <c r="A132" t="s">
        <v>60</v>
      </c>
      <c r="B132" t="s">
        <v>26</v>
      </c>
      <c r="C132">
        <f>3237101+20226</f>
        <v>3257327</v>
      </c>
      <c r="D132">
        <v>7</v>
      </c>
      <c r="E132">
        <f>9982000+31139</f>
        <v>10013139</v>
      </c>
      <c r="F132">
        <v>10</v>
      </c>
      <c r="G132">
        <f>235+11</f>
        <v>246</v>
      </c>
      <c r="H132">
        <f>483+13</f>
        <v>496</v>
      </c>
    </row>
    <row r="133" spans="1:8" x14ac:dyDescent="0.35">
      <c r="A133" t="s">
        <v>61</v>
      </c>
      <c r="B133" t="s">
        <v>26</v>
      </c>
      <c r="C133">
        <f>3257327+20226</f>
        <v>3277553</v>
      </c>
      <c r="D133">
        <v>7</v>
      </c>
      <c r="E133">
        <f>10013139+31139</f>
        <v>10044278</v>
      </c>
      <c r="F133">
        <v>10</v>
      </c>
      <c r="G133">
        <f>246+11</f>
        <v>257</v>
      </c>
      <c r="H133">
        <f>496+13</f>
        <v>509</v>
      </c>
    </row>
    <row r="134" spans="1:8" x14ac:dyDescent="0.35">
      <c r="A134" t="s">
        <v>62</v>
      </c>
      <c r="B134" t="s">
        <v>26</v>
      </c>
      <c r="C134">
        <f>3277553+20226</f>
        <v>3297779</v>
      </c>
      <c r="D134">
        <v>7</v>
      </c>
      <c r="E134">
        <f>10044278+31139</f>
        <v>10075417</v>
      </c>
      <c r="F134">
        <v>10</v>
      </c>
      <c r="G134">
        <f>257+11</f>
        <v>268</v>
      </c>
      <c r="H134">
        <f>509+13</f>
        <v>522</v>
      </c>
    </row>
    <row r="135" spans="1:8" x14ac:dyDescent="0.35">
      <c r="A135" t="s">
        <v>63</v>
      </c>
      <c r="B135" t="s">
        <v>26</v>
      </c>
      <c r="C135">
        <f>3297779+20226</f>
        <v>3318005</v>
      </c>
      <c r="D135">
        <v>7</v>
      </c>
      <c r="E135">
        <f>10075417+31139</f>
        <v>10106556</v>
      </c>
      <c r="F135">
        <v>10</v>
      </c>
      <c r="G135">
        <f>268+11</f>
        <v>279</v>
      </c>
      <c r="H135">
        <f>522+13</f>
        <v>535</v>
      </c>
    </row>
    <row r="136" spans="1:8" x14ac:dyDescent="0.35">
      <c r="A136" t="s">
        <v>64</v>
      </c>
      <c r="B136" t="s">
        <v>26</v>
      </c>
      <c r="C136">
        <f>3318005+20226</f>
        <v>3338231</v>
      </c>
      <c r="D136">
        <v>7</v>
      </c>
      <c r="E136">
        <f>10106556+31139</f>
        <v>10137695</v>
      </c>
      <c r="F136">
        <v>10</v>
      </c>
      <c r="G136">
        <f>279+11</f>
        <v>290</v>
      </c>
      <c r="H136">
        <f>535+13</f>
        <v>548</v>
      </c>
    </row>
    <row r="137" spans="1:8" x14ac:dyDescent="0.35">
      <c r="A137" t="s">
        <v>60</v>
      </c>
      <c r="B137" t="s">
        <v>27</v>
      </c>
      <c r="C137">
        <f>1226980+2404</f>
        <v>1229384</v>
      </c>
      <c r="D137">
        <v>1</v>
      </c>
      <c r="E137">
        <f>4439000+9851</f>
        <v>4448851</v>
      </c>
      <c r="F137">
        <v>4</v>
      </c>
      <c r="G137">
        <f>2970+161</f>
        <v>3131</v>
      </c>
      <c r="H137">
        <f>5341+179</f>
        <v>5520</v>
      </c>
    </row>
    <row r="138" spans="1:8" x14ac:dyDescent="0.35">
      <c r="A138" t="s">
        <v>61</v>
      </c>
      <c r="B138" t="s">
        <v>27</v>
      </c>
      <c r="C138">
        <f>1229384+2404</f>
        <v>1231788</v>
      </c>
      <c r="D138">
        <v>1</v>
      </c>
      <c r="E138">
        <f>4448851+9851</f>
        <v>4458702</v>
      </c>
      <c r="F138">
        <v>4</v>
      </c>
      <c r="G138">
        <f>3131+161</f>
        <v>3292</v>
      </c>
      <c r="H138">
        <f>5520+179</f>
        <v>5699</v>
      </c>
    </row>
    <row r="139" spans="1:8" x14ac:dyDescent="0.35">
      <c r="A139" t="s">
        <v>62</v>
      </c>
      <c r="B139" t="s">
        <v>27</v>
      </c>
      <c r="C139">
        <f>1231788+2404</f>
        <v>1234192</v>
      </c>
      <c r="D139">
        <v>1</v>
      </c>
      <c r="E139">
        <f>4458702+9851</f>
        <v>4468553</v>
      </c>
      <c r="F139">
        <v>4</v>
      </c>
      <c r="G139">
        <f>3292+161</f>
        <v>3453</v>
      </c>
      <c r="H139">
        <f>5699+179</f>
        <v>5878</v>
      </c>
    </row>
    <row r="140" spans="1:8" x14ac:dyDescent="0.35">
      <c r="A140" t="s">
        <v>63</v>
      </c>
      <c r="B140" t="s">
        <v>27</v>
      </c>
      <c r="C140">
        <f>1234192+2404</f>
        <v>1236596</v>
      </c>
      <c r="D140">
        <v>1</v>
      </c>
      <c r="E140">
        <f>4468553+9851</f>
        <v>4478404</v>
      </c>
      <c r="F140">
        <v>4</v>
      </c>
      <c r="G140">
        <f>3453+161</f>
        <v>3614</v>
      </c>
      <c r="H140">
        <f>5878+179</f>
        <v>6057</v>
      </c>
    </row>
    <row r="141" spans="1:8" x14ac:dyDescent="0.35">
      <c r="A141" t="s">
        <v>64</v>
      </c>
      <c r="B141" t="s">
        <v>27</v>
      </c>
      <c r="C141">
        <f>1236596+2404</f>
        <v>1239000</v>
      </c>
      <c r="D141">
        <v>1</v>
      </c>
      <c r="E141">
        <f>4478404+9851</f>
        <v>4488255</v>
      </c>
      <c r="F141">
        <v>4</v>
      </c>
      <c r="G141">
        <f>3614+161</f>
        <v>3775</v>
      </c>
      <c r="H141">
        <f>6057+179</f>
        <v>6236</v>
      </c>
    </row>
    <row r="142" spans="1:8" x14ac:dyDescent="0.35">
      <c r="A142" t="s">
        <v>60</v>
      </c>
      <c r="B142" t="s">
        <v>28</v>
      </c>
      <c r="C142">
        <f>294000-2194</f>
        <v>291806</v>
      </c>
      <c r="D142">
        <v>1</v>
      </c>
      <c r="E142">
        <f>294000-2194</f>
        <v>291806</v>
      </c>
      <c r="F142">
        <v>1</v>
      </c>
      <c r="G142">
        <v>428</v>
      </c>
      <c r="H142">
        <f>1061-16</f>
        <v>1045</v>
      </c>
    </row>
    <row r="143" spans="1:8" x14ac:dyDescent="0.35">
      <c r="A143" t="s">
        <v>61</v>
      </c>
      <c r="B143" t="s">
        <v>28</v>
      </c>
      <c r="C143">
        <f>291806-2194</f>
        <v>289612</v>
      </c>
      <c r="D143">
        <v>1</v>
      </c>
      <c r="E143">
        <f>291806-2194</f>
        <v>289612</v>
      </c>
      <c r="F143">
        <v>1</v>
      </c>
      <c r="G143">
        <v>432</v>
      </c>
      <c r="H143">
        <f>1045-16</f>
        <v>1029</v>
      </c>
    </row>
    <row r="144" spans="1:8" x14ac:dyDescent="0.35">
      <c r="A144" t="s">
        <v>62</v>
      </c>
      <c r="B144" t="s">
        <v>28</v>
      </c>
      <c r="C144">
        <f>289612-2194</f>
        <v>287418</v>
      </c>
      <c r="D144">
        <v>1</v>
      </c>
      <c r="E144">
        <f>289612-2194</f>
        <v>287418</v>
      </c>
      <c r="F144">
        <v>1</v>
      </c>
      <c r="G144">
        <v>436</v>
      </c>
      <c r="H144">
        <f>1029-16</f>
        <v>1013</v>
      </c>
    </row>
    <row r="145" spans="1:8" x14ac:dyDescent="0.35">
      <c r="A145" t="s">
        <v>63</v>
      </c>
      <c r="B145" t="s">
        <v>28</v>
      </c>
      <c r="C145">
        <f>287418-2194</f>
        <v>285224</v>
      </c>
      <c r="D145">
        <v>1</v>
      </c>
      <c r="E145">
        <f>287418-2194</f>
        <v>285224</v>
      </c>
      <c r="F145">
        <v>1</v>
      </c>
      <c r="G145">
        <v>440</v>
      </c>
      <c r="H145">
        <f>1013-16</f>
        <v>997</v>
      </c>
    </row>
    <row r="146" spans="1:8" x14ac:dyDescent="0.35">
      <c r="A146" t="s">
        <v>64</v>
      </c>
      <c r="B146" t="s">
        <v>28</v>
      </c>
      <c r="C146">
        <f>285224-2194</f>
        <v>283030</v>
      </c>
      <c r="D146">
        <v>1</v>
      </c>
      <c r="E146">
        <f>285224-2194</f>
        <v>283030</v>
      </c>
      <c r="F146">
        <v>1</v>
      </c>
      <c r="G146">
        <v>444</v>
      </c>
      <c r="H146">
        <f>997-16</f>
        <v>981</v>
      </c>
    </row>
    <row r="147" spans="1:8" x14ac:dyDescent="0.35">
      <c r="A147" t="s">
        <v>60</v>
      </c>
      <c r="B147" t="s">
        <v>29</v>
      </c>
      <c r="C147">
        <f>2967117-10943</f>
        <v>2956174</v>
      </c>
      <c r="D147">
        <v>5</v>
      </c>
      <c r="E147">
        <f>5624000-18346</f>
        <v>5605654</v>
      </c>
      <c r="F147">
        <v>6</v>
      </c>
      <c r="G147">
        <v>402</v>
      </c>
      <c r="H147">
        <v>1402</v>
      </c>
    </row>
    <row r="148" spans="1:8" x14ac:dyDescent="0.35">
      <c r="A148" t="s">
        <v>61</v>
      </c>
      <c r="B148" t="s">
        <v>29</v>
      </c>
      <c r="C148">
        <f>2956174-10943</f>
        <v>2945231</v>
      </c>
      <c r="D148">
        <v>5</v>
      </c>
      <c r="E148">
        <f>5605654-18346</f>
        <v>5587308</v>
      </c>
      <c r="F148">
        <v>6</v>
      </c>
      <c r="G148">
        <v>408</v>
      </c>
      <c r="H148">
        <v>1412</v>
      </c>
    </row>
    <row r="149" spans="1:8" x14ac:dyDescent="0.35">
      <c r="A149" t="s">
        <v>62</v>
      </c>
      <c r="B149" t="s">
        <v>29</v>
      </c>
      <c r="C149">
        <f>2945231-10943</f>
        <v>2934288</v>
      </c>
      <c r="D149">
        <v>5</v>
      </c>
      <c r="E149">
        <f>5587308-18346</f>
        <v>5568962</v>
      </c>
      <c r="F149">
        <v>6</v>
      </c>
      <c r="G149">
        <v>414</v>
      </c>
      <c r="H149">
        <v>1422</v>
      </c>
    </row>
    <row r="150" spans="1:8" x14ac:dyDescent="0.35">
      <c r="A150" t="s">
        <v>63</v>
      </c>
      <c r="B150" t="s">
        <v>29</v>
      </c>
      <c r="C150">
        <f>2934288-10943</f>
        <v>2923345</v>
      </c>
      <c r="D150">
        <v>5</v>
      </c>
      <c r="E150">
        <f>5568962-18346</f>
        <v>5550616</v>
      </c>
      <c r="F150">
        <v>6</v>
      </c>
      <c r="G150">
        <v>420</v>
      </c>
      <c r="H150">
        <v>1432</v>
      </c>
    </row>
    <row r="151" spans="1:8" x14ac:dyDescent="0.35">
      <c r="A151" t="s">
        <v>64</v>
      </c>
      <c r="B151" t="s">
        <v>29</v>
      </c>
      <c r="C151">
        <f>2923345-10943</f>
        <v>2912402</v>
      </c>
      <c r="D151">
        <v>5</v>
      </c>
      <c r="E151">
        <f>5550616-18346</f>
        <v>5532270</v>
      </c>
      <c r="F151">
        <v>6</v>
      </c>
      <c r="G151">
        <v>426</v>
      </c>
      <c r="H151">
        <v>1442</v>
      </c>
    </row>
    <row r="152" spans="1:8" x14ac:dyDescent="0.35">
      <c r="A152" t="s">
        <v>60</v>
      </c>
      <c r="B152" t="s">
        <v>30</v>
      </c>
      <c r="C152">
        <f>2967117-10943</f>
        <v>2956174</v>
      </c>
      <c r="D152">
        <v>5</v>
      </c>
      <c r="E152">
        <f>5624000-18346</f>
        <v>5605654</v>
      </c>
      <c r="F152">
        <v>6</v>
      </c>
      <c r="G152">
        <f>3770+45</f>
        <v>3815</v>
      </c>
      <c r="H152">
        <f>14360+71</f>
        <v>14431</v>
      </c>
    </row>
    <row r="153" spans="1:8" x14ac:dyDescent="0.35">
      <c r="A153" t="s">
        <v>61</v>
      </c>
      <c r="B153" t="s">
        <v>30</v>
      </c>
      <c r="C153">
        <f>2956174-10943</f>
        <v>2945231</v>
      </c>
      <c r="D153">
        <v>5</v>
      </c>
      <c r="E153">
        <f>5605654-18346</f>
        <v>5587308</v>
      </c>
      <c r="F153">
        <v>6</v>
      </c>
      <c r="G153">
        <f>3815+45</f>
        <v>3860</v>
      </c>
      <c r="H153">
        <f>14431+71</f>
        <v>14502</v>
      </c>
    </row>
    <row r="154" spans="1:8" x14ac:dyDescent="0.35">
      <c r="A154" t="s">
        <v>62</v>
      </c>
      <c r="B154" t="s">
        <v>30</v>
      </c>
      <c r="C154">
        <f>2945231-10943</f>
        <v>2934288</v>
      </c>
      <c r="D154">
        <v>5</v>
      </c>
      <c r="E154">
        <f>5587308-18346</f>
        <v>5568962</v>
      </c>
      <c r="F154">
        <v>6</v>
      </c>
      <c r="G154">
        <f>3860+45</f>
        <v>3905</v>
      </c>
      <c r="H154">
        <f>14502+71</f>
        <v>14573</v>
      </c>
    </row>
    <row r="155" spans="1:8" x14ac:dyDescent="0.35">
      <c r="A155" t="s">
        <v>63</v>
      </c>
      <c r="B155" t="s">
        <v>30</v>
      </c>
      <c r="C155">
        <f>2934288-10943</f>
        <v>2923345</v>
      </c>
      <c r="D155">
        <v>5</v>
      </c>
      <c r="E155">
        <f>5568962-18346</f>
        <v>5550616</v>
      </c>
      <c r="F155">
        <v>6</v>
      </c>
      <c r="G155">
        <f>3905+45</f>
        <v>3950</v>
      </c>
      <c r="H155">
        <f>14573+71</f>
        <v>14644</v>
      </c>
    </row>
    <row r="156" spans="1:8" x14ac:dyDescent="0.35">
      <c r="A156" t="s">
        <v>64</v>
      </c>
      <c r="B156" t="s">
        <v>30</v>
      </c>
      <c r="C156">
        <f>2923345-10943</f>
        <v>2912402</v>
      </c>
      <c r="D156">
        <v>5</v>
      </c>
      <c r="E156">
        <f>5550616-18346</f>
        <v>5532270</v>
      </c>
      <c r="F156">
        <v>6</v>
      </c>
      <c r="G156">
        <f>3950+45</f>
        <v>3995</v>
      </c>
      <c r="H156">
        <f>14644+71</f>
        <v>14715</v>
      </c>
    </row>
    <row r="157" spans="1:8" x14ac:dyDescent="0.35">
      <c r="A157" t="s">
        <v>60</v>
      </c>
      <c r="B157" t="s">
        <v>31</v>
      </c>
      <c r="C157">
        <f>2967117-10943</f>
        <v>2956174</v>
      </c>
      <c r="D157">
        <v>5</v>
      </c>
      <c r="E157">
        <f>5624000-18346</f>
        <v>5605654</v>
      </c>
      <c r="F157">
        <v>6</v>
      </c>
      <c r="G157">
        <f>892+33</f>
        <v>925</v>
      </c>
      <c r="H157">
        <f>2060+54</f>
        <v>2114</v>
      </c>
    </row>
    <row r="158" spans="1:8" x14ac:dyDescent="0.35">
      <c r="A158" t="s">
        <v>61</v>
      </c>
      <c r="B158" t="s">
        <v>31</v>
      </c>
      <c r="C158">
        <f>2956174-10943</f>
        <v>2945231</v>
      </c>
      <c r="D158">
        <v>5</v>
      </c>
      <c r="E158">
        <f>5605654-18346</f>
        <v>5587308</v>
      </c>
      <c r="F158">
        <v>6</v>
      </c>
      <c r="G158">
        <f>925+33</f>
        <v>958</v>
      </c>
      <c r="H158">
        <f>2114+54</f>
        <v>2168</v>
      </c>
    </row>
    <row r="159" spans="1:8" x14ac:dyDescent="0.35">
      <c r="A159" t="s">
        <v>62</v>
      </c>
      <c r="B159" t="s">
        <v>31</v>
      </c>
      <c r="C159">
        <f>2945231-10943</f>
        <v>2934288</v>
      </c>
      <c r="D159">
        <v>5</v>
      </c>
      <c r="E159">
        <f>5587308-18346</f>
        <v>5568962</v>
      </c>
      <c r="F159">
        <v>6</v>
      </c>
      <c r="G159">
        <f>958+33</f>
        <v>991</v>
      </c>
      <c r="H159">
        <f>2168+54</f>
        <v>2222</v>
      </c>
    </row>
    <row r="160" spans="1:8" x14ac:dyDescent="0.35">
      <c r="A160" t="s">
        <v>63</v>
      </c>
      <c r="B160" t="s">
        <v>31</v>
      </c>
      <c r="C160">
        <f>2934288-10943</f>
        <v>2923345</v>
      </c>
      <c r="D160">
        <v>5</v>
      </c>
      <c r="E160">
        <f>5568962-18346</f>
        <v>5550616</v>
      </c>
      <c r="F160">
        <v>6</v>
      </c>
      <c r="G160">
        <f>991+33</f>
        <v>1024</v>
      </c>
      <c r="H160">
        <f>2222+54</f>
        <v>2276</v>
      </c>
    </row>
    <row r="161" spans="1:8" x14ac:dyDescent="0.35">
      <c r="A161" t="s">
        <v>64</v>
      </c>
      <c r="B161" t="s">
        <v>31</v>
      </c>
      <c r="C161">
        <f>2923345-10943</f>
        <v>2912402</v>
      </c>
      <c r="D161">
        <v>5</v>
      </c>
      <c r="E161">
        <f>5550616-18346</f>
        <v>5532270</v>
      </c>
      <c r="F161">
        <v>6</v>
      </c>
      <c r="G161">
        <f>1024+33</f>
        <v>1057</v>
      </c>
      <c r="H161">
        <f>2276+54</f>
        <v>2330</v>
      </c>
    </row>
    <row r="162" spans="1:8" x14ac:dyDescent="0.35">
      <c r="A162" t="s">
        <v>60</v>
      </c>
      <c r="B162" t="s">
        <v>32</v>
      </c>
      <c r="C162">
        <f>2967117-10943</f>
        <v>2956174</v>
      </c>
      <c r="D162">
        <v>5</v>
      </c>
      <c r="E162">
        <f>5624000-18346</f>
        <v>5605654</v>
      </c>
      <c r="F162">
        <v>6</v>
      </c>
      <c r="G162">
        <f>386-25</f>
        <v>361</v>
      </c>
      <c r="H162">
        <v>2222</v>
      </c>
    </row>
    <row r="163" spans="1:8" x14ac:dyDescent="0.35">
      <c r="A163" t="s">
        <v>61</v>
      </c>
      <c r="B163" t="s">
        <v>32</v>
      </c>
      <c r="C163">
        <f>2956174-10943</f>
        <v>2945231</v>
      </c>
      <c r="D163">
        <v>5</v>
      </c>
      <c r="E163">
        <f>5605654-18346</f>
        <v>5587308</v>
      </c>
      <c r="F163">
        <v>6</v>
      </c>
      <c r="G163">
        <f>361-25</f>
        <v>336</v>
      </c>
      <c r="H163">
        <v>2122</v>
      </c>
    </row>
    <row r="164" spans="1:8" x14ac:dyDescent="0.35">
      <c r="A164" t="s">
        <v>62</v>
      </c>
      <c r="B164" t="s">
        <v>32</v>
      </c>
      <c r="C164">
        <f>2945231-10943</f>
        <v>2934288</v>
      </c>
      <c r="D164">
        <v>5</v>
      </c>
      <c r="E164">
        <f>5587308-18346</f>
        <v>5568962</v>
      </c>
      <c r="F164">
        <v>6</v>
      </c>
      <c r="G164">
        <f>336-25</f>
        <v>311</v>
      </c>
      <c r="H164">
        <v>2022</v>
      </c>
    </row>
    <row r="165" spans="1:8" x14ac:dyDescent="0.35">
      <c r="A165" t="s">
        <v>63</v>
      </c>
      <c r="B165" t="s">
        <v>32</v>
      </c>
      <c r="C165">
        <f>2934288-10943</f>
        <v>2923345</v>
      </c>
      <c r="D165">
        <v>5</v>
      </c>
      <c r="E165">
        <f>5568962-18346</f>
        <v>5550616</v>
      </c>
      <c r="F165">
        <v>6</v>
      </c>
      <c r="G165">
        <f>311-25</f>
        <v>286</v>
      </c>
      <c r="H165">
        <v>1922</v>
      </c>
    </row>
    <row r="166" spans="1:8" x14ac:dyDescent="0.35">
      <c r="A166" t="s">
        <v>64</v>
      </c>
      <c r="B166" t="s">
        <v>32</v>
      </c>
      <c r="C166">
        <f>2923345-10943</f>
        <v>2912402</v>
      </c>
      <c r="D166">
        <v>5</v>
      </c>
      <c r="E166">
        <f>5550616-18346</f>
        <v>5532270</v>
      </c>
      <c r="F166">
        <v>6</v>
      </c>
      <c r="G166">
        <f>286-25</f>
        <v>261</v>
      </c>
      <c r="H166">
        <v>1822</v>
      </c>
    </row>
    <row r="167" spans="1:8" x14ac:dyDescent="0.35">
      <c r="A167" t="s">
        <v>60</v>
      </c>
      <c r="B167" t="s">
        <v>33</v>
      </c>
      <c r="C167">
        <f>2967117-10943</f>
        <v>2956174</v>
      </c>
      <c r="D167">
        <v>5</v>
      </c>
      <c r="E167">
        <f>5624000-18346</f>
        <v>5605654</v>
      </c>
      <c r="F167">
        <v>6</v>
      </c>
      <c r="G167">
        <f>2340-57</f>
        <v>2283</v>
      </c>
      <c r="H167">
        <f>3460-43</f>
        <v>3417</v>
      </c>
    </row>
    <row r="168" spans="1:8" x14ac:dyDescent="0.35">
      <c r="A168" t="s">
        <v>61</v>
      </c>
      <c r="B168" t="s">
        <v>33</v>
      </c>
      <c r="C168">
        <f>2956174-10943</f>
        <v>2945231</v>
      </c>
      <c r="D168">
        <v>5</v>
      </c>
      <c r="E168">
        <f>5605654-18346</f>
        <v>5587308</v>
      </c>
      <c r="F168">
        <v>6</v>
      </c>
      <c r="G168">
        <f>2283-57</f>
        <v>2226</v>
      </c>
      <c r="H168">
        <f>3417-43</f>
        <v>3374</v>
      </c>
    </row>
    <row r="169" spans="1:8" x14ac:dyDescent="0.35">
      <c r="A169" t="s">
        <v>62</v>
      </c>
      <c r="B169" t="s">
        <v>33</v>
      </c>
      <c r="C169">
        <f>2945231-10943</f>
        <v>2934288</v>
      </c>
      <c r="D169">
        <v>5</v>
      </c>
      <c r="E169">
        <f>5587308-18346</f>
        <v>5568962</v>
      </c>
      <c r="F169">
        <v>6</v>
      </c>
      <c r="G169">
        <f>2226-57</f>
        <v>2169</v>
      </c>
      <c r="H169">
        <f>3374-43</f>
        <v>3331</v>
      </c>
    </row>
    <row r="170" spans="1:8" x14ac:dyDescent="0.35">
      <c r="A170" t="s">
        <v>63</v>
      </c>
      <c r="B170" t="s">
        <v>33</v>
      </c>
      <c r="C170">
        <f>2934288-10943</f>
        <v>2923345</v>
      </c>
      <c r="D170">
        <v>5</v>
      </c>
      <c r="E170">
        <f>5568962-18346</f>
        <v>5550616</v>
      </c>
      <c r="F170">
        <v>6</v>
      </c>
      <c r="G170">
        <f>2169-57</f>
        <v>2112</v>
      </c>
      <c r="H170">
        <f>3331-43</f>
        <v>3288</v>
      </c>
    </row>
    <row r="171" spans="1:8" x14ac:dyDescent="0.35">
      <c r="A171" t="s">
        <v>64</v>
      </c>
      <c r="B171" t="s">
        <v>33</v>
      </c>
      <c r="C171">
        <f>2923345-10943</f>
        <v>2912402</v>
      </c>
      <c r="D171">
        <v>5</v>
      </c>
      <c r="E171">
        <f>5550616-18346</f>
        <v>5532270</v>
      </c>
      <c r="F171">
        <v>6</v>
      </c>
      <c r="G171">
        <f>2112-57</f>
        <v>2055</v>
      </c>
      <c r="H171">
        <f>3288-43</f>
        <v>3245</v>
      </c>
    </row>
    <row r="172" spans="1:8" x14ac:dyDescent="0.35">
      <c r="A172" t="s">
        <v>60</v>
      </c>
      <c r="B172" t="s">
        <v>34</v>
      </c>
      <c r="C172">
        <f>930898+1123</f>
        <v>932021</v>
      </c>
      <c r="D172">
        <v>1</v>
      </c>
      <c r="E172">
        <f>4870000+663</f>
        <v>4870663</v>
      </c>
      <c r="F172">
        <v>4</v>
      </c>
      <c r="G172">
        <f>8773+179</f>
        <v>8952</v>
      </c>
      <c r="H172">
        <f>12311+198</f>
        <v>12509</v>
      </c>
    </row>
    <row r="173" spans="1:8" x14ac:dyDescent="0.35">
      <c r="A173" t="s">
        <v>61</v>
      </c>
      <c r="B173" t="s">
        <v>34</v>
      </c>
      <c r="C173">
        <f>932021+1123</f>
        <v>933144</v>
      </c>
      <c r="D173">
        <v>1</v>
      </c>
      <c r="E173">
        <f>4870663+663</f>
        <v>4871326</v>
      </c>
      <c r="F173">
        <v>4</v>
      </c>
      <c r="G173">
        <f>8952+179</f>
        <v>9131</v>
      </c>
      <c r="H173">
        <f>12509+198</f>
        <v>12707</v>
      </c>
    </row>
    <row r="174" spans="1:8" x14ac:dyDescent="0.35">
      <c r="A174" t="s">
        <v>62</v>
      </c>
      <c r="B174" t="s">
        <v>34</v>
      </c>
      <c r="C174">
        <f>933144+1123</f>
        <v>934267</v>
      </c>
      <c r="D174">
        <v>1</v>
      </c>
      <c r="E174">
        <f>4871326+663</f>
        <v>4871989</v>
      </c>
      <c r="F174">
        <v>4</v>
      </c>
      <c r="G174">
        <f>9131+179</f>
        <v>9310</v>
      </c>
      <c r="H174">
        <f>12707+198</f>
        <v>12905</v>
      </c>
    </row>
    <row r="175" spans="1:8" x14ac:dyDescent="0.35">
      <c r="A175" t="s">
        <v>63</v>
      </c>
      <c r="B175" t="s">
        <v>34</v>
      </c>
      <c r="C175">
        <f>934267+1123</f>
        <v>935390</v>
      </c>
      <c r="D175">
        <v>1</v>
      </c>
      <c r="E175">
        <f>4871989+663</f>
        <v>4872652</v>
      </c>
      <c r="F175">
        <v>4</v>
      </c>
      <c r="G175">
        <f>9310+179</f>
        <v>9489</v>
      </c>
      <c r="H175">
        <f>12905+198</f>
        <v>13103</v>
      </c>
    </row>
    <row r="176" spans="1:8" x14ac:dyDescent="0.35">
      <c r="A176" t="s">
        <v>64</v>
      </c>
      <c r="B176" t="s">
        <v>34</v>
      </c>
      <c r="C176">
        <f>935390+1123</f>
        <v>936513</v>
      </c>
      <c r="D176">
        <v>1</v>
      </c>
      <c r="E176">
        <f>4872652+663</f>
        <v>4873315</v>
      </c>
      <c r="F176">
        <v>4</v>
      </c>
      <c r="G176">
        <f>9489+179</f>
        <v>9668</v>
      </c>
      <c r="H176">
        <f>13103+198</f>
        <v>13301</v>
      </c>
    </row>
    <row r="177" spans="1:8" x14ac:dyDescent="0.35">
      <c r="A177" t="s">
        <v>60</v>
      </c>
      <c r="B177" t="s">
        <v>35</v>
      </c>
      <c r="C177">
        <f>1199626-4931</f>
        <v>1194695</v>
      </c>
      <c r="D177">
        <v>1</v>
      </c>
      <c r="E177">
        <f>4834000-21004</f>
        <v>4812996</v>
      </c>
      <c r="F177">
        <v>4</v>
      </c>
      <c r="G177">
        <f>2686+13</f>
        <v>2699</v>
      </c>
      <c r="H177">
        <f>8554+91</f>
        <v>8645</v>
      </c>
    </row>
    <row r="178" spans="1:8" x14ac:dyDescent="0.35">
      <c r="A178" t="s">
        <v>61</v>
      </c>
      <c r="B178" t="s">
        <v>35</v>
      </c>
      <c r="C178">
        <f>1194695-4931</f>
        <v>1189764</v>
      </c>
      <c r="D178">
        <v>1</v>
      </c>
      <c r="E178">
        <f>4812996-21004</f>
        <v>4791992</v>
      </c>
      <c r="F178">
        <v>4</v>
      </c>
      <c r="G178">
        <f>2699+13</f>
        <v>2712</v>
      </c>
      <c r="H178">
        <f>8645+91</f>
        <v>8736</v>
      </c>
    </row>
    <row r="179" spans="1:8" x14ac:dyDescent="0.35">
      <c r="A179" t="s">
        <v>62</v>
      </c>
      <c r="B179" t="s">
        <v>35</v>
      </c>
      <c r="C179">
        <f>1189764-4931</f>
        <v>1184833</v>
      </c>
      <c r="D179">
        <v>1</v>
      </c>
      <c r="E179">
        <f>4791992-21004</f>
        <v>4770988</v>
      </c>
      <c r="F179">
        <v>4</v>
      </c>
      <c r="G179">
        <f>2712+13</f>
        <v>2725</v>
      </c>
      <c r="H179">
        <f>8736+91</f>
        <v>8827</v>
      </c>
    </row>
    <row r="180" spans="1:8" x14ac:dyDescent="0.35">
      <c r="A180" t="s">
        <v>63</v>
      </c>
      <c r="B180" t="s">
        <v>35</v>
      </c>
      <c r="C180">
        <f>1184833-4931</f>
        <v>1179902</v>
      </c>
      <c r="D180">
        <v>1</v>
      </c>
      <c r="E180">
        <f>4770988-21004</f>
        <v>4749984</v>
      </c>
      <c r="F180">
        <v>4</v>
      </c>
      <c r="G180">
        <f>2725+13</f>
        <v>2738</v>
      </c>
      <c r="H180">
        <f>8827+91</f>
        <v>8918</v>
      </c>
    </row>
    <row r="181" spans="1:8" x14ac:dyDescent="0.35">
      <c r="A181" t="s">
        <v>64</v>
      </c>
      <c r="B181" t="s">
        <v>35</v>
      </c>
      <c r="C181">
        <f>1179902-4931</f>
        <v>1174971</v>
      </c>
      <c r="D181">
        <v>1</v>
      </c>
      <c r="E181">
        <f>4749984-21004</f>
        <v>4728980</v>
      </c>
      <c r="F181">
        <v>4</v>
      </c>
      <c r="G181">
        <f>2738+13</f>
        <v>2751</v>
      </c>
      <c r="H181">
        <f>8918+91</f>
        <v>9009</v>
      </c>
    </row>
    <row r="182" spans="1:8" x14ac:dyDescent="0.35">
      <c r="A182" t="s">
        <v>60</v>
      </c>
      <c r="B182" t="s">
        <v>36</v>
      </c>
      <c r="C182">
        <f>450044+2133</f>
        <v>452177</v>
      </c>
      <c r="D182">
        <v>1</v>
      </c>
      <c r="E182">
        <f>4439000+9851</f>
        <v>4448851</v>
      </c>
      <c r="F182">
        <v>4</v>
      </c>
      <c r="G182">
        <f>3758+34</f>
        <v>3792</v>
      </c>
      <c r="H182">
        <f>5690+53</f>
        <v>5743</v>
      </c>
    </row>
    <row r="183" spans="1:8" x14ac:dyDescent="0.35">
      <c r="A183" t="s">
        <v>61</v>
      </c>
      <c r="B183" t="s">
        <v>36</v>
      </c>
      <c r="C183">
        <f>452177+2133</f>
        <v>454310</v>
      </c>
      <c r="D183">
        <v>1</v>
      </c>
      <c r="E183">
        <f>4448851+9851</f>
        <v>4458702</v>
      </c>
      <c r="F183">
        <v>4</v>
      </c>
      <c r="G183">
        <f>3792+34</f>
        <v>3826</v>
      </c>
      <c r="H183">
        <f>5743+53</f>
        <v>5796</v>
      </c>
    </row>
    <row r="184" spans="1:8" x14ac:dyDescent="0.35">
      <c r="A184" t="s">
        <v>62</v>
      </c>
      <c r="B184" t="s">
        <v>36</v>
      </c>
      <c r="C184">
        <f>454310+2133</f>
        <v>456443</v>
      </c>
      <c r="D184">
        <v>1</v>
      </c>
      <c r="E184">
        <f>4458702+9851</f>
        <v>4468553</v>
      </c>
      <c r="F184">
        <v>4</v>
      </c>
      <c r="G184">
        <f>3826+34</f>
        <v>3860</v>
      </c>
      <c r="H184">
        <f>5796+53</f>
        <v>5849</v>
      </c>
    </row>
    <row r="185" spans="1:8" x14ac:dyDescent="0.35">
      <c r="A185" t="s">
        <v>63</v>
      </c>
      <c r="B185" t="s">
        <v>36</v>
      </c>
      <c r="C185">
        <f>456443+2133</f>
        <v>458576</v>
      </c>
      <c r="D185">
        <v>1</v>
      </c>
      <c r="E185">
        <f>4468553+9851</f>
        <v>4478404</v>
      </c>
      <c r="F185">
        <v>4</v>
      </c>
      <c r="G185">
        <f>3860+34</f>
        <v>3894</v>
      </c>
      <c r="H185">
        <f>5849+53</f>
        <v>5902</v>
      </c>
    </row>
    <row r="186" spans="1:8" x14ac:dyDescent="0.35">
      <c r="A186" t="s">
        <v>64</v>
      </c>
      <c r="B186" t="s">
        <v>36</v>
      </c>
      <c r="C186">
        <f>458576+2133</f>
        <v>460709</v>
      </c>
      <c r="D186">
        <v>1</v>
      </c>
      <c r="E186">
        <f>4478404+9851</f>
        <v>4488255</v>
      </c>
      <c r="F186">
        <v>4</v>
      </c>
      <c r="G186">
        <f>3894+34</f>
        <v>3928</v>
      </c>
      <c r="H186">
        <f>5902+53</f>
        <v>5955</v>
      </c>
    </row>
    <row r="187" spans="1:8" x14ac:dyDescent="0.35">
      <c r="A187" t="s">
        <v>60</v>
      </c>
      <c r="B187" t="s">
        <v>37</v>
      </c>
      <c r="C187">
        <f>534691-208</f>
        <v>534483</v>
      </c>
      <c r="D187">
        <v>1</v>
      </c>
      <c r="E187">
        <f>9982000+31139</f>
        <v>10013139</v>
      </c>
      <c r="F187">
        <v>10</v>
      </c>
      <c r="G187">
        <f>3130+79</f>
        <v>3209</v>
      </c>
      <c r="H187">
        <f>4664+64</f>
        <v>4728</v>
      </c>
    </row>
    <row r="188" spans="1:8" x14ac:dyDescent="0.35">
      <c r="A188" t="s">
        <v>61</v>
      </c>
      <c r="B188" t="s">
        <v>37</v>
      </c>
      <c r="C188">
        <f>534483-208</f>
        <v>534275</v>
      </c>
      <c r="D188">
        <v>1</v>
      </c>
      <c r="E188">
        <f>10013139+31139</f>
        <v>10044278</v>
      </c>
      <c r="F188">
        <v>10</v>
      </c>
      <c r="G188">
        <f>3209+79</f>
        <v>3288</v>
      </c>
      <c r="H188">
        <f>4728+64</f>
        <v>4792</v>
      </c>
    </row>
    <row r="189" spans="1:8" x14ac:dyDescent="0.35">
      <c r="A189" t="s">
        <v>62</v>
      </c>
      <c r="B189" t="s">
        <v>37</v>
      </c>
      <c r="C189">
        <f>534275-208</f>
        <v>534067</v>
      </c>
      <c r="D189">
        <v>1</v>
      </c>
      <c r="E189">
        <f>10044278+31139</f>
        <v>10075417</v>
      </c>
      <c r="F189">
        <v>10</v>
      </c>
      <c r="G189">
        <f>3288+79</f>
        <v>3367</v>
      </c>
      <c r="H189">
        <f>4792+64</f>
        <v>4856</v>
      </c>
    </row>
    <row r="190" spans="1:8" x14ac:dyDescent="0.35">
      <c r="A190" t="s">
        <v>63</v>
      </c>
      <c r="B190" t="s">
        <v>37</v>
      </c>
      <c r="C190">
        <f>534067-208</f>
        <v>533859</v>
      </c>
      <c r="D190">
        <v>1</v>
      </c>
      <c r="E190">
        <f>10075417+31139</f>
        <v>10106556</v>
      </c>
      <c r="F190">
        <v>10</v>
      </c>
      <c r="G190">
        <f>3367+79</f>
        <v>3446</v>
      </c>
      <c r="H190">
        <f>4856+64</f>
        <v>4920</v>
      </c>
    </row>
    <row r="191" spans="1:8" x14ac:dyDescent="0.35">
      <c r="A191" t="s">
        <v>64</v>
      </c>
      <c r="B191" t="s">
        <v>37</v>
      </c>
      <c r="C191">
        <f>533859-208</f>
        <v>533651</v>
      </c>
      <c r="D191">
        <v>1</v>
      </c>
      <c r="E191">
        <f>10106556+31139</f>
        <v>10137695</v>
      </c>
      <c r="F191">
        <v>10</v>
      </c>
      <c r="G191">
        <f>3446+79</f>
        <v>3525</v>
      </c>
      <c r="H191">
        <f>4920+64</f>
        <v>4984</v>
      </c>
    </row>
    <row r="192" spans="1:8" x14ac:dyDescent="0.35">
      <c r="A192" t="s">
        <v>60</v>
      </c>
      <c r="B192" t="s">
        <v>38</v>
      </c>
      <c r="C192">
        <f>641318-1401</f>
        <v>639917</v>
      </c>
      <c r="D192">
        <v>1</v>
      </c>
      <c r="E192">
        <f>865000-1994</f>
        <v>863006</v>
      </c>
      <c r="F192">
        <v>1</v>
      </c>
      <c r="G192">
        <f>2823+101</f>
        <v>2924</v>
      </c>
      <c r="H192">
        <f>6154+171</f>
        <v>6325</v>
      </c>
    </row>
    <row r="193" spans="1:8" x14ac:dyDescent="0.35">
      <c r="A193" t="s">
        <v>61</v>
      </c>
      <c r="B193" t="s">
        <v>38</v>
      </c>
      <c r="C193">
        <f>639917-1401</f>
        <v>638516</v>
      </c>
      <c r="D193">
        <v>1</v>
      </c>
      <c r="E193">
        <f>863006-1994</f>
        <v>861012</v>
      </c>
      <c r="F193">
        <v>1</v>
      </c>
      <c r="G193">
        <f>2924+101</f>
        <v>3025</v>
      </c>
      <c r="H193">
        <f>6325+171</f>
        <v>6496</v>
      </c>
    </row>
    <row r="194" spans="1:8" x14ac:dyDescent="0.35">
      <c r="A194" t="s">
        <v>62</v>
      </c>
      <c r="B194" t="s">
        <v>38</v>
      </c>
      <c r="C194">
        <f>638516-1401</f>
        <v>637115</v>
      </c>
      <c r="D194">
        <v>1</v>
      </c>
      <c r="E194">
        <f>861012-1994</f>
        <v>859018</v>
      </c>
      <c r="F194">
        <v>1</v>
      </c>
      <c r="G194">
        <f>3025+101</f>
        <v>3126</v>
      </c>
      <c r="H194">
        <f>6496+171</f>
        <v>6667</v>
      </c>
    </row>
    <row r="195" spans="1:8" x14ac:dyDescent="0.35">
      <c r="A195" t="s">
        <v>63</v>
      </c>
      <c r="B195" t="s">
        <v>38</v>
      </c>
      <c r="C195">
        <f>637115-1401</f>
        <v>635714</v>
      </c>
      <c r="D195">
        <v>1</v>
      </c>
      <c r="E195">
        <f>859018-1994</f>
        <v>857024</v>
      </c>
      <c r="F195">
        <v>1</v>
      </c>
      <c r="G195">
        <f>3126+101</f>
        <v>3227</v>
      </c>
      <c r="H195">
        <f>6667+171</f>
        <v>6838</v>
      </c>
    </row>
    <row r="196" spans="1:8" x14ac:dyDescent="0.35">
      <c r="A196" t="s">
        <v>64</v>
      </c>
      <c r="B196" t="s">
        <v>38</v>
      </c>
      <c r="C196">
        <f>635714-1401</f>
        <v>634313</v>
      </c>
      <c r="D196">
        <v>1</v>
      </c>
      <c r="E196">
        <f>857024-1994</f>
        <v>855030</v>
      </c>
      <c r="F196">
        <v>1</v>
      </c>
      <c r="G196">
        <f>3227+101</f>
        <v>3328</v>
      </c>
      <c r="H196">
        <f>6838+171</f>
        <v>7009</v>
      </c>
    </row>
    <row r="197" spans="1:8" x14ac:dyDescent="0.35">
      <c r="A197" t="s">
        <v>60</v>
      </c>
      <c r="B197" t="s">
        <v>39</v>
      </c>
      <c r="C197">
        <f>417245+525</f>
        <v>417770</v>
      </c>
      <c r="D197">
        <v>1</v>
      </c>
      <c r="E197">
        <f>3693000-1359</f>
        <v>3691641</v>
      </c>
      <c r="F197">
        <v>3</v>
      </c>
      <c r="G197">
        <f>5595+42</f>
        <v>5637</v>
      </c>
      <c r="H197">
        <f>7341+41</f>
        <v>7382</v>
      </c>
    </row>
    <row r="198" spans="1:8" x14ac:dyDescent="0.35">
      <c r="A198" t="s">
        <v>61</v>
      </c>
      <c r="B198" t="s">
        <v>39</v>
      </c>
      <c r="C198">
        <f>417770+525</f>
        <v>418295</v>
      </c>
      <c r="D198">
        <v>1</v>
      </c>
      <c r="E198">
        <f>3691641-1359</f>
        <v>3690282</v>
      </c>
      <c r="F198">
        <v>3</v>
      </c>
      <c r="G198">
        <f>5637+42</f>
        <v>5679</v>
      </c>
      <c r="H198">
        <f>7382+41</f>
        <v>7423</v>
      </c>
    </row>
    <row r="199" spans="1:8" x14ac:dyDescent="0.35">
      <c r="A199" t="s">
        <v>62</v>
      </c>
      <c r="B199" t="s">
        <v>39</v>
      </c>
      <c r="C199">
        <f>418295+525</f>
        <v>418820</v>
      </c>
      <c r="D199">
        <v>1</v>
      </c>
      <c r="E199">
        <f>3690282-1359</f>
        <v>3688923</v>
      </c>
      <c r="F199">
        <v>3</v>
      </c>
      <c r="G199">
        <f>5679+42</f>
        <v>5721</v>
      </c>
      <c r="H199">
        <f>7423+41</f>
        <v>7464</v>
      </c>
    </row>
    <row r="200" spans="1:8" x14ac:dyDescent="0.35">
      <c r="A200" t="s">
        <v>63</v>
      </c>
      <c r="B200" t="s">
        <v>39</v>
      </c>
      <c r="C200">
        <f>418820+525</f>
        <v>419345</v>
      </c>
      <c r="D200">
        <v>1</v>
      </c>
      <c r="E200">
        <f>3688923-1359</f>
        <v>3687564</v>
      </c>
      <c r="F200">
        <v>3</v>
      </c>
      <c r="G200">
        <f>5721+42</f>
        <v>5763</v>
      </c>
      <c r="H200">
        <f>7464+41</f>
        <v>7505</v>
      </c>
    </row>
    <row r="201" spans="1:8" x14ac:dyDescent="0.35">
      <c r="A201" t="s">
        <v>64</v>
      </c>
      <c r="B201" t="s">
        <v>39</v>
      </c>
      <c r="C201">
        <f>419345+525</f>
        <v>419870</v>
      </c>
      <c r="D201">
        <v>1</v>
      </c>
      <c r="E201">
        <f>3687564-1359</f>
        <v>3686205</v>
      </c>
      <c r="F201">
        <v>3</v>
      </c>
      <c r="G201">
        <f>5763+42</f>
        <v>5805</v>
      </c>
      <c r="H201">
        <f>7505+41</f>
        <v>7546</v>
      </c>
    </row>
    <row r="202" spans="1:8" x14ac:dyDescent="0.35">
      <c r="A202" t="s">
        <v>60</v>
      </c>
      <c r="B202" t="s">
        <v>40</v>
      </c>
      <c r="C202">
        <f>4222631+21455</f>
        <v>4244086</v>
      </c>
      <c r="D202">
        <v>7</v>
      </c>
      <c r="E202">
        <f>5730000+21397</f>
        <v>5751397</v>
      </c>
      <c r="F202">
        <v>7</v>
      </c>
      <c r="G202">
        <v>130</v>
      </c>
      <c r="H202">
        <f>404+13</f>
        <v>417</v>
      </c>
    </row>
    <row r="203" spans="1:8" x14ac:dyDescent="0.35">
      <c r="A203" t="s">
        <v>61</v>
      </c>
      <c r="B203" t="s">
        <v>40</v>
      </c>
      <c r="C203">
        <f>4244086+21455</f>
        <v>4265541</v>
      </c>
      <c r="D203">
        <v>7</v>
      </c>
      <c r="E203">
        <f>5751397+21397</f>
        <v>5772794</v>
      </c>
      <c r="F203">
        <v>7</v>
      </c>
      <c r="G203">
        <v>137</v>
      </c>
      <c r="H203">
        <f>417+13</f>
        <v>430</v>
      </c>
    </row>
    <row r="204" spans="1:8" x14ac:dyDescent="0.35">
      <c r="A204" t="s">
        <v>62</v>
      </c>
      <c r="B204" t="s">
        <v>40</v>
      </c>
      <c r="C204">
        <f>4265541+21455</f>
        <v>4286996</v>
      </c>
      <c r="D204">
        <v>7</v>
      </c>
      <c r="E204">
        <f>5772794+21397</f>
        <v>5794191</v>
      </c>
      <c r="F204">
        <v>7</v>
      </c>
      <c r="G204">
        <v>144</v>
      </c>
      <c r="H204">
        <f>430+13</f>
        <v>443</v>
      </c>
    </row>
    <row r="205" spans="1:8" x14ac:dyDescent="0.35">
      <c r="A205" t="s">
        <v>63</v>
      </c>
      <c r="B205" t="s">
        <v>40</v>
      </c>
      <c r="C205">
        <f>4286996+21455</f>
        <v>4308451</v>
      </c>
      <c r="D205">
        <v>7</v>
      </c>
      <c r="E205">
        <f>5794191+21397</f>
        <v>5815588</v>
      </c>
      <c r="F205">
        <v>7</v>
      </c>
      <c r="G205">
        <v>151</v>
      </c>
      <c r="H205">
        <f>443+13</f>
        <v>456</v>
      </c>
    </row>
    <row r="206" spans="1:8" x14ac:dyDescent="0.35">
      <c r="A206" t="s">
        <v>64</v>
      </c>
      <c r="B206" t="s">
        <v>40</v>
      </c>
      <c r="C206">
        <f>4308451+21455</f>
        <v>4329906</v>
      </c>
      <c r="D206">
        <v>7</v>
      </c>
      <c r="E206">
        <f>5815588+21397</f>
        <v>5836985</v>
      </c>
      <c r="F206">
        <v>7</v>
      </c>
      <c r="G206">
        <v>158</v>
      </c>
      <c r="H206">
        <f>456+13</f>
        <v>469</v>
      </c>
    </row>
    <row r="207" spans="1:8" x14ac:dyDescent="0.35">
      <c r="A207" t="s">
        <v>60</v>
      </c>
      <c r="B207" t="s">
        <v>41</v>
      </c>
      <c r="C207">
        <f>4222631+21455</f>
        <v>4244086</v>
      </c>
      <c r="D207">
        <v>7</v>
      </c>
      <c r="E207">
        <f>5730000+21397</f>
        <v>5751397</v>
      </c>
      <c r="F207">
        <v>7</v>
      </c>
      <c r="G207">
        <v>59</v>
      </c>
      <c r="H207">
        <v>466</v>
      </c>
    </row>
    <row r="208" spans="1:8" x14ac:dyDescent="0.35">
      <c r="A208" t="s">
        <v>61</v>
      </c>
      <c r="B208" t="s">
        <v>41</v>
      </c>
      <c r="C208">
        <f>4244086+21455</f>
        <v>4265541</v>
      </c>
      <c r="D208">
        <v>7</v>
      </c>
      <c r="E208">
        <f>5751397+21397</f>
        <v>5772794</v>
      </c>
      <c r="F208">
        <v>7</v>
      </c>
      <c r="G208">
        <v>61</v>
      </c>
      <c r="H208">
        <v>478</v>
      </c>
    </row>
    <row r="209" spans="1:8" x14ac:dyDescent="0.35">
      <c r="A209" t="s">
        <v>62</v>
      </c>
      <c r="B209" t="s">
        <v>41</v>
      </c>
      <c r="C209">
        <f>4265541+21455</f>
        <v>4286996</v>
      </c>
      <c r="D209">
        <v>7</v>
      </c>
      <c r="E209">
        <f>5772794+21397</f>
        <v>5794191</v>
      </c>
      <c r="F209">
        <v>7</v>
      </c>
      <c r="G209">
        <v>63</v>
      </c>
      <c r="H209">
        <v>490</v>
      </c>
    </row>
    <row r="210" spans="1:8" x14ac:dyDescent="0.35">
      <c r="A210" t="s">
        <v>63</v>
      </c>
      <c r="B210" t="s">
        <v>41</v>
      </c>
      <c r="C210">
        <f>4286996+21455</f>
        <v>4308451</v>
      </c>
      <c r="D210">
        <v>7</v>
      </c>
      <c r="E210">
        <f>5794191+21397</f>
        <v>5815588</v>
      </c>
      <c r="F210">
        <v>7</v>
      </c>
      <c r="G210">
        <v>65</v>
      </c>
      <c r="H210">
        <v>502</v>
      </c>
    </row>
    <row r="211" spans="1:8" x14ac:dyDescent="0.35">
      <c r="A211" t="s">
        <v>64</v>
      </c>
      <c r="B211" t="s">
        <v>41</v>
      </c>
      <c r="C211">
        <f>4308451+21455</f>
        <v>4329906</v>
      </c>
      <c r="D211">
        <v>7</v>
      </c>
      <c r="E211">
        <f>5815588+21397</f>
        <v>5836985</v>
      </c>
      <c r="F211">
        <v>7</v>
      </c>
      <c r="G211">
        <v>67</v>
      </c>
      <c r="H211">
        <v>514</v>
      </c>
    </row>
    <row r="212" spans="1:8" x14ac:dyDescent="0.35">
      <c r="A212" t="s">
        <v>60</v>
      </c>
      <c r="B212" t="s">
        <v>42</v>
      </c>
      <c r="C212">
        <f>4222631+21455</f>
        <v>4244086</v>
      </c>
      <c r="D212">
        <v>7</v>
      </c>
      <c r="E212">
        <f>5730000+21397</f>
        <v>5751397</v>
      </c>
      <c r="F212">
        <v>7</v>
      </c>
      <c r="G212">
        <f>6298-24</f>
        <v>6274</v>
      </c>
      <c r="H212">
        <f>18441+198</f>
        <v>18639</v>
      </c>
    </row>
    <row r="213" spans="1:8" x14ac:dyDescent="0.35">
      <c r="A213" t="s">
        <v>61</v>
      </c>
      <c r="B213" t="s">
        <v>42</v>
      </c>
      <c r="C213">
        <f>4244086+21455</f>
        <v>4265541</v>
      </c>
      <c r="D213">
        <v>7</v>
      </c>
      <c r="E213">
        <f>5751397+21397</f>
        <v>5772794</v>
      </c>
      <c r="F213">
        <v>7</v>
      </c>
      <c r="G213">
        <f>6274-24</f>
        <v>6250</v>
      </c>
      <c r="H213">
        <f>18639+198</f>
        <v>18837</v>
      </c>
    </row>
    <row r="214" spans="1:8" x14ac:dyDescent="0.35">
      <c r="A214" t="s">
        <v>62</v>
      </c>
      <c r="B214" t="s">
        <v>42</v>
      </c>
      <c r="C214">
        <f>4265541+21455</f>
        <v>4286996</v>
      </c>
      <c r="D214">
        <v>7</v>
      </c>
      <c r="E214">
        <f>5772794+21397</f>
        <v>5794191</v>
      </c>
      <c r="F214">
        <v>7</v>
      </c>
      <c r="G214">
        <f>6250-24</f>
        <v>6226</v>
      </c>
      <c r="H214">
        <f>18837+198</f>
        <v>19035</v>
      </c>
    </row>
    <row r="215" spans="1:8" x14ac:dyDescent="0.35">
      <c r="A215" t="s">
        <v>63</v>
      </c>
      <c r="B215" t="s">
        <v>42</v>
      </c>
      <c r="C215">
        <f>4286996+21455</f>
        <v>4308451</v>
      </c>
      <c r="D215">
        <v>7</v>
      </c>
      <c r="E215">
        <f>5794191+21397</f>
        <v>5815588</v>
      </c>
      <c r="F215">
        <v>7</v>
      </c>
      <c r="G215">
        <f>6226-24</f>
        <v>6202</v>
      </c>
      <c r="H215">
        <f>19035+198</f>
        <v>19233</v>
      </c>
    </row>
    <row r="216" spans="1:8" x14ac:dyDescent="0.35">
      <c r="A216" t="s">
        <v>64</v>
      </c>
      <c r="B216" t="s">
        <v>42</v>
      </c>
      <c r="C216">
        <f>4308451+21455</f>
        <v>4329906</v>
      </c>
      <c r="D216">
        <v>7</v>
      </c>
      <c r="E216">
        <f>5815588+21397</f>
        <v>5836985</v>
      </c>
      <c r="F216">
        <v>7</v>
      </c>
      <c r="G216">
        <f>6202-24</f>
        <v>6178</v>
      </c>
      <c r="H216">
        <f>19233+198</f>
        <v>19431</v>
      </c>
    </row>
    <row r="217" spans="1:8" x14ac:dyDescent="0.35">
      <c r="A217" t="s">
        <v>60</v>
      </c>
      <c r="B217" t="s">
        <v>43</v>
      </c>
      <c r="C217">
        <f>4222631+21455</f>
        <v>4244086</v>
      </c>
      <c r="D217">
        <v>7</v>
      </c>
      <c r="E217">
        <f>5730000+21397</f>
        <v>5751397</v>
      </c>
      <c r="F217">
        <v>7</v>
      </c>
      <c r="G217">
        <f>835+12</f>
        <v>847</v>
      </c>
      <c r="H217">
        <f>1855+53</f>
        <v>1908</v>
      </c>
    </row>
    <row r="218" spans="1:8" x14ac:dyDescent="0.35">
      <c r="A218" t="s">
        <v>61</v>
      </c>
      <c r="B218" t="s">
        <v>43</v>
      </c>
      <c r="C218">
        <f>4244086+21455</f>
        <v>4265541</v>
      </c>
      <c r="D218">
        <v>7</v>
      </c>
      <c r="E218">
        <f>5751397+21397</f>
        <v>5772794</v>
      </c>
      <c r="F218">
        <v>7</v>
      </c>
      <c r="G218">
        <f>847+12</f>
        <v>859</v>
      </c>
      <c r="H218">
        <f>1908+53</f>
        <v>1961</v>
      </c>
    </row>
    <row r="219" spans="1:8" x14ac:dyDescent="0.35">
      <c r="A219" t="s">
        <v>62</v>
      </c>
      <c r="B219" t="s">
        <v>43</v>
      </c>
      <c r="C219">
        <f>4265541+21455</f>
        <v>4286996</v>
      </c>
      <c r="D219">
        <v>7</v>
      </c>
      <c r="E219">
        <f>5772794+21397</f>
        <v>5794191</v>
      </c>
      <c r="F219">
        <v>7</v>
      </c>
      <c r="G219">
        <f>859+12</f>
        <v>871</v>
      </c>
      <c r="H219">
        <f>1961+53</f>
        <v>2014</v>
      </c>
    </row>
    <row r="220" spans="1:8" x14ac:dyDescent="0.35">
      <c r="A220" t="s">
        <v>63</v>
      </c>
      <c r="B220" t="s">
        <v>43</v>
      </c>
      <c r="C220">
        <f>4286996+21455</f>
        <v>4308451</v>
      </c>
      <c r="D220">
        <v>7</v>
      </c>
      <c r="E220">
        <f>5794191+21397</f>
        <v>5815588</v>
      </c>
      <c r="F220">
        <v>7</v>
      </c>
      <c r="G220">
        <f>871+12</f>
        <v>883</v>
      </c>
      <c r="H220">
        <f>2014+53</f>
        <v>2067</v>
      </c>
    </row>
    <row r="221" spans="1:8" x14ac:dyDescent="0.35">
      <c r="A221" t="s">
        <v>64</v>
      </c>
      <c r="B221" t="s">
        <v>43</v>
      </c>
      <c r="C221">
        <f>4308451+21455</f>
        <v>4329906</v>
      </c>
      <c r="D221">
        <v>7</v>
      </c>
      <c r="E221">
        <f>5815588+21397</f>
        <v>5836985</v>
      </c>
      <c r="F221">
        <v>7</v>
      </c>
      <c r="G221">
        <f>883+12</f>
        <v>895</v>
      </c>
      <c r="H221">
        <f>2067+53</f>
        <v>2120</v>
      </c>
    </row>
    <row r="222" spans="1:8" x14ac:dyDescent="0.35">
      <c r="A222" t="s">
        <v>60</v>
      </c>
      <c r="B222" t="s">
        <v>44</v>
      </c>
      <c r="C222">
        <f>4222631+21455</f>
        <v>4244086</v>
      </c>
      <c r="D222">
        <v>7</v>
      </c>
      <c r="E222">
        <f>5730000+21397</f>
        <v>5751397</v>
      </c>
      <c r="F222">
        <v>7</v>
      </c>
      <c r="G222">
        <f>375-6</f>
        <v>369</v>
      </c>
      <c r="H222">
        <f>1109+14</f>
        <v>1123</v>
      </c>
    </row>
    <row r="223" spans="1:8" x14ac:dyDescent="0.35">
      <c r="A223" t="s">
        <v>61</v>
      </c>
      <c r="B223" t="s">
        <v>44</v>
      </c>
      <c r="C223">
        <f>4244086+21455</f>
        <v>4265541</v>
      </c>
      <c r="D223">
        <v>7</v>
      </c>
      <c r="E223">
        <f>5751397+21397</f>
        <v>5772794</v>
      </c>
      <c r="F223">
        <v>7</v>
      </c>
      <c r="G223">
        <f>369-6</f>
        <v>363</v>
      </c>
      <c r="H223">
        <f>1123+14</f>
        <v>1137</v>
      </c>
    </row>
    <row r="224" spans="1:8" x14ac:dyDescent="0.35">
      <c r="A224" t="s">
        <v>62</v>
      </c>
      <c r="B224" t="s">
        <v>44</v>
      </c>
      <c r="C224">
        <f>4265541+21455</f>
        <v>4286996</v>
      </c>
      <c r="D224">
        <v>7</v>
      </c>
      <c r="E224">
        <f>5772794+21397</f>
        <v>5794191</v>
      </c>
      <c r="F224">
        <v>7</v>
      </c>
      <c r="G224">
        <f>363-6</f>
        <v>357</v>
      </c>
      <c r="H224">
        <f>1137+14</f>
        <v>1151</v>
      </c>
    </row>
    <row r="225" spans="1:8" x14ac:dyDescent="0.35">
      <c r="A225" t="s">
        <v>63</v>
      </c>
      <c r="B225" t="s">
        <v>44</v>
      </c>
      <c r="C225">
        <f>4286996+21455</f>
        <v>4308451</v>
      </c>
      <c r="D225">
        <v>7</v>
      </c>
      <c r="E225">
        <f>5794191+21397</f>
        <v>5815588</v>
      </c>
      <c r="F225">
        <v>7</v>
      </c>
      <c r="G225">
        <f>357-6</f>
        <v>351</v>
      </c>
      <c r="H225">
        <f>1151+14</f>
        <v>1165</v>
      </c>
    </row>
    <row r="226" spans="1:8" x14ac:dyDescent="0.35">
      <c r="A226" t="s">
        <v>64</v>
      </c>
      <c r="B226" t="s">
        <v>44</v>
      </c>
      <c r="C226">
        <f>4308451+21455</f>
        <v>4329906</v>
      </c>
      <c r="D226">
        <v>7</v>
      </c>
      <c r="E226">
        <f>5815588+21397</f>
        <v>5836985</v>
      </c>
      <c r="F226">
        <v>7</v>
      </c>
      <c r="G226">
        <f>351-6</f>
        <v>345</v>
      </c>
      <c r="H226">
        <f>1165+14</f>
        <v>1179</v>
      </c>
    </row>
    <row r="227" spans="1:8" x14ac:dyDescent="0.35">
      <c r="A227" t="s">
        <v>60</v>
      </c>
      <c r="B227" t="s">
        <v>45</v>
      </c>
      <c r="C227">
        <f>4222631+21455</f>
        <v>4244086</v>
      </c>
      <c r="D227">
        <v>7</v>
      </c>
      <c r="E227">
        <f>5730000+21397</f>
        <v>5751397</v>
      </c>
      <c r="F227">
        <v>7</v>
      </c>
      <c r="G227">
        <f>1386-3</f>
        <v>1383</v>
      </c>
      <c r="H227">
        <f>5291-11</f>
        <v>5280</v>
      </c>
    </row>
    <row r="228" spans="1:8" x14ac:dyDescent="0.35">
      <c r="A228" t="s">
        <v>61</v>
      </c>
      <c r="B228" t="s">
        <v>45</v>
      </c>
      <c r="C228">
        <f>4244086+21455</f>
        <v>4265541</v>
      </c>
      <c r="D228">
        <v>7</v>
      </c>
      <c r="E228">
        <f>5751397+21397</f>
        <v>5772794</v>
      </c>
      <c r="F228">
        <v>7</v>
      </c>
      <c r="G228">
        <v>1380</v>
      </c>
      <c r="H228">
        <f>5280-11</f>
        <v>5269</v>
      </c>
    </row>
    <row r="229" spans="1:8" x14ac:dyDescent="0.35">
      <c r="A229" t="s">
        <v>62</v>
      </c>
      <c r="B229" t="s">
        <v>45</v>
      </c>
      <c r="C229">
        <f>4265541+21455</f>
        <v>4286996</v>
      </c>
      <c r="D229">
        <v>7</v>
      </c>
      <c r="E229">
        <f>5772794+21397</f>
        <v>5794191</v>
      </c>
      <c r="F229">
        <v>7</v>
      </c>
      <c r="G229">
        <v>1377</v>
      </c>
      <c r="H229">
        <f>5269-11</f>
        <v>5258</v>
      </c>
    </row>
    <row r="230" spans="1:8" x14ac:dyDescent="0.35">
      <c r="A230" t="s">
        <v>63</v>
      </c>
      <c r="B230" t="s">
        <v>45</v>
      </c>
      <c r="C230">
        <f>4286996+21455</f>
        <v>4308451</v>
      </c>
      <c r="D230">
        <v>7</v>
      </c>
      <c r="E230">
        <f>5794191+21397</f>
        <v>5815588</v>
      </c>
      <c r="F230">
        <v>7</v>
      </c>
      <c r="G230">
        <v>1374</v>
      </c>
      <c r="H230">
        <f>5258-11</f>
        <v>5247</v>
      </c>
    </row>
    <row r="231" spans="1:8" x14ac:dyDescent="0.35">
      <c r="A231" t="s">
        <v>64</v>
      </c>
      <c r="B231" t="s">
        <v>45</v>
      </c>
      <c r="C231">
        <f>4308451+21455</f>
        <v>4329906</v>
      </c>
      <c r="D231">
        <v>7</v>
      </c>
      <c r="E231">
        <f>5815588+21397</f>
        <v>5836985</v>
      </c>
      <c r="F231">
        <v>7</v>
      </c>
      <c r="G231">
        <v>1371</v>
      </c>
      <c r="H231">
        <f>5247-11</f>
        <v>5236</v>
      </c>
    </row>
    <row r="232" spans="1:8" x14ac:dyDescent="0.35">
      <c r="A232" t="s">
        <v>60</v>
      </c>
      <c r="B232" t="s">
        <v>46</v>
      </c>
      <c r="C232">
        <f>4222631+21455</f>
        <v>4244086</v>
      </c>
      <c r="D232">
        <v>7</v>
      </c>
      <c r="E232">
        <f>5730000+21397</f>
        <v>5751397</v>
      </c>
      <c r="F232">
        <v>7</v>
      </c>
      <c r="G232">
        <v>1332</v>
      </c>
      <c r="H232">
        <f>5817-29</f>
        <v>5788</v>
      </c>
    </row>
    <row r="233" spans="1:8" x14ac:dyDescent="0.35">
      <c r="A233" t="s">
        <v>61</v>
      </c>
      <c r="B233" t="s">
        <v>46</v>
      </c>
      <c r="C233">
        <f>4244086+21455</f>
        <v>4265541</v>
      </c>
      <c r="D233">
        <v>7</v>
      </c>
      <c r="E233">
        <f>5751397+21397</f>
        <v>5772794</v>
      </c>
      <c r="F233">
        <v>7</v>
      </c>
      <c r="G233">
        <v>1328</v>
      </c>
      <c r="H233">
        <f>5788-29</f>
        <v>5759</v>
      </c>
    </row>
    <row r="234" spans="1:8" x14ac:dyDescent="0.35">
      <c r="A234" t="s">
        <v>62</v>
      </c>
      <c r="B234" t="s">
        <v>46</v>
      </c>
      <c r="C234">
        <f>4265541+21455</f>
        <v>4286996</v>
      </c>
      <c r="D234">
        <v>7</v>
      </c>
      <c r="E234">
        <f>5772794+21397</f>
        <v>5794191</v>
      </c>
      <c r="F234">
        <v>7</v>
      </c>
      <c r="G234">
        <v>1324</v>
      </c>
      <c r="H234">
        <f>5759-29</f>
        <v>5730</v>
      </c>
    </row>
    <row r="235" spans="1:8" x14ac:dyDescent="0.35">
      <c r="A235" t="s">
        <v>63</v>
      </c>
      <c r="B235" t="s">
        <v>46</v>
      </c>
      <c r="C235">
        <f>4286996+21455</f>
        <v>4308451</v>
      </c>
      <c r="D235">
        <v>7</v>
      </c>
      <c r="E235">
        <f>5794191+21397</f>
        <v>5815588</v>
      </c>
      <c r="F235">
        <v>7</v>
      </c>
      <c r="G235">
        <v>1320</v>
      </c>
      <c r="H235">
        <f>5730-29</f>
        <v>5701</v>
      </c>
    </row>
    <row r="236" spans="1:8" x14ac:dyDescent="0.35">
      <c r="A236" t="s">
        <v>64</v>
      </c>
      <c r="B236" t="s">
        <v>46</v>
      </c>
      <c r="C236">
        <f>4308451+21455</f>
        <v>4329906</v>
      </c>
      <c r="D236">
        <v>7</v>
      </c>
      <c r="E236">
        <f>5815588+21397</f>
        <v>5836985</v>
      </c>
      <c r="F236">
        <v>7</v>
      </c>
      <c r="G236">
        <v>1316</v>
      </c>
      <c r="H236">
        <f>5701-29</f>
        <v>5672</v>
      </c>
    </row>
    <row r="237" spans="1:8" x14ac:dyDescent="0.35">
      <c r="A237" t="s">
        <v>60</v>
      </c>
      <c r="B237" t="s">
        <v>47</v>
      </c>
      <c r="C237">
        <f>1060188-4063</f>
        <v>1056125</v>
      </c>
      <c r="D237">
        <v>1</v>
      </c>
      <c r="E237">
        <f>5624000-18346</f>
        <v>5605654</v>
      </c>
      <c r="F237">
        <v>6</v>
      </c>
      <c r="G237">
        <f>2289+56</f>
        <v>2345</v>
      </c>
      <c r="H237">
        <f>5818+59</f>
        <v>5877</v>
      </c>
    </row>
    <row r="238" spans="1:8" x14ac:dyDescent="0.35">
      <c r="A238" t="s">
        <v>61</v>
      </c>
      <c r="B238" t="s">
        <v>47</v>
      </c>
      <c r="C238">
        <f>1056125-4063</f>
        <v>1052062</v>
      </c>
      <c r="D238">
        <v>1</v>
      </c>
      <c r="E238">
        <f>5605654-18346</f>
        <v>5587308</v>
      </c>
      <c r="F238">
        <v>6</v>
      </c>
      <c r="G238">
        <f>2345+56</f>
        <v>2401</v>
      </c>
      <c r="H238">
        <f>5877+59</f>
        <v>5936</v>
      </c>
    </row>
    <row r="239" spans="1:8" x14ac:dyDescent="0.35">
      <c r="A239" t="s">
        <v>62</v>
      </c>
      <c r="B239" t="s">
        <v>47</v>
      </c>
      <c r="C239">
        <f>1052062-4063</f>
        <v>1047999</v>
      </c>
      <c r="D239">
        <v>1</v>
      </c>
      <c r="E239">
        <f>5587308-18346</f>
        <v>5568962</v>
      </c>
      <c r="F239">
        <v>6</v>
      </c>
      <c r="G239">
        <f>2401+56</f>
        <v>2457</v>
      </c>
      <c r="H239">
        <f>5936+59</f>
        <v>5995</v>
      </c>
    </row>
    <row r="240" spans="1:8" x14ac:dyDescent="0.35">
      <c r="A240" t="s">
        <v>63</v>
      </c>
      <c r="B240" t="s">
        <v>47</v>
      </c>
      <c r="C240">
        <f>1047999-4063</f>
        <v>1043936</v>
      </c>
      <c r="D240">
        <v>1</v>
      </c>
      <c r="E240">
        <f>5568962-18346</f>
        <v>5550616</v>
      </c>
      <c r="F240">
        <v>6</v>
      </c>
      <c r="G240">
        <f>2457+56</f>
        <v>2513</v>
      </c>
      <c r="H240">
        <f>5995+59</f>
        <v>6054</v>
      </c>
    </row>
    <row r="241" spans="1:8" x14ac:dyDescent="0.35">
      <c r="A241" t="s">
        <v>64</v>
      </c>
      <c r="B241" t="s">
        <v>47</v>
      </c>
      <c r="C241">
        <f>1043936-4063</f>
        <v>1039873</v>
      </c>
      <c r="D241">
        <v>1</v>
      </c>
      <c r="E241">
        <f>5550616-18346</f>
        <v>5532270</v>
      </c>
      <c r="F241">
        <v>6</v>
      </c>
      <c r="G241">
        <f>2513+56</f>
        <v>2569</v>
      </c>
      <c r="H241">
        <f>6054+59</f>
        <v>6113</v>
      </c>
    </row>
    <row r="242" spans="1:8" x14ac:dyDescent="0.35">
      <c r="A242" t="s">
        <v>60</v>
      </c>
      <c r="B242" t="s">
        <v>48</v>
      </c>
      <c r="C242">
        <f>474142-889</f>
        <v>473253</v>
      </c>
      <c r="D242">
        <v>1</v>
      </c>
      <c r="E242">
        <f>1590000-6371</f>
        <v>1583629</v>
      </c>
      <c r="F242">
        <v>2</v>
      </c>
      <c r="G242">
        <f>538+7</f>
        <v>545</v>
      </c>
      <c r="H242">
        <f>2376+38</f>
        <v>2414</v>
      </c>
    </row>
    <row r="243" spans="1:8" x14ac:dyDescent="0.35">
      <c r="A243" t="s">
        <v>61</v>
      </c>
      <c r="B243" t="s">
        <v>48</v>
      </c>
      <c r="C243">
        <f>473253-889</f>
        <v>472364</v>
      </c>
      <c r="D243">
        <v>1</v>
      </c>
      <c r="E243">
        <f>1583629-6371</f>
        <v>1577258</v>
      </c>
      <c r="F243">
        <v>2</v>
      </c>
      <c r="G243">
        <f>545+7</f>
        <v>552</v>
      </c>
      <c r="H243">
        <f>2414+38</f>
        <v>2452</v>
      </c>
    </row>
    <row r="244" spans="1:8" x14ac:dyDescent="0.35">
      <c r="A244" t="s">
        <v>62</v>
      </c>
      <c r="B244" t="s">
        <v>48</v>
      </c>
      <c r="C244">
        <f>472364-889</f>
        <v>471475</v>
      </c>
      <c r="D244">
        <v>1</v>
      </c>
      <c r="E244">
        <f>1577258-6371</f>
        <v>1570887</v>
      </c>
      <c r="F244">
        <v>2</v>
      </c>
      <c r="G244">
        <f>552+7</f>
        <v>559</v>
      </c>
      <c r="H244">
        <f>2452+38</f>
        <v>2490</v>
      </c>
    </row>
    <row r="245" spans="1:8" x14ac:dyDescent="0.35">
      <c r="A245" t="s">
        <v>63</v>
      </c>
      <c r="B245" t="s">
        <v>48</v>
      </c>
      <c r="C245">
        <f>471475-889</f>
        <v>470586</v>
      </c>
      <c r="D245">
        <v>1</v>
      </c>
      <c r="E245">
        <f>1570887-6371</f>
        <v>1564516</v>
      </c>
      <c r="F245">
        <v>2</v>
      </c>
      <c r="G245">
        <f>559+7</f>
        <v>566</v>
      </c>
      <c r="H245">
        <f>2490+38</f>
        <v>2528</v>
      </c>
    </row>
    <row r="246" spans="1:8" x14ac:dyDescent="0.35">
      <c r="A246" t="s">
        <v>64</v>
      </c>
      <c r="B246" t="s">
        <v>48</v>
      </c>
      <c r="C246">
        <f>470586-889</f>
        <v>469697</v>
      </c>
      <c r="D246">
        <v>1</v>
      </c>
      <c r="E246">
        <f>1564516-6371</f>
        <v>1558145</v>
      </c>
      <c r="F246">
        <v>2</v>
      </c>
      <c r="G246">
        <f>566+7</f>
        <v>573</v>
      </c>
      <c r="H246">
        <f>2528+38</f>
        <v>2566</v>
      </c>
    </row>
    <row r="247" spans="1:8" x14ac:dyDescent="0.35">
      <c r="A247" t="s">
        <v>60</v>
      </c>
      <c r="B247" t="s">
        <v>49</v>
      </c>
      <c r="C247">
        <f>262046-754</f>
        <v>261292</v>
      </c>
      <c r="D247">
        <v>1</v>
      </c>
      <c r="E247">
        <f>3693000-1359</f>
        <v>3691641</v>
      </c>
      <c r="F247">
        <v>3</v>
      </c>
      <c r="G247">
        <f>1504-43</f>
        <v>1461</v>
      </c>
      <c r="H247">
        <f>2507-30</f>
        <v>2477</v>
      </c>
    </row>
    <row r="248" spans="1:8" x14ac:dyDescent="0.35">
      <c r="A248" t="s">
        <v>61</v>
      </c>
      <c r="B248" t="s">
        <v>49</v>
      </c>
      <c r="C248">
        <f>261292-754</f>
        <v>260538</v>
      </c>
      <c r="D248">
        <v>1</v>
      </c>
      <c r="E248">
        <f>3691641-1359</f>
        <v>3690282</v>
      </c>
      <c r="F248">
        <v>3</v>
      </c>
      <c r="G248">
        <f>1461-43</f>
        <v>1418</v>
      </c>
      <c r="H248">
        <v>2447</v>
      </c>
    </row>
    <row r="249" spans="1:8" x14ac:dyDescent="0.35">
      <c r="A249" t="s">
        <v>62</v>
      </c>
      <c r="B249" t="s">
        <v>49</v>
      </c>
      <c r="C249">
        <f>260538-754</f>
        <v>259784</v>
      </c>
      <c r="D249">
        <v>1</v>
      </c>
      <c r="E249">
        <f>3690282-1359</f>
        <v>3688923</v>
      </c>
      <c r="F249">
        <v>3</v>
      </c>
      <c r="G249">
        <f>1418-43</f>
        <v>1375</v>
      </c>
      <c r="H249">
        <v>2417</v>
      </c>
    </row>
    <row r="250" spans="1:8" x14ac:dyDescent="0.35">
      <c r="A250" t="s">
        <v>63</v>
      </c>
      <c r="B250" t="s">
        <v>49</v>
      </c>
      <c r="C250">
        <f>259784-754</f>
        <v>259030</v>
      </c>
      <c r="D250">
        <v>1</v>
      </c>
      <c r="E250">
        <f>3688923-1359</f>
        <v>3687564</v>
      </c>
      <c r="F250">
        <v>3</v>
      </c>
      <c r="G250">
        <f>1375-43</f>
        <v>1332</v>
      </c>
      <c r="H250">
        <v>2387</v>
      </c>
    </row>
    <row r="251" spans="1:8" x14ac:dyDescent="0.35">
      <c r="A251" t="s">
        <v>64</v>
      </c>
      <c r="B251" t="s">
        <v>49</v>
      </c>
      <c r="C251">
        <f>259030-754</f>
        <v>258276</v>
      </c>
      <c r="D251">
        <v>1</v>
      </c>
      <c r="E251">
        <f>3687564-1359</f>
        <v>3686205</v>
      </c>
      <c r="F251">
        <v>3</v>
      </c>
      <c r="G251">
        <f>1332-43</f>
        <v>1289</v>
      </c>
      <c r="H251">
        <v>2357</v>
      </c>
    </row>
    <row r="252" spans="1:8" x14ac:dyDescent="0.35">
      <c r="A252" t="s">
        <v>60</v>
      </c>
      <c r="B252" t="s">
        <v>50</v>
      </c>
      <c r="C252">
        <f>299402-962</f>
        <v>298440</v>
      </c>
      <c r="D252">
        <v>1</v>
      </c>
      <c r="E252">
        <f>1281000-4501</f>
        <v>1276499</v>
      </c>
      <c r="F252">
        <v>2</v>
      </c>
      <c r="G252">
        <v>522</v>
      </c>
      <c r="H252">
        <v>955</v>
      </c>
    </row>
    <row r="253" spans="1:8" x14ac:dyDescent="0.35">
      <c r="A253" t="s">
        <v>61</v>
      </c>
      <c r="B253" t="s">
        <v>50</v>
      </c>
      <c r="C253">
        <f>298440-962</f>
        <v>297478</v>
      </c>
      <c r="D253">
        <v>1</v>
      </c>
      <c r="E253">
        <f>1276499-4501</f>
        <v>1271998</v>
      </c>
      <c r="F253">
        <v>2</v>
      </c>
      <c r="G253">
        <v>522</v>
      </c>
      <c r="H253">
        <v>957</v>
      </c>
    </row>
    <row r="254" spans="1:8" x14ac:dyDescent="0.35">
      <c r="A254" t="s">
        <v>62</v>
      </c>
      <c r="B254" t="s">
        <v>50</v>
      </c>
      <c r="C254">
        <f>297478-962</f>
        <v>296516</v>
      </c>
      <c r="D254">
        <v>1</v>
      </c>
      <c r="E254">
        <f>1271998-4501</f>
        <v>1267497</v>
      </c>
      <c r="F254">
        <v>2</v>
      </c>
      <c r="G254">
        <v>522</v>
      </c>
      <c r="H254">
        <v>959</v>
      </c>
    </row>
    <row r="255" spans="1:8" x14ac:dyDescent="0.35">
      <c r="A255" t="s">
        <v>63</v>
      </c>
      <c r="B255" t="s">
        <v>50</v>
      </c>
      <c r="C255">
        <f>296516-962</f>
        <v>295554</v>
      </c>
      <c r="D255">
        <v>1</v>
      </c>
      <c r="E255">
        <f>1267497-4501</f>
        <v>1262996</v>
      </c>
      <c r="F255">
        <v>2</v>
      </c>
      <c r="G255">
        <v>522</v>
      </c>
      <c r="H255">
        <v>961</v>
      </c>
    </row>
    <row r="256" spans="1:8" x14ac:dyDescent="0.35">
      <c r="A256" t="s">
        <v>64</v>
      </c>
      <c r="B256" t="s">
        <v>50</v>
      </c>
      <c r="C256">
        <f>295554-962</f>
        <v>294592</v>
      </c>
      <c r="D256">
        <v>1</v>
      </c>
      <c r="E256">
        <f>1262996-4501</f>
        <v>1258495</v>
      </c>
      <c r="F256">
        <v>2</v>
      </c>
      <c r="G256">
        <v>522</v>
      </c>
      <c r="H256">
        <v>963</v>
      </c>
    </row>
    <row r="257" spans="1:8" x14ac:dyDescent="0.35">
      <c r="A257" t="s">
        <v>60</v>
      </c>
      <c r="B257" t="s">
        <v>51</v>
      </c>
      <c r="C257">
        <f>2205104-6335</f>
        <v>2198769</v>
      </c>
      <c r="D257">
        <v>2</v>
      </c>
      <c r="E257">
        <f>4275000-12657</f>
        <v>4262343</v>
      </c>
      <c r="F257">
        <v>2</v>
      </c>
      <c r="G257">
        <f>5677+202</f>
        <v>5879</v>
      </c>
      <c r="H257">
        <f>14508+340</f>
        <v>14848</v>
      </c>
    </row>
    <row r="258" spans="1:8" x14ac:dyDescent="0.35">
      <c r="A258" t="s">
        <v>61</v>
      </c>
      <c r="B258" t="s">
        <v>51</v>
      </c>
      <c r="C258">
        <f>2198769-6335</f>
        <v>2192434</v>
      </c>
      <c r="D258">
        <v>2</v>
      </c>
      <c r="E258">
        <f>4262343-12657</f>
        <v>4249686</v>
      </c>
      <c r="F258">
        <v>2</v>
      </c>
      <c r="G258">
        <f>5879+202</f>
        <v>6081</v>
      </c>
      <c r="H258">
        <f>14848+340</f>
        <v>15188</v>
      </c>
    </row>
    <row r="259" spans="1:8" x14ac:dyDescent="0.35">
      <c r="A259" t="s">
        <v>62</v>
      </c>
      <c r="B259" t="s">
        <v>51</v>
      </c>
      <c r="C259">
        <f>2192434-6335</f>
        <v>2186099</v>
      </c>
      <c r="D259">
        <v>2</v>
      </c>
      <c r="E259">
        <f>4249686-12657</f>
        <v>4237029</v>
      </c>
      <c r="F259">
        <v>2</v>
      </c>
      <c r="G259">
        <f>6081+202</f>
        <v>6283</v>
      </c>
      <c r="H259">
        <f>15188+340</f>
        <v>15528</v>
      </c>
    </row>
    <row r="260" spans="1:8" x14ac:dyDescent="0.35">
      <c r="A260" t="s">
        <v>63</v>
      </c>
      <c r="B260" t="s">
        <v>51</v>
      </c>
      <c r="C260">
        <f>2186099-6335</f>
        <v>2179764</v>
      </c>
      <c r="D260">
        <v>2</v>
      </c>
      <c r="E260">
        <f>4237029-12657</f>
        <v>4224372</v>
      </c>
      <c r="F260">
        <v>2</v>
      </c>
      <c r="G260">
        <f>6283+202</f>
        <v>6485</v>
      </c>
      <c r="H260">
        <f>15528+340</f>
        <v>15868</v>
      </c>
    </row>
    <row r="261" spans="1:8" x14ac:dyDescent="0.35">
      <c r="A261" t="s">
        <v>64</v>
      </c>
      <c r="B261" t="s">
        <v>51</v>
      </c>
      <c r="C261">
        <f>2179764-6335</f>
        <v>2173429</v>
      </c>
      <c r="D261">
        <v>2</v>
      </c>
      <c r="E261">
        <f>4224372-12657</f>
        <v>4211715</v>
      </c>
      <c r="F261">
        <v>2</v>
      </c>
      <c r="G261">
        <f>6485+202</f>
        <v>6687</v>
      </c>
      <c r="H261">
        <f>15868+340</f>
        <v>16208</v>
      </c>
    </row>
    <row r="262" spans="1:8" x14ac:dyDescent="0.35">
      <c r="A262" t="s">
        <v>60</v>
      </c>
      <c r="B262" t="s">
        <v>52</v>
      </c>
      <c r="C262">
        <f>2205104-6335</f>
        <v>2198769</v>
      </c>
      <c r="D262">
        <v>2</v>
      </c>
      <c r="E262">
        <f>4275000-12657</f>
        <v>4262343</v>
      </c>
      <c r="F262">
        <v>2</v>
      </c>
      <c r="G262">
        <f>3362+92</f>
        <v>3454</v>
      </c>
      <c r="H262">
        <f>5094+50</f>
        <v>5144</v>
      </c>
    </row>
    <row r="263" spans="1:8" x14ac:dyDescent="0.35">
      <c r="A263" t="s">
        <v>61</v>
      </c>
      <c r="B263" t="s">
        <v>52</v>
      </c>
      <c r="C263">
        <f>2198769-6335</f>
        <v>2192434</v>
      </c>
      <c r="D263">
        <v>2</v>
      </c>
      <c r="E263">
        <f>4262343-12657</f>
        <v>4249686</v>
      </c>
      <c r="F263">
        <v>2</v>
      </c>
      <c r="G263">
        <f>3454+92</f>
        <v>3546</v>
      </c>
      <c r="H263">
        <f>5144+50</f>
        <v>5194</v>
      </c>
    </row>
    <row r="264" spans="1:8" x14ac:dyDescent="0.35">
      <c r="A264" t="s">
        <v>62</v>
      </c>
      <c r="B264" t="s">
        <v>52</v>
      </c>
      <c r="C264">
        <f>2192434-6335</f>
        <v>2186099</v>
      </c>
      <c r="D264">
        <v>2</v>
      </c>
      <c r="E264">
        <f>4249686-12657</f>
        <v>4237029</v>
      </c>
      <c r="F264">
        <v>2</v>
      </c>
      <c r="G264">
        <f>3546+92</f>
        <v>3638</v>
      </c>
      <c r="H264">
        <f>5194+50</f>
        <v>5244</v>
      </c>
    </row>
    <row r="265" spans="1:8" x14ac:dyDescent="0.35">
      <c r="A265" t="s">
        <v>63</v>
      </c>
      <c r="B265" t="s">
        <v>52</v>
      </c>
      <c r="C265">
        <f>2186099-6335</f>
        <v>2179764</v>
      </c>
      <c r="D265">
        <v>2</v>
      </c>
      <c r="E265">
        <f>4237029-12657</f>
        <v>4224372</v>
      </c>
      <c r="F265">
        <v>2</v>
      </c>
      <c r="G265">
        <f>3638+92</f>
        <v>3730</v>
      </c>
      <c r="H265">
        <f>5244+50</f>
        <v>5294</v>
      </c>
    </row>
    <row r="266" spans="1:8" x14ac:dyDescent="0.35">
      <c r="A266" t="s">
        <v>64</v>
      </c>
      <c r="B266" t="s">
        <v>52</v>
      </c>
      <c r="C266">
        <f>2179764-6335</f>
        <v>2173429</v>
      </c>
      <c r="D266">
        <v>2</v>
      </c>
      <c r="E266">
        <f>4224372-12657</f>
        <v>4211715</v>
      </c>
      <c r="F266">
        <v>2</v>
      </c>
      <c r="G266">
        <f>3730+92</f>
        <v>3822</v>
      </c>
      <c r="H266">
        <f>5294+50</f>
        <v>5344</v>
      </c>
    </row>
    <row r="267" spans="1:8" x14ac:dyDescent="0.35">
      <c r="A267" t="s">
        <v>60</v>
      </c>
      <c r="B267" t="s">
        <v>53</v>
      </c>
      <c r="C267">
        <f>542158+2063</f>
        <v>544221</v>
      </c>
      <c r="D267">
        <v>1</v>
      </c>
      <c r="E267">
        <f>1077000+5502</f>
        <v>1082502</v>
      </c>
      <c r="F267">
        <v>1</v>
      </c>
      <c r="G267">
        <v>1863</v>
      </c>
      <c r="H267">
        <f>3008-9</f>
        <v>2999</v>
      </c>
    </row>
    <row r="268" spans="1:8" x14ac:dyDescent="0.35">
      <c r="A268" t="s">
        <v>61</v>
      </c>
      <c r="B268" t="s">
        <v>53</v>
      </c>
      <c r="C268">
        <f>544221+2063</f>
        <v>546284</v>
      </c>
      <c r="D268">
        <v>1</v>
      </c>
      <c r="E268">
        <f>1082502+5502</f>
        <v>1088004</v>
      </c>
      <c r="F268">
        <v>1</v>
      </c>
      <c r="G268">
        <v>1893</v>
      </c>
      <c r="H268">
        <f>2999-9</f>
        <v>2990</v>
      </c>
    </row>
    <row r="269" spans="1:8" x14ac:dyDescent="0.35">
      <c r="A269" t="s">
        <v>62</v>
      </c>
      <c r="B269" t="s">
        <v>53</v>
      </c>
      <c r="C269">
        <f>546284+2063</f>
        <v>548347</v>
      </c>
      <c r="D269">
        <v>1</v>
      </c>
      <c r="E269">
        <f>1088004+5502</f>
        <v>1093506</v>
      </c>
      <c r="F269">
        <v>1</v>
      </c>
      <c r="G269">
        <f>1893+30</f>
        <v>1923</v>
      </c>
      <c r="H269">
        <f>2990-9</f>
        <v>2981</v>
      </c>
    </row>
    <row r="270" spans="1:8" x14ac:dyDescent="0.35">
      <c r="A270" t="s">
        <v>63</v>
      </c>
      <c r="B270" t="s">
        <v>53</v>
      </c>
      <c r="C270">
        <f>548347+2063</f>
        <v>550410</v>
      </c>
      <c r="D270">
        <v>1</v>
      </c>
      <c r="E270">
        <f>1093506+5502</f>
        <v>1099008</v>
      </c>
      <c r="F270">
        <v>1</v>
      </c>
      <c r="G270">
        <v>1953</v>
      </c>
      <c r="H270">
        <f>2981-9</f>
        <v>2972</v>
      </c>
    </row>
    <row r="271" spans="1:8" x14ac:dyDescent="0.35">
      <c r="A271" t="s">
        <v>64</v>
      </c>
      <c r="B271" t="s">
        <v>53</v>
      </c>
      <c r="C271">
        <f>550410+2063</f>
        <v>552473</v>
      </c>
      <c r="D271">
        <v>1</v>
      </c>
      <c r="E271">
        <f>1099008+5502</f>
        <v>1104510</v>
      </c>
      <c r="F271">
        <v>1</v>
      </c>
      <c r="G271">
        <v>1983</v>
      </c>
      <c r="H271">
        <f>2972-9</f>
        <v>2963</v>
      </c>
    </row>
    <row r="272" spans="1:8" x14ac:dyDescent="0.35">
      <c r="A272" t="s">
        <v>60</v>
      </c>
      <c r="B272" t="s">
        <v>54</v>
      </c>
      <c r="C272">
        <f>230623-386</f>
        <v>230237</v>
      </c>
      <c r="D272">
        <v>1</v>
      </c>
      <c r="E272">
        <f>1202000-2391</f>
        <v>1199609</v>
      </c>
      <c r="F272">
        <v>2</v>
      </c>
      <c r="G272">
        <v>1979</v>
      </c>
      <c r="H272">
        <f>2953+8</f>
        <v>2961</v>
      </c>
    </row>
    <row r="273" spans="1:8" x14ac:dyDescent="0.35">
      <c r="A273" t="s">
        <v>61</v>
      </c>
      <c r="B273" t="s">
        <v>54</v>
      </c>
      <c r="C273">
        <f>230237-386</f>
        <v>229851</v>
      </c>
      <c r="D273">
        <v>1</v>
      </c>
      <c r="E273">
        <f>1199609-2391</f>
        <v>1197218</v>
      </c>
      <c r="F273">
        <v>2</v>
      </c>
      <c r="G273">
        <v>1989</v>
      </c>
      <c r="H273">
        <f>2961+8</f>
        <v>2969</v>
      </c>
    </row>
    <row r="274" spans="1:8" x14ac:dyDescent="0.35">
      <c r="A274" t="s">
        <v>62</v>
      </c>
      <c r="B274" t="s">
        <v>54</v>
      </c>
      <c r="C274">
        <f>229851-386</f>
        <v>229465</v>
      </c>
      <c r="D274">
        <v>1</v>
      </c>
      <c r="E274">
        <f>1197218-2391</f>
        <v>1194827</v>
      </c>
      <c r="F274">
        <v>2</v>
      </c>
      <c r="G274">
        <v>1999</v>
      </c>
      <c r="H274">
        <f>2969+8</f>
        <v>2977</v>
      </c>
    </row>
    <row r="275" spans="1:8" x14ac:dyDescent="0.35">
      <c r="A275" t="s">
        <v>63</v>
      </c>
      <c r="B275" t="s">
        <v>54</v>
      </c>
      <c r="C275">
        <f>229465-386</f>
        <v>229079</v>
      </c>
      <c r="D275">
        <v>1</v>
      </c>
      <c r="E275">
        <f>1194827-2391</f>
        <v>1192436</v>
      </c>
      <c r="F275">
        <v>2</v>
      </c>
      <c r="G275">
        <v>2009</v>
      </c>
      <c r="H275">
        <f>2977+8</f>
        <v>2985</v>
      </c>
    </row>
    <row r="276" spans="1:8" x14ac:dyDescent="0.35">
      <c r="A276" t="s">
        <v>64</v>
      </c>
      <c r="B276" t="s">
        <v>54</v>
      </c>
      <c r="C276">
        <f>229079-386</f>
        <v>228693</v>
      </c>
      <c r="D276">
        <v>1</v>
      </c>
      <c r="E276">
        <f>1192436-2391</f>
        <v>1190045</v>
      </c>
      <c r="F276">
        <v>2</v>
      </c>
      <c r="G276">
        <v>2019</v>
      </c>
      <c r="H276">
        <f>2985+8</f>
        <v>2993</v>
      </c>
    </row>
    <row r="277" spans="1:8" x14ac:dyDescent="0.35">
      <c r="A277" t="s">
        <v>60</v>
      </c>
      <c r="B277" t="s">
        <v>55</v>
      </c>
      <c r="C277">
        <f>517848-2110</f>
        <v>515738</v>
      </c>
      <c r="D277">
        <v>1</v>
      </c>
      <c r="E277">
        <f>1202000-2391</f>
        <v>1199609</v>
      </c>
      <c r="F277">
        <v>2</v>
      </c>
      <c r="G277">
        <f>1533+14</f>
        <v>1547</v>
      </c>
      <c r="H277">
        <f>3125+27</f>
        <v>3152</v>
      </c>
    </row>
    <row r="278" spans="1:8" x14ac:dyDescent="0.35">
      <c r="A278" t="s">
        <v>61</v>
      </c>
      <c r="B278" t="s">
        <v>55</v>
      </c>
      <c r="C278">
        <f>515738-2110</f>
        <v>513628</v>
      </c>
      <c r="D278">
        <v>1</v>
      </c>
      <c r="E278">
        <f>1199609-2391</f>
        <v>1197218</v>
      </c>
      <c r="F278">
        <v>2</v>
      </c>
      <c r="G278">
        <f>1547+14</f>
        <v>1561</v>
      </c>
      <c r="H278">
        <f>3152+27</f>
        <v>3179</v>
      </c>
    </row>
    <row r="279" spans="1:8" x14ac:dyDescent="0.35">
      <c r="A279" t="s">
        <v>62</v>
      </c>
      <c r="B279" t="s">
        <v>55</v>
      </c>
      <c r="C279">
        <f>513628-2110</f>
        <v>511518</v>
      </c>
      <c r="D279">
        <v>1</v>
      </c>
      <c r="E279">
        <f>1197218-2391</f>
        <v>1194827</v>
      </c>
      <c r="F279">
        <v>2</v>
      </c>
      <c r="G279">
        <f>1561+14</f>
        <v>1575</v>
      </c>
      <c r="H279">
        <f>3179+27</f>
        <v>3206</v>
      </c>
    </row>
    <row r="280" spans="1:8" x14ac:dyDescent="0.35">
      <c r="A280" t="s">
        <v>63</v>
      </c>
      <c r="B280" t="s">
        <v>55</v>
      </c>
      <c r="C280">
        <f>511518-2110</f>
        <v>509408</v>
      </c>
      <c r="D280">
        <v>1</v>
      </c>
      <c r="E280">
        <f>1194827-2391</f>
        <v>1192436</v>
      </c>
      <c r="F280">
        <v>2</v>
      </c>
      <c r="G280">
        <f>1575+14</f>
        <v>1589</v>
      </c>
      <c r="H280">
        <f>3206+27</f>
        <v>3233</v>
      </c>
    </row>
    <row r="281" spans="1:8" x14ac:dyDescent="0.35">
      <c r="A281" t="s">
        <v>64</v>
      </c>
      <c r="B281" t="s">
        <v>55</v>
      </c>
      <c r="C281">
        <f>509408-2110</f>
        <v>507298</v>
      </c>
      <c r="D281">
        <v>1</v>
      </c>
      <c r="E281">
        <f>1192436-2391</f>
        <v>1190045</v>
      </c>
      <c r="F281">
        <v>2</v>
      </c>
      <c r="G281">
        <f>1589+14</f>
        <v>1603</v>
      </c>
      <c r="H281">
        <f>3233+27</f>
        <v>3260</v>
      </c>
    </row>
    <row r="282" spans="1:8" x14ac:dyDescent="0.35">
      <c r="A282" t="s">
        <v>60</v>
      </c>
      <c r="B282" t="s">
        <v>56</v>
      </c>
      <c r="C282">
        <f>839396-941</f>
        <v>838455</v>
      </c>
      <c r="D282">
        <v>2</v>
      </c>
      <c r="E282">
        <f>4870000+663</f>
        <v>4870663</v>
      </c>
      <c r="F282">
        <v>4</v>
      </c>
      <c r="G282">
        <f>2509+64</f>
        <v>2573</v>
      </c>
      <c r="H282">
        <f>3690+66</f>
        <v>3756</v>
      </c>
    </row>
    <row r="283" spans="1:8" x14ac:dyDescent="0.35">
      <c r="A283" t="s">
        <v>61</v>
      </c>
      <c r="B283" t="s">
        <v>56</v>
      </c>
      <c r="C283">
        <f>838455-941</f>
        <v>837514</v>
      </c>
      <c r="D283">
        <v>2</v>
      </c>
      <c r="E283">
        <f>4870663+663</f>
        <v>4871326</v>
      </c>
      <c r="F283">
        <v>4</v>
      </c>
      <c r="G283">
        <f>2573+64</f>
        <v>2637</v>
      </c>
      <c r="H283">
        <f>3756+66</f>
        <v>3822</v>
      </c>
    </row>
    <row r="284" spans="1:8" x14ac:dyDescent="0.35">
      <c r="A284" t="s">
        <v>62</v>
      </c>
      <c r="B284" t="s">
        <v>56</v>
      </c>
      <c r="C284">
        <f>837514-941</f>
        <v>836573</v>
      </c>
      <c r="D284">
        <v>2</v>
      </c>
      <c r="E284">
        <f>4871326+663</f>
        <v>4871989</v>
      </c>
      <c r="F284">
        <v>4</v>
      </c>
      <c r="G284">
        <f>2637+64</f>
        <v>2701</v>
      </c>
      <c r="H284">
        <f>3822+66</f>
        <v>3888</v>
      </c>
    </row>
    <row r="285" spans="1:8" x14ac:dyDescent="0.35">
      <c r="A285" t="s">
        <v>63</v>
      </c>
      <c r="B285" t="s">
        <v>56</v>
      </c>
      <c r="C285">
        <f>836573-941</f>
        <v>835632</v>
      </c>
      <c r="D285">
        <v>2</v>
      </c>
      <c r="E285">
        <f>4871989+663</f>
        <v>4872652</v>
      </c>
      <c r="F285">
        <v>4</v>
      </c>
      <c r="G285">
        <f>2701+64</f>
        <v>2765</v>
      </c>
      <c r="H285">
        <f>3888+66</f>
        <v>3954</v>
      </c>
    </row>
    <row r="286" spans="1:8" x14ac:dyDescent="0.35">
      <c r="A286" t="s">
        <v>64</v>
      </c>
      <c r="B286" t="s">
        <v>56</v>
      </c>
      <c r="C286">
        <f>835632-941</f>
        <v>834691</v>
      </c>
      <c r="D286">
        <v>2</v>
      </c>
      <c r="E286">
        <f>4872652+663</f>
        <v>4873315</v>
      </c>
      <c r="F286">
        <v>4</v>
      </c>
      <c r="G286">
        <f>2765+64</f>
        <v>2829</v>
      </c>
      <c r="H286">
        <f>3954+66</f>
        <v>4020</v>
      </c>
    </row>
    <row r="287" spans="1:8" x14ac:dyDescent="0.35">
      <c r="A287" t="s">
        <v>60</v>
      </c>
      <c r="B287" t="s">
        <v>57</v>
      </c>
      <c r="C287">
        <f>839396-941</f>
        <v>838455</v>
      </c>
      <c r="D287">
        <v>2</v>
      </c>
      <c r="E287">
        <f>4870000+663</f>
        <v>4870663</v>
      </c>
      <c r="F287">
        <v>4</v>
      </c>
      <c r="G287">
        <f>473-19</f>
        <v>454</v>
      </c>
      <c r="H287">
        <f>693-22</f>
        <v>671</v>
      </c>
    </row>
    <row r="288" spans="1:8" x14ac:dyDescent="0.35">
      <c r="A288" t="s">
        <v>61</v>
      </c>
      <c r="B288" t="s">
        <v>57</v>
      </c>
      <c r="C288">
        <f>838455-941</f>
        <v>837514</v>
      </c>
      <c r="D288">
        <v>2</v>
      </c>
      <c r="E288">
        <f>4870663+663</f>
        <v>4871326</v>
      </c>
      <c r="F288">
        <v>4</v>
      </c>
      <c r="G288">
        <f>454-19</f>
        <v>435</v>
      </c>
      <c r="H288">
        <f>671-22</f>
        <v>649</v>
      </c>
    </row>
    <row r="289" spans="1:8" x14ac:dyDescent="0.35">
      <c r="A289" t="s">
        <v>62</v>
      </c>
      <c r="B289" t="s">
        <v>57</v>
      </c>
      <c r="C289">
        <f>837514-941</f>
        <v>836573</v>
      </c>
      <c r="D289">
        <v>2</v>
      </c>
      <c r="E289">
        <f>4871326+663</f>
        <v>4871989</v>
      </c>
      <c r="F289">
        <v>4</v>
      </c>
      <c r="G289">
        <f>435-19</f>
        <v>416</v>
      </c>
      <c r="H289">
        <f>649-22</f>
        <v>627</v>
      </c>
    </row>
    <row r="290" spans="1:8" x14ac:dyDescent="0.35">
      <c r="A290" t="s">
        <v>63</v>
      </c>
      <c r="B290" t="s">
        <v>57</v>
      </c>
      <c r="C290">
        <f>836573-941</f>
        <v>835632</v>
      </c>
      <c r="D290">
        <v>2</v>
      </c>
      <c r="E290">
        <f>4871989+663</f>
        <v>4872652</v>
      </c>
      <c r="F290">
        <v>4</v>
      </c>
      <c r="G290">
        <f>416-19</f>
        <v>397</v>
      </c>
      <c r="H290">
        <f>627-22</f>
        <v>605</v>
      </c>
    </row>
    <row r="291" spans="1:8" x14ac:dyDescent="0.35">
      <c r="A291" t="s">
        <v>64</v>
      </c>
      <c r="B291" t="s">
        <v>57</v>
      </c>
      <c r="C291">
        <f>835632-941</f>
        <v>834691</v>
      </c>
      <c r="D291">
        <v>2</v>
      </c>
      <c r="E291">
        <f>4872652+663</f>
        <v>4873315</v>
      </c>
      <c r="F291">
        <v>4</v>
      </c>
      <c r="G291">
        <f>397-19</f>
        <v>378</v>
      </c>
      <c r="H291">
        <f>605-22</f>
        <v>583</v>
      </c>
    </row>
    <row r="292" spans="1:8" x14ac:dyDescent="0.35">
      <c r="A292" t="s">
        <v>60</v>
      </c>
      <c r="B292" t="s">
        <v>58</v>
      </c>
      <c r="C292">
        <f>927108+2474</f>
        <v>929582</v>
      </c>
      <c r="D292">
        <v>1</v>
      </c>
      <c r="E292">
        <f>4870000+663</f>
        <v>4870663</v>
      </c>
      <c r="F292">
        <v>4</v>
      </c>
      <c r="G292">
        <v>2545</v>
      </c>
      <c r="H292">
        <f>4718-23</f>
        <v>4695</v>
      </c>
    </row>
    <row r="293" spans="1:8" x14ac:dyDescent="0.35">
      <c r="A293" t="s">
        <v>61</v>
      </c>
      <c r="B293" t="s">
        <v>58</v>
      </c>
      <c r="C293">
        <f>929582+2474</f>
        <v>932056</v>
      </c>
      <c r="D293">
        <v>1</v>
      </c>
      <c r="E293">
        <f>4870663+663</f>
        <v>4871326</v>
      </c>
      <c r="F293">
        <v>4</v>
      </c>
      <c r="G293">
        <v>2543</v>
      </c>
      <c r="H293">
        <f>4695-23</f>
        <v>4672</v>
      </c>
    </row>
    <row r="294" spans="1:8" x14ac:dyDescent="0.35">
      <c r="A294" t="s">
        <v>62</v>
      </c>
      <c r="B294" t="s">
        <v>58</v>
      </c>
      <c r="C294">
        <f>932056+2474</f>
        <v>934530</v>
      </c>
      <c r="D294">
        <v>1</v>
      </c>
      <c r="E294">
        <f>4871326+663</f>
        <v>4871989</v>
      </c>
      <c r="F294">
        <v>4</v>
      </c>
      <c r="G294">
        <v>2541</v>
      </c>
      <c r="H294">
        <f>4672-23</f>
        <v>4649</v>
      </c>
    </row>
    <row r="295" spans="1:8" x14ac:dyDescent="0.35">
      <c r="A295" t="s">
        <v>63</v>
      </c>
      <c r="B295" t="s">
        <v>58</v>
      </c>
      <c r="C295">
        <f>934530+2474</f>
        <v>937004</v>
      </c>
      <c r="D295">
        <v>1</v>
      </c>
      <c r="E295">
        <f>4871989+663</f>
        <v>4872652</v>
      </c>
      <c r="F295">
        <v>4</v>
      </c>
      <c r="G295">
        <v>2539</v>
      </c>
      <c r="H295">
        <f>4649-23</f>
        <v>4626</v>
      </c>
    </row>
    <row r="296" spans="1:8" x14ac:dyDescent="0.35">
      <c r="A296" t="s">
        <v>64</v>
      </c>
      <c r="B296" t="s">
        <v>58</v>
      </c>
      <c r="C296">
        <f>937004+2474</f>
        <v>939478</v>
      </c>
      <c r="D296">
        <v>1</v>
      </c>
      <c r="E296">
        <f>4872652+663</f>
        <v>4873315</v>
      </c>
      <c r="F296">
        <v>4</v>
      </c>
      <c r="G296">
        <v>2537</v>
      </c>
      <c r="H296">
        <f>4626-23</f>
        <v>4603</v>
      </c>
    </row>
  </sheetData>
  <sortState xmlns:xlrd2="http://schemas.microsoft.com/office/spreadsheetml/2017/richdata2" ref="A2:H296">
    <sortCondition ref="B2:B296"/>
    <sortCondition ref="A2:A29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</dc:creator>
  <cp:lastModifiedBy>Raffaella Perrot</cp:lastModifiedBy>
  <dcterms:created xsi:type="dcterms:W3CDTF">2015-06-05T18:17:20Z</dcterms:created>
  <dcterms:modified xsi:type="dcterms:W3CDTF">2022-06-01T11:18:02Z</dcterms:modified>
</cp:coreProperties>
</file>