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mtweitm\OneDrive - New York State Office of Information Technology Services\Documents\R\CSLAP_reporting\data\"/>
    </mc:Choice>
  </mc:AlternateContent>
  <xr:revisionPtr revIDLastSave="0" documentId="8_{9A6F9E1F-5652-4959-8E9A-42A905EFC1CE}" xr6:coauthVersionLast="45" xr6:coauthVersionMax="45" xr10:uidLastSave="{00000000-0000-0000-0000-000000000000}"/>
  <bookViews>
    <workbookView xWindow="-108" yWindow="-108" windowWidth="23256" windowHeight="12576" activeTab="1" xr2:uid="{23C29D70-0567-4D07-B368-A9AE4E518944}"/>
  </bookViews>
  <sheets>
    <sheet name="lakeinfo" sheetId="1" r:id="rId1"/>
    <sheet name="watershed" sheetId="2" r:id="rId2"/>
  </sheets>
  <externalReferences>
    <externalReference r:id="rId3"/>
  </externalReferences>
  <definedNames>
    <definedName name="_xlnm._FilterDatabase" localSheetId="0" hidden="1">lakeinfo!$A$1:$BY$314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11" i="2" l="1"/>
  <c r="W311" i="2"/>
  <c r="X311" i="2"/>
  <c r="Y311" i="2"/>
  <c r="Z311" i="2"/>
  <c r="V312" i="2"/>
  <c r="W312" i="2"/>
  <c r="X312" i="2"/>
  <c r="Y312" i="2"/>
  <c r="Z312" i="2"/>
  <c r="V313" i="2"/>
  <c r="W313" i="2"/>
  <c r="X313" i="2"/>
  <c r="Y313" i="2"/>
  <c r="Z313" i="2"/>
  <c r="AA313" i="2"/>
  <c r="V314" i="2"/>
  <c r="W314" i="2"/>
  <c r="X314" i="2"/>
  <c r="Y314" i="2"/>
  <c r="AA314" i="2" s="1"/>
  <c r="Z314" i="2"/>
  <c r="D4" i="2"/>
  <c r="E313" i="2"/>
  <c r="E311" i="2"/>
  <c r="E312" i="2"/>
  <c r="E314" i="2"/>
  <c r="AF34" i="1"/>
  <c r="W34" i="1"/>
  <c r="Y34" i="1" s="1"/>
  <c r="BN312" i="1"/>
  <c r="BN313" i="1"/>
  <c r="BN314" i="1"/>
  <c r="BN311" i="1"/>
  <c r="Y311" i="1"/>
  <c r="Y312" i="1"/>
  <c r="Y313" i="1"/>
  <c r="Y314" i="1"/>
  <c r="AA311" i="2" l="1"/>
  <c r="AA312" i="2"/>
  <c r="BM314" i="1"/>
  <c r="BG314" i="1"/>
  <c r="N308" i="1"/>
  <c r="K311" i="1"/>
  <c r="K312" i="1"/>
  <c r="K313" i="1"/>
  <c r="K314" i="1"/>
  <c r="N310" i="1"/>
  <c r="BG313" i="1"/>
  <c r="BM313" i="1"/>
  <c r="BG312" i="1"/>
  <c r="BM312" i="1"/>
  <c r="BG311" i="1"/>
  <c r="BM311" i="1"/>
  <c r="BN310" i="1" l="1"/>
  <c r="BM310" i="1"/>
  <c r="BJ310" i="1"/>
  <c r="BL310" i="1" s="1"/>
  <c r="BG310" i="1"/>
  <c r="AF310" i="1"/>
  <c r="W310" i="1"/>
  <c r="Y310" i="1" s="1"/>
  <c r="P310" i="1"/>
  <c r="K310" i="1"/>
  <c r="I310" i="1"/>
  <c r="G310" i="1"/>
  <c r="BN309" i="1"/>
  <c r="BM309" i="1"/>
  <c r="BJ309" i="1"/>
  <c r="BL309" i="1" s="1"/>
  <c r="BG309" i="1"/>
  <c r="AF309" i="1"/>
  <c r="W309" i="1"/>
  <c r="Y309" i="1" s="1"/>
  <c r="P309" i="1"/>
  <c r="N309" i="1"/>
  <c r="L309" i="1"/>
  <c r="K309" i="1"/>
  <c r="I309" i="1"/>
  <c r="G309" i="1"/>
  <c r="BN308" i="1"/>
  <c r="BM308" i="1"/>
  <c r="BJ308" i="1"/>
  <c r="BH308" i="1"/>
  <c r="BG308" i="1"/>
  <c r="AF308" i="1"/>
  <c r="W308" i="1"/>
  <c r="Y308" i="1" s="1"/>
  <c r="P308" i="1"/>
  <c r="K308" i="1"/>
  <c r="I308" i="1"/>
  <c r="G308" i="1"/>
  <c r="BN307" i="1"/>
  <c r="BM307" i="1"/>
  <c r="BJ307" i="1"/>
  <c r="BL307" i="1" s="1"/>
  <c r="BG307" i="1"/>
  <c r="AF307" i="1"/>
  <c r="W307" i="1"/>
  <c r="Y307" i="1" s="1"/>
  <c r="P307" i="1"/>
  <c r="N307" i="1"/>
  <c r="K307" i="1"/>
  <c r="I307" i="1"/>
  <c r="G307" i="1"/>
  <c r="BN306" i="1"/>
  <c r="BM306" i="1"/>
  <c r="BJ306" i="1"/>
  <c r="BK306" i="1" s="1"/>
  <c r="BH306" i="1"/>
  <c r="BG306" i="1"/>
  <c r="AF306" i="1"/>
  <c r="W306" i="1"/>
  <c r="Y306" i="1" s="1"/>
  <c r="P306" i="1"/>
  <c r="N306" i="1"/>
  <c r="K306" i="1"/>
  <c r="I306" i="1"/>
  <c r="G306" i="1"/>
  <c r="BN305" i="1"/>
  <c r="BM305" i="1"/>
  <c r="BJ305" i="1"/>
  <c r="BK305" i="1" s="1"/>
  <c r="BH305" i="1"/>
  <c r="BG305" i="1"/>
  <c r="AF305" i="1"/>
  <c r="AC305" i="1"/>
  <c r="W305" i="1"/>
  <c r="Y305" i="1" s="1"/>
  <c r="P305" i="1"/>
  <c r="N305" i="1"/>
  <c r="K305" i="1"/>
  <c r="I305" i="1"/>
  <c r="G305" i="1"/>
  <c r="BN304" i="1"/>
  <c r="BM304" i="1"/>
  <c r="BJ304" i="1"/>
  <c r="BG304" i="1"/>
  <c r="AF304" i="1"/>
  <c r="W304" i="1"/>
  <c r="Y304" i="1" s="1"/>
  <c r="P304" i="1"/>
  <c r="N304" i="1"/>
  <c r="K304" i="1"/>
  <c r="I304" i="1"/>
  <c r="G304" i="1"/>
  <c r="BN303" i="1"/>
  <c r="BM303" i="1"/>
  <c r="BJ303" i="1"/>
  <c r="BG303" i="1"/>
  <c r="AF303" i="1"/>
  <c r="AC303" i="1"/>
  <c r="W303" i="1"/>
  <c r="Y303" i="1" s="1"/>
  <c r="P303" i="1"/>
  <c r="N303" i="1"/>
  <c r="K303" i="1"/>
  <c r="I303" i="1"/>
  <c r="G303" i="1"/>
  <c r="BN302" i="1"/>
  <c r="BM302" i="1"/>
  <c r="BJ302" i="1"/>
  <c r="BL302" i="1" s="1"/>
  <c r="BH302" i="1"/>
  <c r="BG302" i="1"/>
  <c r="AF302" i="1"/>
  <c r="AC302" i="1"/>
  <c r="W302" i="1"/>
  <c r="Y302" i="1" s="1"/>
  <c r="P302" i="1"/>
  <c r="N302" i="1"/>
  <c r="K302" i="1"/>
  <c r="I302" i="1"/>
  <c r="G302" i="1"/>
  <c r="BN301" i="1"/>
  <c r="BM301" i="1"/>
  <c r="BJ301" i="1"/>
  <c r="BL301" i="1" s="1"/>
  <c r="BH301" i="1"/>
  <c r="BG301" i="1"/>
  <c r="AF301" i="1"/>
  <c r="W301" i="1"/>
  <c r="Y301" i="1" s="1"/>
  <c r="P301" i="1"/>
  <c r="N301" i="1"/>
  <c r="K301" i="1"/>
  <c r="I301" i="1"/>
  <c r="G301" i="1"/>
  <c r="BN300" i="1"/>
  <c r="BM300" i="1"/>
  <c r="BJ300" i="1"/>
  <c r="BG300" i="1"/>
  <c r="AF300" i="1"/>
  <c r="AC300" i="1"/>
  <c r="W300" i="1"/>
  <c r="Y300" i="1" s="1"/>
  <c r="P300" i="1"/>
  <c r="K300" i="1"/>
  <c r="G300" i="1"/>
  <c r="BN299" i="1"/>
  <c r="BM299" i="1"/>
  <c r="BJ299" i="1"/>
  <c r="BL299" i="1" s="1"/>
  <c r="BG299" i="1"/>
  <c r="AF299" i="1"/>
  <c r="AC299" i="1"/>
  <c r="W299" i="1"/>
  <c r="Y299" i="1" s="1"/>
  <c r="P299" i="1"/>
  <c r="L299" i="1"/>
  <c r="K299" i="1"/>
  <c r="G299" i="1"/>
  <c r="BN298" i="1"/>
  <c r="BM298" i="1"/>
  <c r="BJ298" i="1"/>
  <c r="BL298" i="1" s="1"/>
  <c r="BG298" i="1"/>
  <c r="AF298" i="1"/>
  <c r="AC298" i="1"/>
  <c r="W298" i="1"/>
  <c r="Y298" i="1" s="1"/>
  <c r="P298" i="1"/>
  <c r="N298" i="1"/>
  <c r="K298" i="1"/>
  <c r="I298" i="1"/>
  <c r="G298" i="1"/>
  <c r="BN297" i="1"/>
  <c r="BM297" i="1"/>
  <c r="BJ297" i="1"/>
  <c r="BH297" i="1"/>
  <c r="BG297" i="1"/>
  <c r="AF297" i="1"/>
  <c r="AC297" i="1"/>
  <c r="W297" i="1"/>
  <c r="Y297" i="1" s="1"/>
  <c r="P297" i="1"/>
  <c r="N297" i="1"/>
  <c r="K297" i="1"/>
  <c r="I297" i="1"/>
  <c r="G297" i="1"/>
  <c r="AF296" i="1"/>
  <c r="W296" i="1"/>
  <c r="Y296" i="1" s="1"/>
  <c r="P296" i="1"/>
  <c r="L296" i="1"/>
  <c r="J296" i="1"/>
  <c r="H296" i="1"/>
  <c r="BN295" i="1"/>
  <c r="BM295" i="1"/>
  <c r="BJ295" i="1"/>
  <c r="BG295" i="1"/>
  <c r="AF295" i="1"/>
  <c r="W295" i="1"/>
  <c r="Y295" i="1" s="1"/>
  <c r="P295" i="1"/>
  <c r="N295" i="1"/>
  <c r="K295" i="1"/>
  <c r="I295" i="1"/>
  <c r="G295" i="1"/>
  <c r="BN294" i="1"/>
  <c r="BM294" i="1"/>
  <c r="BJ294" i="1"/>
  <c r="BH294" i="1"/>
  <c r="BG294" i="1"/>
  <c r="AF294" i="1"/>
  <c r="W294" i="1"/>
  <c r="Y294" i="1" s="1"/>
  <c r="P294" i="1"/>
  <c r="N294" i="1"/>
  <c r="K294" i="1"/>
  <c r="I294" i="1"/>
  <c r="G294" i="1"/>
  <c r="BN293" i="1"/>
  <c r="BM293" i="1"/>
  <c r="BJ293" i="1"/>
  <c r="BL293" i="1" s="1"/>
  <c r="BG293" i="1"/>
  <c r="AF293" i="1"/>
  <c r="AC293" i="1"/>
  <c r="W293" i="1"/>
  <c r="P293" i="1"/>
  <c r="N293" i="1"/>
  <c r="K293" i="1"/>
  <c r="I293" i="1"/>
  <c r="G293" i="1"/>
  <c r="BN292" i="1"/>
  <c r="BM292" i="1"/>
  <c r="BJ292" i="1"/>
  <c r="BL292" i="1" s="1"/>
  <c r="BG292" i="1"/>
  <c r="AF292" i="1"/>
  <c r="AC292" i="1"/>
  <c r="W292" i="1"/>
  <c r="Y292" i="1" s="1"/>
  <c r="P292" i="1"/>
  <c r="N292" i="1"/>
  <c r="K292" i="1"/>
  <c r="I292" i="1"/>
  <c r="G292" i="1"/>
  <c r="BN291" i="1"/>
  <c r="BM291" i="1"/>
  <c r="BJ291" i="1"/>
  <c r="BG291" i="1"/>
  <c r="AF291" i="1"/>
  <c r="AC291" i="1"/>
  <c r="W291" i="1"/>
  <c r="Y291" i="1" s="1"/>
  <c r="P291" i="1"/>
  <c r="N291" i="1"/>
  <c r="L291" i="1"/>
  <c r="K291" i="1"/>
  <c r="I291" i="1"/>
  <c r="G291" i="1"/>
  <c r="BN290" i="1"/>
  <c r="BM290" i="1"/>
  <c r="BJ290" i="1"/>
  <c r="BH290" i="1"/>
  <c r="BG290" i="1"/>
  <c r="AF290" i="1"/>
  <c r="W290" i="1"/>
  <c r="Y290" i="1" s="1"/>
  <c r="P290" i="1"/>
  <c r="N290" i="1"/>
  <c r="K290" i="1"/>
  <c r="I290" i="1"/>
  <c r="G290" i="1"/>
  <c r="BN289" i="1"/>
  <c r="BM289" i="1"/>
  <c r="BJ289" i="1"/>
  <c r="BH289" i="1"/>
  <c r="BG289" i="1"/>
  <c r="AF289" i="1"/>
  <c r="W289" i="1"/>
  <c r="Y289" i="1" s="1"/>
  <c r="P289" i="1"/>
  <c r="N289" i="1"/>
  <c r="K289" i="1"/>
  <c r="I289" i="1"/>
  <c r="G289" i="1"/>
  <c r="BN288" i="1"/>
  <c r="BM288" i="1"/>
  <c r="BL288" i="1"/>
  <c r="BJ288" i="1"/>
  <c r="BK288" i="1" s="1"/>
  <c r="BG288" i="1"/>
  <c r="AF288" i="1"/>
  <c r="W288" i="1"/>
  <c r="Y288" i="1" s="1"/>
  <c r="P288" i="1"/>
  <c r="N288" i="1"/>
  <c r="L288" i="1"/>
  <c r="K288" i="1"/>
  <c r="I288" i="1"/>
  <c r="G288" i="1"/>
  <c r="BN287" i="1"/>
  <c r="BM287" i="1"/>
  <c r="BJ287" i="1"/>
  <c r="BL287" i="1" s="1"/>
  <c r="BG287" i="1"/>
  <c r="AF287" i="1"/>
  <c r="Y287" i="1"/>
  <c r="P287" i="1"/>
  <c r="N287" i="1"/>
  <c r="K287" i="1"/>
  <c r="BN286" i="1"/>
  <c r="BM286" i="1"/>
  <c r="BJ286" i="1"/>
  <c r="BH286" i="1"/>
  <c r="BG286" i="1"/>
  <c r="AF286" i="1"/>
  <c r="AC286" i="1"/>
  <c r="W286" i="1"/>
  <c r="Y286" i="1" s="1"/>
  <c r="P286" i="1"/>
  <c r="N286" i="1"/>
  <c r="K286" i="1"/>
  <c r="I286" i="1"/>
  <c r="G286" i="1"/>
  <c r="BN285" i="1"/>
  <c r="BM285" i="1"/>
  <c r="BJ285" i="1"/>
  <c r="BH285" i="1"/>
  <c r="BG285" i="1"/>
  <c r="AF285" i="1"/>
  <c r="AC285" i="1"/>
  <c r="W285" i="1"/>
  <c r="Y285" i="1" s="1"/>
  <c r="P285" i="1"/>
  <c r="N285" i="1"/>
  <c r="K285" i="1"/>
  <c r="I285" i="1"/>
  <c r="G285" i="1"/>
  <c r="W284" i="1"/>
  <c r="Y284" i="1" s="1"/>
  <c r="P284" i="1"/>
  <c r="L284" i="1"/>
  <c r="K284" i="1"/>
  <c r="BN283" i="1"/>
  <c r="BM283" i="1"/>
  <c r="BJ283" i="1"/>
  <c r="BL283" i="1" s="1"/>
  <c r="BG283" i="1"/>
  <c r="AF283" i="1"/>
  <c r="W283" i="1"/>
  <c r="Y283" i="1" s="1"/>
  <c r="P283" i="1"/>
  <c r="N283" i="1"/>
  <c r="K283" i="1"/>
  <c r="I283" i="1"/>
  <c r="G283" i="1"/>
  <c r="BN282" i="1"/>
  <c r="BM282" i="1"/>
  <c r="BJ282" i="1"/>
  <c r="BL282" i="1" s="1"/>
  <c r="BG282" i="1"/>
  <c r="AF282" i="1"/>
  <c r="AC282" i="1"/>
  <c r="W282" i="1"/>
  <c r="Y282" i="1" s="1"/>
  <c r="P282" i="1"/>
  <c r="N282" i="1"/>
  <c r="K282" i="1"/>
  <c r="I282" i="1"/>
  <c r="G282" i="1"/>
  <c r="BN281" i="1"/>
  <c r="BM281" i="1"/>
  <c r="BJ281" i="1"/>
  <c r="BH281" i="1"/>
  <c r="BG281" i="1"/>
  <c r="AF281" i="1"/>
  <c r="AC281" i="1"/>
  <c r="W281" i="1"/>
  <c r="Y281" i="1" s="1"/>
  <c r="P281" i="1"/>
  <c r="N281" i="1"/>
  <c r="K281" i="1"/>
  <c r="I281" i="1"/>
  <c r="G281" i="1"/>
  <c r="BN280" i="1"/>
  <c r="BM280" i="1"/>
  <c r="BJ280" i="1"/>
  <c r="BK280" i="1" s="1"/>
  <c r="BH280" i="1"/>
  <c r="BG280" i="1"/>
  <c r="AF280" i="1"/>
  <c r="W280" i="1"/>
  <c r="Y280" i="1" s="1"/>
  <c r="P280" i="1"/>
  <c r="N280" i="1"/>
  <c r="K280" i="1"/>
  <c r="I280" i="1"/>
  <c r="G280" i="1"/>
  <c r="BN279" i="1"/>
  <c r="BM279" i="1"/>
  <c r="BJ279" i="1"/>
  <c r="BL279" i="1" s="1"/>
  <c r="BG279" i="1"/>
  <c r="AF279" i="1"/>
  <c r="W279" i="1"/>
  <c r="Y279" i="1" s="1"/>
  <c r="P279" i="1"/>
  <c r="N279" i="1"/>
  <c r="K279" i="1"/>
  <c r="I279" i="1"/>
  <c r="G279" i="1"/>
  <c r="BN278" i="1"/>
  <c r="BM278" i="1"/>
  <c r="BJ278" i="1"/>
  <c r="BL278" i="1" s="1"/>
  <c r="BG278" i="1"/>
  <c r="AF278" i="1"/>
  <c r="AC278" i="1"/>
  <c r="W278" i="1"/>
  <c r="Y278" i="1" s="1"/>
  <c r="P278" i="1"/>
  <c r="N278" i="1"/>
  <c r="K278" i="1"/>
  <c r="I278" i="1"/>
  <c r="G278" i="1"/>
  <c r="BN277" i="1"/>
  <c r="BM277" i="1"/>
  <c r="BJ277" i="1"/>
  <c r="BH277" i="1"/>
  <c r="BG277" i="1"/>
  <c r="AF277" i="1"/>
  <c r="AC277" i="1"/>
  <c r="W277" i="1"/>
  <c r="Y277" i="1" s="1"/>
  <c r="P277" i="1"/>
  <c r="N277" i="1"/>
  <c r="K277" i="1"/>
  <c r="I277" i="1"/>
  <c r="G277" i="1"/>
  <c r="BN276" i="1"/>
  <c r="BM276" i="1"/>
  <c r="BJ276" i="1"/>
  <c r="BH276" i="1"/>
  <c r="BG276" i="1"/>
  <c r="AF276" i="1"/>
  <c r="W276" i="1"/>
  <c r="Y276" i="1" s="1"/>
  <c r="P276" i="1"/>
  <c r="N276" i="1"/>
  <c r="K276" i="1"/>
  <c r="I276" i="1"/>
  <c r="G276" i="1"/>
  <c r="BN275" i="1"/>
  <c r="BM275" i="1"/>
  <c r="BJ275" i="1"/>
  <c r="BL275" i="1" s="1"/>
  <c r="BG275" i="1"/>
  <c r="AF275" i="1"/>
  <c r="W275" i="1"/>
  <c r="Y275" i="1" s="1"/>
  <c r="P275" i="1"/>
  <c r="N275" i="1"/>
  <c r="K275" i="1"/>
  <c r="I275" i="1"/>
  <c r="G275" i="1"/>
  <c r="BN274" i="1"/>
  <c r="BM274" i="1"/>
  <c r="BJ274" i="1"/>
  <c r="BL274" i="1" s="1"/>
  <c r="BH274" i="1"/>
  <c r="BG274" i="1"/>
  <c r="AF274" i="1"/>
  <c r="W274" i="1"/>
  <c r="Y274" i="1" s="1"/>
  <c r="P274" i="1"/>
  <c r="N274" i="1"/>
  <c r="K274" i="1"/>
  <c r="I274" i="1"/>
  <c r="G274" i="1"/>
  <c r="BN273" i="1"/>
  <c r="BM273" i="1"/>
  <c r="BJ273" i="1"/>
  <c r="BG273" i="1"/>
  <c r="AF273" i="1"/>
  <c r="W273" i="1"/>
  <c r="Y273" i="1" s="1"/>
  <c r="P273" i="1"/>
  <c r="N273" i="1"/>
  <c r="K273" i="1"/>
  <c r="I273" i="1"/>
  <c r="G273" i="1"/>
  <c r="BN272" i="1"/>
  <c r="BM272" i="1"/>
  <c r="BJ272" i="1"/>
  <c r="BG272" i="1"/>
  <c r="AF272" i="1"/>
  <c r="AC272" i="1"/>
  <c r="W272" i="1"/>
  <c r="Y272" i="1" s="1"/>
  <c r="P272" i="1"/>
  <c r="N272" i="1"/>
  <c r="K272" i="1"/>
  <c r="I272" i="1"/>
  <c r="G272" i="1"/>
  <c r="BN271" i="1"/>
  <c r="BM271" i="1"/>
  <c r="BJ271" i="1"/>
  <c r="BL271" i="1" s="1"/>
  <c r="BG271" i="1"/>
  <c r="AF271" i="1"/>
  <c r="AC271" i="1"/>
  <c r="W271" i="1"/>
  <c r="P271" i="1"/>
  <c r="N271" i="1"/>
  <c r="L271" i="1"/>
  <c r="K271" i="1"/>
  <c r="G271" i="1"/>
  <c r="BN270" i="1"/>
  <c r="BM270" i="1"/>
  <c r="BJ270" i="1"/>
  <c r="BK270" i="1" s="1"/>
  <c r="BG270" i="1"/>
  <c r="AF270" i="1"/>
  <c r="AC270" i="1"/>
  <c r="W270" i="1"/>
  <c r="Y270" i="1" s="1"/>
  <c r="P270" i="1"/>
  <c r="N270" i="1"/>
  <c r="K270" i="1"/>
  <c r="I270" i="1"/>
  <c r="G270" i="1"/>
  <c r="BN269" i="1"/>
  <c r="BM269" i="1"/>
  <c r="BJ269" i="1"/>
  <c r="BG269" i="1"/>
  <c r="AF269" i="1"/>
  <c r="AC269" i="1"/>
  <c r="W269" i="1"/>
  <c r="Y269" i="1" s="1"/>
  <c r="P269" i="1"/>
  <c r="N269" i="1"/>
  <c r="K269" i="1"/>
  <c r="I269" i="1"/>
  <c r="G269" i="1"/>
  <c r="BS268" i="1"/>
  <c r="BN268" i="1"/>
  <c r="BM268" i="1"/>
  <c r="BJ268" i="1"/>
  <c r="BG268" i="1"/>
  <c r="AF268" i="1"/>
  <c r="AC268" i="1"/>
  <c r="W268" i="1"/>
  <c r="Y268" i="1" s="1"/>
  <c r="P268" i="1"/>
  <c r="N268" i="1"/>
  <c r="K268" i="1"/>
  <c r="I268" i="1"/>
  <c r="G268" i="1"/>
  <c r="BS267" i="1"/>
  <c r="BN267" i="1"/>
  <c r="BM267" i="1"/>
  <c r="BJ267" i="1"/>
  <c r="BG267" i="1"/>
  <c r="AF267" i="1"/>
  <c r="AC267" i="1"/>
  <c r="W267" i="1"/>
  <c r="Y267" i="1" s="1"/>
  <c r="P267" i="1"/>
  <c r="N267" i="1"/>
  <c r="L267" i="1"/>
  <c r="K267" i="1"/>
  <c r="I267" i="1"/>
  <c r="G267" i="1"/>
  <c r="BS266" i="1"/>
  <c r="BN266" i="1"/>
  <c r="BM266" i="1"/>
  <c r="BJ266" i="1"/>
  <c r="BG266" i="1"/>
  <c r="AF266" i="1"/>
  <c r="AC266" i="1"/>
  <c r="W266" i="1"/>
  <c r="Y266" i="1" s="1"/>
  <c r="P266" i="1"/>
  <c r="N266" i="1"/>
  <c r="L266" i="1"/>
  <c r="K266" i="1"/>
  <c r="I266" i="1"/>
  <c r="G266" i="1"/>
  <c r="BS265" i="1"/>
  <c r="BN265" i="1"/>
  <c r="BM265" i="1"/>
  <c r="BJ265" i="1"/>
  <c r="BH265" i="1"/>
  <c r="BG265" i="1"/>
  <c r="AF265" i="1"/>
  <c r="AC265" i="1"/>
  <c r="W265" i="1"/>
  <c r="Y265" i="1" s="1"/>
  <c r="P265" i="1"/>
  <c r="N265" i="1"/>
  <c r="L265" i="1"/>
  <c r="K265" i="1"/>
  <c r="I265" i="1"/>
  <c r="G265" i="1"/>
  <c r="BN264" i="1"/>
  <c r="BM264" i="1"/>
  <c r="BJ264" i="1"/>
  <c r="BL264" i="1" s="1"/>
  <c r="BH264" i="1"/>
  <c r="BG264" i="1"/>
  <c r="AF264" i="1"/>
  <c r="AC264" i="1"/>
  <c r="W264" i="1"/>
  <c r="Y264" i="1" s="1"/>
  <c r="P264" i="1"/>
  <c r="N264" i="1"/>
  <c r="K264" i="1"/>
  <c r="I264" i="1"/>
  <c r="G264" i="1"/>
  <c r="BS263" i="1"/>
  <c r="BN263" i="1"/>
  <c r="BM263" i="1"/>
  <c r="BJ263" i="1"/>
  <c r="BG263" i="1"/>
  <c r="AF263" i="1"/>
  <c r="AC263" i="1"/>
  <c r="W263" i="1"/>
  <c r="Y263" i="1" s="1"/>
  <c r="P263" i="1"/>
  <c r="N263" i="1"/>
  <c r="K263" i="1"/>
  <c r="I263" i="1"/>
  <c r="G263" i="1"/>
  <c r="BN262" i="1"/>
  <c r="BM262" i="1"/>
  <c r="BJ262" i="1"/>
  <c r="BL262" i="1" s="1"/>
  <c r="BG262" i="1"/>
  <c r="AF262" i="1"/>
  <c r="W262" i="1"/>
  <c r="Y262" i="1" s="1"/>
  <c r="P262" i="1"/>
  <c r="N262" i="1"/>
  <c r="K262" i="1"/>
  <c r="I262" i="1"/>
  <c r="G262" i="1"/>
  <c r="BN261" i="1"/>
  <c r="BM261" i="1"/>
  <c r="BJ261" i="1"/>
  <c r="BL261" i="1" s="1"/>
  <c r="BG261" i="1"/>
  <c r="AF261" i="1"/>
  <c r="W261" i="1"/>
  <c r="Y261" i="1" s="1"/>
  <c r="P261" i="1"/>
  <c r="N261" i="1"/>
  <c r="K261" i="1"/>
  <c r="I261" i="1"/>
  <c r="G261" i="1"/>
  <c r="BN260" i="1"/>
  <c r="BM260" i="1"/>
  <c r="BJ260" i="1"/>
  <c r="BL260" i="1" s="1"/>
  <c r="BH260" i="1"/>
  <c r="BG260" i="1"/>
  <c r="AF260" i="1"/>
  <c r="W260" i="1"/>
  <c r="Y260" i="1" s="1"/>
  <c r="P260" i="1"/>
  <c r="N260" i="1"/>
  <c r="K260" i="1"/>
  <c r="I260" i="1"/>
  <c r="G260" i="1"/>
  <c r="BN259" i="1"/>
  <c r="BM259" i="1"/>
  <c r="BJ259" i="1"/>
  <c r="BH259" i="1"/>
  <c r="BG259" i="1"/>
  <c r="AF259" i="1"/>
  <c r="W259" i="1"/>
  <c r="P259" i="1"/>
  <c r="N259" i="1"/>
  <c r="K259" i="1"/>
  <c r="I259" i="1"/>
  <c r="G259" i="1"/>
  <c r="BN258" i="1"/>
  <c r="BM258" i="1"/>
  <c r="BJ258" i="1"/>
  <c r="BH258" i="1"/>
  <c r="BG258" i="1"/>
  <c r="AF258" i="1"/>
  <c r="AC258" i="1"/>
  <c r="W258" i="1"/>
  <c r="Y258" i="1" s="1"/>
  <c r="P258" i="1"/>
  <c r="K258" i="1"/>
  <c r="I258" i="1"/>
  <c r="G258" i="1"/>
  <c r="BN257" i="1"/>
  <c r="BM257" i="1"/>
  <c r="BJ257" i="1"/>
  <c r="BH257" i="1"/>
  <c r="BG257" i="1"/>
  <c r="AF257" i="1"/>
  <c r="W257" i="1"/>
  <c r="Y257" i="1" s="1"/>
  <c r="P257" i="1"/>
  <c r="N257" i="1"/>
  <c r="K257" i="1"/>
  <c r="I257" i="1"/>
  <c r="G257" i="1"/>
  <c r="BN256" i="1"/>
  <c r="BM256" i="1"/>
  <c r="BJ256" i="1"/>
  <c r="BK256" i="1" s="1"/>
  <c r="BG256" i="1"/>
  <c r="W256" i="1"/>
  <c r="K256" i="1"/>
  <c r="BN255" i="1"/>
  <c r="BM255" i="1"/>
  <c r="BJ255" i="1"/>
  <c r="BG255" i="1"/>
  <c r="AF255" i="1"/>
  <c r="AC255" i="1"/>
  <c r="W255" i="1"/>
  <c r="Y255" i="1" s="1"/>
  <c r="P255" i="1"/>
  <c r="N255" i="1"/>
  <c r="K255" i="1"/>
  <c r="I255" i="1"/>
  <c r="G255" i="1"/>
  <c r="BS254" i="1"/>
  <c r="BN254" i="1"/>
  <c r="BM254" i="1"/>
  <c r="BJ254" i="1"/>
  <c r="BK254" i="1" s="1"/>
  <c r="BG254" i="1"/>
  <c r="AF254" i="1"/>
  <c r="AC254" i="1"/>
  <c r="W254" i="1"/>
  <c r="Y254" i="1" s="1"/>
  <c r="P254" i="1"/>
  <c r="N254" i="1"/>
  <c r="L254" i="1"/>
  <c r="K254" i="1"/>
  <c r="I254" i="1"/>
  <c r="G254" i="1"/>
  <c r="BS253" i="1"/>
  <c r="BN253" i="1"/>
  <c r="BM253" i="1"/>
  <c r="BJ253" i="1"/>
  <c r="BL253" i="1" s="1"/>
  <c r="BG253" i="1"/>
  <c r="AF253" i="1"/>
  <c r="AC253" i="1"/>
  <c r="W253" i="1"/>
  <c r="Y253" i="1" s="1"/>
  <c r="P253" i="1"/>
  <c r="N253" i="1"/>
  <c r="L253" i="1"/>
  <c r="K253" i="1"/>
  <c r="I253" i="1"/>
  <c r="G253" i="1"/>
  <c r="BS252" i="1"/>
  <c r="BN252" i="1"/>
  <c r="BM252" i="1"/>
  <c r="BJ252" i="1"/>
  <c r="BG252" i="1"/>
  <c r="AF252" i="1"/>
  <c r="AC252" i="1"/>
  <c r="W252" i="1"/>
  <c r="Y252" i="1" s="1"/>
  <c r="P252" i="1"/>
  <c r="N252" i="1"/>
  <c r="L252" i="1"/>
  <c r="K252" i="1"/>
  <c r="I252" i="1"/>
  <c r="G252" i="1"/>
  <c r="BS251" i="1"/>
  <c r="BN251" i="1"/>
  <c r="BM251" i="1"/>
  <c r="BJ251" i="1"/>
  <c r="BL251" i="1" s="1"/>
  <c r="BG251" i="1"/>
  <c r="AF251" i="1"/>
  <c r="AC251" i="1"/>
  <c r="W251" i="1"/>
  <c r="Y251" i="1" s="1"/>
  <c r="P251" i="1"/>
  <c r="N251" i="1"/>
  <c r="L251" i="1"/>
  <c r="K251" i="1"/>
  <c r="I251" i="1"/>
  <c r="G251" i="1"/>
  <c r="BS250" i="1"/>
  <c r="BN250" i="1"/>
  <c r="BM250" i="1"/>
  <c r="BJ250" i="1"/>
  <c r="BK250" i="1" s="1"/>
  <c r="BG250" i="1"/>
  <c r="AF250" i="1"/>
  <c r="AC250" i="1"/>
  <c r="W250" i="1"/>
  <c r="Y250" i="1" s="1"/>
  <c r="P250" i="1"/>
  <c r="N250" i="1"/>
  <c r="L250" i="1"/>
  <c r="K250" i="1"/>
  <c r="I250" i="1"/>
  <c r="G250" i="1"/>
  <c r="BS249" i="1"/>
  <c r="BN249" i="1"/>
  <c r="BM249" i="1"/>
  <c r="BJ249" i="1"/>
  <c r="BK249" i="1" s="1"/>
  <c r="BG249" i="1"/>
  <c r="AF249" i="1"/>
  <c r="AC249" i="1"/>
  <c r="W249" i="1"/>
  <c r="Y249" i="1" s="1"/>
  <c r="P249" i="1"/>
  <c r="N249" i="1"/>
  <c r="L249" i="1"/>
  <c r="K249" i="1"/>
  <c r="I249" i="1"/>
  <c r="G249" i="1"/>
  <c r="BS248" i="1"/>
  <c r="BN248" i="1"/>
  <c r="BM248" i="1"/>
  <c r="BJ248" i="1"/>
  <c r="BG248" i="1"/>
  <c r="AF248" i="1"/>
  <c r="AC248" i="1"/>
  <c r="W248" i="1"/>
  <c r="Y248" i="1" s="1"/>
  <c r="P248" i="1"/>
  <c r="N248" i="1"/>
  <c r="L248" i="1"/>
  <c r="K248" i="1"/>
  <c r="I248" i="1"/>
  <c r="G248" i="1"/>
  <c r="BS247" i="1"/>
  <c r="BN247" i="1"/>
  <c r="BM247" i="1"/>
  <c r="BJ247" i="1"/>
  <c r="BL247" i="1" s="1"/>
  <c r="BG247" i="1"/>
  <c r="AF247" i="1"/>
  <c r="AC247" i="1"/>
  <c r="W247" i="1"/>
  <c r="Y247" i="1" s="1"/>
  <c r="P247" i="1"/>
  <c r="N247" i="1"/>
  <c r="L247" i="1"/>
  <c r="K247" i="1"/>
  <c r="I247" i="1"/>
  <c r="G247" i="1"/>
  <c r="BS246" i="1"/>
  <c r="BN246" i="1"/>
  <c r="BM246" i="1"/>
  <c r="BJ246" i="1"/>
  <c r="BK246" i="1" s="1"/>
  <c r="BG246" i="1"/>
  <c r="AF246" i="1"/>
  <c r="AC246" i="1"/>
  <c r="W246" i="1"/>
  <c r="Y246" i="1" s="1"/>
  <c r="P246" i="1"/>
  <c r="N246" i="1"/>
  <c r="L246" i="1"/>
  <c r="K246" i="1"/>
  <c r="I246" i="1"/>
  <c r="G246" i="1"/>
  <c r="BS245" i="1"/>
  <c r="BN245" i="1"/>
  <c r="BM245" i="1"/>
  <c r="BJ245" i="1"/>
  <c r="BL245" i="1" s="1"/>
  <c r="BH245" i="1"/>
  <c r="BG245" i="1"/>
  <c r="AF245" i="1"/>
  <c r="AC245" i="1"/>
  <c r="W245" i="1"/>
  <c r="Y245" i="1" s="1"/>
  <c r="P245" i="1"/>
  <c r="N245" i="1"/>
  <c r="L245" i="1"/>
  <c r="K245" i="1"/>
  <c r="I245" i="1"/>
  <c r="G245" i="1"/>
  <c r="BN244" i="1"/>
  <c r="BM244" i="1"/>
  <c r="BJ244" i="1"/>
  <c r="BG244" i="1"/>
  <c r="AF244" i="1"/>
  <c r="AC244" i="1"/>
  <c r="W244" i="1"/>
  <c r="Y244" i="1" s="1"/>
  <c r="P244" i="1"/>
  <c r="N244" i="1"/>
  <c r="L244" i="1"/>
  <c r="K244" i="1"/>
  <c r="G244" i="1"/>
  <c r="BN243" i="1"/>
  <c r="BM243" i="1"/>
  <c r="BJ243" i="1"/>
  <c r="BK243" i="1" s="1"/>
  <c r="BG243" i="1"/>
  <c r="AF243" i="1"/>
  <c r="AC243" i="1"/>
  <c r="W243" i="1"/>
  <c r="Y243" i="1" s="1"/>
  <c r="P243" i="1"/>
  <c r="N243" i="1"/>
  <c r="K243" i="1"/>
  <c r="I243" i="1"/>
  <c r="G243" i="1"/>
  <c r="BN242" i="1"/>
  <c r="BM242" i="1"/>
  <c r="BJ242" i="1"/>
  <c r="BG242" i="1"/>
  <c r="AF242" i="1"/>
  <c r="AC242" i="1"/>
  <c r="W242" i="1"/>
  <c r="Y242" i="1" s="1"/>
  <c r="P242" i="1"/>
  <c r="N242" i="1"/>
  <c r="K242" i="1"/>
  <c r="I242" i="1"/>
  <c r="G242" i="1"/>
  <c r="BN241" i="1"/>
  <c r="BM241" i="1"/>
  <c r="BJ241" i="1"/>
  <c r="BL241" i="1" s="1"/>
  <c r="BH241" i="1"/>
  <c r="BG241" i="1"/>
  <c r="AF241" i="1"/>
  <c r="W241" i="1"/>
  <c r="Y241" i="1" s="1"/>
  <c r="P241" i="1"/>
  <c r="N241" i="1"/>
  <c r="K241" i="1"/>
  <c r="I241" i="1"/>
  <c r="G241" i="1"/>
  <c r="BN240" i="1"/>
  <c r="BM240" i="1"/>
  <c r="BJ240" i="1"/>
  <c r="BG240" i="1"/>
  <c r="AF240" i="1"/>
  <c r="AC240" i="1"/>
  <c r="W240" i="1"/>
  <c r="Y240" i="1" s="1"/>
  <c r="P240" i="1"/>
  <c r="N240" i="1"/>
  <c r="K240" i="1"/>
  <c r="I240" i="1"/>
  <c r="G240" i="1"/>
  <c r="BN239" i="1"/>
  <c r="BM239" i="1"/>
  <c r="BJ239" i="1"/>
  <c r="BL239" i="1" s="1"/>
  <c r="BG239" i="1"/>
  <c r="AF239" i="1"/>
  <c r="AC239" i="1"/>
  <c r="W239" i="1"/>
  <c r="Y239" i="1" s="1"/>
  <c r="N239" i="1"/>
  <c r="M239" i="1"/>
  <c r="P239" i="1" s="1"/>
  <c r="K239" i="1"/>
  <c r="I239" i="1"/>
  <c r="G239" i="1"/>
  <c r="BN238" i="1"/>
  <c r="BM238" i="1"/>
  <c r="BJ238" i="1"/>
  <c r="BL238" i="1" s="1"/>
  <c r="BG238" i="1"/>
  <c r="AF238" i="1"/>
  <c r="W238" i="1"/>
  <c r="Y238" i="1" s="1"/>
  <c r="P238" i="1"/>
  <c r="N238" i="1"/>
  <c r="K238" i="1"/>
  <c r="I238" i="1"/>
  <c r="G238" i="1"/>
  <c r="BN237" i="1"/>
  <c r="BM237" i="1"/>
  <c r="BJ237" i="1"/>
  <c r="BL237" i="1" s="1"/>
  <c r="BH237" i="1"/>
  <c r="BG237" i="1"/>
  <c r="AF237" i="1"/>
  <c r="AC237" i="1"/>
  <c r="W237" i="1"/>
  <c r="Y237" i="1" s="1"/>
  <c r="P237" i="1"/>
  <c r="N237" i="1"/>
  <c r="K237" i="1"/>
  <c r="I237" i="1"/>
  <c r="G237" i="1"/>
  <c r="BN236" i="1"/>
  <c r="BM236" i="1"/>
  <c r="BJ236" i="1"/>
  <c r="BL236" i="1" s="1"/>
  <c r="BH236" i="1"/>
  <c r="BG236" i="1"/>
  <c r="AF236" i="1"/>
  <c r="W236" i="1"/>
  <c r="Y236" i="1" s="1"/>
  <c r="P236" i="1"/>
  <c r="N236" i="1"/>
  <c r="K236" i="1"/>
  <c r="I236" i="1"/>
  <c r="G236" i="1"/>
  <c r="BN235" i="1"/>
  <c r="BM235" i="1"/>
  <c r="BJ235" i="1"/>
  <c r="BG235" i="1"/>
  <c r="AF235" i="1"/>
  <c r="AC235" i="1"/>
  <c r="W235" i="1"/>
  <c r="Y235" i="1" s="1"/>
  <c r="P235" i="1"/>
  <c r="N235" i="1"/>
  <c r="K235" i="1"/>
  <c r="I235" i="1"/>
  <c r="G235" i="1"/>
  <c r="BS234" i="1"/>
  <c r="BN234" i="1"/>
  <c r="BM234" i="1"/>
  <c r="BJ234" i="1"/>
  <c r="BG234" i="1"/>
  <c r="AF234" i="1"/>
  <c r="AC234" i="1"/>
  <c r="W234" i="1"/>
  <c r="Y234" i="1" s="1"/>
  <c r="P234" i="1"/>
  <c r="N234" i="1"/>
  <c r="K234" i="1"/>
  <c r="I234" i="1"/>
  <c r="G234" i="1"/>
  <c r="BJ233" i="1"/>
  <c r="BL233" i="1" s="1"/>
  <c r="AF233" i="1"/>
  <c r="AC233" i="1"/>
  <c r="P233" i="1"/>
  <c r="K233" i="1"/>
  <c r="G233" i="1"/>
  <c r="BN232" i="1"/>
  <c r="BM232" i="1"/>
  <c r="BJ232" i="1"/>
  <c r="BL232" i="1" s="1"/>
  <c r="BG232" i="1"/>
  <c r="AF232" i="1"/>
  <c r="AC232" i="1"/>
  <c r="W232" i="1"/>
  <c r="Y232" i="1" s="1"/>
  <c r="P232" i="1"/>
  <c r="K232" i="1"/>
  <c r="I232" i="1"/>
  <c r="G232" i="1"/>
  <c r="BS231" i="1"/>
  <c r="BN231" i="1"/>
  <c r="BM231" i="1"/>
  <c r="BJ231" i="1"/>
  <c r="BG231" i="1"/>
  <c r="AF231" i="1"/>
  <c r="AC231" i="1"/>
  <c r="W231" i="1"/>
  <c r="Y231" i="1" s="1"/>
  <c r="P231" i="1"/>
  <c r="N231" i="1"/>
  <c r="L231" i="1"/>
  <c r="K231" i="1"/>
  <c r="I231" i="1"/>
  <c r="G231" i="1"/>
  <c r="BN230" i="1"/>
  <c r="BM230" i="1"/>
  <c r="BJ230" i="1"/>
  <c r="BK230" i="1" s="1"/>
  <c r="BH230" i="1"/>
  <c r="BG230" i="1"/>
  <c r="AF230" i="1"/>
  <c r="AC230" i="1"/>
  <c r="W230" i="1"/>
  <c r="Y230" i="1" s="1"/>
  <c r="P230" i="1"/>
  <c r="N230" i="1"/>
  <c r="L230" i="1"/>
  <c r="K230" i="1"/>
  <c r="G230" i="1"/>
  <c r="BN229" i="1"/>
  <c r="BM229" i="1"/>
  <c r="BJ229" i="1"/>
  <c r="BG229" i="1"/>
  <c r="AF229" i="1"/>
  <c r="AC229" i="1"/>
  <c r="W229" i="1"/>
  <c r="Y229" i="1" s="1"/>
  <c r="P229" i="1"/>
  <c r="N229" i="1"/>
  <c r="K229" i="1"/>
  <c r="I229" i="1"/>
  <c r="G229" i="1"/>
  <c r="BN228" i="1"/>
  <c r="BM228" i="1"/>
  <c r="BJ228" i="1"/>
  <c r="BK228" i="1" s="1"/>
  <c r="BH228" i="1"/>
  <c r="BG228" i="1"/>
  <c r="AF228" i="1"/>
  <c r="W228" i="1"/>
  <c r="Y228" i="1" s="1"/>
  <c r="P228" i="1"/>
  <c r="N228" i="1"/>
  <c r="K228" i="1"/>
  <c r="I228" i="1"/>
  <c r="G228" i="1"/>
  <c r="BN227" i="1"/>
  <c r="BM227" i="1"/>
  <c r="BJ227" i="1"/>
  <c r="BG227" i="1"/>
  <c r="AF227" i="1"/>
  <c r="AC227" i="1"/>
  <c r="W227" i="1"/>
  <c r="Y227" i="1" s="1"/>
  <c r="P227" i="1"/>
  <c r="N227" i="1"/>
  <c r="L227" i="1"/>
  <c r="K227" i="1"/>
  <c r="I227" i="1"/>
  <c r="G227" i="1"/>
  <c r="BN226" i="1"/>
  <c r="BM226" i="1"/>
  <c r="BJ226" i="1"/>
  <c r="BG226" i="1"/>
  <c r="AF226" i="1"/>
  <c r="AC226" i="1"/>
  <c r="W226" i="1"/>
  <c r="Y226" i="1" s="1"/>
  <c r="P226" i="1"/>
  <c r="N226" i="1"/>
  <c r="K226" i="1"/>
  <c r="I226" i="1"/>
  <c r="G226" i="1"/>
  <c r="BN225" i="1"/>
  <c r="BM225" i="1"/>
  <c r="BJ225" i="1"/>
  <c r="BG225" i="1"/>
  <c r="AF225" i="1"/>
  <c r="W225" i="1"/>
  <c r="Y225" i="1" s="1"/>
  <c r="P225" i="1"/>
  <c r="N225" i="1"/>
  <c r="K225" i="1"/>
  <c r="I225" i="1"/>
  <c r="G225" i="1"/>
  <c r="BN224" i="1"/>
  <c r="BM224" i="1"/>
  <c r="BJ224" i="1"/>
  <c r="BL224" i="1" s="1"/>
  <c r="BH224" i="1"/>
  <c r="BG224" i="1"/>
  <c r="AF224" i="1"/>
  <c r="AC224" i="1"/>
  <c r="W224" i="1"/>
  <c r="Y224" i="1" s="1"/>
  <c r="P224" i="1"/>
  <c r="K224" i="1"/>
  <c r="I224" i="1"/>
  <c r="G224" i="1"/>
  <c r="BN223" i="1"/>
  <c r="BM223" i="1"/>
  <c r="BJ223" i="1"/>
  <c r="BK223" i="1" s="1"/>
  <c r="BG223" i="1"/>
  <c r="AF223" i="1"/>
  <c r="W223" i="1"/>
  <c r="Y223" i="1" s="1"/>
  <c r="P223" i="1"/>
  <c r="N223" i="1"/>
  <c r="K223" i="1"/>
  <c r="I223" i="1"/>
  <c r="G223" i="1"/>
  <c r="BN222" i="1"/>
  <c r="BM222" i="1"/>
  <c r="BJ222" i="1"/>
  <c r="BK222" i="1" s="1"/>
  <c r="BG222" i="1"/>
  <c r="AF222" i="1"/>
  <c r="AC222" i="1"/>
  <c r="W222" i="1"/>
  <c r="Y222" i="1" s="1"/>
  <c r="P222" i="1"/>
  <c r="N222" i="1"/>
  <c r="K222" i="1"/>
  <c r="I222" i="1"/>
  <c r="G222" i="1"/>
  <c r="BN221" i="1"/>
  <c r="BM221" i="1"/>
  <c r="BJ221" i="1"/>
  <c r="BG221" i="1"/>
  <c r="AF221" i="1"/>
  <c r="AC221" i="1"/>
  <c r="W221" i="1"/>
  <c r="Y221" i="1" s="1"/>
  <c r="P221" i="1"/>
  <c r="N221" i="1"/>
  <c r="K221" i="1"/>
  <c r="I221" i="1"/>
  <c r="G221" i="1"/>
  <c r="BN220" i="1"/>
  <c r="BM220" i="1"/>
  <c r="BJ220" i="1"/>
  <c r="BL220" i="1" s="1"/>
  <c r="BG220" i="1"/>
  <c r="AF220" i="1"/>
  <c r="AC220" i="1"/>
  <c r="W220" i="1"/>
  <c r="Y220" i="1" s="1"/>
  <c r="P220" i="1"/>
  <c r="N220" i="1"/>
  <c r="K220" i="1"/>
  <c r="I220" i="1"/>
  <c r="G220" i="1"/>
  <c r="BN219" i="1"/>
  <c r="BM219" i="1"/>
  <c r="BJ219" i="1"/>
  <c r="BL219" i="1" s="1"/>
  <c r="BG219" i="1"/>
  <c r="AF219" i="1"/>
  <c r="AC219" i="1"/>
  <c r="W219" i="1"/>
  <c r="Y219" i="1" s="1"/>
  <c r="P219" i="1"/>
  <c r="N219" i="1"/>
  <c r="K219" i="1"/>
  <c r="I219" i="1"/>
  <c r="G219" i="1"/>
  <c r="BN218" i="1"/>
  <c r="BM218" i="1"/>
  <c r="BJ218" i="1"/>
  <c r="BK218" i="1" s="1"/>
  <c r="BG218" i="1"/>
  <c r="AF218" i="1"/>
  <c r="AC218" i="1"/>
  <c r="W218" i="1"/>
  <c r="Y218" i="1" s="1"/>
  <c r="P218" i="1"/>
  <c r="N218" i="1"/>
  <c r="L218" i="1"/>
  <c r="K218" i="1"/>
  <c r="I218" i="1"/>
  <c r="G218" i="1"/>
  <c r="BN217" i="1"/>
  <c r="BM217" i="1"/>
  <c r="BJ217" i="1"/>
  <c r="BL217" i="1" s="1"/>
  <c r="BG217" i="1"/>
  <c r="AF217" i="1"/>
  <c r="AC217" i="1"/>
  <c r="W217" i="1"/>
  <c r="Y217" i="1" s="1"/>
  <c r="P217" i="1"/>
  <c r="N217" i="1"/>
  <c r="L217" i="1"/>
  <c r="K217" i="1"/>
  <c r="I217" i="1"/>
  <c r="G217" i="1"/>
  <c r="BS216" i="1"/>
  <c r="BN216" i="1"/>
  <c r="BM216" i="1"/>
  <c r="BJ216" i="1"/>
  <c r="BH216" i="1"/>
  <c r="BG216" i="1"/>
  <c r="AF216" i="1"/>
  <c r="AC216" i="1"/>
  <c r="W216" i="1"/>
  <c r="Y216" i="1" s="1"/>
  <c r="P216" i="1"/>
  <c r="N216" i="1"/>
  <c r="K216" i="1"/>
  <c r="I216" i="1"/>
  <c r="G216" i="1"/>
  <c r="BS215" i="1"/>
  <c r="BN215" i="1"/>
  <c r="BM215" i="1"/>
  <c r="BJ215" i="1"/>
  <c r="BK215" i="1" s="1"/>
  <c r="BH215" i="1"/>
  <c r="BG215" i="1"/>
  <c r="AF215" i="1"/>
  <c r="AC215" i="1"/>
  <c r="W215" i="1"/>
  <c r="Y215" i="1" s="1"/>
  <c r="P215" i="1"/>
  <c r="N215" i="1"/>
  <c r="K215" i="1"/>
  <c r="I215" i="1"/>
  <c r="G215" i="1"/>
  <c r="BN214" i="1"/>
  <c r="BM214" i="1"/>
  <c r="BJ214" i="1"/>
  <c r="BL214" i="1" s="1"/>
  <c r="BG214" i="1"/>
  <c r="AF214" i="1"/>
  <c r="W214" i="1"/>
  <c r="Y214" i="1" s="1"/>
  <c r="P214" i="1"/>
  <c r="N214" i="1"/>
  <c r="K214" i="1"/>
  <c r="I214" i="1"/>
  <c r="G214" i="1"/>
  <c r="AF213" i="1"/>
  <c r="W213" i="1"/>
  <c r="Y213" i="1" s="1"/>
  <c r="P213" i="1"/>
  <c r="N213" i="1"/>
  <c r="L213" i="1"/>
  <c r="J213" i="1"/>
  <c r="H213" i="1"/>
  <c r="AF212" i="1"/>
  <c r="W212" i="1"/>
  <c r="Y212" i="1" s="1"/>
  <c r="P212" i="1"/>
  <c r="N212" i="1"/>
  <c r="L212" i="1"/>
  <c r="J212" i="1"/>
  <c r="H212" i="1"/>
  <c r="BN211" i="1"/>
  <c r="BM211" i="1"/>
  <c r="BJ211" i="1"/>
  <c r="BK211" i="1" s="1"/>
  <c r="BG211" i="1"/>
  <c r="AF211" i="1"/>
  <c r="AC211" i="1"/>
  <c r="W211" i="1"/>
  <c r="Y211" i="1" s="1"/>
  <c r="P211" i="1"/>
  <c r="N211" i="1"/>
  <c r="L211" i="1"/>
  <c r="K211" i="1"/>
  <c r="I211" i="1"/>
  <c r="G211" i="1"/>
  <c r="BN210" i="1"/>
  <c r="BM210" i="1"/>
  <c r="BJ210" i="1"/>
  <c r="BL210" i="1" s="1"/>
  <c r="BG210" i="1"/>
  <c r="AF210" i="1"/>
  <c r="W210" i="1"/>
  <c r="Y210" i="1" s="1"/>
  <c r="P210" i="1"/>
  <c r="N210" i="1"/>
  <c r="K210" i="1"/>
  <c r="I210" i="1"/>
  <c r="G210" i="1"/>
  <c r="BN209" i="1"/>
  <c r="BM209" i="1"/>
  <c r="BJ209" i="1"/>
  <c r="BH209" i="1"/>
  <c r="BG209" i="1"/>
  <c r="AF209" i="1"/>
  <c r="AC209" i="1"/>
  <c r="W209" i="1"/>
  <c r="Y209" i="1" s="1"/>
  <c r="P209" i="1"/>
  <c r="N209" i="1"/>
  <c r="K209" i="1"/>
  <c r="I209" i="1"/>
  <c r="G209" i="1"/>
  <c r="BN208" i="1"/>
  <c r="BM208" i="1"/>
  <c r="BJ208" i="1"/>
  <c r="BK208" i="1" s="1"/>
  <c r="BH208" i="1"/>
  <c r="BG208" i="1"/>
  <c r="AF208" i="1"/>
  <c r="AC208" i="1"/>
  <c r="W208" i="1"/>
  <c r="Y208" i="1" s="1"/>
  <c r="P208" i="1"/>
  <c r="N208" i="1"/>
  <c r="L208" i="1"/>
  <c r="K208" i="1"/>
  <c r="I208" i="1"/>
  <c r="G208" i="1"/>
  <c r="BN207" i="1"/>
  <c r="BM207" i="1"/>
  <c r="BJ207" i="1"/>
  <c r="BH207" i="1"/>
  <c r="BG207" i="1"/>
  <c r="AF207" i="1"/>
  <c r="AC207" i="1"/>
  <c r="W207" i="1"/>
  <c r="Y207" i="1" s="1"/>
  <c r="P207" i="1"/>
  <c r="N207" i="1"/>
  <c r="K207" i="1"/>
  <c r="I207" i="1"/>
  <c r="G207" i="1"/>
  <c r="BN206" i="1"/>
  <c r="BM206" i="1"/>
  <c r="BJ206" i="1"/>
  <c r="BH206" i="1"/>
  <c r="BG206" i="1"/>
  <c r="AF206" i="1"/>
  <c r="W206" i="1"/>
  <c r="Y206" i="1" s="1"/>
  <c r="P206" i="1"/>
  <c r="N206" i="1"/>
  <c r="K206" i="1"/>
  <c r="I206" i="1"/>
  <c r="G206" i="1"/>
  <c r="BS205" i="1"/>
  <c r="BN205" i="1"/>
  <c r="BM205" i="1"/>
  <c r="BJ205" i="1"/>
  <c r="BH205" i="1"/>
  <c r="BG205" i="1"/>
  <c r="AF205" i="1"/>
  <c r="AC205" i="1"/>
  <c r="W205" i="1"/>
  <c r="Y205" i="1" s="1"/>
  <c r="P205" i="1"/>
  <c r="N205" i="1"/>
  <c r="K205" i="1"/>
  <c r="I205" i="1"/>
  <c r="G205" i="1"/>
  <c r="BN204" i="1"/>
  <c r="BM204" i="1"/>
  <c r="BJ204" i="1"/>
  <c r="BL204" i="1" s="1"/>
  <c r="BH204" i="1"/>
  <c r="BG204" i="1"/>
  <c r="AF204" i="1"/>
  <c r="AC204" i="1"/>
  <c r="W204" i="1"/>
  <c r="Y204" i="1" s="1"/>
  <c r="P204" i="1"/>
  <c r="N204" i="1"/>
  <c r="K204" i="1"/>
  <c r="I204" i="1"/>
  <c r="G204" i="1"/>
  <c r="BN203" i="1"/>
  <c r="BM203" i="1"/>
  <c r="BJ203" i="1"/>
  <c r="BL203" i="1" s="1"/>
  <c r="BG203" i="1"/>
  <c r="AF203" i="1"/>
  <c r="W203" i="1"/>
  <c r="Y203" i="1" s="1"/>
  <c r="P203" i="1"/>
  <c r="N203" i="1"/>
  <c r="L203" i="1"/>
  <c r="K203" i="1"/>
  <c r="I203" i="1"/>
  <c r="G203" i="1"/>
  <c r="BN202" i="1"/>
  <c r="BM202" i="1"/>
  <c r="BJ202" i="1"/>
  <c r="BK202" i="1" s="1"/>
  <c r="BH202" i="1"/>
  <c r="BG202" i="1"/>
  <c r="AF202" i="1"/>
  <c r="W202" i="1"/>
  <c r="Y202" i="1" s="1"/>
  <c r="P202" i="1"/>
  <c r="N202" i="1"/>
  <c r="L202" i="1"/>
  <c r="K202" i="1"/>
  <c r="I202" i="1"/>
  <c r="G202" i="1"/>
  <c r="BN201" i="1"/>
  <c r="BM201" i="1"/>
  <c r="BJ201" i="1"/>
  <c r="BL201" i="1" s="1"/>
  <c r="BG201" i="1"/>
  <c r="W201" i="1"/>
  <c r="Y201" i="1" s="1"/>
  <c r="P201" i="1"/>
  <c r="BS200" i="1"/>
  <c r="BN200" i="1"/>
  <c r="BM200" i="1"/>
  <c r="BJ200" i="1"/>
  <c r="BG200" i="1"/>
  <c r="AF200" i="1"/>
  <c r="AC200" i="1"/>
  <c r="W200" i="1"/>
  <c r="Y200" i="1" s="1"/>
  <c r="P200" i="1"/>
  <c r="N200" i="1"/>
  <c r="K200" i="1"/>
  <c r="G200" i="1"/>
  <c r="BN199" i="1"/>
  <c r="BM199" i="1"/>
  <c r="BJ199" i="1"/>
  <c r="BL199" i="1" s="1"/>
  <c r="BG199" i="1"/>
  <c r="AF199" i="1"/>
  <c r="AC199" i="1"/>
  <c r="W199" i="1"/>
  <c r="Y199" i="1" s="1"/>
  <c r="P199" i="1"/>
  <c r="N199" i="1"/>
  <c r="K199" i="1"/>
  <c r="I199" i="1"/>
  <c r="G199" i="1"/>
  <c r="BN198" i="1"/>
  <c r="BM198" i="1"/>
  <c r="BJ198" i="1"/>
  <c r="BL198" i="1" s="1"/>
  <c r="BH198" i="1"/>
  <c r="BG198" i="1"/>
  <c r="AF198" i="1"/>
  <c r="AC198" i="1"/>
  <c r="W198" i="1"/>
  <c r="Y198" i="1" s="1"/>
  <c r="P198" i="1"/>
  <c r="N198" i="1"/>
  <c r="K198" i="1"/>
  <c r="I198" i="1"/>
  <c r="G198" i="1"/>
  <c r="BN197" i="1"/>
  <c r="BM197" i="1"/>
  <c r="BJ197" i="1"/>
  <c r="BL197" i="1" s="1"/>
  <c r="BG197" i="1"/>
  <c r="AF197" i="1"/>
  <c r="AC197" i="1"/>
  <c r="W197" i="1"/>
  <c r="P197" i="1"/>
  <c r="K197" i="1"/>
  <c r="I197" i="1"/>
  <c r="G197" i="1"/>
  <c r="BN196" i="1"/>
  <c r="BM196" i="1"/>
  <c r="BJ196" i="1"/>
  <c r="BK196" i="1" s="1"/>
  <c r="BG196" i="1"/>
  <c r="AF196" i="1"/>
  <c r="AC196" i="1"/>
  <c r="W196" i="1"/>
  <c r="Y196" i="1" s="1"/>
  <c r="P196" i="1"/>
  <c r="N196" i="1"/>
  <c r="K196" i="1"/>
  <c r="I196" i="1"/>
  <c r="G196" i="1"/>
  <c r="BN195" i="1"/>
  <c r="BM195" i="1"/>
  <c r="BJ195" i="1"/>
  <c r="BH195" i="1"/>
  <c r="BG195" i="1"/>
  <c r="AF195" i="1"/>
  <c r="W195" i="1"/>
  <c r="Y195" i="1" s="1"/>
  <c r="P195" i="1"/>
  <c r="N195" i="1"/>
  <c r="K195" i="1"/>
  <c r="I195" i="1"/>
  <c r="G195" i="1"/>
  <c r="AF194" i="1"/>
  <c r="W194" i="1"/>
  <c r="Y194" i="1" s="1"/>
  <c r="P194" i="1"/>
  <c r="L194" i="1"/>
  <c r="J194" i="1"/>
  <c r="H194" i="1"/>
  <c r="BN193" i="1"/>
  <c r="BM193" i="1"/>
  <c r="BJ193" i="1"/>
  <c r="BH193" i="1"/>
  <c r="BG193" i="1"/>
  <c r="AF193" i="1"/>
  <c r="AC193" i="1"/>
  <c r="W193" i="1"/>
  <c r="Y193" i="1" s="1"/>
  <c r="P193" i="1"/>
  <c r="N193" i="1"/>
  <c r="K193" i="1"/>
  <c r="I193" i="1"/>
  <c r="G193" i="1"/>
  <c r="BN192" i="1"/>
  <c r="BM192" i="1"/>
  <c r="BJ192" i="1"/>
  <c r="BL192" i="1" s="1"/>
  <c r="BH192" i="1"/>
  <c r="BG192" i="1"/>
  <c r="AF192" i="1"/>
  <c r="AC192" i="1"/>
  <c r="W192" i="1"/>
  <c r="Y192" i="1" s="1"/>
  <c r="P192" i="1"/>
  <c r="N192" i="1"/>
  <c r="K192" i="1"/>
  <c r="I192" i="1"/>
  <c r="G192" i="1"/>
  <c r="BN191" i="1"/>
  <c r="BM191" i="1"/>
  <c r="BJ191" i="1"/>
  <c r="BK191" i="1" s="1"/>
  <c r="BG191" i="1"/>
  <c r="AF191" i="1"/>
  <c r="AC191" i="1"/>
  <c r="W191" i="1"/>
  <c r="Y191" i="1" s="1"/>
  <c r="P191" i="1"/>
  <c r="N191" i="1"/>
  <c r="K191" i="1"/>
  <c r="I191" i="1"/>
  <c r="G191" i="1"/>
  <c r="BN190" i="1"/>
  <c r="BM190" i="1"/>
  <c r="BJ190" i="1"/>
  <c r="BL190" i="1" s="1"/>
  <c r="BH190" i="1"/>
  <c r="BG190" i="1"/>
  <c r="AF190" i="1"/>
  <c r="AC190" i="1"/>
  <c r="W190" i="1"/>
  <c r="Y190" i="1" s="1"/>
  <c r="P190" i="1"/>
  <c r="N190" i="1"/>
  <c r="K190" i="1"/>
  <c r="I190" i="1"/>
  <c r="G190" i="1"/>
  <c r="BN189" i="1"/>
  <c r="BM189" i="1"/>
  <c r="BJ189" i="1"/>
  <c r="BK189" i="1" s="1"/>
  <c r="BH189" i="1"/>
  <c r="BG189" i="1"/>
  <c r="AF189" i="1"/>
  <c r="AC189" i="1"/>
  <c r="W189" i="1"/>
  <c r="Y189" i="1" s="1"/>
  <c r="P189" i="1"/>
  <c r="N189" i="1"/>
  <c r="K189" i="1"/>
  <c r="I189" i="1"/>
  <c r="G189" i="1"/>
  <c r="AF188" i="1"/>
  <c r="W188" i="1"/>
  <c r="Y188" i="1" s="1"/>
  <c r="P188" i="1"/>
  <c r="L188" i="1"/>
  <c r="J188" i="1"/>
  <c r="K188" i="1" s="1"/>
  <c r="G188" i="1"/>
  <c r="BN187" i="1"/>
  <c r="BM187" i="1"/>
  <c r="BJ187" i="1"/>
  <c r="BL187" i="1" s="1"/>
  <c r="BH187" i="1"/>
  <c r="BG187" i="1"/>
  <c r="AF187" i="1"/>
  <c r="AC187" i="1"/>
  <c r="W187" i="1"/>
  <c r="Y187" i="1" s="1"/>
  <c r="P187" i="1"/>
  <c r="K187" i="1"/>
  <c r="I187" i="1"/>
  <c r="G187" i="1"/>
  <c r="BN186" i="1"/>
  <c r="BM186" i="1"/>
  <c r="BJ186" i="1"/>
  <c r="BK186" i="1" s="1"/>
  <c r="BG186" i="1"/>
  <c r="AF186" i="1"/>
  <c r="W186" i="1"/>
  <c r="Y186" i="1" s="1"/>
  <c r="O186" i="1"/>
  <c r="P186" i="1" s="1"/>
  <c r="L186" i="1"/>
  <c r="N186" i="1" s="1"/>
  <c r="K186" i="1"/>
  <c r="G186" i="1"/>
  <c r="BN185" i="1"/>
  <c r="BM185" i="1"/>
  <c r="BJ185" i="1"/>
  <c r="BL185" i="1" s="1"/>
  <c r="BH185" i="1"/>
  <c r="BG185" i="1"/>
  <c r="AF185" i="1"/>
  <c r="W185" i="1"/>
  <c r="Y185" i="1" s="1"/>
  <c r="P185" i="1"/>
  <c r="N185" i="1"/>
  <c r="L185" i="1"/>
  <c r="K185" i="1"/>
  <c r="I185" i="1"/>
  <c r="G185" i="1"/>
  <c r="BN184" i="1"/>
  <c r="BM184" i="1"/>
  <c r="BJ184" i="1"/>
  <c r="BL184" i="1" s="1"/>
  <c r="BG184" i="1"/>
  <c r="AF184" i="1"/>
  <c r="AC184" i="1"/>
  <c r="W184" i="1"/>
  <c r="Y184" i="1" s="1"/>
  <c r="P184" i="1"/>
  <c r="N184" i="1"/>
  <c r="K184" i="1"/>
  <c r="I184" i="1"/>
  <c r="G184" i="1"/>
  <c r="BN183" i="1"/>
  <c r="BM183" i="1"/>
  <c r="BJ183" i="1"/>
  <c r="BL183" i="1" s="1"/>
  <c r="BH183" i="1"/>
  <c r="BG183" i="1"/>
  <c r="AF183" i="1"/>
  <c r="AC183" i="1"/>
  <c r="W183" i="1"/>
  <c r="Y183" i="1" s="1"/>
  <c r="P183" i="1"/>
  <c r="N183" i="1"/>
  <c r="L183" i="1"/>
  <c r="K183" i="1"/>
  <c r="I183" i="1"/>
  <c r="G183" i="1"/>
  <c r="BN182" i="1"/>
  <c r="BM182" i="1"/>
  <c r="BJ182" i="1"/>
  <c r="BL182" i="1" s="1"/>
  <c r="BG182" i="1"/>
  <c r="AF182" i="1"/>
  <c r="AC182" i="1"/>
  <c r="W182" i="1"/>
  <c r="Y182" i="1" s="1"/>
  <c r="P182" i="1"/>
  <c r="N182" i="1"/>
  <c r="K182" i="1"/>
  <c r="I182" i="1"/>
  <c r="G182" i="1"/>
  <c r="BN181" i="1"/>
  <c r="BM181" i="1"/>
  <c r="BJ181" i="1"/>
  <c r="BG181" i="1"/>
  <c r="AF181" i="1"/>
  <c r="AC181" i="1"/>
  <c r="W181" i="1"/>
  <c r="Y181" i="1" s="1"/>
  <c r="P181" i="1"/>
  <c r="N181" i="1"/>
  <c r="K181" i="1"/>
  <c r="I181" i="1"/>
  <c r="G181" i="1"/>
  <c r="BN180" i="1"/>
  <c r="BM180" i="1"/>
  <c r="BJ180" i="1"/>
  <c r="BL180" i="1" s="1"/>
  <c r="BG180" i="1"/>
  <c r="AF180" i="1"/>
  <c r="AC180" i="1"/>
  <c r="W180" i="1"/>
  <c r="Y180" i="1" s="1"/>
  <c r="P180" i="1"/>
  <c r="N180" i="1"/>
  <c r="K180" i="1"/>
  <c r="I180" i="1"/>
  <c r="G180" i="1"/>
  <c r="BN179" i="1"/>
  <c r="BM179" i="1"/>
  <c r="BJ179" i="1"/>
  <c r="BG179" i="1"/>
  <c r="AF179" i="1"/>
  <c r="AC179" i="1"/>
  <c r="W179" i="1"/>
  <c r="Y179" i="1" s="1"/>
  <c r="P179" i="1"/>
  <c r="N179" i="1"/>
  <c r="L179" i="1"/>
  <c r="K179" i="1"/>
  <c r="I179" i="1"/>
  <c r="G179" i="1"/>
  <c r="BN178" i="1"/>
  <c r="BM178" i="1"/>
  <c r="BJ178" i="1"/>
  <c r="BG178" i="1"/>
  <c r="AF178" i="1"/>
  <c r="W178" i="1"/>
  <c r="Y178" i="1" s="1"/>
  <c r="P178" i="1"/>
  <c r="N178" i="1"/>
  <c r="K178" i="1"/>
  <c r="I178" i="1"/>
  <c r="G178" i="1"/>
  <c r="BN176" i="1"/>
  <c r="BM176" i="1"/>
  <c r="BJ176" i="1"/>
  <c r="BH176" i="1"/>
  <c r="BG176" i="1"/>
  <c r="AF176" i="1"/>
  <c r="AC176" i="1"/>
  <c r="W176" i="1"/>
  <c r="Y176" i="1" s="1"/>
  <c r="P176" i="1"/>
  <c r="N176" i="1"/>
  <c r="K176" i="1"/>
  <c r="I176" i="1"/>
  <c r="G176" i="1"/>
  <c r="BN175" i="1"/>
  <c r="BM175" i="1"/>
  <c r="BJ175" i="1"/>
  <c r="BG175" i="1"/>
  <c r="AF175" i="1"/>
  <c r="AC175" i="1"/>
  <c r="W175" i="1"/>
  <c r="Y175" i="1" s="1"/>
  <c r="P175" i="1"/>
  <c r="N175" i="1"/>
  <c r="L175" i="1"/>
  <c r="K175" i="1"/>
  <c r="I175" i="1"/>
  <c r="G175" i="1"/>
  <c r="BN174" i="1"/>
  <c r="BM174" i="1"/>
  <c r="BJ174" i="1"/>
  <c r="BG174" i="1"/>
  <c r="AF174" i="1"/>
  <c r="W174" i="1"/>
  <c r="Y174" i="1" s="1"/>
  <c r="P174" i="1"/>
  <c r="N174" i="1"/>
  <c r="L174" i="1"/>
  <c r="K174" i="1"/>
  <c r="I174" i="1"/>
  <c r="G174" i="1"/>
  <c r="BN173" i="1"/>
  <c r="BM173" i="1"/>
  <c r="BJ173" i="1"/>
  <c r="BL173" i="1" s="1"/>
  <c r="BH173" i="1"/>
  <c r="BG173" i="1"/>
  <c r="AF173" i="1"/>
  <c r="AC173" i="1"/>
  <c r="W173" i="1"/>
  <c r="Y173" i="1" s="1"/>
  <c r="P173" i="1"/>
  <c r="N173" i="1"/>
  <c r="L173" i="1"/>
  <c r="K173" i="1"/>
  <c r="I173" i="1"/>
  <c r="G173" i="1"/>
  <c r="BN172" i="1"/>
  <c r="BM172" i="1"/>
  <c r="BJ172" i="1"/>
  <c r="BG172" i="1"/>
  <c r="AF172" i="1"/>
  <c r="AC172" i="1"/>
  <c r="W172" i="1"/>
  <c r="Y172" i="1" s="1"/>
  <c r="P172" i="1"/>
  <c r="N172" i="1"/>
  <c r="K172" i="1"/>
  <c r="I172" i="1"/>
  <c r="G172" i="1"/>
  <c r="BN171" i="1"/>
  <c r="BM171" i="1"/>
  <c r="BJ171" i="1"/>
  <c r="BH171" i="1"/>
  <c r="BG171" i="1"/>
  <c r="AF171" i="1"/>
  <c r="W171" i="1"/>
  <c r="Y171" i="1" s="1"/>
  <c r="P171" i="1"/>
  <c r="N171" i="1"/>
  <c r="K171" i="1"/>
  <c r="I171" i="1"/>
  <c r="G171" i="1"/>
  <c r="BN170" i="1"/>
  <c r="BM170" i="1"/>
  <c r="BJ170" i="1"/>
  <c r="BL170" i="1" s="1"/>
  <c r="BG170" i="1"/>
  <c r="AF170" i="1"/>
  <c r="AC170" i="1"/>
  <c r="W170" i="1"/>
  <c r="Y170" i="1" s="1"/>
  <c r="P170" i="1"/>
  <c r="N170" i="1"/>
  <c r="K170" i="1"/>
  <c r="I170" i="1"/>
  <c r="G170" i="1"/>
  <c r="BN169" i="1"/>
  <c r="BM169" i="1"/>
  <c r="BJ169" i="1"/>
  <c r="BL169" i="1" s="1"/>
  <c r="BG169" i="1"/>
  <c r="AF169" i="1"/>
  <c r="AC169" i="1"/>
  <c r="W169" i="1"/>
  <c r="Y169" i="1" s="1"/>
  <c r="P169" i="1"/>
  <c r="N169" i="1"/>
  <c r="K169" i="1"/>
  <c r="I169" i="1"/>
  <c r="G169" i="1"/>
  <c r="BN168" i="1"/>
  <c r="BM168" i="1"/>
  <c r="BJ168" i="1"/>
  <c r="BH168" i="1"/>
  <c r="BG168" i="1"/>
  <c r="AF168" i="1"/>
  <c r="AC168" i="1"/>
  <c r="W168" i="1"/>
  <c r="Y168" i="1" s="1"/>
  <c r="P168" i="1"/>
  <c r="N168" i="1"/>
  <c r="K168" i="1"/>
  <c r="I168" i="1"/>
  <c r="G168" i="1"/>
  <c r="BN167" i="1"/>
  <c r="BM167" i="1"/>
  <c r="BJ167" i="1"/>
  <c r="BL167" i="1" s="1"/>
  <c r="BH167" i="1"/>
  <c r="BG167" i="1"/>
  <c r="AF167" i="1"/>
  <c r="AC167" i="1"/>
  <c r="W167" i="1"/>
  <c r="Y167" i="1" s="1"/>
  <c r="P167" i="1"/>
  <c r="N167" i="1"/>
  <c r="K167" i="1"/>
  <c r="I167" i="1"/>
  <c r="G167" i="1"/>
  <c r="BN166" i="1"/>
  <c r="BM166" i="1"/>
  <c r="BJ166" i="1"/>
  <c r="BH166" i="1"/>
  <c r="BG166" i="1"/>
  <c r="AF166" i="1"/>
  <c r="AC166" i="1"/>
  <c r="W166" i="1"/>
  <c r="Y166" i="1" s="1"/>
  <c r="P166" i="1"/>
  <c r="K166" i="1"/>
  <c r="I166" i="1"/>
  <c r="G166" i="1"/>
  <c r="BN165" i="1"/>
  <c r="BM165" i="1"/>
  <c r="BJ165" i="1"/>
  <c r="BL165" i="1" s="1"/>
  <c r="BG165" i="1"/>
  <c r="AF165" i="1"/>
  <c r="AC165" i="1"/>
  <c r="W165" i="1"/>
  <c r="Y165" i="1" s="1"/>
  <c r="P165" i="1"/>
  <c r="N165" i="1"/>
  <c r="K165" i="1"/>
  <c r="I165" i="1"/>
  <c r="G165" i="1"/>
  <c r="BN164" i="1"/>
  <c r="BM164" i="1"/>
  <c r="BJ164" i="1"/>
  <c r="BL164" i="1" s="1"/>
  <c r="BG164" i="1"/>
  <c r="AF164" i="1"/>
  <c r="AC164" i="1"/>
  <c r="W164" i="1"/>
  <c r="Y164" i="1" s="1"/>
  <c r="P164" i="1"/>
  <c r="N164" i="1"/>
  <c r="K164" i="1"/>
  <c r="I164" i="1"/>
  <c r="G164" i="1"/>
  <c r="BN163" i="1"/>
  <c r="BM163" i="1"/>
  <c r="BJ163" i="1"/>
  <c r="BL163" i="1" s="1"/>
  <c r="BG163" i="1"/>
  <c r="AF163" i="1"/>
  <c r="AC163" i="1"/>
  <c r="W163" i="1"/>
  <c r="Y163" i="1" s="1"/>
  <c r="P163" i="1"/>
  <c r="K163" i="1"/>
  <c r="I163" i="1"/>
  <c r="G163" i="1"/>
  <c r="BN162" i="1"/>
  <c r="BM162" i="1"/>
  <c r="BJ162" i="1"/>
  <c r="BL162" i="1" s="1"/>
  <c r="BG162" i="1"/>
  <c r="AF162" i="1"/>
  <c r="AC162" i="1"/>
  <c r="W162" i="1"/>
  <c r="Y162" i="1" s="1"/>
  <c r="P162" i="1"/>
  <c r="N162" i="1"/>
  <c r="K162" i="1"/>
  <c r="I162" i="1"/>
  <c r="G162" i="1"/>
  <c r="BS161" i="1"/>
  <c r="BN161" i="1"/>
  <c r="BM161" i="1"/>
  <c r="BJ161" i="1"/>
  <c r="BG161" i="1"/>
  <c r="AF161" i="1"/>
  <c r="AC161" i="1"/>
  <c r="W161" i="1"/>
  <c r="Y161" i="1" s="1"/>
  <c r="P161" i="1"/>
  <c r="N161" i="1"/>
  <c r="K161" i="1"/>
  <c r="I161" i="1"/>
  <c r="G161" i="1"/>
  <c r="BN160" i="1"/>
  <c r="BM160" i="1"/>
  <c r="BJ160" i="1"/>
  <c r="BL160" i="1" s="1"/>
  <c r="BH160" i="1"/>
  <c r="BG160" i="1"/>
  <c r="AF160" i="1"/>
  <c r="W160" i="1"/>
  <c r="Y160" i="1" s="1"/>
  <c r="P160" i="1"/>
  <c r="N160" i="1"/>
  <c r="K160" i="1"/>
  <c r="I160" i="1"/>
  <c r="G160" i="1"/>
  <c r="BN159" i="1"/>
  <c r="BM159" i="1"/>
  <c r="BJ159" i="1"/>
  <c r="BL159" i="1" s="1"/>
  <c r="BH159" i="1"/>
  <c r="BG159" i="1"/>
  <c r="AF159" i="1"/>
  <c r="AC159" i="1"/>
  <c r="W159" i="1"/>
  <c r="Y159" i="1" s="1"/>
  <c r="P159" i="1"/>
  <c r="N159" i="1"/>
  <c r="K159" i="1"/>
  <c r="I159" i="1"/>
  <c r="G159" i="1"/>
  <c r="BN158" i="1"/>
  <c r="BM158" i="1"/>
  <c r="BJ158" i="1"/>
  <c r="BK158" i="1" s="1"/>
  <c r="BG158" i="1"/>
  <c r="AF158" i="1"/>
  <c r="AC158" i="1"/>
  <c r="W158" i="1"/>
  <c r="Y158" i="1" s="1"/>
  <c r="P158" i="1"/>
  <c r="N158" i="1"/>
  <c r="K158" i="1"/>
  <c r="I158" i="1"/>
  <c r="G158" i="1"/>
  <c r="BN157" i="1"/>
  <c r="BM157" i="1"/>
  <c r="BJ157" i="1"/>
  <c r="BL157" i="1" s="1"/>
  <c r="BH157" i="1"/>
  <c r="BG157" i="1"/>
  <c r="AF157" i="1"/>
  <c r="AC157" i="1"/>
  <c r="W157" i="1"/>
  <c r="Y157" i="1" s="1"/>
  <c r="P157" i="1"/>
  <c r="N157" i="1"/>
  <c r="K157" i="1"/>
  <c r="I157" i="1"/>
  <c r="G157" i="1"/>
  <c r="BN156" i="1"/>
  <c r="BM156" i="1"/>
  <c r="BJ156" i="1"/>
  <c r="BH156" i="1"/>
  <c r="BG156" i="1"/>
  <c r="AF156" i="1"/>
  <c r="AC156" i="1"/>
  <c r="W156" i="1"/>
  <c r="Y156" i="1" s="1"/>
  <c r="P156" i="1"/>
  <c r="N156" i="1"/>
  <c r="K156" i="1"/>
  <c r="I156" i="1"/>
  <c r="G156" i="1"/>
  <c r="BN155" i="1"/>
  <c r="BM155" i="1"/>
  <c r="BJ155" i="1"/>
  <c r="BL155" i="1" s="1"/>
  <c r="BH155" i="1"/>
  <c r="BG155" i="1"/>
  <c r="AF155" i="1"/>
  <c r="AC155" i="1"/>
  <c r="W155" i="1"/>
  <c r="Y155" i="1" s="1"/>
  <c r="P155" i="1"/>
  <c r="K155" i="1"/>
  <c r="I155" i="1"/>
  <c r="G155" i="1"/>
  <c r="BN154" i="1"/>
  <c r="BM154" i="1"/>
  <c r="BJ154" i="1"/>
  <c r="BL154" i="1" s="1"/>
  <c r="BH154" i="1"/>
  <c r="BG154" i="1"/>
  <c r="AF154" i="1"/>
  <c r="AC154" i="1"/>
  <c r="W154" i="1"/>
  <c r="Y154" i="1" s="1"/>
  <c r="P154" i="1"/>
  <c r="N154" i="1"/>
  <c r="K154" i="1"/>
  <c r="G154" i="1"/>
  <c r="BN153" i="1"/>
  <c r="BM153" i="1"/>
  <c r="BJ153" i="1"/>
  <c r="BH153" i="1"/>
  <c r="BG153" i="1"/>
  <c r="AF153" i="1"/>
  <c r="AC153" i="1"/>
  <c r="W153" i="1"/>
  <c r="Y153" i="1" s="1"/>
  <c r="P153" i="1"/>
  <c r="N153" i="1"/>
  <c r="K153" i="1"/>
  <c r="I153" i="1"/>
  <c r="G153" i="1"/>
  <c r="BN152" i="1"/>
  <c r="BM152" i="1"/>
  <c r="BJ152" i="1"/>
  <c r="BH152" i="1"/>
  <c r="BG152" i="1"/>
  <c r="AF152" i="1"/>
  <c r="AC152" i="1"/>
  <c r="W152" i="1"/>
  <c r="Y152" i="1" s="1"/>
  <c r="P152" i="1"/>
  <c r="N152" i="1"/>
  <c r="K152" i="1"/>
  <c r="I152" i="1"/>
  <c r="G152" i="1"/>
  <c r="BN151" i="1"/>
  <c r="BM151" i="1"/>
  <c r="BJ151" i="1"/>
  <c r="BG151" i="1"/>
  <c r="AF151" i="1"/>
  <c r="AC151" i="1"/>
  <c r="W151" i="1"/>
  <c r="Y151" i="1" s="1"/>
  <c r="P151" i="1"/>
  <c r="N151" i="1"/>
  <c r="K151" i="1"/>
  <c r="I151" i="1"/>
  <c r="G151" i="1"/>
  <c r="BS150" i="1"/>
  <c r="BN150" i="1"/>
  <c r="BM150" i="1"/>
  <c r="BJ150" i="1"/>
  <c r="BL150" i="1" s="1"/>
  <c r="BG150" i="1"/>
  <c r="AF150" i="1"/>
  <c r="AC150" i="1"/>
  <c r="W150" i="1"/>
  <c r="Y150" i="1" s="1"/>
  <c r="P150" i="1"/>
  <c r="N150" i="1"/>
  <c r="K150" i="1"/>
  <c r="I150" i="1"/>
  <c r="G150" i="1"/>
  <c r="BN149" i="1"/>
  <c r="BM149" i="1"/>
  <c r="BJ149" i="1"/>
  <c r="BL149" i="1" s="1"/>
  <c r="BH149" i="1"/>
  <c r="BG149" i="1"/>
  <c r="AF149" i="1"/>
  <c r="W149" i="1"/>
  <c r="Y149" i="1" s="1"/>
  <c r="P149" i="1"/>
  <c r="N149" i="1"/>
  <c r="K149" i="1"/>
  <c r="I149" i="1"/>
  <c r="G149" i="1"/>
  <c r="BS148" i="1"/>
  <c r="BN148" i="1"/>
  <c r="BM148" i="1"/>
  <c r="BJ148" i="1"/>
  <c r="BH148" i="1"/>
  <c r="BG148" i="1"/>
  <c r="AF148" i="1"/>
  <c r="AC148" i="1"/>
  <c r="W148" i="1"/>
  <c r="Y148" i="1" s="1"/>
  <c r="P148" i="1"/>
  <c r="N148" i="1"/>
  <c r="K148" i="1"/>
  <c r="I148" i="1"/>
  <c r="G148" i="1"/>
  <c r="BN147" i="1"/>
  <c r="BM147" i="1"/>
  <c r="BJ147" i="1"/>
  <c r="BL147" i="1" s="1"/>
  <c r="BH147" i="1"/>
  <c r="BG147" i="1"/>
  <c r="AF147" i="1"/>
  <c r="AC147" i="1"/>
  <c r="W147" i="1"/>
  <c r="Y147" i="1" s="1"/>
  <c r="P147" i="1"/>
  <c r="K147" i="1"/>
  <c r="I147" i="1"/>
  <c r="G147" i="1"/>
  <c r="BN146" i="1"/>
  <c r="BM146" i="1"/>
  <c r="BJ146" i="1"/>
  <c r="BG146" i="1"/>
  <c r="AF146" i="1"/>
  <c r="W146" i="1"/>
  <c r="Y146" i="1" s="1"/>
  <c r="P146" i="1"/>
  <c r="N146" i="1"/>
  <c r="L146" i="1"/>
  <c r="K146" i="1"/>
  <c r="I146" i="1"/>
  <c r="G146" i="1"/>
  <c r="BN145" i="1"/>
  <c r="BM145" i="1"/>
  <c r="BJ145" i="1"/>
  <c r="BG145" i="1"/>
  <c r="AF145" i="1"/>
  <c r="AC145" i="1"/>
  <c r="W145" i="1"/>
  <c r="Y145" i="1" s="1"/>
  <c r="P145" i="1"/>
  <c r="N145" i="1"/>
  <c r="K145" i="1"/>
  <c r="I145" i="1"/>
  <c r="G145" i="1"/>
  <c r="BN144" i="1"/>
  <c r="BM144" i="1"/>
  <c r="BJ144" i="1"/>
  <c r="BL144" i="1" s="1"/>
  <c r="BH144" i="1"/>
  <c r="BG144" i="1"/>
  <c r="AF144" i="1"/>
  <c r="AC144" i="1"/>
  <c r="W144" i="1"/>
  <c r="Y144" i="1" s="1"/>
  <c r="P144" i="1"/>
  <c r="N144" i="1"/>
  <c r="K144" i="1"/>
  <c r="I144" i="1"/>
  <c r="G144" i="1"/>
  <c r="AF143" i="1"/>
  <c r="W143" i="1"/>
  <c r="Y143" i="1" s="1"/>
  <c r="P143" i="1"/>
  <c r="L143" i="1"/>
  <c r="J143" i="1"/>
  <c r="H143" i="1"/>
  <c r="BN142" i="1"/>
  <c r="BM142" i="1"/>
  <c r="BJ142" i="1"/>
  <c r="BL142" i="1" s="1"/>
  <c r="BH142" i="1"/>
  <c r="BG142" i="1"/>
  <c r="AF142" i="1"/>
  <c r="AC142" i="1"/>
  <c r="W142" i="1"/>
  <c r="Y142" i="1" s="1"/>
  <c r="P142" i="1"/>
  <c r="N142" i="1"/>
  <c r="K142" i="1"/>
  <c r="I142" i="1"/>
  <c r="G142" i="1"/>
  <c r="BN141" i="1"/>
  <c r="BM141" i="1"/>
  <c r="BJ141" i="1"/>
  <c r="BH141" i="1"/>
  <c r="BG141" i="1"/>
  <c r="AF141" i="1"/>
  <c r="W141" i="1"/>
  <c r="Y141" i="1" s="1"/>
  <c r="P141" i="1"/>
  <c r="N141" i="1"/>
  <c r="K141" i="1"/>
  <c r="I141" i="1"/>
  <c r="G141" i="1"/>
  <c r="BN140" i="1"/>
  <c r="BM140" i="1"/>
  <c r="BJ140" i="1"/>
  <c r="BL140" i="1" s="1"/>
  <c r="BG140" i="1"/>
  <c r="AF140" i="1"/>
  <c r="AC140" i="1"/>
  <c r="W140" i="1"/>
  <c r="Y140" i="1" s="1"/>
  <c r="P140" i="1"/>
  <c r="N140" i="1"/>
  <c r="K140" i="1"/>
  <c r="I140" i="1"/>
  <c r="G140" i="1"/>
  <c r="BN139" i="1"/>
  <c r="BM139" i="1"/>
  <c r="BJ139" i="1"/>
  <c r="BH139" i="1"/>
  <c r="BG139" i="1"/>
  <c r="AF139" i="1"/>
  <c r="W139" i="1"/>
  <c r="Y139" i="1" s="1"/>
  <c r="P139" i="1"/>
  <c r="N139" i="1"/>
  <c r="K139" i="1"/>
  <c r="I139" i="1"/>
  <c r="G139" i="1"/>
  <c r="BN138" i="1"/>
  <c r="BM138" i="1"/>
  <c r="BJ138" i="1"/>
  <c r="BL138" i="1" s="1"/>
  <c r="BG138" i="1"/>
  <c r="AF138" i="1"/>
  <c r="AC138" i="1"/>
  <c r="W138" i="1"/>
  <c r="Y138" i="1" s="1"/>
  <c r="N138" i="1"/>
  <c r="M138" i="1"/>
  <c r="P138" i="1" s="1"/>
  <c r="K138" i="1"/>
  <c r="G138" i="1"/>
  <c r="BN137" i="1"/>
  <c r="BM137" i="1"/>
  <c r="BJ137" i="1"/>
  <c r="BG137" i="1"/>
  <c r="AF137" i="1"/>
  <c r="AC137" i="1"/>
  <c r="W137" i="1"/>
  <c r="Y137" i="1" s="1"/>
  <c r="N137" i="1"/>
  <c r="M137" i="1"/>
  <c r="P137" i="1" s="1"/>
  <c r="K137" i="1"/>
  <c r="G137" i="1"/>
  <c r="BN136" i="1"/>
  <c r="BM136" i="1"/>
  <c r="BJ136" i="1"/>
  <c r="BL136" i="1" s="1"/>
  <c r="BG136" i="1"/>
  <c r="AF136" i="1"/>
  <c r="AC136" i="1"/>
  <c r="W136" i="1"/>
  <c r="Y136" i="1" s="1"/>
  <c r="N136" i="1"/>
  <c r="M136" i="1"/>
  <c r="P136" i="1" s="1"/>
  <c r="K136" i="1"/>
  <c r="G136" i="1"/>
  <c r="BN135" i="1"/>
  <c r="BM135" i="1"/>
  <c r="BJ135" i="1"/>
  <c r="BG135" i="1"/>
  <c r="AF135" i="1"/>
  <c r="AC135" i="1"/>
  <c r="W135" i="1"/>
  <c r="Y135" i="1" s="1"/>
  <c r="P135" i="1"/>
  <c r="N135" i="1"/>
  <c r="K135" i="1"/>
  <c r="G135" i="1"/>
  <c r="BN134" i="1"/>
  <c r="BM134" i="1"/>
  <c r="BJ134" i="1"/>
  <c r="BL134" i="1" s="1"/>
  <c r="BG134" i="1"/>
  <c r="AF134" i="1"/>
  <c r="AC134" i="1"/>
  <c r="W134" i="1"/>
  <c r="Y134" i="1" s="1"/>
  <c r="N134" i="1"/>
  <c r="M134" i="1"/>
  <c r="P134" i="1" s="1"/>
  <c r="K134" i="1"/>
  <c r="G134" i="1"/>
  <c r="BN132" i="1"/>
  <c r="BM132" i="1"/>
  <c r="BJ132" i="1"/>
  <c r="BL132" i="1" s="1"/>
  <c r="BG132" i="1"/>
  <c r="AF132" i="1"/>
  <c r="AC132" i="1"/>
  <c r="W132" i="1"/>
  <c r="Y132" i="1" s="1"/>
  <c r="N132" i="1"/>
  <c r="M132" i="1"/>
  <c r="P132" i="1" s="1"/>
  <c r="K132" i="1"/>
  <c r="G132" i="1"/>
  <c r="BN131" i="1"/>
  <c r="BM131" i="1"/>
  <c r="BJ131" i="1"/>
  <c r="BK131" i="1" s="1"/>
  <c r="BG131" i="1"/>
  <c r="AF131" i="1"/>
  <c r="AC131" i="1"/>
  <c r="W131" i="1"/>
  <c r="Y131" i="1" s="1"/>
  <c r="N131" i="1"/>
  <c r="M131" i="1"/>
  <c r="P131" i="1" s="1"/>
  <c r="K131" i="1"/>
  <c r="G131" i="1"/>
  <c r="BN130" i="1"/>
  <c r="BM130" i="1"/>
  <c r="BJ130" i="1"/>
  <c r="BL130" i="1" s="1"/>
  <c r="BG130" i="1"/>
  <c r="AF130" i="1"/>
  <c r="AC130" i="1"/>
  <c r="W130" i="1"/>
  <c r="Y130" i="1" s="1"/>
  <c r="N130" i="1"/>
  <c r="M130" i="1"/>
  <c r="P130" i="1" s="1"/>
  <c r="K130" i="1"/>
  <c r="G130" i="1"/>
  <c r="BN129" i="1"/>
  <c r="BM129" i="1"/>
  <c r="BJ129" i="1"/>
  <c r="BG129" i="1"/>
  <c r="AF129" i="1"/>
  <c r="AC129" i="1"/>
  <c r="W129" i="1"/>
  <c r="Y129" i="1" s="1"/>
  <c r="P129" i="1"/>
  <c r="N129" i="1"/>
  <c r="K129" i="1"/>
  <c r="I129" i="1"/>
  <c r="G129" i="1"/>
  <c r="BN128" i="1"/>
  <c r="BM128" i="1"/>
  <c r="BJ128" i="1"/>
  <c r="BG128" i="1"/>
  <c r="AF128" i="1"/>
  <c r="W128" i="1"/>
  <c r="Y128" i="1" s="1"/>
  <c r="P128" i="1"/>
  <c r="N128" i="1"/>
  <c r="K128" i="1"/>
  <c r="I128" i="1"/>
  <c r="G128" i="1"/>
  <c r="BN127" i="1"/>
  <c r="BM127" i="1"/>
  <c r="BJ127" i="1"/>
  <c r="BK127" i="1" s="1"/>
  <c r="BG127" i="1"/>
  <c r="AF127" i="1"/>
  <c r="W127" i="1"/>
  <c r="Y127" i="1" s="1"/>
  <c r="P127" i="1"/>
  <c r="N127" i="1"/>
  <c r="K127" i="1"/>
  <c r="I127" i="1"/>
  <c r="G127" i="1"/>
  <c r="BN126" i="1"/>
  <c r="BM126" i="1"/>
  <c r="BJ126" i="1"/>
  <c r="BG126" i="1"/>
  <c r="AF126" i="1"/>
  <c r="AC126" i="1"/>
  <c r="W126" i="1"/>
  <c r="Y126" i="1" s="1"/>
  <c r="P126" i="1"/>
  <c r="N126" i="1"/>
  <c r="K126" i="1"/>
  <c r="I126" i="1"/>
  <c r="G126" i="1"/>
  <c r="BN125" i="1"/>
  <c r="BM125" i="1"/>
  <c r="BJ125" i="1"/>
  <c r="BL125" i="1" s="1"/>
  <c r="BH125" i="1"/>
  <c r="BG125" i="1"/>
  <c r="AF125" i="1"/>
  <c r="AC125" i="1"/>
  <c r="W125" i="1"/>
  <c r="Y125" i="1" s="1"/>
  <c r="P125" i="1"/>
  <c r="N125" i="1"/>
  <c r="K125" i="1"/>
  <c r="I125" i="1"/>
  <c r="G125" i="1"/>
  <c r="BN124" i="1"/>
  <c r="BM124" i="1"/>
  <c r="BJ124" i="1"/>
  <c r="BG124" i="1"/>
  <c r="AF124" i="1"/>
  <c r="W124" i="1"/>
  <c r="Y124" i="1" s="1"/>
  <c r="P124" i="1"/>
  <c r="N124" i="1"/>
  <c r="K124" i="1"/>
  <c r="I124" i="1"/>
  <c r="G124" i="1"/>
  <c r="BN123" i="1"/>
  <c r="BM123" i="1"/>
  <c r="BJ123" i="1"/>
  <c r="BH123" i="1"/>
  <c r="BG123" i="1"/>
  <c r="AF123" i="1"/>
  <c r="AC123" i="1"/>
  <c r="W123" i="1"/>
  <c r="Y123" i="1" s="1"/>
  <c r="P123" i="1"/>
  <c r="N123" i="1"/>
  <c r="K123" i="1"/>
  <c r="I123" i="1"/>
  <c r="G123" i="1"/>
  <c r="BS122" i="1"/>
  <c r="BN122" i="1"/>
  <c r="BM122" i="1"/>
  <c r="BJ122" i="1"/>
  <c r="BL122" i="1" s="1"/>
  <c r="BH122" i="1"/>
  <c r="BG122" i="1"/>
  <c r="AF122" i="1"/>
  <c r="AC122" i="1"/>
  <c r="W122" i="1"/>
  <c r="Y122" i="1" s="1"/>
  <c r="P122" i="1"/>
  <c r="N122" i="1"/>
  <c r="L122" i="1"/>
  <c r="K122" i="1"/>
  <c r="I122" i="1"/>
  <c r="G122" i="1"/>
  <c r="BN121" i="1"/>
  <c r="BM121" i="1"/>
  <c r="BJ121" i="1"/>
  <c r="BK121" i="1" s="1"/>
  <c r="BG121" i="1"/>
  <c r="AF121" i="1"/>
  <c r="AC121" i="1"/>
  <c r="W121" i="1"/>
  <c r="Y121" i="1" s="1"/>
  <c r="P121" i="1"/>
  <c r="N121" i="1"/>
  <c r="K121" i="1"/>
  <c r="I121" i="1"/>
  <c r="G121" i="1"/>
  <c r="BN120" i="1"/>
  <c r="BM120" i="1"/>
  <c r="BJ120" i="1"/>
  <c r="BL120" i="1" s="1"/>
  <c r="BH120" i="1"/>
  <c r="BG120" i="1"/>
  <c r="AF120" i="1"/>
  <c r="AC120" i="1"/>
  <c r="W120" i="1"/>
  <c r="Y120" i="1" s="1"/>
  <c r="P120" i="1"/>
  <c r="N120" i="1"/>
  <c r="K120" i="1"/>
  <c r="I120" i="1"/>
  <c r="G120" i="1"/>
  <c r="BN119" i="1"/>
  <c r="BM119" i="1"/>
  <c r="BJ119" i="1"/>
  <c r="BL119" i="1" s="1"/>
  <c r="BG119" i="1"/>
  <c r="AF119" i="1"/>
  <c r="AC119" i="1"/>
  <c r="W119" i="1"/>
  <c r="Y119" i="1" s="1"/>
  <c r="P119" i="1"/>
  <c r="N119" i="1"/>
  <c r="L119" i="1"/>
  <c r="K119" i="1"/>
  <c r="I119" i="1"/>
  <c r="G119" i="1"/>
  <c r="BN118" i="1"/>
  <c r="BM118" i="1"/>
  <c r="BJ118" i="1"/>
  <c r="BL118" i="1" s="1"/>
  <c r="BH118" i="1"/>
  <c r="BG118" i="1"/>
  <c r="AF118" i="1"/>
  <c r="AC118" i="1"/>
  <c r="W118" i="1"/>
  <c r="Y118" i="1" s="1"/>
  <c r="P118" i="1"/>
  <c r="K118" i="1"/>
  <c r="I118" i="1"/>
  <c r="G118" i="1"/>
  <c r="BS117" i="1"/>
  <c r="AF117" i="1"/>
  <c r="W117" i="1"/>
  <c r="Y117" i="1" s="1"/>
  <c r="P117" i="1"/>
  <c r="N117" i="1"/>
  <c r="L117" i="1"/>
  <c r="J117" i="1"/>
  <c r="H117" i="1"/>
  <c r="BS116" i="1"/>
  <c r="AF116" i="1"/>
  <c r="W116" i="1"/>
  <c r="Y116" i="1" s="1"/>
  <c r="P116" i="1"/>
  <c r="N116" i="1"/>
  <c r="L116" i="1"/>
  <c r="J116" i="1"/>
  <c r="H116" i="1"/>
  <c r="BS115" i="1"/>
  <c r="AF115" i="1"/>
  <c r="W115" i="1"/>
  <c r="Y115" i="1" s="1"/>
  <c r="P115" i="1"/>
  <c r="N115" i="1"/>
  <c r="L115" i="1"/>
  <c r="J115" i="1"/>
  <c r="H115" i="1"/>
  <c r="BN114" i="1"/>
  <c r="BM114" i="1"/>
  <c r="BJ114" i="1"/>
  <c r="BH114" i="1"/>
  <c r="BG114" i="1"/>
  <c r="AF114" i="1"/>
  <c r="W114" i="1"/>
  <c r="Y114" i="1" s="1"/>
  <c r="P114" i="1"/>
  <c r="N114" i="1"/>
  <c r="K114" i="1"/>
  <c r="I114" i="1"/>
  <c r="G114" i="1"/>
  <c r="BN113" i="1"/>
  <c r="BM113" i="1"/>
  <c r="BJ113" i="1"/>
  <c r="BH113" i="1"/>
  <c r="BG113" i="1"/>
  <c r="AF113" i="1"/>
  <c r="W113" i="1"/>
  <c r="Y113" i="1" s="1"/>
  <c r="P113" i="1"/>
  <c r="N113" i="1"/>
  <c r="K113" i="1"/>
  <c r="I113" i="1"/>
  <c r="G113" i="1"/>
  <c r="BN112" i="1"/>
  <c r="BM112" i="1"/>
  <c r="BJ112" i="1"/>
  <c r="BK112" i="1" s="1"/>
  <c r="BG112" i="1"/>
  <c r="AF112" i="1"/>
  <c r="AC112" i="1"/>
  <c r="W112" i="1"/>
  <c r="Y112" i="1" s="1"/>
  <c r="P112" i="1"/>
  <c r="N112" i="1"/>
  <c r="K112" i="1"/>
  <c r="I112" i="1"/>
  <c r="G112" i="1"/>
  <c r="BN111" i="1"/>
  <c r="BM111" i="1"/>
  <c r="BJ111" i="1"/>
  <c r="BL111" i="1" s="1"/>
  <c r="BG111" i="1"/>
  <c r="AF111" i="1"/>
  <c r="AC111" i="1"/>
  <c r="W111" i="1"/>
  <c r="Y111" i="1" s="1"/>
  <c r="P111" i="1"/>
  <c r="N111" i="1"/>
  <c r="K111" i="1"/>
  <c r="I111" i="1"/>
  <c r="G111" i="1"/>
  <c r="BN110" i="1"/>
  <c r="BM110" i="1"/>
  <c r="BJ110" i="1"/>
  <c r="BH110" i="1"/>
  <c r="BG110" i="1"/>
  <c r="AF110" i="1"/>
  <c r="W110" i="1"/>
  <c r="Y110" i="1" s="1"/>
  <c r="P110" i="1"/>
  <c r="N110" i="1"/>
  <c r="K110" i="1"/>
  <c r="I110" i="1"/>
  <c r="G110" i="1"/>
  <c r="BN109" i="1"/>
  <c r="BM109" i="1"/>
  <c r="BJ109" i="1"/>
  <c r="BL109" i="1" s="1"/>
  <c r="BG109" i="1"/>
  <c r="AF109" i="1"/>
  <c r="AC109" i="1"/>
  <c r="W109" i="1"/>
  <c r="Y109" i="1" s="1"/>
  <c r="P109" i="1"/>
  <c r="N109" i="1"/>
  <c r="L109" i="1"/>
  <c r="K109" i="1"/>
  <c r="I109" i="1"/>
  <c r="G109" i="1"/>
  <c r="BN108" i="1"/>
  <c r="BM108" i="1"/>
  <c r="BJ108" i="1"/>
  <c r="BL108" i="1" s="1"/>
  <c r="BG108" i="1"/>
  <c r="AF108" i="1"/>
  <c r="AC108" i="1"/>
  <c r="W108" i="1"/>
  <c r="Y108" i="1" s="1"/>
  <c r="P108" i="1"/>
  <c r="N108" i="1"/>
  <c r="K108" i="1"/>
  <c r="I108" i="1"/>
  <c r="G108" i="1"/>
  <c r="BS107" i="1"/>
  <c r="BN107" i="1"/>
  <c r="BM107" i="1"/>
  <c r="BJ107" i="1"/>
  <c r="BL107" i="1" s="1"/>
  <c r="BG107" i="1"/>
  <c r="AF107" i="1"/>
  <c r="AC107" i="1"/>
  <c r="W107" i="1"/>
  <c r="Y107" i="1" s="1"/>
  <c r="P107" i="1"/>
  <c r="N107" i="1"/>
  <c r="L107" i="1"/>
  <c r="K107" i="1"/>
  <c r="I107" i="1"/>
  <c r="G107" i="1"/>
  <c r="BN106" i="1"/>
  <c r="BM106" i="1"/>
  <c r="BJ106" i="1"/>
  <c r="BL106" i="1" s="1"/>
  <c r="BH106" i="1"/>
  <c r="BG106" i="1"/>
  <c r="AF106" i="1"/>
  <c r="AC106" i="1"/>
  <c r="W106" i="1"/>
  <c r="Y106" i="1" s="1"/>
  <c r="P106" i="1"/>
  <c r="N106" i="1"/>
  <c r="K106" i="1"/>
  <c r="I106" i="1"/>
  <c r="G106" i="1"/>
  <c r="BN105" i="1"/>
  <c r="BM105" i="1"/>
  <c r="BJ105" i="1"/>
  <c r="BL105" i="1" s="1"/>
  <c r="BG105" i="1"/>
  <c r="AF105" i="1"/>
  <c r="W105" i="1"/>
  <c r="Y105" i="1" s="1"/>
  <c r="P105" i="1"/>
  <c r="N105" i="1"/>
  <c r="K105" i="1"/>
  <c r="I105" i="1"/>
  <c r="G105" i="1"/>
  <c r="BS104" i="1"/>
  <c r="BN104" i="1"/>
  <c r="BM104" i="1"/>
  <c r="BJ104" i="1"/>
  <c r="BK104" i="1" s="1"/>
  <c r="BG104" i="1"/>
  <c r="AF104" i="1"/>
  <c r="AC104" i="1"/>
  <c r="W104" i="1"/>
  <c r="Y104" i="1" s="1"/>
  <c r="P104" i="1"/>
  <c r="K104" i="1"/>
  <c r="I104" i="1"/>
  <c r="G104" i="1"/>
  <c r="BN103" i="1"/>
  <c r="BM103" i="1"/>
  <c r="BJ103" i="1"/>
  <c r="BK103" i="1" s="1"/>
  <c r="BG103" i="1"/>
  <c r="AF103" i="1"/>
  <c r="AC103" i="1"/>
  <c r="W103" i="1"/>
  <c r="Y103" i="1" s="1"/>
  <c r="P103" i="1"/>
  <c r="N103" i="1"/>
  <c r="K103" i="1"/>
  <c r="I103" i="1"/>
  <c r="G103" i="1"/>
  <c r="BN102" i="1"/>
  <c r="BM102" i="1"/>
  <c r="BJ102" i="1"/>
  <c r="BL102" i="1" s="1"/>
  <c r="BG102" i="1"/>
  <c r="AF102" i="1"/>
  <c r="AC102" i="1"/>
  <c r="W102" i="1"/>
  <c r="Y102" i="1" s="1"/>
  <c r="P102" i="1"/>
  <c r="N102" i="1"/>
  <c r="K102" i="1"/>
  <c r="I102" i="1"/>
  <c r="G102" i="1"/>
  <c r="BS101" i="1"/>
  <c r="BN101" i="1"/>
  <c r="BM101" i="1"/>
  <c r="BJ101" i="1"/>
  <c r="BG101" i="1"/>
  <c r="AF101" i="1"/>
  <c r="AC101" i="1"/>
  <c r="W101" i="1"/>
  <c r="Y101" i="1" s="1"/>
  <c r="P101" i="1"/>
  <c r="N101" i="1"/>
  <c r="L101" i="1"/>
  <c r="K101" i="1"/>
  <c r="I101" i="1"/>
  <c r="G101" i="1"/>
  <c r="BS100" i="1"/>
  <c r="BN100" i="1"/>
  <c r="BM100" i="1"/>
  <c r="BJ100" i="1"/>
  <c r="BG100" i="1"/>
  <c r="AF100" i="1"/>
  <c r="AC100" i="1"/>
  <c r="W100" i="1"/>
  <c r="Y100" i="1" s="1"/>
  <c r="P100" i="1"/>
  <c r="N100" i="1"/>
  <c r="L100" i="1"/>
  <c r="K100" i="1"/>
  <c r="I100" i="1"/>
  <c r="G100" i="1"/>
  <c r="BN99" i="1"/>
  <c r="BM99" i="1"/>
  <c r="BJ99" i="1"/>
  <c r="BK99" i="1" s="1"/>
  <c r="BH99" i="1"/>
  <c r="BG99" i="1"/>
  <c r="AF99" i="1"/>
  <c r="W99" i="1"/>
  <c r="Y99" i="1" s="1"/>
  <c r="P99" i="1"/>
  <c r="N99" i="1"/>
  <c r="K99" i="1"/>
  <c r="I99" i="1"/>
  <c r="G99" i="1"/>
  <c r="BN98" i="1"/>
  <c r="BM98" i="1"/>
  <c r="BJ98" i="1"/>
  <c r="BL98" i="1" s="1"/>
  <c r="BH98" i="1"/>
  <c r="BG98" i="1"/>
  <c r="AF98" i="1"/>
  <c r="W98" i="1"/>
  <c r="P98" i="1"/>
  <c r="N98" i="1"/>
  <c r="K98" i="1"/>
  <c r="I98" i="1"/>
  <c r="G98" i="1"/>
  <c r="AF97" i="1"/>
  <c r="W97" i="1"/>
  <c r="Y97" i="1" s="1"/>
  <c r="P97" i="1"/>
  <c r="N97" i="1"/>
  <c r="L97" i="1"/>
  <c r="J97" i="1"/>
  <c r="K97" i="1" s="1"/>
  <c r="G97" i="1"/>
  <c r="AF96" i="1"/>
  <c r="W96" i="1"/>
  <c r="Y96" i="1" s="1"/>
  <c r="P96" i="1"/>
  <c r="N96" i="1"/>
  <c r="L96" i="1"/>
  <c r="J96" i="1"/>
  <c r="K96" i="1" s="1"/>
  <c r="G96" i="1"/>
  <c r="AF95" i="1"/>
  <c r="W95" i="1"/>
  <c r="Y95" i="1" s="1"/>
  <c r="P95" i="1"/>
  <c r="N95" i="1"/>
  <c r="L95" i="1"/>
  <c r="J95" i="1"/>
  <c r="K95" i="1" s="1"/>
  <c r="G95" i="1"/>
  <c r="BN94" i="1"/>
  <c r="BM94" i="1"/>
  <c r="BJ94" i="1"/>
  <c r="BH94" i="1"/>
  <c r="BG94" i="1"/>
  <c r="AF94" i="1"/>
  <c r="AC94" i="1"/>
  <c r="W94" i="1"/>
  <c r="Y94" i="1" s="1"/>
  <c r="P94" i="1"/>
  <c r="N94" i="1"/>
  <c r="K94" i="1"/>
  <c r="I94" i="1"/>
  <c r="G94" i="1"/>
  <c r="BN93" i="1"/>
  <c r="BM93" i="1"/>
  <c r="BJ93" i="1"/>
  <c r="BK93" i="1" s="1"/>
  <c r="BG93" i="1"/>
  <c r="AF93" i="1"/>
  <c r="AC93" i="1"/>
  <c r="W93" i="1"/>
  <c r="Y93" i="1" s="1"/>
  <c r="P93" i="1"/>
  <c r="N93" i="1"/>
  <c r="L93" i="1"/>
  <c r="K93" i="1"/>
  <c r="I93" i="1"/>
  <c r="G93" i="1"/>
  <c r="BN92" i="1"/>
  <c r="BM92" i="1"/>
  <c r="BJ92" i="1"/>
  <c r="BG92" i="1"/>
  <c r="AF92" i="1"/>
  <c r="AC92" i="1"/>
  <c r="W92" i="1"/>
  <c r="Y92" i="1" s="1"/>
  <c r="P92" i="1"/>
  <c r="N92" i="1"/>
  <c r="L92" i="1"/>
  <c r="K92" i="1"/>
  <c r="I92" i="1"/>
  <c r="G92" i="1"/>
  <c r="BN91" i="1"/>
  <c r="BM91" i="1"/>
  <c r="BJ91" i="1"/>
  <c r="BK91" i="1" s="1"/>
  <c r="BH91" i="1"/>
  <c r="BG91" i="1"/>
  <c r="AF91" i="1"/>
  <c r="W91" i="1"/>
  <c r="Y91" i="1" s="1"/>
  <c r="P91" i="1"/>
  <c r="N91" i="1"/>
  <c r="K91" i="1"/>
  <c r="I91" i="1"/>
  <c r="G91" i="1"/>
  <c r="BN90" i="1"/>
  <c r="BM90" i="1"/>
  <c r="BJ90" i="1"/>
  <c r="BL90" i="1" s="1"/>
  <c r="BG90" i="1"/>
  <c r="AF90" i="1"/>
  <c r="AC90" i="1"/>
  <c r="W90" i="1"/>
  <c r="Y90" i="1" s="1"/>
  <c r="P90" i="1"/>
  <c r="N90" i="1"/>
  <c r="K90" i="1"/>
  <c r="I90" i="1"/>
  <c r="G90" i="1"/>
  <c r="BN89" i="1"/>
  <c r="BM89" i="1"/>
  <c r="BJ89" i="1"/>
  <c r="BG89" i="1"/>
  <c r="AF89" i="1"/>
  <c r="W89" i="1"/>
  <c r="Y89" i="1" s="1"/>
  <c r="P89" i="1"/>
  <c r="N89" i="1"/>
  <c r="K89" i="1"/>
  <c r="I89" i="1"/>
  <c r="G89" i="1"/>
  <c r="BN88" i="1"/>
  <c r="BM88" i="1"/>
  <c r="BJ88" i="1"/>
  <c r="BH88" i="1"/>
  <c r="BG88" i="1"/>
  <c r="AF88" i="1"/>
  <c r="AC88" i="1"/>
  <c r="W88" i="1"/>
  <c r="Y88" i="1" s="1"/>
  <c r="P88" i="1"/>
  <c r="N88" i="1"/>
  <c r="K88" i="1"/>
  <c r="I88" i="1"/>
  <c r="G88" i="1"/>
  <c r="BN87" i="1"/>
  <c r="BM87" i="1"/>
  <c r="BJ87" i="1"/>
  <c r="BK87" i="1" s="1"/>
  <c r="BH87" i="1"/>
  <c r="BG87" i="1"/>
  <c r="AF87" i="1"/>
  <c r="AC87" i="1"/>
  <c r="W87" i="1"/>
  <c r="Y87" i="1" s="1"/>
  <c r="P87" i="1"/>
  <c r="N87" i="1"/>
  <c r="K87" i="1"/>
  <c r="I87" i="1"/>
  <c r="G87" i="1"/>
  <c r="BN86" i="1"/>
  <c r="BM86" i="1"/>
  <c r="BJ86" i="1"/>
  <c r="BG86" i="1"/>
  <c r="AF86" i="1"/>
  <c r="AC86" i="1"/>
  <c r="W86" i="1"/>
  <c r="Y86" i="1" s="1"/>
  <c r="P86" i="1"/>
  <c r="N86" i="1"/>
  <c r="K86" i="1"/>
  <c r="I86" i="1"/>
  <c r="G86" i="1"/>
  <c r="BN85" i="1"/>
  <c r="BM85" i="1"/>
  <c r="BJ85" i="1"/>
  <c r="BK85" i="1" s="1"/>
  <c r="BG85" i="1"/>
  <c r="AF85" i="1"/>
  <c r="AC85" i="1"/>
  <c r="W85" i="1"/>
  <c r="Y85" i="1" s="1"/>
  <c r="P85" i="1"/>
  <c r="N85" i="1"/>
  <c r="K85" i="1"/>
  <c r="I85" i="1"/>
  <c r="G85" i="1"/>
  <c r="AF84" i="1"/>
  <c r="W84" i="1"/>
  <c r="Y84" i="1" s="1"/>
  <c r="P84" i="1"/>
  <c r="N84" i="1"/>
  <c r="L84" i="1"/>
  <c r="J84" i="1"/>
  <c r="H84" i="1"/>
  <c r="BN83" i="1"/>
  <c r="BM83" i="1"/>
  <c r="BJ83" i="1"/>
  <c r="BL83" i="1" s="1"/>
  <c r="BG83" i="1"/>
  <c r="AF83" i="1"/>
  <c r="W83" i="1"/>
  <c r="Y83" i="1" s="1"/>
  <c r="P83" i="1"/>
  <c r="N83" i="1"/>
  <c r="K83" i="1"/>
  <c r="I83" i="1"/>
  <c r="G83" i="1"/>
  <c r="BN82" i="1"/>
  <c r="BM82" i="1"/>
  <c r="BJ82" i="1"/>
  <c r="BL82" i="1" s="1"/>
  <c r="BH82" i="1"/>
  <c r="BG82" i="1"/>
  <c r="AF82" i="1"/>
  <c r="W82" i="1"/>
  <c r="Y82" i="1" s="1"/>
  <c r="P82" i="1"/>
  <c r="N82" i="1"/>
  <c r="K82" i="1"/>
  <c r="I82" i="1"/>
  <c r="G82" i="1"/>
  <c r="BN81" i="1"/>
  <c r="BM81" i="1"/>
  <c r="BJ81" i="1"/>
  <c r="BG81" i="1"/>
  <c r="AF81" i="1"/>
  <c r="AC81" i="1"/>
  <c r="W81" i="1"/>
  <c r="Y81" i="1" s="1"/>
  <c r="P81" i="1"/>
  <c r="N81" i="1"/>
  <c r="K81" i="1"/>
  <c r="I81" i="1"/>
  <c r="G81" i="1"/>
  <c r="BN80" i="1"/>
  <c r="BM80" i="1"/>
  <c r="BJ80" i="1"/>
  <c r="BG80" i="1"/>
  <c r="AF80" i="1"/>
  <c r="AC80" i="1"/>
  <c r="W80" i="1"/>
  <c r="Y80" i="1" s="1"/>
  <c r="P80" i="1"/>
  <c r="K80" i="1"/>
  <c r="I80" i="1"/>
  <c r="G80" i="1"/>
  <c r="BN79" i="1"/>
  <c r="BM79" i="1"/>
  <c r="BJ79" i="1"/>
  <c r="BG79" i="1"/>
  <c r="AF79" i="1"/>
  <c r="AC79" i="1"/>
  <c r="W79" i="1"/>
  <c r="Y79" i="1" s="1"/>
  <c r="P79" i="1"/>
  <c r="N79" i="1"/>
  <c r="K79" i="1"/>
  <c r="I79" i="1"/>
  <c r="G79" i="1"/>
  <c r="W78" i="1"/>
  <c r="Y78" i="1" s="1"/>
  <c r="P78" i="1"/>
  <c r="L78" i="1"/>
  <c r="G78" i="1"/>
  <c r="BN77" i="1"/>
  <c r="BM77" i="1"/>
  <c r="BJ77" i="1"/>
  <c r="BG77" i="1"/>
  <c r="AF77" i="1"/>
  <c r="W77" i="1"/>
  <c r="Y77" i="1" s="1"/>
  <c r="P77" i="1"/>
  <c r="N77" i="1"/>
  <c r="K77" i="1"/>
  <c r="I77" i="1"/>
  <c r="G77" i="1"/>
  <c r="BN76" i="1"/>
  <c r="BM76" i="1"/>
  <c r="BJ76" i="1"/>
  <c r="BG76" i="1"/>
  <c r="AF76" i="1"/>
  <c r="W76" i="1"/>
  <c r="Y76" i="1" s="1"/>
  <c r="P76" i="1"/>
  <c r="N76" i="1"/>
  <c r="K76" i="1"/>
  <c r="I76" i="1"/>
  <c r="G76" i="1"/>
  <c r="BS75" i="1"/>
  <c r="BN75" i="1"/>
  <c r="BM75" i="1"/>
  <c r="BJ75" i="1"/>
  <c r="BL75" i="1" s="1"/>
  <c r="BG75" i="1"/>
  <c r="AF75" i="1"/>
  <c r="AC75" i="1"/>
  <c r="W75" i="1"/>
  <c r="Y75" i="1" s="1"/>
  <c r="P75" i="1"/>
  <c r="N75" i="1"/>
  <c r="K75" i="1"/>
  <c r="I75" i="1"/>
  <c r="G75" i="1"/>
  <c r="BN74" i="1"/>
  <c r="BM74" i="1"/>
  <c r="BJ74" i="1"/>
  <c r="BG74" i="1"/>
  <c r="AF74" i="1"/>
  <c r="AC74" i="1"/>
  <c r="W74" i="1"/>
  <c r="Y74" i="1" s="1"/>
  <c r="P74" i="1"/>
  <c r="N74" i="1"/>
  <c r="L74" i="1"/>
  <c r="K74" i="1"/>
  <c r="I74" i="1"/>
  <c r="G74" i="1"/>
  <c r="BN73" i="1"/>
  <c r="BM73" i="1"/>
  <c r="BJ73" i="1"/>
  <c r="BG73" i="1"/>
  <c r="AF73" i="1"/>
  <c r="AC73" i="1"/>
  <c r="W73" i="1"/>
  <c r="Y73" i="1" s="1"/>
  <c r="P73" i="1"/>
  <c r="N73" i="1"/>
  <c r="K73" i="1"/>
  <c r="I73" i="1"/>
  <c r="G73" i="1"/>
  <c r="BN72" i="1"/>
  <c r="BM72" i="1"/>
  <c r="BJ72" i="1"/>
  <c r="BG72" i="1"/>
  <c r="AF72" i="1"/>
  <c r="W72" i="1"/>
  <c r="Y72" i="1" s="1"/>
  <c r="P72" i="1"/>
  <c r="N72" i="1"/>
  <c r="K72" i="1"/>
  <c r="I72" i="1"/>
  <c r="G72" i="1"/>
  <c r="BN71" i="1"/>
  <c r="BM71" i="1"/>
  <c r="BJ71" i="1"/>
  <c r="BL71" i="1" s="1"/>
  <c r="BG71" i="1"/>
  <c r="AC71" i="1"/>
  <c r="W71" i="1"/>
  <c r="Y71" i="1" s="1"/>
  <c r="P71" i="1"/>
  <c r="N71" i="1"/>
  <c r="L71" i="1"/>
  <c r="K71" i="1"/>
  <c r="I71" i="1"/>
  <c r="G71" i="1"/>
  <c r="AC70" i="1"/>
  <c r="W70" i="1"/>
  <c r="Y70" i="1" s="1"/>
  <c r="N70" i="1"/>
  <c r="K70" i="1"/>
  <c r="I70" i="1"/>
  <c r="G70" i="1"/>
  <c r="W69" i="1"/>
  <c r="Y69" i="1" s="1"/>
  <c r="N69" i="1"/>
  <c r="K69" i="1"/>
  <c r="I69" i="1"/>
  <c r="G69" i="1"/>
  <c r="AC68" i="1"/>
  <c r="W68" i="1"/>
  <c r="Y68" i="1" s="1"/>
  <c r="K68" i="1"/>
  <c r="I68" i="1"/>
  <c r="G68" i="1"/>
  <c r="BH67" i="1"/>
  <c r="W67" i="1"/>
  <c r="Y67" i="1" s="1"/>
  <c r="N67" i="1"/>
  <c r="K67" i="1"/>
  <c r="I67" i="1"/>
  <c r="G67" i="1"/>
  <c r="BN66" i="1"/>
  <c r="BM66" i="1"/>
  <c r="BJ66" i="1"/>
  <c r="BL66" i="1" s="1"/>
  <c r="BH66" i="1"/>
  <c r="BG66" i="1"/>
  <c r="AF66" i="1"/>
  <c r="AC66" i="1"/>
  <c r="W66" i="1"/>
  <c r="Y66" i="1" s="1"/>
  <c r="P66" i="1"/>
  <c r="N66" i="1"/>
  <c r="K66" i="1"/>
  <c r="I66" i="1"/>
  <c r="G66" i="1"/>
  <c r="BN65" i="1"/>
  <c r="BM65" i="1"/>
  <c r="BJ65" i="1"/>
  <c r="BK65" i="1" s="1"/>
  <c r="BG65" i="1"/>
  <c r="AF65" i="1"/>
  <c r="AC65" i="1"/>
  <c r="W65" i="1"/>
  <c r="Y65" i="1" s="1"/>
  <c r="P65" i="1"/>
  <c r="N65" i="1"/>
  <c r="K65" i="1"/>
  <c r="I65" i="1"/>
  <c r="BN64" i="1"/>
  <c r="BM64" i="1"/>
  <c r="BJ64" i="1"/>
  <c r="BL64" i="1" s="1"/>
  <c r="BG64" i="1"/>
  <c r="AF64" i="1"/>
  <c r="AC64" i="1"/>
  <c r="W64" i="1"/>
  <c r="Y64" i="1" s="1"/>
  <c r="P64" i="1"/>
  <c r="N64" i="1"/>
  <c r="K64" i="1"/>
  <c r="I64" i="1"/>
  <c r="G64" i="1"/>
  <c r="BN63" i="1"/>
  <c r="BM63" i="1"/>
  <c r="BJ63" i="1"/>
  <c r="BH63" i="1"/>
  <c r="BG63" i="1"/>
  <c r="AF63" i="1"/>
  <c r="AC63" i="1"/>
  <c r="W63" i="1"/>
  <c r="Y63" i="1" s="1"/>
  <c r="P63" i="1"/>
  <c r="N63" i="1"/>
  <c r="K63" i="1"/>
  <c r="I63" i="1"/>
  <c r="G63" i="1"/>
  <c r="BF62" i="1"/>
  <c r="K62" i="1"/>
  <c r="BN61" i="1"/>
  <c r="BM61" i="1"/>
  <c r="BJ61" i="1"/>
  <c r="BK61" i="1" s="1"/>
  <c r="BG61" i="1"/>
  <c r="AF61" i="1"/>
  <c r="AC61" i="1"/>
  <c r="W61" i="1"/>
  <c r="Y61" i="1" s="1"/>
  <c r="P61" i="1"/>
  <c r="N61" i="1"/>
  <c r="K61" i="1"/>
  <c r="I61" i="1"/>
  <c r="G61" i="1"/>
  <c r="BN60" i="1"/>
  <c r="BM60" i="1"/>
  <c r="BJ60" i="1"/>
  <c r="BL60" i="1" s="1"/>
  <c r="BG60" i="1"/>
  <c r="AF60" i="1"/>
  <c r="W60" i="1"/>
  <c r="Y60" i="1" s="1"/>
  <c r="P60" i="1"/>
  <c r="N60" i="1"/>
  <c r="K60" i="1"/>
  <c r="I60" i="1"/>
  <c r="G60" i="1"/>
  <c r="BN59" i="1"/>
  <c r="BM59" i="1"/>
  <c r="BJ59" i="1"/>
  <c r="BL59" i="1" s="1"/>
  <c r="BG59" i="1"/>
  <c r="AF59" i="1"/>
  <c r="AC59" i="1"/>
  <c r="W59" i="1"/>
  <c r="Y59" i="1" s="1"/>
  <c r="P59" i="1"/>
  <c r="N59" i="1"/>
  <c r="K59" i="1"/>
  <c r="I59" i="1"/>
  <c r="G59" i="1"/>
  <c r="BN58" i="1"/>
  <c r="BM58" i="1"/>
  <c r="BJ58" i="1"/>
  <c r="BL58" i="1" s="1"/>
  <c r="BH58" i="1"/>
  <c r="BG58" i="1"/>
  <c r="AF58" i="1"/>
  <c r="W58" i="1"/>
  <c r="Y58" i="1" s="1"/>
  <c r="P58" i="1"/>
  <c r="N58" i="1"/>
  <c r="K58" i="1"/>
  <c r="I58" i="1"/>
  <c r="G58" i="1"/>
  <c r="BN57" i="1"/>
  <c r="BM57" i="1"/>
  <c r="BJ57" i="1"/>
  <c r="BK57" i="1" s="1"/>
  <c r="BH57" i="1"/>
  <c r="BG57" i="1"/>
  <c r="AF57" i="1"/>
  <c r="AC57" i="1"/>
  <c r="W57" i="1"/>
  <c r="Y57" i="1" s="1"/>
  <c r="P57" i="1"/>
  <c r="N57" i="1"/>
  <c r="K57" i="1"/>
  <c r="I57" i="1"/>
  <c r="G57" i="1"/>
  <c r="BN56" i="1"/>
  <c r="BM56" i="1"/>
  <c r="BJ56" i="1"/>
  <c r="BL56" i="1" s="1"/>
  <c r="BG56" i="1"/>
  <c r="AF56" i="1"/>
  <c r="AC56" i="1"/>
  <c r="W56" i="1"/>
  <c r="Y56" i="1" s="1"/>
  <c r="P56" i="1"/>
  <c r="N56" i="1"/>
  <c r="L56" i="1"/>
  <c r="K56" i="1"/>
  <c r="I56" i="1"/>
  <c r="G56" i="1"/>
  <c r="BN55" i="1"/>
  <c r="BM55" i="1"/>
  <c r="BJ55" i="1"/>
  <c r="BL55" i="1" s="1"/>
  <c r="BH55" i="1"/>
  <c r="BG55" i="1"/>
  <c r="AF55" i="1"/>
  <c r="W55" i="1"/>
  <c r="Y55" i="1" s="1"/>
  <c r="P55" i="1"/>
  <c r="N55" i="1"/>
  <c r="K55" i="1"/>
  <c r="I55" i="1"/>
  <c r="G55" i="1"/>
  <c r="BN54" i="1"/>
  <c r="BM54" i="1"/>
  <c r="BJ54" i="1"/>
  <c r="BK54" i="1" s="1"/>
  <c r="BG54" i="1"/>
  <c r="AF54" i="1"/>
  <c r="AC54" i="1"/>
  <c r="W54" i="1"/>
  <c r="Y54" i="1" s="1"/>
  <c r="P54" i="1"/>
  <c r="N54" i="1"/>
  <c r="K54" i="1"/>
  <c r="I54" i="1"/>
  <c r="G54" i="1"/>
  <c r="BN53" i="1"/>
  <c r="BM53" i="1"/>
  <c r="BJ53" i="1"/>
  <c r="BG53" i="1"/>
  <c r="AF53" i="1"/>
  <c r="AC53" i="1"/>
  <c r="W53" i="1"/>
  <c r="Y53" i="1" s="1"/>
  <c r="P53" i="1"/>
  <c r="N53" i="1"/>
  <c r="K53" i="1"/>
  <c r="I53" i="1"/>
  <c r="G53" i="1"/>
  <c r="BN52" i="1"/>
  <c r="BM52" i="1"/>
  <c r="BJ52" i="1"/>
  <c r="BL52" i="1" s="1"/>
  <c r="BH52" i="1"/>
  <c r="BG52" i="1"/>
  <c r="AF52" i="1"/>
  <c r="AC52" i="1"/>
  <c r="W52" i="1"/>
  <c r="Y52" i="1" s="1"/>
  <c r="P52" i="1"/>
  <c r="K52" i="1"/>
  <c r="I52" i="1"/>
  <c r="G52" i="1"/>
  <c r="BS51" i="1"/>
  <c r="BN51" i="1"/>
  <c r="BJ51" i="1"/>
  <c r="BK51" i="1" s="1"/>
  <c r="AF51" i="1"/>
  <c r="AC51" i="1"/>
  <c r="W51" i="1"/>
  <c r="Y51" i="1" s="1"/>
  <c r="P51" i="1"/>
  <c r="N51" i="1"/>
  <c r="L51" i="1"/>
  <c r="K51" i="1"/>
  <c r="I51" i="1"/>
  <c r="G51" i="1"/>
  <c r="D51" i="1"/>
  <c r="C51" i="1"/>
  <c r="BG51" i="1" s="1"/>
  <c r="BS50" i="1"/>
  <c r="BN50" i="1"/>
  <c r="BJ50" i="1"/>
  <c r="BL50" i="1" s="1"/>
  <c r="AF50" i="1"/>
  <c r="AC50" i="1"/>
  <c r="W50" i="1"/>
  <c r="Y50" i="1" s="1"/>
  <c r="P50" i="1"/>
  <c r="N50" i="1"/>
  <c r="L50" i="1"/>
  <c r="K50" i="1"/>
  <c r="I50" i="1"/>
  <c r="G50" i="1"/>
  <c r="D50" i="1"/>
  <c r="C50" i="1"/>
  <c r="BG50" i="1" s="1"/>
  <c r="BN49" i="1"/>
  <c r="BM49" i="1"/>
  <c r="BJ49" i="1"/>
  <c r="BL49" i="1" s="1"/>
  <c r="BG49" i="1"/>
  <c r="AF49" i="1"/>
  <c r="W49" i="1"/>
  <c r="Y49" i="1" s="1"/>
  <c r="P49" i="1"/>
  <c r="N49" i="1"/>
  <c r="L49" i="1"/>
  <c r="K49" i="1"/>
  <c r="I49" i="1"/>
  <c r="G49" i="1"/>
  <c r="BN48" i="1"/>
  <c r="BM48" i="1"/>
  <c r="BJ48" i="1"/>
  <c r="BL48" i="1" s="1"/>
  <c r="BG48" i="1"/>
  <c r="AF48" i="1"/>
  <c r="AC48" i="1"/>
  <c r="W48" i="1"/>
  <c r="Y48" i="1" s="1"/>
  <c r="P48" i="1"/>
  <c r="N48" i="1"/>
  <c r="K48" i="1"/>
  <c r="I48" i="1"/>
  <c r="G48" i="1"/>
  <c r="BS47" i="1"/>
  <c r="BN47" i="1"/>
  <c r="BM47" i="1"/>
  <c r="BJ47" i="1"/>
  <c r="BK47" i="1" s="1"/>
  <c r="BG47" i="1"/>
  <c r="AF47" i="1"/>
  <c r="AC47" i="1"/>
  <c r="W47" i="1"/>
  <c r="Y47" i="1" s="1"/>
  <c r="P47" i="1"/>
  <c r="N47" i="1"/>
  <c r="L47" i="1"/>
  <c r="J47" i="1"/>
  <c r="K47" i="1" s="1"/>
  <c r="G47" i="1"/>
  <c r="BS46" i="1"/>
  <c r="BN46" i="1"/>
  <c r="BM46" i="1"/>
  <c r="BJ46" i="1"/>
  <c r="BL46" i="1" s="1"/>
  <c r="BG46" i="1"/>
  <c r="AF46" i="1"/>
  <c r="AC46" i="1"/>
  <c r="W46" i="1"/>
  <c r="Y46" i="1" s="1"/>
  <c r="P46" i="1"/>
  <c r="N46" i="1"/>
  <c r="K46" i="1"/>
  <c r="I46" i="1"/>
  <c r="G46" i="1"/>
  <c r="BN45" i="1"/>
  <c r="BM45" i="1"/>
  <c r="BJ45" i="1"/>
  <c r="BK45" i="1" s="1"/>
  <c r="BH45" i="1"/>
  <c r="BG45" i="1"/>
  <c r="AF45" i="1"/>
  <c r="W45" i="1"/>
  <c r="Y45" i="1" s="1"/>
  <c r="P45" i="1"/>
  <c r="N45" i="1"/>
  <c r="K45" i="1"/>
  <c r="I45" i="1"/>
  <c r="G45" i="1"/>
  <c r="BS44" i="1"/>
  <c r="BN44" i="1"/>
  <c r="BM44" i="1"/>
  <c r="BJ44" i="1"/>
  <c r="BL44" i="1" s="1"/>
  <c r="BG44" i="1"/>
  <c r="AF44" i="1"/>
  <c r="AC44" i="1"/>
  <c r="W44" i="1"/>
  <c r="Y44" i="1" s="1"/>
  <c r="P44" i="1"/>
  <c r="N44" i="1"/>
  <c r="K44" i="1"/>
  <c r="I44" i="1"/>
  <c r="G44" i="1"/>
  <c r="BS43" i="1"/>
  <c r="BN43" i="1"/>
  <c r="BM43" i="1"/>
  <c r="BJ43" i="1"/>
  <c r="BK43" i="1" s="1"/>
  <c r="BG43" i="1"/>
  <c r="AF43" i="1"/>
  <c r="AC43" i="1"/>
  <c r="W43" i="1"/>
  <c r="Y43" i="1" s="1"/>
  <c r="P43" i="1"/>
  <c r="N43" i="1"/>
  <c r="L43" i="1"/>
  <c r="K43" i="1"/>
  <c r="I43" i="1"/>
  <c r="G43" i="1"/>
  <c r="BS42" i="1"/>
  <c r="BN42" i="1"/>
  <c r="BM42" i="1"/>
  <c r="BJ42" i="1"/>
  <c r="BL42" i="1" s="1"/>
  <c r="BG42" i="1"/>
  <c r="AF42" i="1"/>
  <c r="AC42" i="1"/>
  <c r="W42" i="1"/>
  <c r="Y42" i="1" s="1"/>
  <c r="P42" i="1"/>
  <c r="N42" i="1"/>
  <c r="L42" i="1"/>
  <c r="K42" i="1"/>
  <c r="I42" i="1"/>
  <c r="G42" i="1"/>
  <c r="BS41" i="1"/>
  <c r="BN41" i="1"/>
  <c r="BM41" i="1"/>
  <c r="BJ41" i="1"/>
  <c r="BL41" i="1" s="1"/>
  <c r="BG41" i="1"/>
  <c r="AF41" i="1"/>
  <c r="AC41" i="1"/>
  <c r="W41" i="1"/>
  <c r="Y41" i="1" s="1"/>
  <c r="P41" i="1"/>
  <c r="N41" i="1"/>
  <c r="L41" i="1"/>
  <c r="K41" i="1"/>
  <c r="I41" i="1"/>
  <c r="G41" i="1"/>
  <c r="BS40" i="1"/>
  <c r="BN40" i="1"/>
  <c r="BM40" i="1"/>
  <c r="BJ40" i="1"/>
  <c r="BL40" i="1" s="1"/>
  <c r="BG40" i="1"/>
  <c r="AF40" i="1"/>
  <c r="AC40" i="1"/>
  <c r="W40" i="1"/>
  <c r="Y40" i="1" s="1"/>
  <c r="P40" i="1"/>
  <c r="N40" i="1"/>
  <c r="L40" i="1"/>
  <c r="K40" i="1"/>
  <c r="I40" i="1"/>
  <c r="G40" i="1"/>
  <c r="BS39" i="1"/>
  <c r="BN39" i="1"/>
  <c r="BM39" i="1"/>
  <c r="BJ39" i="1"/>
  <c r="BK39" i="1" s="1"/>
  <c r="BG39" i="1"/>
  <c r="AF39" i="1"/>
  <c r="AC39" i="1"/>
  <c r="W39" i="1"/>
  <c r="Y39" i="1" s="1"/>
  <c r="P39" i="1"/>
  <c r="N39" i="1"/>
  <c r="L39" i="1"/>
  <c r="K39" i="1"/>
  <c r="I39" i="1"/>
  <c r="G39" i="1"/>
  <c r="BS38" i="1"/>
  <c r="BN38" i="1"/>
  <c r="BM38" i="1"/>
  <c r="BJ38" i="1"/>
  <c r="BL38" i="1" s="1"/>
  <c r="BG38" i="1"/>
  <c r="AF38" i="1"/>
  <c r="AC38" i="1"/>
  <c r="W38" i="1"/>
  <c r="Y38" i="1" s="1"/>
  <c r="P38" i="1"/>
  <c r="N38" i="1"/>
  <c r="L38" i="1"/>
  <c r="K38" i="1"/>
  <c r="I38" i="1"/>
  <c r="G38" i="1"/>
  <c r="BS37" i="1"/>
  <c r="BN37" i="1"/>
  <c r="BM37" i="1"/>
  <c r="BJ37" i="1"/>
  <c r="BL37" i="1" s="1"/>
  <c r="BG37" i="1"/>
  <c r="AF37" i="1"/>
  <c r="AC37" i="1"/>
  <c r="W37" i="1"/>
  <c r="Y37" i="1" s="1"/>
  <c r="P37" i="1"/>
  <c r="N37" i="1"/>
  <c r="L37" i="1"/>
  <c r="K37" i="1"/>
  <c r="I37" i="1"/>
  <c r="G37" i="1"/>
  <c r="BS36" i="1"/>
  <c r="BN36" i="1"/>
  <c r="BM36" i="1"/>
  <c r="BJ36" i="1"/>
  <c r="BG36" i="1"/>
  <c r="AF36" i="1"/>
  <c r="AC36" i="1"/>
  <c r="W36" i="1"/>
  <c r="Y36" i="1" s="1"/>
  <c r="P36" i="1"/>
  <c r="N36" i="1"/>
  <c r="L36" i="1"/>
  <c r="K36" i="1"/>
  <c r="I36" i="1"/>
  <c r="G36" i="1"/>
  <c r="BS35" i="1"/>
  <c r="BN35" i="1"/>
  <c r="BM35" i="1"/>
  <c r="BJ35" i="1"/>
  <c r="BK35" i="1" s="1"/>
  <c r="BH35" i="1"/>
  <c r="BG35" i="1"/>
  <c r="AF35" i="1"/>
  <c r="AC35" i="1"/>
  <c r="W35" i="1"/>
  <c r="Y35" i="1" s="1"/>
  <c r="P35" i="1"/>
  <c r="N35" i="1"/>
  <c r="L35" i="1"/>
  <c r="K35" i="1"/>
  <c r="I35" i="1"/>
  <c r="G35" i="1"/>
  <c r="P34" i="1"/>
  <c r="N34" i="1"/>
  <c r="L34" i="1"/>
  <c r="J34" i="1"/>
  <c r="H34" i="1"/>
  <c r="BS33" i="1"/>
  <c r="AF33" i="1"/>
  <c r="W33" i="1"/>
  <c r="Y33" i="1" s="1"/>
  <c r="P33" i="1"/>
  <c r="N33" i="1"/>
  <c r="L33" i="1"/>
  <c r="J33" i="1"/>
  <c r="H33" i="1"/>
  <c r="BN32" i="1"/>
  <c r="BM32" i="1"/>
  <c r="BJ32" i="1"/>
  <c r="BL32" i="1" s="1"/>
  <c r="BG32" i="1"/>
  <c r="AF32" i="1"/>
  <c r="W32" i="1"/>
  <c r="Y32" i="1" s="1"/>
  <c r="P32" i="1"/>
  <c r="N32" i="1"/>
  <c r="L32" i="1"/>
  <c r="J32" i="1"/>
  <c r="H32" i="1"/>
  <c r="BN31" i="1"/>
  <c r="BM31" i="1"/>
  <c r="BJ31" i="1"/>
  <c r="BK31" i="1" s="1"/>
  <c r="BH31" i="1"/>
  <c r="BG31" i="1"/>
  <c r="AF31" i="1"/>
  <c r="AC31" i="1"/>
  <c r="W31" i="1"/>
  <c r="Y31" i="1" s="1"/>
  <c r="P31" i="1"/>
  <c r="N31" i="1"/>
  <c r="K31" i="1"/>
  <c r="I31" i="1"/>
  <c r="G31" i="1"/>
  <c r="BN30" i="1"/>
  <c r="BM30" i="1"/>
  <c r="BJ30" i="1"/>
  <c r="BL30" i="1" s="1"/>
  <c r="BG30" i="1"/>
  <c r="AF30" i="1"/>
  <c r="AC30" i="1"/>
  <c r="W30" i="1"/>
  <c r="Y30" i="1" s="1"/>
  <c r="P30" i="1"/>
  <c r="N30" i="1"/>
  <c r="K30" i="1"/>
  <c r="I30" i="1"/>
  <c r="G30" i="1"/>
  <c r="BN29" i="1"/>
  <c r="BM29" i="1"/>
  <c r="BJ29" i="1"/>
  <c r="BL29" i="1" s="1"/>
  <c r="BH29" i="1"/>
  <c r="BG29" i="1"/>
  <c r="AF29" i="1"/>
  <c r="AC29" i="1"/>
  <c r="W29" i="1"/>
  <c r="Y29" i="1" s="1"/>
  <c r="P29" i="1"/>
  <c r="N29" i="1"/>
  <c r="K29" i="1"/>
  <c r="I29" i="1"/>
  <c r="G29" i="1"/>
  <c r="BN28" i="1"/>
  <c r="BM28" i="1"/>
  <c r="BJ28" i="1"/>
  <c r="BL28" i="1" s="1"/>
  <c r="BG28" i="1"/>
  <c r="AF28" i="1"/>
  <c r="AC28" i="1"/>
  <c r="W28" i="1"/>
  <c r="Y28" i="1" s="1"/>
  <c r="P28" i="1"/>
  <c r="N28" i="1"/>
  <c r="K28" i="1"/>
  <c r="I28" i="1"/>
  <c r="G28" i="1"/>
  <c r="BN27" i="1"/>
  <c r="BM27" i="1"/>
  <c r="BJ27" i="1"/>
  <c r="BL27" i="1" s="1"/>
  <c r="BG27" i="1"/>
  <c r="AF27" i="1"/>
  <c r="AC27" i="1"/>
  <c r="W27" i="1"/>
  <c r="Y27" i="1" s="1"/>
  <c r="P27" i="1"/>
  <c r="N27" i="1"/>
  <c r="K27" i="1"/>
  <c r="I27" i="1"/>
  <c r="G27" i="1"/>
  <c r="BN26" i="1"/>
  <c r="BM26" i="1"/>
  <c r="BJ26" i="1"/>
  <c r="BK26" i="1" s="1"/>
  <c r="BG26" i="1"/>
  <c r="AF26" i="1"/>
  <c r="AC26" i="1"/>
  <c r="W26" i="1"/>
  <c r="Y26" i="1" s="1"/>
  <c r="P26" i="1"/>
  <c r="N26" i="1"/>
  <c r="K26" i="1"/>
  <c r="I26" i="1"/>
  <c r="G26" i="1"/>
  <c r="BN25" i="1"/>
  <c r="BM25" i="1"/>
  <c r="BJ25" i="1"/>
  <c r="BK25" i="1" s="1"/>
  <c r="BG25" i="1"/>
  <c r="AF25" i="1"/>
  <c r="W25" i="1"/>
  <c r="Y25" i="1" s="1"/>
  <c r="P25" i="1"/>
  <c r="N25" i="1"/>
  <c r="K25" i="1"/>
  <c r="I25" i="1"/>
  <c r="G25" i="1"/>
  <c r="BN24" i="1"/>
  <c r="BM24" i="1"/>
  <c r="BJ24" i="1"/>
  <c r="BK24" i="1" s="1"/>
  <c r="BH24" i="1"/>
  <c r="BG24" i="1"/>
  <c r="AF24" i="1"/>
  <c r="AC24" i="1"/>
  <c r="W24" i="1"/>
  <c r="Y24" i="1" s="1"/>
  <c r="P24" i="1"/>
  <c r="N24" i="1"/>
  <c r="K24" i="1"/>
  <c r="I24" i="1"/>
  <c r="G24" i="1"/>
  <c r="BN23" i="1"/>
  <c r="BM23" i="1"/>
  <c r="BJ23" i="1"/>
  <c r="BK23" i="1" s="1"/>
  <c r="BH23" i="1"/>
  <c r="BG23" i="1"/>
  <c r="AF23" i="1"/>
  <c r="W23" i="1"/>
  <c r="Y23" i="1" s="1"/>
  <c r="P23" i="1"/>
  <c r="N23" i="1"/>
  <c r="K23" i="1"/>
  <c r="I23" i="1"/>
  <c r="G23" i="1"/>
  <c r="BN22" i="1"/>
  <c r="BM22" i="1"/>
  <c r="BJ22" i="1"/>
  <c r="BL22" i="1" s="1"/>
  <c r="BG22" i="1"/>
  <c r="AF22" i="1"/>
  <c r="AC22" i="1"/>
  <c r="W22" i="1"/>
  <c r="Y22" i="1" s="1"/>
  <c r="P22" i="1"/>
  <c r="N22" i="1"/>
  <c r="L22" i="1"/>
  <c r="K22" i="1"/>
  <c r="I22" i="1"/>
  <c r="G22" i="1"/>
  <c r="BN21" i="1"/>
  <c r="BM21" i="1"/>
  <c r="BJ21" i="1"/>
  <c r="BL21" i="1" s="1"/>
  <c r="BG21" i="1"/>
  <c r="AF21" i="1"/>
  <c r="W21" i="1"/>
  <c r="Y21" i="1" s="1"/>
  <c r="P21" i="1"/>
  <c r="N21" i="1"/>
  <c r="L21" i="1"/>
  <c r="K21" i="1"/>
  <c r="I21" i="1"/>
  <c r="G21" i="1"/>
  <c r="BN20" i="1"/>
  <c r="BM20" i="1"/>
  <c r="BJ20" i="1"/>
  <c r="BL20" i="1" s="1"/>
  <c r="BG20" i="1"/>
  <c r="AF20" i="1"/>
  <c r="W20" i="1"/>
  <c r="Y20" i="1" s="1"/>
  <c r="P20" i="1"/>
  <c r="N20" i="1"/>
  <c r="K20" i="1"/>
  <c r="I20" i="1"/>
  <c r="G20" i="1"/>
  <c r="BN19" i="1"/>
  <c r="BM19" i="1"/>
  <c r="BJ19" i="1"/>
  <c r="BL19" i="1" s="1"/>
  <c r="BH19" i="1"/>
  <c r="BG19" i="1"/>
  <c r="AF19" i="1"/>
  <c r="W19" i="1"/>
  <c r="Y19" i="1" s="1"/>
  <c r="P19" i="1"/>
  <c r="N19" i="1"/>
  <c r="K19" i="1"/>
  <c r="I19" i="1"/>
  <c r="G19" i="1"/>
  <c r="BN18" i="1"/>
  <c r="BM18" i="1"/>
  <c r="BJ18" i="1"/>
  <c r="BL18" i="1" s="1"/>
  <c r="BG18" i="1"/>
  <c r="AF18" i="1"/>
  <c r="W18" i="1"/>
  <c r="Y18" i="1" s="1"/>
  <c r="P18" i="1"/>
  <c r="N18" i="1"/>
  <c r="K18" i="1"/>
  <c r="I18" i="1"/>
  <c r="G18" i="1"/>
  <c r="BS17" i="1"/>
  <c r="BN17" i="1"/>
  <c r="BM17" i="1"/>
  <c r="BJ17" i="1"/>
  <c r="BG17" i="1"/>
  <c r="AF17" i="1"/>
  <c r="AC17" i="1"/>
  <c r="W17" i="1"/>
  <c r="Y17" i="1" s="1"/>
  <c r="P17" i="1"/>
  <c r="N17" i="1"/>
  <c r="K17" i="1"/>
  <c r="I17" i="1"/>
  <c r="G17" i="1"/>
  <c r="BN16" i="1"/>
  <c r="BM16" i="1"/>
  <c r="BJ16" i="1"/>
  <c r="BL16" i="1" s="1"/>
  <c r="BG16" i="1"/>
  <c r="AF16" i="1"/>
  <c r="W16" i="1"/>
  <c r="Y16" i="1" s="1"/>
  <c r="P16" i="1"/>
  <c r="N16" i="1"/>
  <c r="L16" i="1"/>
  <c r="K16" i="1"/>
  <c r="I16" i="1"/>
  <c r="G16" i="1"/>
  <c r="BN15" i="1"/>
  <c r="BM15" i="1"/>
  <c r="BJ15" i="1"/>
  <c r="BL15" i="1" s="1"/>
  <c r="BG15" i="1"/>
  <c r="AF15" i="1"/>
  <c r="W15" i="1"/>
  <c r="Y15" i="1" s="1"/>
  <c r="P15" i="1"/>
  <c r="N15" i="1"/>
  <c r="L15" i="1"/>
  <c r="K15" i="1"/>
  <c r="I15" i="1"/>
  <c r="G15" i="1"/>
  <c r="BN14" i="1"/>
  <c r="BM14" i="1"/>
  <c r="BJ14" i="1"/>
  <c r="BL14" i="1" s="1"/>
  <c r="BG14" i="1"/>
  <c r="AF14" i="1"/>
  <c r="AC14" i="1"/>
  <c r="W14" i="1"/>
  <c r="Y14" i="1" s="1"/>
  <c r="P14" i="1"/>
  <c r="N14" i="1"/>
  <c r="L14" i="1"/>
  <c r="K14" i="1"/>
  <c r="I14" i="1"/>
  <c r="G14" i="1"/>
  <c r="BN13" i="1"/>
  <c r="BM13" i="1"/>
  <c r="BJ13" i="1"/>
  <c r="BL13" i="1" s="1"/>
  <c r="BG13" i="1"/>
  <c r="AF13" i="1"/>
  <c r="AC13" i="1"/>
  <c r="W13" i="1"/>
  <c r="Y13" i="1" s="1"/>
  <c r="P13" i="1"/>
  <c r="N13" i="1"/>
  <c r="K13" i="1"/>
  <c r="I13" i="1"/>
  <c r="G13" i="1"/>
  <c r="BN12" i="1"/>
  <c r="BM12" i="1"/>
  <c r="BJ12" i="1"/>
  <c r="BL12" i="1" s="1"/>
  <c r="BG12" i="1"/>
  <c r="AF12" i="1"/>
  <c r="AC12" i="1"/>
  <c r="W12" i="1"/>
  <c r="Y12" i="1" s="1"/>
  <c r="P12" i="1"/>
  <c r="N12" i="1"/>
  <c r="K12" i="1"/>
  <c r="I12" i="1"/>
  <c r="G12" i="1"/>
  <c r="BN11" i="1"/>
  <c r="BM11" i="1"/>
  <c r="BJ11" i="1"/>
  <c r="BL11" i="1" s="1"/>
  <c r="BH11" i="1"/>
  <c r="BG11" i="1"/>
  <c r="AC11" i="1"/>
  <c r="W11" i="1"/>
  <c r="Y11" i="1" s="1"/>
  <c r="P11" i="1"/>
  <c r="N11" i="1"/>
  <c r="K11" i="1"/>
  <c r="I11" i="1"/>
  <c r="G11" i="1"/>
  <c r="BN10" i="1"/>
  <c r="BM10" i="1"/>
  <c r="BJ10" i="1"/>
  <c r="BL10" i="1" s="1"/>
  <c r="BG10" i="1"/>
  <c r="W10" i="1"/>
  <c r="Y10" i="1" s="1"/>
  <c r="P10" i="1"/>
  <c r="N10" i="1"/>
  <c r="L10" i="1"/>
  <c r="K10" i="1"/>
  <c r="I10" i="1"/>
  <c r="G10" i="1"/>
  <c r="W9" i="1"/>
  <c r="Y9" i="1" s="1"/>
  <c r="O9" i="1"/>
  <c r="L9" i="1"/>
  <c r="K9" i="1"/>
  <c r="G9" i="1"/>
  <c r="BN8" i="1"/>
  <c r="BM8" i="1"/>
  <c r="BJ8" i="1"/>
  <c r="BK8" i="1" s="1"/>
  <c r="BG8" i="1"/>
  <c r="AF8" i="1"/>
  <c r="AC8" i="1"/>
  <c r="W8" i="1"/>
  <c r="Y8" i="1" s="1"/>
  <c r="P8" i="1"/>
  <c r="N8" i="1"/>
  <c r="L8" i="1"/>
  <c r="K8" i="1"/>
  <c r="I8" i="1"/>
  <c r="G8" i="1"/>
  <c r="BN7" i="1"/>
  <c r="BM7" i="1"/>
  <c r="BJ7" i="1"/>
  <c r="BL7" i="1" s="1"/>
  <c r="BG7" i="1"/>
  <c r="AF7" i="1"/>
  <c r="AC7" i="1"/>
  <c r="W7" i="1"/>
  <c r="Y7" i="1" s="1"/>
  <c r="P7" i="1"/>
  <c r="N7" i="1"/>
  <c r="K7" i="1"/>
  <c r="I7" i="1"/>
  <c r="G7" i="1"/>
  <c r="BN6" i="1"/>
  <c r="BM6" i="1"/>
  <c r="BJ6" i="1"/>
  <c r="BL6" i="1" s="1"/>
  <c r="BG6" i="1"/>
  <c r="W6" i="1"/>
  <c r="Y6" i="1" s="1"/>
  <c r="P6" i="1"/>
  <c r="N6" i="1"/>
  <c r="K6" i="1"/>
  <c r="I6" i="1"/>
  <c r="G6" i="1"/>
  <c r="BN5" i="1"/>
  <c r="BM5" i="1"/>
  <c r="BJ5" i="1"/>
  <c r="BL5" i="1" s="1"/>
  <c r="BG5" i="1"/>
  <c r="AC5" i="1"/>
  <c r="W5" i="1"/>
  <c r="Y5" i="1" s="1"/>
  <c r="P5" i="1"/>
  <c r="N5" i="1"/>
  <c r="K5" i="1"/>
  <c r="I5" i="1"/>
  <c r="G5" i="1"/>
  <c r="BN4" i="1"/>
  <c r="BM4" i="1"/>
  <c r="BJ4" i="1"/>
  <c r="BL4" i="1" s="1"/>
  <c r="BH4" i="1"/>
  <c r="BG4" i="1"/>
  <c r="AF4" i="1"/>
  <c r="W4" i="1"/>
  <c r="Y4" i="1" s="1"/>
  <c r="P4" i="1"/>
  <c r="N4" i="1"/>
  <c r="K4" i="1"/>
  <c r="I4" i="1"/>
  <c r="G4" i="1"/>
  <c r="BN3" i="1"/>
  <c r="BM3" i="1"/>
  <c r="BJ3" i="1"/>
  <c r="BL3" i="1" s="1"/>
  <c r="BG3" i="1"/>
  <c r="W3" i="1"/>
  <c r="Y3" i="1" s="1"/>
  <c r="P3" i="1"/>
  <c r="N3" i="1"/>
  <c r="K3" i="1"/>
  <c r="I3" i="1"/>
  <c r="G3" i="1"/>
  <c r="BN2" i="1"/>
  <c r="BM2" i="1"/>
  <c r="BJ2" i="1"/>
  <c r="BL2" i="1" s="1"/>
  <c r="BH2" i="1"/>
  <c r="BG2" i="1"/>
  <c r="AF2" i="1"/>
  <c r="AC2" i="1"/>
  <c r="W2" i="1"/>
  <c r="Y2" i="1" s="1"/>
  <c r="P2" i="1"/>
  <c r="N2" i="1"/>
  <c r="K2" i="1"/>
  <c r="I2" i="1"/>
  <c r="G2" i="1"/>
  <c r="BL218" i="1" l="1"/>
  <c r="BK236" i="1"/>
  <c r="BK173" i="1"/>
  <c r="BL208" i="1"/>
  <c r="BK239" i="1"/>
  <c r="BL249" i="1"/>
  <c r="BK164" i="1"/>
  <c r="BL186" i="1"/>
  <c r="BL189" i="1"/>
  <c r="BK224" i="1"/>
  <c r="BL31" i="1"/>
  <c r="BL228" i="1"/>
  <c r="BK245" i="1"/>
  <c r="BL246" i="1"/>
  <c r="BL305" i="1"/>
  <c r="BL65" i="1"/>
  <c r="BL85" i="1"/>
  <c r="BL121" i="1"/>
  <c r="BL131" i="1"/>
  <c r="BL45" i="1"/>
  <c r="BL112" i="1"/>
  <c r="BL127" i="1"/>
  <c r="K143" i="1"/>
  <c r="BL243" i="1"/>
  <c r="K33" i="1"/>
  <c r="K34" i="1"/>
  <c r="BK105" i="1"/>
  <c r="BK6" i="1"/>
  <c r="BK18" i="1"/>
  <c r="K84" i="1"/>
  <c r="BK155" i="1"/>
  <c r="BL158" i="1"/>
  <c r="BK253" i="1"/>
  <c r="BL254" i="1"/>
  <c r="BL250" i="1"/>
  <c r="BL26" i="1"/>
  <c r="BK29" i="1"/>
  <c r="BK42" i="1"/>
  <c r="BK82" i="1"/>
  <c r="BK107" i="1"/>
  <c r="BK109" i="1"/>
  <c r="K115" i="1"/>
  <c r="K116" i="1"/>
  <c r="K117" i="1"/>
  <c r="BK119" i="1"/>
  <c r="BK125" i="1"/>
  <c r="BK132" i="1"/>
  <c r="BK144" i="1"/>
  <c r="BK157" i="1"/>
  <c r="BK184" i="1"/>
  <c r="BK199" i="1"/>
  <c r="BK204" i="1"/>
  <c r="BK219" i="1"/>
  <c r="BK302" i="1"/>
  <c r="BL306" i="1"/>
  <c r="BK14" i="1"/>
  <c r="BK32" i="1"/>
  <c r="BK49" i="1"/>
  <c r="BK64" i="1"/>
  <c r="BK71" i="1"/>
  <c r="BL87" i="1"/>
  <c r="BL93" i="1"/>
  <c r="BL103" i="1"/>
  <c r="BL104" i="1"/>
  <c r="BK160" i="1"/>
  <c r="BK165" i="1"/>
  <c r="BK167" i="1"/>
  <c r="BK170" i="1"/>
  <c r="BK201" i="1"/>
  <c r="BK203" i="1"/>
  <c r="BL211" i="1"/>
  <c r="K213" i="1"/>
  <c r="BL215" i="1"/>
  <c r="BL230" i="1"/>
  <c r="BL270" i="1"/>
  <c r="BK293" i="1"/>
  <c r="BK307" i="1"/>
  <c r="BK41" i="1"/>
  <c r="BL8" i="1"/>
  <c r="BK22" i="1"/>
  <c r="BK28" i="1"/>
  <c r="BL54" i="1"/>
  <c r="BL57" i="1"/>
  <c r="BK83" i="1"/>
  <c r="BL91" i="1"/>
  <c r="BL196" i="1"/>
  <c r="BL222" i="1"/>
  <c r="BL223" i="1"/>
  <c r="BL36" i="1"/>
  <c r="BK36" i="1"/>
  <c r="BL53" i="1"/>
  <c r="BK53" i="1"/>
  <c r="BL171" i="1"/>
  <c r="BK171" i="1"/>
  <c r="BL200" i="1"/>
  <c r="BK200" i="1"/>
  <c r="BL207" i="1"/>
  <c r="BK207" i="1"/>
  <c r="BK242" i="1"/>
  <c r="BL242" i="1"/>
  <c r="BK269" i="1"/>
  <c r="BL269" i="1"/>
  <c r="BL289" i="1"/>
  <c r="BK289" i="1"/>
  <c r="BL23" i="1"/>
  <c r="BK46" i="1"/>
  <c r="BK81" i="1"/>
  <c r="BL81" i="1"/>
  <c r="BL99" i="1"/>
  <c r="BL101" i="1"/>
  <c r="BK101" i="1"/>
  <c r="BL135" i="1"/>
  <c r="BK135" i="1"/>
  <c r="BK142" i="1"/>
  <c r="BL148" i="1"/>
  <c r="BK148" i="1"/>
  <c r="BL181" i="1"/>
  <c r="BK181" i="1"/>
  <c r="BK187" i="1"/>
  <c r="BK198" i="1"/>
  <c r="BK235" i="1"/>
  <c r="BL235" i="1"/>
  <c r="BK267" i="1"/>
  <c r="BL267" i="1"/>
  <c r="BK285" i="1"/>
  <c r="BL285" i="1"/>
  <c r="BK291" i="1"/>
  <c r="BL291" i="1"/>
  <c r="BL74" i="1"/>
  <c r="BK74" i="1"/>
  <c r="BK263" i="1"/>
  <c r="BL263" i="1"/>
  <c r="BK3" i="1"/>
  <c r="BK11" i="1"/>
  <c r="BK16" i="1"/>
  <c r="BK17" i="1"/>
  <c r="BL17" i="1"/>
  <c r="BK27" i="1"/>
  <c r="BK38" i="1"/>
  <c r="BL39" i="1"/>
  <c r="BK55" i="1"/>
  <c r="BK59" i="1"/>
  <c r="BK63" i="1"/>
  <c r="BL63" i="1"/>
  <c r="BL72" i="1"/>
  <c r="BK72" i="1"/>
  <c r="BK75" i="1"/>
  <c r="BL113" i="1"/>
  <c r="BK113" i="1"/>
  <c r="BL126" i="1"/>
  <c r="BK126" i="1"/>
  <c r="BK134" i="1"/>
  <c r="BK136" i="1"/>
  <c r="BK140" i="1"/>
  <c r="BL152" i="1"/>
  <c r="BK152" i="1"/>
  <c r="BL175" i="1"/>
  <c r="BK175" i="1"/>
  <c r="BK183" i="1"/>
  <c r="BL195" i="1"/>
  <c r="BK195" i="1"/>
  <c r="BL205" i="1"/>
  <c r="BK205" i="1"/>
  <c r="BK210" i="1"/>
  <c r="BK227" i="1"/>
  <c r="BL227" i="1"/>
  <c r="BL256" i="1"/>
  <c r="BL257" i="1"/>
  <c r="BK257" i="1"/>
  <c r="BK271" i="1"/>
  <c r="BL139" i="1"/>
  <c r="BK139" i="1"/>
  <c r="BL225" i="1"/>
  <c r="BK225" i="1"/>
  <c r="BK276" i="1"/>
  <c r="BL276" i="1"/>
  <c r="BL43" i="1"/>
  <c r="BK10" i="1"/>
  <c r="BK15" i="1"/>
  <c r="BL25" i="1"/>
  <c r="BK66" i="1"/>
  <c r="BL128" i="1"/>
  <c r="BK128" i="1"/>
  <c r="BL145" i="1"/>
  <c r="BK145" i="1"/>
  <c r="BK150" i="1"/>
  <c r="BL161" i="1"/>
  <c r="BK161" i="1"/>
  <c r="BL178" i="1"/>
  <c r="BK178" i="1"/>
  <c r="BK182" i="1"/>
  <c r="BK193" i="1"/>
  <c r="BL193" i="1"/>
  <c r="BL266" i="1"/>
  <c r="BK266" i="1"/>
  <c r="K296" i="1"/>
  <c r="BL280" i="1"/>
  <c r="BK292" i="1"/>
  <c r="BK2" i="1"/>
  <c r="BK44" i="1"/>
  <c r="BL79" i="1"/>
  <c r="BK79" i="1"/>
  <c r="BL100" i="1"/>
  <c r="BK100" i="1"/>
  <c r="BL146" i="1"/>
  <c r="BK146" i="1"/>
  <c r="BL153" i="1"/>
  <c r="BK153" i="1"/>
  <c r="BL179" i="1"/>
  <c r="BK179" i="1"/>
  <c r="BL229" i="1"/>
  <c r="BK229" i="1"/>
  <c r="BL231" i="1"/>
  <c r="BK231" i="1"/>
  <c r="BL258" i="1"/>
  <c r="BK258" i="1"/>
  <c r="BL272" i="1"/>
  <c r="BK272" i="1"/>
  <c r="BL286" i="1"/>
  <c r="BK286" i="1"/>
  <c r="BL294" i="1"/>
  <c r="BK294" i="1"/>
  <c r="BL297" i="1"/>
  <c r="BK297" i="1"/>
  <c r="BL300" i="1"/>
  <c r="BK300" i="1"/>
  <c r="BL308" i="1"/>
  <c r="BK308" i="1"/>
  <c r="BK4" i="1"/>
  <c r="BK5" i="1"/>
  <c r="BK7" i="1"/>
  <c r="BK12" i="1"/>
  <c r="BK19" i="1"/>
  <c r="BK20" i="1"/>
  <c r="BL24" i="1"/>
  <c r="BK40" i="1"/>
  <c r="BL47" i="1"/>
  <c r="BK13" i="1"/>
  <c r="BK21" i="1"/>
  <c r="BK30" i="1"/>
  <c r="K32" i="1"/>
  <c r="BL35" i="1"/>
  <c r="BK37" i="1"/>
  <c r="BK48" i="1"/>
  <c r="BK50" i="1"/>
  <c r="BL51" i="1"/>
  <c r="BK52" i="1"/>
  <c r="BK58" i="1"/>
  <c r="BK60" i="1"/>
  <c r="BL61" i="1"/>
  <c r="BL76" i="1"/>
  <c r="BK76" i="1"/>
  <c r="BL88" i="1"/>
  <c r="BK88" i="1"/>
  <c r="BL114" i="1"/>
  <c r="BK114" i="1"/>
  <c r="BL123" i="1"/>
  <c r="BK123" i="1"/>
  <c r="BL137" i="1"/>
  <c r="BK137" i="1"/>
  <c r="BL172" i="1"/>
  <c r="BK172" i="1"/>
  <c r="BL174" i="1"/>
  <c r="BK174" i="1"/>
  <c r="BM50" i="1"/>
  <c r="BM51" i="1"/>
  <c r="BL73" i="1"/>
  <c r="BK73" i="1"/>
  <c r="BL77" i="1"/>
  <c r="BK77" i="1"/>
  <c r="BL80" i="1"/>
  <c r="BK80" i="1"/>
  <c r="BL86" i="1"/>
  <c r="BK86" i="1"/>
  <c r="BL89" i="1"/>
  <c r="BK89" i="1"/>
  <c r="BL94" i="1"/>
  <c r="BK94" i="1"/>
  <c r="BL124" i="1"/>
  <c r="BK124" i="1"/>
  <c r="BL141" i="1"/>
  <c r="BK141" i="1"/>
  <c r="BL166" i="1"/>
  <c r="BK166" i="1"/>
  <c r="BL176" i="1"/>
  <c r="BK176" i="1"/>
  <c r="BK56" i="1"/>
  <c r="BL92" i="1"/>
  <c r="BK92" i="1"/>
  <c r="BL110" i="1"/>
  <c r="BK110" i="1"/>
  <c r="BL129" i="1"/>
  <c r="BK129" i="1"/>
  <c r="BL151" i="1"/>
  <c r="BK151" i="1"/>
  <c r="BL156" i="1"/>
  <c r="BK156" i="1"/>
  <c r="BL168" i="1"/>
  <c r="BK168" i="1"/>
  <c r="BL209" i="1"/>
  <c r="BK209" i="1"/>
  <c r="BL216" i="1"/>
  <c r="BK216" i="1"/>
  <c r="BL221" i="1"/>
  <c r="BK221" i="1"/>
  <c r="BL226" i="1"/>
  <c r="BK226" i="1"/>
  <c r="BL234" i="1"/>
  <c r="BK234" i="1"/>
  <c r="BL255" i="1"/>
  <c r="BK255" i="1"/>
  <c r="BL268" i="1"/>
  <c r="BK268" i="1"/>
  <c r="BL273" i="1"/>
  <c r="BK273" i="1"/>
  <c r="BL290" i="1"/>
  <c r="BK290" i="1"/>
  <c r="BL295" i="1"/>
  <c r="BK295" i="1"/>
  <c r="BK90" i="1"/>
  <c r="BK98" i="1"/>
  <c r="BK102" i="1"/>
  <c r="BK106" i="1"/>
  <c r="BK108" i="1"/>
  <c r="BK111" i="1"/>
  <c r="BK118" i="1"/>
  <c r="BK120" i="1"/>
  <c r="BK122" i="1"/>
  <c r="BK130" i="1"/>
  <c r="BK138" i="1"/>
  <c r="BK147" i="1"/>
  <c r="BK149" i="1"/>
  <c r="BK154" i="1"/>
  <c r="BK159" i="1"/>
  <c r="BK162" i="1"/>
  <c r="BK163" i="1"/>
  <c r="BK169" i="1"/>
  <c r="BK180" i="1"/>
  <c r="BK185" i="1"/>
  <c r="BK190" i="1"/>
  <c r="BL191" i="1"/>
  <c r="BK192" i="1"/>
  <c r="K194" i="1"/>
  <c r="BK197" i="1"/>
  <c r="BL202" i="1"/>
  <c r="BL206" i="1"/>
  <c r="BK206" i="1"/>
  <c r="K212" i="1"/>
  <c r="BK214" i="1"/>
  <c r="BK217" i="1"/>
  <c r="BK220" i="1"/>
  <c r="BL240" i="1"/>
  <c r="BK240" i="1"/>
  <c r="BL244" i="1"/>
  <c r="BK244" i="1"/>
  <c r="BL248" i="1"/>
  <c r="BK248" i="1"/>
  <c r="BL252" i="1"/>
  <c r="BK252" i="1"/>
  <c r="BL259" i="1"/>
  <c r="BK259" i="1"/>
  <c r="BL265" i="1"/>
  <c r="BK265" i="1"/>
  <c r="BL277" i="1"/>
  <c r="BK277" i="1"/>
  <c r="BL303" i="1"/>
  <c r="BK303" i="1"/>
  <c r="BL281" i="1"/>
  <c r="BK281" i="1"/>
  <c r="BL304" i="1"/>
  <c r="BK304" i="1"/>
  <c r="BK232" i="1"/>
  <c r="BK233" i="1"/>
  <c r="BK237" i="1"/>
  <c r="BK238" i="1"/>
  <c r="BK241" i="1"/>
  <c r="BK247" i="1"/>
  <c r="BK251" i="1"/>
  <c r="BK260" i="1"/>
  <c r="BK261" i="1"/>
  <c r="BK262" i="1"/>
  <c r="BK264" i="1"/>
  <c r="BK274" i="1"/>
  <c r="BK275" i="1"/>
  <c r="BK278" i="1"/>
  <c r="BK279" i="1"/>
  <c r="BK282" i="1"/>
  <c r="BK283" i="1"/>
  <c r="BK287" i="1"/>
  <c r="BK298" i="1"/>
  <c r="BK299" i="1"/>
  <c r="BK301" i="1"/>
  <c r="BK309" i="1"/>
  <c r="BK310" i="1"/>
  <c r="Z310" i="2" l="1"/>
  <c r="Y310" i="2"/>
  <c r="X310" i="2"/>
  <c r="W310" i="2"/>
  <c r="V310" i="2"/>
  <c r="D310" i="2"/>
  <c r="E310" i="2" s="1"/>
  <c r="Z309" i="2"/>
  <c r="Y309" i="2"/>
  <c r="X309" i="2"/>
  <c r="W309" i="2"/>
  <c r="V309" i="2"/>
  <c r="AA309" i="2" s="1"/>
  <c r="D309" i="2"/>
  <c r="E309" i="2" s="1"/>
  <c r="Z308" i="2"/>
  <c r="Y308" i="2"/>
  <c r="X308" i="2"/>
  <c r="W308" i="2"/>
  <c r="V308" i="2"/>
  <c r="E308" i="2"/>
  <c r="D308" i="2"/>
  <c r="Z307" i="2"/>
  <c r="Y307" i="2"/>
  <c r="X307" i="2"/>
  <c r="W307" i="2"/>
  <c r="V307" i="2"/>
  <c r="D307" i="2"/>
  <c r="E307" i="2" s="1"/>
  <c r="Z306" i="2"/>
  <c r="Y306" i="2"/>
  <c r="X306" i="2"/>
  <c r="W306" i="2"/>
  <c r="V306" i="2"/>
  <c r="D306" i="2"/>
  <c r="E306" i="2" s="1"/>
  <c r="Z305" i="2"/>
  <c r="Y305" i="2"/>
  <c r="X305" i="2"/>
  <c r="W305" i="2"/>
  <c r="V305" i="2"/>
  <c r="AA305" i="2" s="1"/>
  <c r="D305" i="2"/>
  <c r="E305" i="2" s="1"/>
  <c r="Z304" i="2"/>
  <c r="Y304" i="2"/>
  <c r="X304" i="2"/>
  <c r="W304" i="2"/>
  <c r="V304" i="2"/>
  <c r="E304" i="2"/>
  <c r="D304" i="2"/>
  <c r="Z303" i="2"/>
  <c r="Y303" i="2"/>
  <c r="X303" i="2"/>
  <c r="W303" i="2"/>
  <c r="V303" i="2"/>
  <c r="D303" i="2"/>
  <c r="E303" i="2" s="1"/>
  <c r="Z302" i="2"/>
  <c r="Y302" i="2"/>
  <c r="X302" i="2"/>
  <c r="W302" i="2"/>
  <c r="V302" i="2"/>
  <c r="D302" i="2"/>
  <c r="E302" i="2" s="1"/>
  <c r="Z301" i="2"/>
  <c r="Y301" i="2"/>
  <c r="X301" i="2"/>
  <c r="W301" i="2"/>
  <c r="V301" i="2"/>
  <c r="AA301" i="2" s="1"/>
  <c r="D301" i="2"/>
  <c r="E301" i="2" s="1"/>
  <c r="Z300" i="2"/>
  <c r="Y300" i="2"/>
  <c r="X300" i="2"/>
  <c r="W300" i="2"/>
  <c r="V300" i="2"/>
  <c r="E300" i="2"/>
  <c r="D300" i="2"/>
  <c r="Z299" i="2"/>
  <c r="Y299" i="2"/>
  <c r="X299" i="2"/>
  <c r="W299" i="2"/>
  <c r="V299" i="2"/>
  <c r="D299" i="2"/>
  <c r="E299" i="2" s="1"/>
  <c r="Z298" i="2"/>
  <c r="Y298" i="2"/>
  <c r="X298" i="2"/>
  <c r="W298" i="2"/>
  <c r="V298" i="2"/>
  <c r="D298" i="2"/>
  <c r="E298" i="2" s="1"/>
  <c r="Z297" i="2"/>
  <c r="Y297" i="2"/>
  <c r="X297" i="2"/>
  <c r="W297" i="2"/>
  <c r="V297" i="2"/>
  <c r="AA297" i="2" s="1"/>
  <c r="D297" i="2"/>
  <c r="E297" i="2" s="1"/>
  <c r="Z296" i="2"/>
  <c r="Y296" i="2"/>
  <c r="X296" i="2"/>
  <c r="W296" i="2"/>
  <c r="V296" i="2"/>
  <c r="E296" i="2"/>
  <c r="D296" i="2"/>
  <c r="Z295" i="2"/>
  <c r="Y295" i="2"/>
  <c r="X295" i="2"/>
  <c r="W295" i="2"/>
  <c r="V295" i="2"/>
  <c r="D295" i="2"/>
  <c r="E295" i="2" s="1"/>
  <c r="Z294" i="2"/>
  <c r="Y294" i="2"/>
  <c r="X294" i="2"/>
  <c r="W294" i="2"/>
  <c r="V294" i="2"/>
  <c r="D294" i="2"/>
  <c r="E294" i="2" s="1"/>
  <c r="Z293" i="2"/>
  <c r="Y293" i="2"/>
  <c r="X293" i="2"/>
  <c r="W293" i="2"/>
  <c r="V293" i="2"/>
  <c r="AA293" i="2" s="1"/>
  <c r="D293" i="2"/>
  <c r="E293" i="2" s="1"/>
  <c r="Z292" i="2"/>
  <c r="Y292" i="2"/>
  <c r="X292" i="2"/>
  <c r="W292" i="2"/>
  <c r="V292" i="2"/>
  <c r="E292" i="2"/>
  <c r="D292" i="2"/>
  <c r="Z291" i="2"/>
  <c r="Y291" i="2"/>
  <c r="X291" i="2"/>
  <c r="W291" i="2"/>
  <c r="V291" i="2"/>
  <c r="D291" i="2"/>
  <c r="E291" i="2" s="1"/>
  <c r="D290" i="2"/>
  <c r="E290" i="2" s="1"/>
  <c r="Z289" i="2"/>
  <c r="Y289" i="2"/>
  <c r="X289" i="2"/>
  <c r="W289" i="2"/>
  <c r="V289" i="2"/>
  <c r="AA289" i="2" s="1"/>
  <c r="D289" i="2"/>
  <c r="E289" i="2" s="1"/>
  <c r="Z288" i="2"/>
  <c r="Y288" i="2"/>
  <c r="X288" i="2"/>
  <c r="W288" i="2"/>
  <c r="V288" i="2"/>
  <c r="AA288" i="2" s="1"/>
  <c r="D288" i="2"/>
  <c r="E288" i="2" s="1"/>
  <c r="Z287" i="2"/>
  <c r="Y287" i="2"/>
  <c r="X287" i="2"/>
  <c r="W287" i="2"/>
  <c r="AA287" i="2" s="1"/>
  <c r="V287" i="2"/>
  <c r="D287" i="2"/>
  <c r="E287" i="2" s="1"/>
  <c r="D286" i="2"/>
  <c r="E286" i="2" s="1"/>
  <c r="Z285" i="2"/>
  <c r="Y285" i="2"/>
  <c r="X285" i="2"/>
  <c r="W285" i="2"/>
  <c r="V285" i="2"/>
  <c r="D285" i="2"/>
  <c r="E285" i="2" s="1"/>
  <c r="D284" i="2"/>
  <c r="E284" i="2" s="1"/>
  <c r="Z283" i="2"/>
  <c r="Y283" i="2"/>
  <c r="X283" i="2"/>
  <c r="W283" i="2"/>
  <c r="V283" i="2"/>
  <c r="AA283" i="2" s="1"/>
  <c r="D283" i="2"/>
  <c r="E283" i="2" s="1"/>
  <c r="Z282" i="2"/>
  <c r="Y282" i="2"/>
  <c r="X282" i="2"/>
  <c r="W282" i="2"/>
  <c r="AA282" i="2" s="1"/>
  <c r="V282" i="2"/>
  <c r="D282" i="2"/>
  <c r="E282" i="2" s="1"/>
  <c r="Z281" i="2"/>
  <c r="Y281" i="2"/>
  <c r="X281" i="2"/>
  <c r="W281" i="2"/>
  <c r="V281" i="2"/>
  <c r="AA281" i="2" s="1"/>
  <c r="D281" i="2"/>
  <c r="E281" i="2" s="1"/>
  <c r="Z280" i="2"/>
  <c r="Y280" i="2"/>
  <c r="X280" i="2"/>
  <c r="W280" i="2"/>
  <c r="V280" i="2"/>
  <c r="AA280" i="2" s="1"/>
  <c r="D280" i="2"/>
  <c r="E280" i="2" s="1"/>
  <c r="Z279" i="2"/>
  <c r="Y279" i="2"/>
  <c r="X279" i="2"/>
  <c r="W279" i="2"/>
  <c r="V279" i="2"/>
  <c r="AA279" i="2" s="1"/>
  <c r="D279" i="2"/>
  <c r="E279" i="2" s="1"/>
  <c r="Z278" i="2"/>
  <c r="Y278" i="2"/>
  <c r="X278" i="2"/>
  <c r="W278" i="2"/>
  <c r="AA278" i="2" s="1"/>
  <c r="V278" i="2"/>
  <c r="D278" i="2"/>
  <c r="E278" i="2" s="1"/>
  <c r="Z277" i="2"/>
  <c r="Y277" i="2"/>
  <c r="X277" i="2"/>
  <c r="W277" i="2"/>
  <c r="V277" i="2"/>
  <c r="AA277" i="2" s="1"/>
  <c r="D277" i="2"/>
  <c r="E277" i="2" s="1"/>
  <c r="Z276" i="2"/>
  <c r="Y276" i="2"/>
  <c r="X276" i="2"/>
  <c r="W276" i="2"/>
  <c r="AA276" i="2" s="1"/>
  <c r="V276" i="2"/>
  <c r="D276" i="2"/>
  <c r="E276" i="2" s="1"/>
  <c r="Z275" i="2"/>
  <c r="Y275" i="2"/>
  <c r="X275" i="2"/>
  <c r="W275" i="2"/>
  <c r="V275" i="2"/>
  <c r="AA275" i="2" s="1"/>
  <c r="D275" i="2"/>
  <c r="E275" i="2" s="1"/>
  <c r="Z274" i="2"/>
  <c r="Y274" i="2"/>
  <c r="X274" i="2"/>
  <c r="W274" i="2"/>
  <c r="AA274" i="2" s="1"/>
  <c r="V274" i="2"/>
  <c r="D274" i="2"/>
  <c r="E274" i="2" s="1"/>
  <c r="Z273" i="2"/>
  <c r="Y273" i="2"/>
  <c r="X273" i="2"/>
  <c r="W273" i="2"/>
  <c r="V273" i="2"/>
  <c r="AA273" i="2" s="1"/>
  <c r="D273" i="2"/>
  <c r="E273" i="2" s="1"/>
  <c r="Z272" i="2"/>
  <c r="Y272" i="2"/>
  <c r="X272" i="2"/>
  <c r="W272" i="2"/>
  <c r="AA272" i="2" s="1"/>
  <c r="V272" i="2"/>
  <c r="D272" i="2"/>
  <c r="E272" i="2" s="1"/>
  <c r="Z271" i="2"/>
  <c r="Y271" i="2"/>
  <c r="X271" i="2"/>
  <c r="W271" i="2"/>
  <c r="V271" i="2"/>
  <c r="AA271" i="2" s="1"/>
  <c r="D271" i="2"/>
  <c r="E271" i="2" s="1"/>
  <c r="Z270" i="2"/>
  <c r="Y270" i="2"/>
  <c r="X270" i="2"/>
  <c r="W270" i="2"/>
  <c r="AA270" i="2" s="1"/>
  <c r="V270" i="2"/>
  <c r="D270" i="2"/>
  <c r="E270" i="2" s="1"/>
  <c r="Z269" i="2"/>
  <c r="Y269" i="2"/>
  <c r="X269" i="2"/>
  <c r="W269" i="2"/>
  <c r="V269" i="2"/>
  <c r="AA269" i="2" s="1"/>
  <c r="D269" i="2"/>
  <c r="E269" i="2" s="1"/>
  <c r="Z268" i="2"/>
  <c r="Y268" i="2"/>
  <c r="X268" i="2"/>
  <c r="W268" i="2"/>
  <c r="AA268" i="2" s="1"/>
  <c r="V268" i="2"/>
  <c r="D268" i="2"/>
  <c r="E268" i="2" s="1"/>
  <c r="Z267" i="2"/>
  <c r="Y267" i="2"/>
  <c r="X267" i="2"/>
  <c r="W267" i="2"/>
  <c r="V267" i="2"/>
  <c r="AA267" i="2" s="1"/>
  <c r="D267" i="2"/>
  <c r="E267" i="2" s="1"/>
  <c r="Z266" i="2"/>
  <c r="Y266" i="2"/>
  <c r="X266" i="2"/>
  <c r="W266" i="2"/>
  <c r="AA266" i="2" s="1"/>
  <c r="V266" i="2"/>
  <c r="D266" i="2"/>
  <c r="E266" i="2" s="1"/>
  <c r="Z265" i="2"/>
  <c r="Y265" i="2"/>
  <c r="X265" i="2"/>
  <c r="W265" i="2"/>
  <c r="V265" i="2"/>
  <c r="AA265" i="2" s="1"/>
  <c r="D265" i="2"/>
  <c r="E265" i="2" s="1"/>
  <c r="Z264" i="2"/>
  <c r="Y264" i="2"/>
  <c r="X264" i="2"/>
  <c r="W264" i="2"/>
  <c r="AA264" i="2" s="1"/>
  <c r="V264" i="2"/>
  <c r="D264" i="2"/>
  <c r="E264" i="2" s="1"/>
  <c r="Z263" i="2"/>
  <c r="Y263" i="2"/>
  <c r="X263" i="2"/>
  <c r="W263" i="2"/>
  <c r="V263" i="2"/>
  <c r="AA263" i="2" s="1"/>
  <c r="D263" i="2"/>
  <c r="E263" i="2" s="1"/>
  <c r="Z262" i="2"/>
  <c r="Y262" i="2"/>
  <c r="X262" i="2"/>
  <c r="W262" i="2"/>
  <c r="AA262" i="2" s="1"/>
  <c r="V262" i="2"/>
  <c r="D262" i="2"/>
  <c r="E262" i="2" s="1"/>
  <c r="Z261" i="2"/>
  <c r="Y261" i="2"/>
  <c r="X261" i="2"/>
  <c r="W261" i="2"/>
  <c r="V261" i="2"/>
  <c r="AA261" i="2" s="1"/>
  <c r="D261" i="2"/>
  <c r="E261" i="2" s="1"/>
  <c r="Z260" i="2"/>
  <c r="Y260" i="2"/>
  <c r="X260" i="2"/>
  <c r="W260" i="2"/>
  <c r="AA260" i="2" s="1"/>
  <c r="V260" i="2"/>
  <c r="D260" i="2"/>
  <c r="E260" i="2" s="1"/>
  <c r="Z259" i="2"/>
  <c r="Y259" i="2"/>
  <c r="X259" i="2"/>
  <c r="W259" i="2"/>
  <c r="V259" i="2"/>
  <c r="AA259" i="2" s="1"/>
  <c r="D259" i="2"/>
  <c r="E259" i="2" s="1"/>
  <c r="Z258" i="2"/>
  <c r="Y258" i="2"/>
  <c r="X258" i="2"/>
  <c r="W258" i="2"/>
  <c r="AA258" i="2" s="1"/>
  <c r="V258" i="2"/>
  <c r="D258" i="2"/>
  <c r="E258" i="2" s="1"/>
  <c r="Z257" i="2"/>
  <c r="Y257" i="2"/>
  <c r="X257" i="2"/>
  <c r="W257" i="2"/>
  <c r="V257" i="2"/>
  <c r="AA257" i="2" s="1"/>
  <c r="D257" i="2"/>
  <c r="E257" i="2" s="1"/>
  <c r="Z256" i="2"/>
  <c r="Y256" i="2"/>
  <c r="X256" i="2"/>
  <c r="W256" i="2"/>
  <c r="V256" i="2"/>
  <c r="AA256" i="2" s="1"/>
  <c r="D256" i="2"/>
  <c r="E256" i="2" s="1"/>
  <c r="Z255" i="2"/>
  <c r="Y255" i="2"/>
  <c r="X255" i="2"/>
  <c r="W255" i="2"/>
  <c r="V255" i="2"/>
  <c r="AA255" i="2" s="1"/>
  <c r="D255" i="2"/>
  <c r="E255" i="2" s="1"/>
  <c r="Z254" i="2"/>
  <c r="Y254" i="2"/>
  <c r="X254" i="2"/>
  <c r="W254" i="2"/>
  <c r="AA254" i="2" s="1"/>
  <c r="V254" i="2"/>
  <c r="D254" i="2"/>
  <c r="E254" i="2" s="1"/>
  <c r="Z253" i="2"/>
  <c r="Y253" i="2"/>
  <c r="X253" i="2"/>
  <c r="W253" i="2"/>
  <c r="V253" i="2"/>
  <c r="AA253" i="2" s="1"/>
  <c r="D253" i="2"/>
  <c r="E253" i="2" s="1"/>
  <c r="Z252" i="2"/>
  <c r="Y252" i="2"/>
  <c r="X252" i="2"/>
  <c r="W252" i="2"/>
  <c r="AA252" i="2" s="1"/>
  <c r="V252" i="2"/>
  <c r="D252" i="2"/>
  <c r="E252" i="2" s="1"/>
  <c r="Z251" i="2"/>
  <c r="Y251" i="2"/>
  <c r="X251" i="2"/>
  <c r="W251" i="2"/>
  <c r="V251" i="2"/>
  <c r="AA251" i="2" s="1"/>
  <c r="D251" i="2"/>
  <c r="E251" i="2" s="1"/>
  <c r="Z250" i="2"/>
  <c r="Y250" i="2"/>
  <c r="X250" i="2"/>
  <c r="W250" i="2"/>
  <c r="AA250" i="2" s="1"/>
  <c r="V250" i="2"/>
  <c r="D250" i="2"/>
  <c r="E250" i="2" s="1"/>
  <c r="Z249" i="2"/>
  <c r="Y249" i="2"/>
  <c r="X249" i="2"/>
  <c r="W249" i="2"/>
  <c r="V249" i="2"/>
  <c r="AA249" i="2" s="1"/>
  <c r="D249" i="2"/>
  <c r="E249" i="2" s="1"/>
  <c r="Z248" i="2"/>
  <c r="Y248" i="2"/>
  <c r="X248" i="2"/>
  <c r="W248" i="2"/>
  <c r="AA248" i="2" s="1"/>
  <c r="V248" i="2"/>
  <c r="D248" i="2"/>
  <c r="E248" i="2" s="1"/>
  <c r="Z247" i="2"/>
  <c r="Y247" i="2"/>
  <c r="X247" i="2"/>
  <c r="W247" i="2"/>
  <c r="V247" i="2"/>
  <c r="AA247" i="2" s="1"/>
  <c r="D247" i="2"/>
  <c r="E247" i="2" s="1"/>
  <c r="Z246" i="2"/>
  <c r="Y246" i="2"/>
  <c r="X246" i="2"/>
  <c r="W246" i="2"/>
  <c r="AA246" i="2" s="1"/>
  <c r="V246" i="2"/>
  <c r="D246" i="2"/>
  <c r="E246" i="2" s="1"/>
  <c r="Z245" i="2"/>
  <c r="Y245" i="2"/>
  <c r="X245" i="2"/>
  <c r="W245" i="2"/>
  <c r="V245" i="2"/>
  <c r="AA245" i="2" s="1"/>
  <c r="D245" i="2"/>
  <c r="E245" i="2" s="1"/>
  <c r="Z244" i="2"/>
  <c r="Y244" i="2"/>
  <c r="X244" i="2"/>
  <c r="W244" i="2"/>
  <c r="AA244" i="2" s="1"/>
  <c r="V244" i="2"/>
  <c r="D244" i="2"/>
  <c r="E244" i="2" s="1"/>
  <c r="Z243" i="2"/>
  <c r="Y243" i="2"/>
  <c r="X243" i="2"/>
  <c r="W243" i="2"/>
  <c r="V243" i="2"/>
  <c r="AA243" i="2" s="1"/>
  <c r="D243" i="2"/>
  <c r="E243" i="2" s="1"/>
  <c r="Z242" i="2"/>
  <c r="Y242" i="2"/>
  <c r="X242" i="2"/>
  <c r="W242" i="2"/>
  <c r="AA242" i="2" s="1"/>
  <c r="V242" i="2"/>
  <c r="D242" i="2"/>
  <c r="E242" i="2" s="1"/>
  <c r="Z241" i="2"/>
  <c r="Y241" i="2"/>
  <c r="X241" i="2"/>
  <c r="W241" i="2"/>
  <c r="V241" i="2"/>
  <c r="AA241" i="2" s="1"/>
  <c r="D241" i="2"/>
  <c r="E241" i="2" s="1"/>
  <c r="Z240" i="2"/>
  <c r="Y240" i="2"/>
  <c r="X240" i="2"/>
  <c r="W240" i="2"/>
  <c r="AA240" i="2" s="1"/>
  <c r="V240" i="2"/>
  <c r="D240" i="2"/>
  <c r="E240" i="2" s="1"/>
  <c r="Z239" i="2"/>
  <c r="Y239" i="2"/>
  <c r="X239" i="2"/>
  <c r="W239" i="2"/>
  <c r="V239" i="2"/>
  <c r="AA239" i="2" s="1"/>
  <c r="D239" i="2"/>
  <c r="E239" i="2" s="1"/>
  <c r="AA238" i="2"/>
  <c r="Z238" i="2"/>
  <c r="Y238" i="2"/>
  <c r="X238" i="2"/>
  <c r="W238" i="2"/>
  <c r="V238" i="2"/>
  <c r="D238" i="2"/>
  <c r="E238" i="2" s="1"/>
  <c r="D237" i="2"/>
  <c r="E237" i="2" s="1"/>
  <c r="Z236" i="2"/>
  <c r="Y236" i="2"/>
  <c r="X236" i="2"/>
  <c r="W236" i="2"/>
  <c r="V236" i="2"/>
  <c r="E236" i="2"/>
  <c r="D236" i="2"/>
  <c r="Z235" i="2"/>
  <c r="Y235" i="2"/>
  <c r="X235" i="2"/>
  <c r="W235" i="2"/>
  <c r="V235" i="2"/>
  <c r="AA235" i="2" s="1"/>
  <c r="D235" i="2"/>
  <c r="E235" i="2" s="1"/>
  <c r="D234" i="2"/>
  <c r="E234" i="2" s="1"/>
  <c r="Z233" i="2"/>
  <c r="Y233" i="2"/>
  <c r="X233" i="2"/>
  <c r="W233" i="2"/>
  <c r="AA233" i="2" s="1"/>
  <c r="V233" i="2"/>
  <c r="D233" i="2"/>
  <c r="E233" i="2" s="1"/>
  <c r="Z232" i="2"/>
  <c r="Y232" i="2"/>
  <c r="X232" i="2"/>
  <c r="W232" i="2"/>
  <c r="V232" i="2"/>
  <c r="AA232" i="2" s="1"/>
  <c r="D232" i="2"/>
  <c r="E232" i="2" s="1"/>
  <c r="Z231" i="2"/>
  <c r="Y231" i="2"/>
  <c r="X231" i="2"/>
  <c r="W231" i="2"/>
  <c r="AA231" i="2" s="1"/>
  <c r="V231" i="2"/>
  <c r="D231" i="2"/>
  <c r="E231" i="2" s="1"/>
  <c r="D230" i="2"/>
  <c r="E230" i="2" s="1"/>
  <c r="Z229" i="2"/>
  <c r="Y229" i="2"/>
  <c r="X229" i="2"/>
  <c r="W229" i="2"/>
  <c r="V229" i="2"/>
  <c r="E229" i="2"/>
  <c r="D229" i="2"/>
  <c r="D228" i="2"/>
  <c r="E228" i="2" s="1"/>
  <c r="Z227" i="2"/>
  <c r="Y227" i="2"/>
  <c r="X227" i="2"/>
  <c r="W227" i="2"/>
  <c r="V227" i="2"/>
  <c r="AA227" i="2" s="1"/>
  <c r="D227" i="2"/>
  <c r="E227" i="2" s="1"/>
  <c r="Z226" i="2"/>
  <c r="Y226" i="2"/>
  <c r="X226" i="2"/>
  <c r="W226" i="2"/>
  <c r="AA226" i="2" s="1"/>
  <c r="V226" i="2"/>
  <c r="D226" i="2"/>
  <c r="E226" i="2" s="1"/>
  <c r="Z225" i="2"/>
  <c r="Y225" i="2"/>
  <c r="X225" i="2"/>
  <c r="W225" i="2"/>
  <c r="V225" i="2"/>
  <c r="AA225" i="2" s="1"/>
  <c r="D225" i="2"/>
  <c r="E225" i="2" s="1"/>
  <c r="E224" i="2"/>
  <c r="D224" i="2"/>
  <c r="Z223" i="2"/>
  <c r="Y223" i="2"/>
  <c r="X223" i="2"/>
  <c r="W223" i="2"/>
  <c r="V223" i="2"/>
  <c r="D223" i="2"/>
  <c r="E223" i="2" s="1"/>
  <c r="Z222" i="2"/>
  <c r="Y222" i="2"/>
  <c r="X222" i="2"/>
  <c r="W222" i="2"/>
  <c r="V222" i="2"/>
  <c r="E222" i="2"/>
  <c r="D222" i="2"/>
  <c r="Z221" i="2"/>
  <c r="Y221" i="2"/>
  <c r="X221" i="2"/>
  <c r="W221" i="2"/>
  <c r="AA221" i="2" s="1"/>
  <c r="V221" i="2"/>
  <c r="E221" i="2"/>
  <c r="D221" i="2"/>
  <c r="E220" i="2"/>
  <c r="D220" i="2"/>
  <c r="E219" i="2"/>
  <c r="D219" i="2"/>
  <c r="Z218" i="2"/>
  <c r="Y218" i="2"/>
  <c r="X218" i="2"/>
  <c r="W218" i="2"/>
  <c r="AA218" i="2" s="1"/>
  <c r="V218" i="2"/>
  <c r="E218" i="2"/>
  <c r="D218" i="2"/>
  <c r="Z217" i="2"/>
  <c r="Y217" i="2"/>
  <c r="X217" i="2"/>
  <c r="W217" i="2"/>
  <c r="AA217" i="2" s="1"/>
  <c r="V217" i="2"/>
  <c r="E217" i="2"/>
  <c r="D217" i="2"/>
  <c r="Z216" i="2"/>
  <c r="Y216" i="2"/>
  <c r="X216" i="2"/>
  <c r="W216" i="2"/>
  <c r="AA216" i="2" s="1"/>
  <c r="V216" i="2"/>
  <c r="E216" i="2"/>
  <c r="D216" i="2"/>
  <c r="Z215" i="2"/>
  <c r="Y215" i="2"/>
  <c r="X215" i="2"/>
  <c r="W215" i="2"/>
  <c r="AA215" i="2" s="1"/>
  <c r="V215" i="2"/>
  <c r="E215" i="2"/>
  <c r="D215" i="2"/>
  <c r="Z214" i="2"/>
  <c r="Y214" i="2"/>
  <c r="X214" i="2"/>
  <c r="W214" i="2"/>
  <c r="AA214" i="2" s="1"/>
  <c r="V214" i="2"/>
  <c r="E214" i="2"/>
  <c r="D214" i="2"/>
  <c r="Z213" i="2"/>
  <c r="Y213" i="2"/>
  <c r="X213" i="2"/>
  <c r="W213" i="2"/>
  <c r="AA213" i="2" s="1"/>
  <c r="V213" i="2"/>
  <c r="E213" i="2"/>
  <c r="D213" i="2"/>
  <c r="Z212" i="2"/>
  <c r="Y212" i="2"/>
  <c r="X212" i="2"/>
  <c r="W212" i="2"/>
  <c r="AA212" i="2" s="1"/>
  <c r="V212" i="2"/>
  <c r="E212" i="2"/>
  <c r="D212" i="2"/>
  <c r="Z211" i="2"/>
  <c r="Y211" i="2"/>
  <c r="X211" i="2"/>
  <c r="W211" i="2"/>
  <c r="AA211" i="2" s="1"/>
  <c r="V211" i="2"/>
  <c r="E211" i="2"/>
  <c r="D211" i="2"/>
  <c r="Z210" i="2"/>
  <c r="Y210" i="2"/>
  <c r="X210" i="2"/>
  <c r="W210" i="2"/>
  <c r="AA210" i="2" s="1"/>
  <c r="V210" i="2"/>
  <c r="E210" i="2"/>
  <c r="D210" i="2"/>
  <c r="Z209" i="2"/>
  <c r="Y209" i="2"/>
  <c r="X209" i="2"/>
  <c r="W209" i="2"/>
  <c r="AA209" i="2" s="1"/>
  <c r="V209" i="2"/>
  <c r="E209" i="2"/>
  <c r="D209" i="2"/>
  <c r="Z208" i="2"/>
  <c r="Y208" i="2"/>
  <c r="X208" i="2"/>
  <c r="W208" i="2"/>
  <c r="AA208" i="2" s="1"/>
  <c r="V208" i="2"/>
  <c r="E208" i="2"/>
  <c r="D208" i="2"/>
  <c r="Z207" i="2"/>
  <c r="Y207" i="2"/>
  <c r="X207" i="2"/>
  <c r="W207" i="2"/>
  <c r="AA207" i="2" s="1"/>
  <c r="V207" i="2"/>
  <c r="E207" i="2"/>
  <c r="D207" i="2"/>
  <c r="Z206" i="2"/>
  <c r="Y206" i="2"/>
  <c r="X206" i="2"/>
  <c r="W206" i="2"/>
  <c r="AA206" i="2" s="1"/>
  <c r="V206" i="2"/>
  <c r="E206" i="2"/>
  <c r="D206" i="2"/>
  <c r="Z205" i="2"/>
  <c r="Y205" i="2"/>
  <c r="X205" i="2"/>
  <c r="W205" i="2"/>
  <c r="AA205" i="2" s="1"/>
  <c r="V205" i="2"/>
  <c r="E205" i="2"/>
  <c r="D205" i="2"/>
  <c r="Z204" i="2"/>
  <c r="Y204" i="2"/>
  <c r="X204" i="2"/>
  <c r="W204" i="2"/>
  <c r="AA204" i="2" s="1"/>
  <c r="V204" i="2"/>
  <c r="E204" i="2"/>
  <c r="D204" i="2"/>
  <c r="Z203" i="2"/>
  <c r="Y203" i="2"/>
  <c r="X203" i="2"/>
  <c r="W203" i="2"/>
  <c r="AA203" i="2" s="1"/>
  <c r="V203" i="2"/>
  <c r="E203" i="2"/>
  <c r="D203" i="2"/>
  <c r="E202" i="2"/>
  <c r="D202" i="2"/>
  <c r="Z201" i="2"/>
  <c r="Y201" i="2"/>
  <c r="X201" i="2"/>
  <c r="W201" i="2"/>
  <c r="AA201" i="2" s="1"/>
  <c r="V201" i="2"/>
  <c r="E201" i="2"/>
  <c r="D201" i="2"/>
  <c r="Z200" i="2"/>
  <c r="Y200" i="2"/>
  <c r="X200" i="2"/>
  <c r="W200" i="2"/>
  <c r="V200" i="2"/>
  <c r="E200" i="2"/>
  <c r="D200" i="2"/>
  <c r="Z199" i="2"/>
  <c r="Y199" i="2"/>
  <c r="X199" i="2"/>
  <c r="W199" i="2"/>
  <c r="V199" i="2"/>
  <c r="E199" i="2"/>
  <c r="D199" i="2"/>
  <c r="Z198" i="2"/>
  <c r="Y198" i="2"/>
  <c r="X198" i="2"/>
  <c r="W198" i="2"/>
  <c r="AA198" i="2" s="1"/>
  <c r="V198" i="2"/>
  <c r="E198" i="2"/>
  <c r="D198" i="2"/>
  <c r="Z197" i="2"/>
  <c r="Y197" i="2"/>
  <c r="X197" i="2"/>
  <c r="W197" i="2"/>
  <c r="AA197" i="2" s="1"/>
  <c r="V197" i="2"/>
  <c r="E197" i="2"/>
  <c r="D197" i="2"/>
  <c r="E196" i="2"/>
  <c r="D196" i="2"/>
  <c r="E195" i="2"/>
  <c r="D195" i="2"/>
  <c r="Z194" i="2"/>
  <c r="Y194" i="2"/>
  <c r="X194" i="2"/>
  <c r="W194" i="2"/>
  <c r="V194" i="2"/>
  <c r="E194" i="2"/>
  <c r="D194" i="2"/>
  <c r="E193" i="2"/>
  <c r="D193" i="2"/>
  <c r="Z192" i="2"/>
  <c r="Y192" i="2"/>
  <c r="X192" i="2"/>
  <c r="W192" i="2"/>
  <c r="AA192" i="2" s="1"/>
  <c r="V192" i="2"/>
  <c r="E192" i="2"/>
  <c r="D192" i="2"/>
  <c r="E191" i="2"/>
  <c r="D191" i="2"/>
  <c r="Z190" i="2"/>
  <c r="Y190" i="2"/>
  <c r="X190" i="2"/>
  <c r="W190" i="2"/>
  <c r="V190" i="2"/>
  <c r="E190" i="2"/>
  <c r="D190" i="2"/>
  <c r="Z189" i="2"/>
  <c r="Y189" i="2"/>
  <c r="X189" i="2"/>
  <c r="W189" i="2"/>
  <c r="AA189" i="2" s="1"/>
  <c r="V189" i="2"/>
  <c r="E189" i="2"/>
  <c r="D189" i="2"/>
  <c r="Z188" i="2"/>
  <c r="Y188" i="2"/>
  <c r="X188" i="2"/>
  <c r="W188" i="2"/>
  <c r="AA188" i="2" s="1"/>
  <c r="V188" i="2"/>
  <c r="E188" i="2"/>
  <c r="D188" i="2"/>
  <c r="E187" i="2"/>
  <c r="D187" i="2"/>
  <c r="E186" i="2"/>
  <c r="D186" i="2"/>
  <c r="Z185" i="2"/>
  <c r="Y185" i="2"/>
  <c r="X185" i="2"/>
  <c r="W185" i="2"/>
  <c r="V185" i="2"/>
  <c r="E185" i="2"/>
  <c r="D185" i="2"/>
  <c r="Z184" i="2"/>
  <c r="Y184" i="2"/>
  <c r="X184" i="2"/>
  <c r="W184" i="2"/>
  <c r="V184" i="2"/>
  <c r="E184" i="2"/>
  <c r="D184" i="2"/>
  <c r="Z183" i="2"/>
  <c r="Y183" i="2"/>
  <c r="X183" i="2"/>
  <c r="W183" i="2"/>
  <c r="AA183" i="2" s="1"/>
  <c r="V183" i="2"/>
  <c r="E183" i="2"/>
  <c r="D183" i="2"/>
  <c r="E182" i="2"/>
  <c r="D182" i="2"/>
  <c r="Z181" i="2"/>
  <c r="Y181" i="2"/>
  <c r="X181" i="2"/>
  <c r="W181" i="2"/>
  <c r="AA181" i="2" s="1"/>
  <c r="V181" i="2"/>
  <c r="E181" i="2"/>
  <c r="D181" i="2"/>
  <c r="Z180" i="2"/>
  <c r="Y180" i="2"/>
  <c r="X180" i="2"/>
  <c r="W180" i="2"/>
  <c r="AA180" i="2" s="1"/>
  <c r="V180" i="2"/>
  <c r="E180" i="2"/>
  <c r="D180" i="2"/>
  <c r="Z179" i="2"/>
  <c r="Y179" i="2"/>
  <c r="X179" i="2"/>
  <c r="W179" i="2"/>
  <c r="AA179" i="2" s="1"/>
  <c r="V179" i="2"/>
  <c r="E179" i="2"/>
  <c r="D179" i="2"/>
  <c r="Z178" i="2"/>
  <c r="Y178" i="2"/>
  <c r="X178" i="2"/>
  <c r="W178" i="2"/>
  <c r="AA178" i="2" s="1"/>
  <c r="V178" i="2"/>
  <c r="E178" i="2"/>
  <c r="D178" i="2"/>
  <c r="E177" i="2"/>
  <c r="D177" i="2"/>
  <c r="E176" i="2"/>
  <c r="D176" i="2"/>
  <c r="Z175" i="2"/>
  <c r="Y175" i="2"/>
  <c r="X175" i="2"/>
  <c r="W175" i="2"/>
  <c r="AA175" i="2" s="1"/>
  <c r="V175" i="2"/>
  <c r="E175" i="2"/>
  <c r="D175" i="2"/>
  <c r="Z174" i="2"/>
  <c r="Y174" i="2"/>
  <c r="X174" i="2"/>
  <c r="W174" i="2"/>
  <c r="AA174" i="2" s="1"/>
  <c r="V174" i="2"/>
  <c r="E174" i="2"/>
  <c r="D174" i="2"/>
  <c r="Z173" i="2"/>
  <c r="Y173" i="2"/>
  <c r="X173" i="2"/>
  <c r="W173" i="2"/>
  <c r="AA173" i="2" s="1"/>
  <c r="V173" i="2"/>
  <c r="E173" i="2"/>
  <c r="D173" i="2"/>
  <c r="Z172" i="2"/>
  <c r="Y172" i="2"/>
  <c r="X172" i="2"/>
  <c r="W172" i="2"/>
  <c r="AA172" i="2" s="1"/>
  <c r="V172" i="2"/>
  <c r="E172" i="2"/>
  <c r="D172" i="2"/>
  <c r="E171" i="2"/>
  <c r="D171" i="2"/>
  <c r="Z170" i="2"/>
  <c r="Y170" i="2"/>
  <c r="X170" i="2"/>
  <c r="W170" i="2"/>
  <c r="AA170" i="2" s="1"/>
  <c r="V170" i="2"/>
  <c r="E170" i="2"/>
  <c r="D170" i="2"/>
  <c r="Z169" i="2"/>
  <c r="Y169" i="2"/>
  <c r="X169" i="2"/>
  <c r="W169" i="2"/>
  <c r="V169" i="2"/>
  <c r="E169" i="2"/>
  <c r="D169" i="2"/>
  <c r="E168" i="2"/>
  <c r="D168" i="2"/>
  <c r="E167" i="2"/>
  <c r="D167" i="2"/>
  <c r="E166" i="2"/>
  <c r="D166" i="2"/>
  <c r="Z165" i="2"/>
  <c r="Y165" i="2"/>
  <c r="X165" i="2"/>
  <c r="W165" i="2"/>
  <c r="AA165" i="2" s="1"/>
  <c r="V165" i="2"/>
  <c r="E165" i="2"/>
  <c r="D165" i="2"/>
  <c r="Z164" i="2"/>
  <c r="Y164" i="2"/>
  <c r="X164" i="2"/>
  <c r="W164" i="2"/>
  <c r="AA164" i="2" s="1"/>
  <c r="V164" i="2"/>
  <c r="E164" i="2"/>
  <c r="D164" i="2"/>
  <c r="Z163" i="2"/>
  <c r="Y163" i="2"/>
  <c r="X163" i="2"/>
  <c r="W163" i="2"/>
  <c r="AA163" i="2" s="1"/>
  <c r="V163" i="2"/>
  <c r="E163" i="2"/>
  <c r="D163" i="2"/>
  <c r="Z162" i="2"/>
  <c r="Y162" i="2"/>
  <c r="X162" i="2"/>
  <c r="W162" i="2"/>
  <c r="AA162" i="2" s="1"/>
  <c r="V162" i="2"/>
  <c r="E162" i="2"/>
  <c r="D162" i="2"/>
  <c r="AA161" i="2"/>
  <c r="Z161" i="2"/>
  <c r="Y161" i="2"/>
  <c r="X161" i="2"/>
  <c r="W161" i="2"/>
  <c r="V161" i="2"/>
  <c r="E161" i="2"/>
  <c r="D161" i="2"/>
  <c r="E160" i="2"/>
  <c r="D160" i="2"/>
  <c r="E159" i="2"/>
  <c r="D159" i="2"/>
  <c r="Z158" i="2"/>
  <c r="Y158" i="2"/>
  <c r="X158" i="2"/>
  <c r="W158" i="2"/>
  <c r="AA158" i="2" s="1"/>
  <c r="V158" i="2"/>
  <c r="E158" i="2"/>
  <c r="D158" i="2"/>
  <c r="E157" i="2"/>
  <c r="D157" i="2"/>
  <c r="E156" i="2"/>
  <c r="D156" i="2"/>
  <c r="Z155" i="2"/>
  <c r="Y155" i="2"/>
  <c r="X155" i="2"/>
  <c r="W155" i="2"/>
  <c r="AA155" i="2" s="1"/>
  <c r="V155" i="2"/>
  <c r="E155" i="2"/>
  <c r="D155" i="2"/>
  <c r="Z154" i="2"/>
  <c r="Y154" i="2"/>
  <c r="X154" i="2"/>
  <c r="W154" i="2"/>
  <c r="AA154" i="2" s="1"/>
  <c r="V154" i="2"/>
  <c r="E154" i="2"/>
  <c r="D154" i="2"/>
  <c r="E153" i="2"/>
  <c r="D153" i="2"/>
  <c r="E152" i="2"/>
  <c r="D152" i="2"/>
  <c r="Z151" i="2"/>
  <c r="Y151" i="2"/>
  <c r="X151" i="2"/>
  <c r="W151" i="2"/>
  <c r="AA151" i="2" s="1"/>
  <c r="V151" i="2"/>
  <c r="E151" i="2"/>
  <c r="D151" i="2"/>
  <c r="Z150" i="2"/>
  <c r="Y150" i="2"/>
  <c r="X150" i="2"/>
  <c r="W150" i="2"/>
  <c r="AA150" i="2" s="1"/>
  <c r="V150" i="2"/>
  <c r="E150" i="2"/>
  <c r="D150" i="2"/>
  <c r="E149" i="2"/>
  <c r="D149" i="2"/>
  <c r="E148" i="2"/>
  <c r="D148" i="2"/>
  <c r="Z147" i="2"/>
  <c r="Y147" i="2"/>
  <c r="X147" i="2"/>
  <c r="W147" i="2"/>
  <c r="AA147" i="2" s="1"/>
  <c r="V147" i="2"/>
  <c r="E147" i="2"/>
  <c r="D147" i="2"/>
  <c r="Z146" i="2"/>
  <c r="Y146" i="2"/>
  <c r="X146" i="2"/>
  <c r="W146" i="2"/>
  <c r="AA146" i="2" s="1"/>
  <c r="V146" i="2"/>
  <c r="E146" i="2"/>
  <c r="D146" i="2"/>
  <c r="Z145" i="2"/>
  <c r="Y145" i="2"/>
  <c r="X145" i="2"/>
  <c r="W145" i="2"/>
  <c r="AA145" i="2" s="1"/>
  <c r="V145" i="2"/>
  <c r="E145" i="2"/>
  <c r="D145" i="2"/>
  <c r="Z144" i="2"/>
  <c r="Y144" i="2"/>
  <c r="X144" i="2"/>
  <c r="W144" i="2"/>
  <c r="AA144" i="2" s="1"/>
  <c r="V144" i="2"/>
  <c r="E144" i="2"/>
  <c r="D144" i="2"/>
  <c r="Z143" i="2"/>
  <c r="Y143" i="2"/>
  <c r="X143" i="2"/>
  <c r="W143" i="2"/>
  <c r="AA143" i="2" s="1"/>
  <c r="V143" i="2"/>
  <c r="E143" i="2"/>
  <c r="D143" i="2"/>
  <c r="E142" i="2"/>
  <c r="D142" i="2"/>
  <c r="E141" i="2"/>
  <c r="D141" i="2"/>
  <c r="Z140" i="2"/>
  <c r="Y140" i="2"/>
  <c r="X140" i="2"/>
  <c r="W140" i="2"/>
  <c r="AA140" i="2" s="1"/>
  <c r="V140" i="2"/>
  <c r="E140" i="2"/>
  <c r="D140" i="2"/>
  <c r="AA139" i="2"/>
  <c r="Z139" i="2"/>
  <c r="Y139" i="2"/>
  <c r="X139" i="2"/>
  <c r="W139" i="2"/>
  <c r="V139" i="2"/>
  <c r="E139" i="2"/>
  <c r="D139" i="2"/>
  <c r="Z138" i="2"/>
  <c r="Y138" i="2"/>
  <c r="X138" i="2"/>
  <c r="W138" i="2"/>
  <c r="AA138" i="2" s="1"/>
  <c r="V138" i="2"/>
  <c r="E138" i="2"/>
  <c r="D138" i="2"/>
  <c r="Z137" i="2"/>
  <c r="Y137" i="2"/>
  <c r="X137" i="2"/>
  <c r="W137" i="2"/>
  <c r="AA137" i="2" s="1"/>
  <c r="V137" i="2"/>
  <c r="E137" i="2"/>
  <c r="D137" i="2"/>
  <c r="Z136" i="2"/>
  <c r="Y136" i="2"/>
  <c r="X136" i="2"/>
  <c r="W136" i="2"/>
  <c r="AA136" i="2" s="1"/>
  <c r="V136" i="2"/>
  <c r="E136" i="2"/>
  <c r="D136" i="2"/>
  <c r="Z135" i="2"/>
  <c r="Y135" i="2"/>
  <c r="X135" i="2"/>
  <c r="W135" i="2"/>
  <c r="AA135" i="2" s="1"/>
  <c r="V135" i="2"/>
  <c r="E135" i="2"/>
  <c r="D135" i="2"/>
  <c r="Z134" i="2"/>
  <c r="Y134" i="2"/>
  <c r="X134" i="2"/>
  <c r="W134" i="2"/>
  <c r="AA134" i="2" s="1"/>
  <c r="V134" i="2"/>
  <c r="E134" i="2"/>
  <c r="D134" i="2"/>
  <c r="Z133" i="2"/>
  <c r="Y133" i="2"/>
  <c r="X133" i="2"/>
  <c r="W133" i="2"/>
  <c r="AA133" i="2" s="1"/>
  <c r="V133" i="2"/>
  <c r="E133" i="2"/>
  <c r="D133" i="2"/>
  <c r="Z132" i="2"/>
  <c r="Y132" i="2"/>
  <c r="X132" i="2"/>
  <c r="W132" i="2"/>
  <c r="AA132" i="2" s="1"/>
  <c r="V132" i="2"/>
  <c r="E132" i="2"/>
  <c r="D132" i="2"/>
  <c r="Z131" i="2"/>
  <c r="Y131" i="2"/>
  <c r="X131" i="2"/>
  <c r="W131" i="2"/>
  <c r="AA131" i="2" s="1"/>
  <c r="V131" i="2"/>
  <c r="E131" i="2"/>
  <c r="D131" i="2"/>
  <c r="Z130" i="2"/>
  <c r="Y130" i="2"/>
  <c r="X130" i="2"/>
  <c r="W130" i="2"/>
  <c r="AA130" i="2" s="1"/>
  <c r="V130" i="2"/>
  <c r="E130" i="2"/>
  <c r="D130" i="2"/>
  <c r="Z129" i="2"/>
  <c r="Y129" i="2"/>
  <c r="X129" i="2"/>
  <c r="W129" i="2"/>
  <c r="AA129" i="2" s="1"/>
  <c r="V129" i="2"/>
  <c r="E129" i="2"/>
  <c r="D129" i="2"/>
  <c r="Z128" i="2"/>
  <c r="Y128" i="2"/>
  <c r="X128" i="2"/>
  <c r="W128" i="2"/>
  <c r="AA128" i="2" s="1"/>
  <c r="V128" i="2"/>
  <c r="E128" i="2"/>
  <c r="D128" i="2"/>
  <c r="Z127" i="2"/>
  <c r="Y127" i="2"/>
  <c r="X127" i="2"/>
  <c r="W127" i="2"/>
  <c r="AA127" i="2" s="1"/>
  <c r="V127" i="2"/>
  <c r="E127" i="2"/>
  <c r="D127" i="2"/>
  <c r="Z126" i="2"/>
  <c r="Y126" i="2"/>
  <c r="X126" i="2"/>
  <c r="W126" i="2"/>
  <c r="AA126" i="2" s="1"/>
  <c r="V126" i="2"/>
  <c r="E126" i="2"/>
  <c r="D126" i="2"/>
  <c r="Z125" i="2"/>
  <c r="Y125" i="2"/>
  <c r="X125" i="2"/>
  <c r="W125" i="2"/>
  <c r="AA125" i="2" s="1"/>
  <c r="V125" i="2"/>
  <c r="E125" i="2"/>
  <c r="D125" i="2"/>
  <c r="Z124" i="2"/>
  <c r="Y124" i="2"/>
  <c r="X124" i="2"/>
  <c r="W124" i="2"/>
  <c r="AA124" i="2" s="1"/>
  <c r="V124" i="2"/>
  <c r="E124" i="2"/>
  <c r="D124" i="2"/>
  <c r="Z123" i="2"/>
  <c r="Y123" i="2"/>
  <c r="X123" i="2"/>
  <c r="W123" i="2"/>
  <c r="AA123" i="2" s="1"/>
  <c r="V123" i="2"/>
  <c r="E123" i="2"/>
  <c r="D123" i="2"/>
  <c r="Z122" i="2"/>
  <c r="Y122" i="2"/>
  <c r="X122" i="2"/>
  <c r="W122" i="2"/>
  <c r="AA122" i="2" s="1"/>
  <c r="V122" i="2"/>
  <c r="E122" i="2"/>
  <c r="D122" i="2"/>
  <c r="Z121" i="2"/>
  <c r="Y121" i="2"/>
  <c r="X121" i="2"/>
  <c r="W121" i="2"/>
  <c r="AA121" i="2" s="1"/>
  <c r="V121" i="2"/>
  <c r="E121" i="2"/>
  <c r="D121" i="2"/>
  <c r="Z120" i="2"/>
  <c r="Y120" i="2"/>
  <c r="X120" i="2"/>
  <c r="W120" i="2"/>
  <c r="AA120" i="2" s="1"/>
  <c r="V120" i="2"/>
  <c r="E120" i="2"/>
  <c r="D120" i="2"/>
  <c r="Z119" i="2"/>
  <c r="Y119" i="2"/>
  <c r="X119" i="2"/>
  <c r="W119" i="2"/>
  <c r="AA119" i="2" s="1"/>
  <c r="V119" i="2"/>
  <c r="E119" i="2"/>
  <c r="D119" i="2"/>
  <c r="Z118" i="2"/>
  <c r="Y118" i="2"/>
  <c r="X118" i="2"/>
  <c r="W118" i="2"/>
  <c r="AA118" i="2" s="1"/>
  <c r="V118" i="2"/>
  <c r="E118" i="2"/>
  <c r="D118" i="2"/>
  <c r="Z117" i="2"/>
  <c r="Y117" i="2"/>
  <c r="X117" i="2"/>
  <c r="W117" i="2"/>
  <c r="AA117" i="2" s="1"/>
  <c r="V117" i="2"/>
  <c r="E117" i="2"/>
  <c r="D117" i="2"/>
  <c r="Z116" i="2"/>
  <c r="Y116" i="2"/>
  <c r="X116" i="2"/>
  <c r="W116" i="2"/>
  <c r="AA116" i="2" s="1"/>
  <c r="V116" i="2"/>
  <c r="E116" i="2"/>
  <c r="D116" i="2"/>
  <c r="Z115" i="2"/>
  <c r="Y115" i="2"/>
  <c r="X115" i="2"/>
  <c r="W115" i="2"/>
  <c r="AA115" i="2" s="1"/>
  <c r="V115" i="2"/>
  <c r="E115" i="2"/>
  <c r="D115" i="2"/>
  <c r="Z114" i="2"/>
  <c r="Y114" i="2"/>
  <c r="X114" i="2"/>
  <c r="W114" i="2"/>
  <c r="AA114" i="2" s="1"/>
  <c r="V114" i="2"/>
  <c r="E114" i="2"/>
  <c r="D114" i="2"/>
  <c r="Z113" i="2"/>
  <c r="Y113" i="2"/>
  <c r="X113" i="2"/>
  <c r="W113" i="2"/>
  <c r="AA113" i="2" s="1"/>
  <c r="V113" i="2"/>
  <c r="E113" i="2"/>
  <c r="D113" i="2"/>
  <c r="Z112" i="2"/>
  <c r="Y112" i="2"/>
  <c r="X112" i="2"/>
  <c r="W112" i="2"/>
  <c r="AA112" i="2" s="1"/>
  <c r="V112" i="2"/>
  <c r="E112" i="2"/>
  <c r="D112" i="2"/>
  <c r="Z111" i="2"/>
  <c r="Y111" i="2"/>
  <c r="X111" i="2"/>
  <c r="W111" i="2"/>
  <c r="AA111" i="2" s="1"/>
  <c r="V111" i="2"/>
  <c r="E111" i="2"/>
  <c r="D111" i="2"/>
  <c r="Z110" i="2"/>
  <c r="Y110" i="2"/>
  <c r="X110" i="2"/>
  <c r="W110" i="2"/>
  <c r="AA110" i="2" s="1"/>
  <c r="V110" i="2"/>
  <c r="E110" i="2"/>
  <c r="D110" i="2"/>
  <c r="Z109" i="2"/>
  <c r="Y109" i="2"/>
  <c r="X109" i="2"/>
  <c r="W109" i="2"/>
  <c r="AA109" i="2" s="1"/>
  <c r="V109" i="2"/>
  <c r="E109" i="2"/>
  <c r="D109" i="2"/>
  <c r="Z108" i="2"/>
  <c r="Y108" i="2"/>
  <c r="X108" i="2"/>
  <c r="W108" i="2"/>
  <c r="AA108" i="2" s="1"/>
  <c r="V108" i="2"/>
  <c r="E108" i="2"/>
  <c r="D108" i="2"/>
  <c r="Z107" i="2"/>
  <c r="Y107" i="2"/>
  <c r="X107" i="2"/>
  <c r="W107" i="2"/>
  <c r="AA107" i="2" s="1"/>
  <c r="V107" i="2"/>
  <c r="E107" i="2"/>
  <c r="D107" i="2"/>
  <c r="Z106" i="2"/>
  <c r="Y106" i="2"/>
  <c r="X106" i="2"/>
  <c r="W106" i="2"/>
  <c r="AA106" i="2" s="1"/>
  <c r="V106" i="2"/>
  <c r="E106" i="2"/>
  <c r="D106" i="2"/>
  <c r="Z105" i="2"/>
  <c r="Y105" i="2"/>
  <c r="X105" i="2"/>
  <c r="W105" i="2"/>
  <c r="AA105" i="2" s="1"/>
  <c r="V105" i="2"/>
  <c r="E105" i="2"/>
  <c r="D105" i="2"/>
  <c r="Z104" i="2"/>
  <c r="Y104" i="2"/>
  <c r="X104" i="2"/>
  <c r="W104" i="2"/>
  <c r="AA104" i="2" s="1"/>
  <c r="V104" i="2"/>
  <c r="E104" i="2"/>
  <c r="D104" i="2"/>
  <c r="Z103" i="2"/>
  <c r="Y103" i="2"/>
  <c r="X103" i="2"/>
  <c r="W103" i="2"/>
  <c r="AA103" i="2" s="1"/>
  <c r="V103" i="2"/>
  <c r="E103" i="2"/>
  <c r="D103" i="2"/>
  <c r="Z102" i="2"/>
  <c r="Y102" i="2"/>
  <c r="X102" i="2"/>
  <c r="W102" i="2"/>
  <c r="AA102" i="2" s="1"/>
  <c r="V102" i="2"/>
  <c r="E102" i="2"/>
  <c r="D102" i="2"/>
  <c r="Z101" i="2"/>
  <c r="Y101" i="2"/>
  <c r="X101" i="2"/>
  <c r="W101" i="2"/>
  <c r="AA101" i="2" s="1"/>
  <c r="V101" i="2"/>
  <c r="E101" i="2"/>
  <c r="D101" i="2"/>
  <c r="Z100" i="2"/>
  <c r="Y100" i="2"/>
  <c r="X100" i="2"/>
  <c r="W100" i="2"/>
  <c r="AA100" i="2" s="1"/>
  <c r="V100" i="2"/>
  <c r="E100" i="2"/>
  <c r="D100" i="2"/>
  <c r="Z99" i="2"/>
  <c r="Y99" i="2"/>
  <c r="X99" i="2"/>
  <c r="W99" i="2"/>
  <c r="AA99" i="2" s="1"/>
  <c r="V99" i="2"/>
  <c r="E99" i="2"/>
  <c r="D99" i="2"/>
  <c r="Z98" i="2"/>
  <c r="Y98" i="2"/>
  <c r="X98" i="2"/>
  <c r="W98" i="2"/>
  <c r="AA98" i="2" s="1"/>
  <c r="V98" i="2"/>
  <c r="E98" i="2"/>
  <c r="D98" i="2"/>
  <c r="Z97" i="2"/>
  <c r="Y97" i="2"/>
  <c r="X97" i="2"/>
  <c r="W97" i="2"/>
  <c r="AA97" i="2" s="1"/>
  <c r="V97" i="2"/>
  <c r="E97" i="2"/>
  <c r="D97" i="2"/>
  <c r="Z96" i="2"/>
  <c r="Y96" i="2"/>
  <c r="X96" i="2"/>
  <c r="W96" i="2"/>
  <c r="AA96" i="2" s="1"/>
  <c r="V96" i="2"/>
  <c r="E96" i="2"/>
  <c r="D96" i="2"/>
  <c r="Z95" i="2"/>
  <c r="Y95" i="2"/>
  <c r="X95" i="2"/>
  <c r="W95" i="2"/>
  <c r="AA95" i="2" s="1"/>
  <c r="V95" i="2"/>
  <c r="E95" i="2"/>
  <c r="D95" i="2"/>
  <c r="Z94" i="2"/>
  <c r="Y94" i="2"/>
  <c r="X94" i="2"/>
  <c r="W94" i="2"/>
  <c r="AA94" i="2" s="1"/>
  <c r="V94" i="2"/>
  <c r="E94" i="2"/>
  <c r="D94" i="2"/>
  <c r="Z93" i="2"/>
  <c r="Y93" i="2"/>
  <c r="X93" i="2"/>
  <c r="W93" i="2"/>
  <c r="AA93" i="2" s="1"/>
  <c r="V93" i="2"/>
  <c r="E93" i="2"/>
  <c r="D93" i="2"/>
  <c r="Z92" i="2"/>
  <c r="Y92" i="2"/>
  <c r="X92" i="2"/>
  <c r="W92" i="2"/>
  <c r="AA92" i="2" s="1"/>
  <c r="V92" i="2"/>
  <c r="E92" i="2"/>
  <c r="D92" i="2"/>
  <c r="Z91" i="2"/>
  <c r="Y91" i="2"/>
  <c r="X91" i="2"/>
  <c r="W91" i="2"/>
  <c r="AA91" i="2" s="1"/>
  <c r="V91" i="2"/>
  <c r="E91" i="2"/>
  <c r="D91" i="2"/>
  <c r="AA90" i="2"/>
  <c r="Z90" i="2"/>
  <c r="Y90" i="2"/>
  <c r="X90" i="2"/>
  <c r="W90" i="2"/>
  <c r="V90" i="2"/>
  <c r="E90" i="2"/>
  <c r="D90" i="2"/>
  <c r="Z89" i="2"/>
  <c r="Y89" i="2"/>
  <c r="X89" i="2"/>
  <c r="W89" i="2"/>
  <c r="AA89" i="2" s="1"/>
  <c r="V89" i="2"/>
  <c r="E89" i="2"/>
  <c r="D89" i="2"/>
  <c r="Z88" i="2"/>
  <c r="Y88" i="2"/>
  <c r="X88" i="2"/>
  <c r="W88" i="2"/>
  <c r="AA88" i="2" s="1"/>
  <c r="V88" i="2"/>
  <c r="E88" i="2"/>
  <c r="D88" i="2"/>
  <c r="Z87" i="2"/>
  <c r="Y87" i="2"/>
  <c r="X87" i="2"/>
  <c r="W87" i="2"/>
  <c r="AA87" i="2" s="1"/>
  <c r="V87" i="2"/>
  <c r="E87" i="2"/>
  <c r="D87" i="2"/>
  <c r="Z86" i="2"/>
  <c r="Y86" i="2"/>
  <c r="X86" i="2"/>
  <c r="W86" i="2"/>
  <c r="AA86" i="2" s="1"/>
  <c r="V86" i="2"/>
  <c r="E86" i="2"/>
  <c r="D86" i="2"/>
  <c r="Z85" i="2"/>
  <c r="Y85" i="2"/>
  <c r="X85" i="2"/>
  <c r="W85" i="2"/>
  <c r="AA85" i="2" s="1"/>
  <c r="V85" i="2"/>
  <c r="E85" i="2"/>
  <c r="D85" i="2"/>
  <c r="AA84" i="2"/>
  <c r="Z84" i="2"/>
  <c r="Y84" i="2"/>
  <c r="X84" i="2"/>
  <c r="W84" i="2"/>
  <c r="V84" i="2"/>
  <c r="E84" i="2"/>
  <c r="D84" i="2"/>
  <c r="Z83" i="2"/>
  <c r="Y83" i="2"/>
  <c r="X83" i="2"/>
  <c r="W83" i="2"/>
  <c r="AA83" i="2" s="1"/>
  <c r="V83" i="2"/>
  <c r="E83" i="2"/>
  <c r="D83" i="2"/>
  <c r="Z82" i="2"/>
  <c r="Y82" i="2"/>
  <c r="X82" i="2"/>
  <c r="W82" i="2"/>
  <c r="AA82" i="2" s="1"/>
  <c r="V82" i="2"/>
  <c r="E82" i="2"/>
  <c r="D82" i="2"/>
  <c r="Z81" i="2"/>
  <c r="Y81" i="2"/>
  <c r="X81" i="2"/>
  <c r="W81" i="2"/>
  <c r="AA81" i="2" s="1"/>
  <c r="V81" i="2"/>
  <c r="E81" i="2"/>
  <c r="D81" i="2"/>
  <c r="Z80" i="2"/>
  <c r="Y80" i="2"/>
  <c r="X80" i="2"/>
  <c r="W80" i="2"/>
  <c r="AA80" i="2" s="1"/>
  <c r="V80" i="2"/>
  <c r="E80" i="2"/>
  <c r="D80" i="2"/>
  <c r="Z79" i="2"/>
  <c r="Y79" i="2"/>
  <c r="X79" i="2"/>
  <c r="W79" i="2"/>
  <c r="AA79" i="2" s="1"/>
  <c r="V79" i="2"/>
  <c r="D79" i="2"/>
  <c r="E79" i="2" s="1"/>
  <c r="E78" i="2"/>
  <c r="D78" i="2"/>
  <c r="Z77" i="2"/>
  <c r="Y77" i="2"/>
  <c r="X77" i="2"/>
  <c r="W77" i="2"/>
  <c r="V77" i="2"/>
  <c r="E77" i="2"/>
  <c r="D77" i="2"/>
  <c r="Z76" i="2"/>
  <c r="Y76" i="2"/>
  <c r="X76" i="2"/>
  <c r="W76" i="2"/>
  <c r="AA76" i="2" s="1"/>
  <c r="V76" i="2"/>
  <c r="E76" i="2"/>
  <c r="D76" i="2"/>
  <c r="Z75" i="2"/>
  <c r="Y75" i="2"/>
  <c r="X75" i="2"/>
  <c r="W75" i="2"/>
  <c r="V75" i="2"/>
  <c r="E75" i="2"/>
  <c r="D75" i="2"/>
  <c r="Z74" i="2"/>
  <c r="Y74" i="2"/>
  <c r="X74" i="2"/>
  <c r="W74" i="2"/>
  <c r="V74" i="2"/>
  <c r="E74" i="2"/>
  <c r="D74" i="2"/>
  <c r="Z73" i="2"/>
  <c r="Y73" i="2"/>
  <c r="X73" i="2"/>
  <c r="W73" i="2"/>
  <c r="AA73" i="2" s="1"/>
  <c r="V73" i="2"/>
  <c r="E73" i="2"/>
  <c r="D73" i="2"/>
  <c r="Z72" i="2"/>
  <c r="Y72" i="2"/>
  <c r="X72" i="2"/>
  <c r="W72" i="2"/>
  <c r="AA72" i="2" s="1"/>
  <c r="V72" i="2"/>
  <c r="E72" i="2"/>
  <c r="D72" i="2"/>
  <c r="Z71" i="2"/>
  <c r="Y71" i="2"/>
  <c r="X71" i="2"/>
  <c r="W71" i="2"/>
  <c r="V71" i="2"/>
  <c r="E71" i="2"/>
  <c r="D71" i="2"/>
  <c r="Z70" i="2"/>
  <c r="Y70" i="2"/>
  <c r="X70" i="2"/>
  <c r="W70" i="2"/>
  <c r="V70" i="2"/>
  <c r="E70" i="2"/>
  <c r="D70" i="2"/>
  <c r="Z69" i="2"/>
  <c r="Y69" i="2"/>
  <c r="X69" i="2"/>
  <c r="W69" i="2"/>
  <c r="AA69" i="2" s="1"/>
  <c r="V69" i="2"/>
  <c r="E69" i="2"/>
  <c r="D69" i="2"/>
  <c r="Z68" i="2"/>
  <c r="Y68" i="2"/>
  <c r="X68" i="2"/>
  <c r="W68" i="2"/>
  <c r="AA68" i="2" s="1"/>
  <c r="V68" i="2"/>
  <c r="E68" i="2"/>
  <c r="D68" i="2"/>
  <c r="Z67" i="2"/>
  <c r="Y67" i="2"/>
  <c r="X67" i="2"/>
  <c r="W67" i="2"/>
  <c r="V67" i="2"/>
  <c r="E67" i="2"/>
  <c r="D67" i="2"/>
  <c r="Z66" i="2"/>
  <c r="Y66" i="2"/>
  <c r="X66" i="2"/>
  <c r="W66" i="2"/>
  <c r="V66" i="2"/>
  <c r="E66" i="2"/>
  <c r="D66" i="2"/>
  <c r="Z65" i="2"/>
  <c r="Y65" i="2"/>
  <c r="X65" i="2"/>
  <c r="W65" i="2"/>
  <c r="AA65" i="2" s="1"/>
  <c r="V65" i="2"/>
  <c r="E65" i="2"/>
  <c r="D65" i="2"/>
  <c r="Z64" i="2"/>
  <c r="Y64" i="2"/>
  <c r="X64" i="2"/>
  <c r="W64" i="2"/>
  <c r="AA64" i="2" s="1"/>
  <c r="V64" i="2"/>
  <c r="E64" i="2"/>
  <c r="D64" i="2"/>
  <c r="Z63" i="2"/>
  <c r="Y63" i="2"/>
  <c r="X63" i="2"/>
  <c r="W63" i="2"/>
  <c r="V63" i="2"/>
  <c r="E63" i="2"/>
  <c r="D63" i="2"/>
  <c r="Z62" i="2"/>
  <c r="Y62" i="2"/>
  <c r="X62" i="2"/>
  <c r="W62" i="2"/>
  <c r="V62" i="2"/>
  <c r="E62" i="2"/>
  <c r="D62" i="2"/>
  <c r="Z61" i="2"/>
  <c r="Y61" i="2"/>
  <c r="X61" i="2"/>
  <c r="W61" i="2"/>
  <c r="AA61" i="2" s="1"/>
  <c r="V61" i="2"/>
  <c r="E61" i="2"/>
  <c r="D61" i="2"/>
  <c r="Z60" i="2"/>
  <c r="Y60" i="2"/>
  <c r="X60" i="2"/>
  <c r="W60" i="2"/>
  <c r="AA60" i="2" s="1"/>
  <c r="V60" i="2"/>
  <c r="E60" i="2"/>
  <c r="D60" i="2"/>
  <c r="Z59" i="2"/>
  <c r="Y59" i="2"/>
  <c r="X59" i="2"/>
  <c r="W59" i="2"/>
  <c r="V59" i="2"/>
  <c r="E59" i="2"/>
  <c r="D59" i="2"/>
  <c r="Z58" i="2"/>
  <c r="Y58" i="2"/>
  <c r="X58" i="2"/>
  <c r="W58" i="2"/>
  <c r="V58" i="2"/>
  <c r="E58" i="2"/>
  <c r="D58" i="2"/>
  <c r="Z57" i="2"/>
  <c r="Y57" i="2"/>
  <c r="X57" i="2"/>
  <c r="W57" i="2"/>
  <c r="AA57" i="2" s="1"/>
  <c r="V57" i="2"/>
  <c r="E57" i="2"/>
  <c r="D57" i="2"/>
  <c r="Z56" i="2"/>
  <c r="Y56" i="2"/>
  <c r="X56" i="2"/>
  <c r="W56" i="2"/>
  <c r="AA56" i="2" s="1"/>
  <c r="V56" i="2"/>
  <c r="E56" i="2"/>
  <c r="D56" i="2"/>
  <c r="Z55" i="2"/>
  <c r="Y55" i="2"/>
  <c r="X55" i="2"/>
  <c r="W55" i="2"/>
  <c r="V55" i="2"/>
  <c r="E55" i="2"/>
  <c r="D55" i="2"/>
  <c r="Z54" i="2"/>
  <c r="Y54" i="2"/>
  <c r="X54" i="2"/>
  <c r="W54" i="2"/>
  <c r="V54" i="2"/>
  <c r="E54" i="2"/>
  <c r="D54" i="2"/>
  <c r="Z53" i="2"/>
  <c r="Y53" i="2"/>
  <c r="X53" i="2"/>
  <c r="W53" i="2"/>
  <c r="AA53" i="2" s="1"/>
  <c r="V53" i="2"/>
  <c r="E53" i="2"/>
  <c r="D53" i="2"/>
  <c r="Z52" i="2"/>
  <c r="Y52" i="2"/>
  <c r="X52" i="2"/>
  <c r="W52" i="2"/>
  <c r="AA52" i="2" s="1"/>
  <c r="V52" i="2"/>
  <c r="E52" i="2"/>
  <c r="D52" i="2"/>
  <c r="Z51" i="2"/>
  <c r="Y51" i="2"/>
  <c r="X51" i="2"/>
  <c r="W51" i="2"/>
  <c r="V51" i="2"/>
  <c r="E51" i="2"/>
  <c r="D51" i="2"/>
  <c r="Z50" i="2"/>
  <c r="Y50" i="2"/>
  <c r="X50" i="2"/>
  <c r="W50" i="2"/>
  <c r="V50" i="2"/>
  <c r="E50" i="2"/>
  <c r="D50" i="2"/>
  <c r="Z49" i="2"/>
  <c r="Y49" i="2"/>
  <c r="X49" i="2"/>
  <c r="W49" i="2"/>
  <c r="AA49" i="2" s="1"/>
  <c r="V49" i="2"/>
  <c r="E49" i="2"/>
  <c r="D49" i="2"/>
  <c r="Z48" i="2"/>
  <c r="Y48" i="2"/>
  <c r="X48" i="2"/>
  <c r="W48" i="2"/>
  <c r="AA48" i="2" s="1"/>
  <c r="V48" i="2"/>
  <c r="E48" i="2"/>
  <c r="D48" i="2"/>
  <c r="E47" i="2"/>
  <c r="D47" i="2"/>
  <c r="Z46" i="2"/>
  <c r="Y46" i="2"/>
  <c r="X46" i="2"/>
  <c r="W46" i="2"/>
  <c r="AA46" i="2" s="1"/>
  <c r="V46" i="2"/>
  <c r="E46" i="2"/>
  <c r="D46" i="2"/>
  <c r="Z45" i="2"/>
  <c r="Y45" i="2"/>
  <c r="X45" i="2"/>
  <c r="W45" i="2"/>
  <c r="AA45" i="2" s="1"/>
  <c r="V45" i="2"/>
  <c r="E45" i="2"/>
  <c r="D45" i="2"/>
  <c r="Z44" i="2"/>
  <c r="Y44" i="2"/>
  <c r="X44" i="2"/>
  <c r="W44" i="2"/>
  <c r="AA44" i="2" s="1"/>
  <c r="V44" i="2"/>
  <c r="E44" i="2"/>
  <c r="D44" i="2"/>
  <c r="Z43" i="2"/>
  <c r="Y43" i="2"/>
  <c r="X43" i="2"/>
  <c r="W43" i="2"/>
  <c r="AA43" i="2" s="1"/>
  <c r="V43" i="2"/>
  <c r="E43" i="2"/>
  <c r="D43" i="2"/>
  <c r="Z42" i="2"/>
  <c r="Y42" i="2"/>
  <c r="X42" i="2"/>
  <c r="W42" i="2"/>
  <c r="AA42" i="2" s="1"/>
  <c r="V42" i="2"/>
  <c r="E42" i="2"/>
  <c r="D42" i="2"/>
  <c r="Z41" i="2"/>
  <c r="Y41" i="2"/>
  <c r="X41" i="2"/>
  <c r="W41" i="2"/>
  <c r="AA41" i="2" s="1"/>
  <c r="V41" i="2"/>
  <c r="E41" i="2"/>
  <c r="D41" i="2"/>
  <c r="Z40" i="2"/>
  <c r="Y40" i="2"/>
  <c r="X40" i="2"/>
  <c r="W40" i="2"/>
  <c r="AA40" i="2" s="1"/>
  <c r="V40" i="2"/>
  <c r="E40" i="2"/>
  <c r="D40" i="2"/>
  <c r="Z39" i="2"/>
  <c r="Y39" i="2"/>
  <c r="X39" i="2"/>
  <c r="W39" i="2"/>
  <c r="AA39" i="2" s="1"/>
  <c r="V39" i="2"/>
  <c r="E39" i="2"/>
  <c r="D39" i="2"/>
  <c r="Z38" i="2"/>
  <c r="Y38" i="2"/>
  <c r="X38" i="2"/>
  <c r="W38" i="2"/>
  <c r="AA38" i="2" s="1"/>
  <c r="V38" i="2"/>
  <c r="E38" i="2"/>
  <c r="D38" i="2"/>
  <c r="Z37" i="2"/>
  <c r="Y37" i="2"/>
  <c r="X37" i="2"/>
  <c r="W37" i="2"/>
  <c r="AA37" i="2" s="1"/>
  <c r="V37" i="2"/>
  <c r="E37" i="2"/>
  <c r="D37" i="2"/>
  <c r="Z36" i="2"/>
  <c r="Y36" i="2"/>
  <c r="X36" i="2"/>
  <c r="W36" i="2"/>
  <c r="AA36" i="2" s="1"/>
  <c r="V36" i="2"/>
  <c r="E36" i="2"/>
  <c r="D36" i="2"/>
  <c r="Z35" i="2"/>
  <c r="Y35" i="2"/>
  <c r="X35" i="2"/>
  <c r="W35" i="2"/>
  <c r="AA35" i="2" s="1"/>
  <c r="V35" i="2"/>
  <c r="E35" i="2"/>
  <c r="D35" i="2"/>
  <c r="Z34" i="2"/>
  <c r="Y34" i="2"/>
  <c r="X34" i="2"/>
  <c r="W34" i="2"/>
  <c r="AA34" i="2" s="1"/>
  <c r="V34" i="2"/>
  <c r="E34" i="2"/>
  <c r="D34" i="2"/>
  <c r="Z33" i="2"/>
  <c r="Y33" i="2"/>
  <c r="X33" i="2"/>
  <c r="W33" i="2"/>
  <c r="AA33" i="2" s="1"/>
  <c r="V33" i="2"/>
  <c r="E33" i="2"/>
  <c r="D33" i="2"/>
  <c r="Z32" i="2"/>
  <c r="Y32" i="2"/>
  <c r="X32" i="2"/>
  <c r="W32" i="2"/>
  <c r="AA32" i="2" s="1"/>
  <c r="V32" i="2"/>
  <c r="E32" i="2"/>
  <c r="D32" i="2"/>
  <c r="Z31" i="2"/>
  <c r="Y31" i="2"/>
  <c r="X31" i="2"/>
  <c r="W31" i="2"/>
  <c r="AA31" i="2" s="1"/>
  <c r="V31" i="2"/>
  <c r="E31" i="2"/>
  <c r="D31" i="2"/>
  <c r="Z30" i="2"/>
  <c r="Y30" i="2"/>
  <c r="X30" i="2"/>
  <c r="W30" i="2"/>
  <c r="AA30" i="2" s="1"/>
  <c r="V30" i="2"/>
  <c r="E30" i="2"/>
  <c r="D30" i="2"/>
  <c r="E29" i="2"/>
  <c r="D29" i="2"/>
  <c r="Z28" i="2"/>
  <c r="Y28" i="2"/>
  <c r="X28" i="2"/>
  <c r="W28" i="2"/>
  <c r="V28" i="2"/>
  <c r="E28" i="2"/>
  <c r="D28" i="2"/>
  <c r="Z27" i="2"/>
  <c r="Y27" i="2"/>
  <c r="X27" i="2"/>
  <c r="W27" i="2"/>
  <c r="AA27" i="2" s="1"/>
  <c r="V27" i="2"/>
  <c r="E27" i="2"/>
  <c r="D27" i="2"/>
  <c r="Z26" i="2"/>
  <c r="Y26" i="2"/>
  <c r="X26" i="2"/>
  <c r="W26" i="2"/>
  <c r="AA26" i="2" s="1"/>
  <c r="V26" i="2"/>
  <c r="E26" i="2"/>
  <c r="D26" i="2"/>
  <c r="Z25" i="2"/>
  <c r="Y25" i="2"/>
  <c r="X25" i="2"/>
  <c r="W25" i="2"/>
  <c r="V25" i="2"/>
  <c r="E25" i="2"/>
  <c r="D25" i="2"/>
  <c r="Z24" i="2"/>
  <c r="Y24" i="2"/>
  <c r="X24" i="2"/>
  <c r="W24" i="2"/>
  <c r="V24" i="2"/>
  <c r="E24" i="2"/>
  <c r="D24" i="2"/>
  <c r="E23" i="2"/>
  <c r="D23" i="2"/>
  <c r="Z22" i="2"/>
  <c r="Y22" i="2"/>
  <c r="X22" i="2"/>
  <c r="W22" i="2"/>
  <c r="AA22" i="2" s="1"/>
  <c r="V22" i="2"/>
  <c r="E22" i="2"/>
  <c r="D22" i="2"/>
  <c r="Z21" i="2"/>
  <c r="Y21" i="2"/>
  <c r="X21" i="2"/>
  <c r="W21" i="2"/>
  <c r="AA21" i="2" s="1"/>
  <c r="V21" i="2"/>
  <c r="E21" i="2"/>
  <c r="D21" i="2"/>
  <c r="Z20" i="2"/>
  <c r="Y20" i="2"/>
  <c r="X20" i="2"/>
  <c r="W20" i="2"/>
  <c r="AA20" i="2" s="1"/>
  <c r="V20" i="2"/>
  <c r="E20" i="2"/>
  <c r="D20" i="2"/>
  <c r="E19" i="2"/>
  <c r="D19" i="2"/>
  <c r="E18" i="2"/>
  <c r="D18" i="2"/>
  <c r="Z17" i="2"/>
  <c r="Y17" i="2"/>
  <c r="X17" i="2"/>
  <c r="W17" i="2"/>
  <c r="AA17" i="2" s="1"/>
  <c r="V17" i="2"/>
  <c r="E17" i="2"/>
  <c r="D17" i="2"/>
  <c r="Z16" i="2"/>
  <c r="Y16" i="2"/>
  <c r="X16" i="2"/>
  <c r="W16" i="2"/>
  <c r="AA16" i="2" s="1"/>
  <c r="V16" i="2"/>
  <c r="E16" i="2"/>
  <c r="D16" i="2"/>
  <c r="Z15" i="2"/>
  <c r="Y15" i="2"/>
  <c r="X15" i="2"/>
  <c r="W15" i="2"/>
  <c r="AA15" i="2" s="1"/>
  <c r="V15" i="2"/>
  <c r="E15" i="2"/>
  <c r="D15" i="2"/>
  <c r="Z14" i="2"/>
  <c r="Y14" i="2"/>
  <c r="X14" i="2"/>
  <c r="W14" i="2"/>
  <c r="AA14" i="2" s="1"/>
  <c r="V14" i="2"/>
  <c r="E14" i="2"/>
  <c r="D14" i="2"/>
  <c r="Z13" i="2"/>
  <c r="Y13" i="2"/>
  <c r="X13" i="2"/>
  <c r="W13" i="2"/>
  <c r="AA13" i="2" s="1"/>
  <c r="V13" i="2"/>
  <c r="E13" i="2"/>
  <c r="D13" i="2"/>
  <c r="Z12" i="2"/>
  <c r="Y12" i="2"/>
  <c r="X12" i="2"/>
  <c r="W12" i="2"/>
  <c r="AA12" i="2" s="1"/>
  <c r="V12" i="2"/>
  <c r="E12" i="2"/>
  <c r="D12" i="2"/>
  <c r="Z11" i="2"/>
  <c r="Y11" i="2"/>
  <c r="X11" i="2"/>
  <c r="W11" i="2"/>
  <c r="AA11" i="2" s="1"/>
  <c r="V11" i="2"/>
  <c r="E11" i="2"/>
  <c r="D11" i="2"/>
  <c r="Z10" i="2"/>
  <c r="Y10" i="2"/>
  <c r="X10" i="2"/>
  <c r="W10" i="2"/>
  <c r="AA10" i="2" s="1"/>
  <c r="V10" i="2"/>
  <c r="E10" i="2"/>
  <c r="D10" i="2"/>
  <c r="Z9" i="2"/>
  <c r="Y9" i="2"/>
  <c r="X9" i="2"/>
  <c r="W9" i="2"/>
  <c r="AA9" i="2" s="1"/>
  <c r="V9" i="2"/>
  <c r="E9" i="2"/>
  <c r="D9" i="2"/>
  <c r="E8" i="2"/>
  <c r="D8" i="2"/>
  <c r="Z7" i="2"/>
  <c r="Y7" i="2"/>
  <c r="X7" i="2"/>
  <c r="W7" i="2"/>
  <c r="AA7" i="2" s="1"/>
  <c r="V7" i="2"/>
  <c r="E7" i="2"/>
  <c r="D7" i="2"/>
  <c r="E6" i="2"/>
  <c r="D6" i="2"/>
  <c r="Z5" i="2"/>
  <c r="Y5" i="2"/>
  <c r="X5" i="2"/>
  <c r="W5" i="2"/>
  <c r="AA5" i="2" s="1"/>
  <c r="V5" i="2"/>
  <c r="E5" i="2"/>
  <c r="D5" i="2"/>
  <c r="Z4" i="2"/>
  <c r="Y4" i="2"/>
  <c r="X4" i="2"/>
  <c r="W4" i="2"/>
  <c r="AA4" i="2" s="1"/>
  <c r="V4" i="2"/>
  <c r="E4" i="2"/>
  <c r="Z3" i="2"/>
  <c r="Y3" i="2"/>
  <c r="X3" i="2"/>
  <c r="W3" i="2"/>
  <c r="AA3" i="2" s="1"/>
  <c r="V3" i="2"/>
  <c r="E3" i="2"/>
  <c r="D3" i="2"/>
  <c r="Z2" i="2"/>
  <c r="Y2" i="2"/>
  <c r="X2" i="2"/>
  <c r="W2" i="2"/>
  <c r="AA2" i="2" s="1"/>
  <c r="V2" i="2"/>
  <c r="E2" i="2"/>
  <c r="D2" i="2"/>
  <c r="AA25" i="2" l="1"/>
  <c r="AA24" i="2"/>
  <c r="AA28" i="2"/>
  <c r="AA51" i="2"/>
  <c r="AA55" i="2"/>
  <c r="AA59" i="2"/>
  <c r="AA63" i="2"/>
  <c r="AA67" i="2"/>
  <c r="AA71" i="2"/>
  <c r="AA75" i="2"/>
  <c r="AA169" i="2"/>
  <c r="AA185" i="2"/>
  <c r="AA194" i="2"/>
  <c r="AA200" i="2"/>
  <c r="AA50" i="2"/>
  <c r="AA54" i="2"/>
  <c r="AA58" i="2"/>
  <c r="AA62" i="2"/>
  <c r="AA66" i="2"/>
  <c r="AA70" i="2"/>
  <c r="AA74" i="2"/>
  <c r="AA77" i="2"/>
  <c r="AA184" i="2"/>
  <c r="AA190" i="2"/>
  <c r="AA199" i="2"/>
  <c r="AA229" i="2"/>
  <c r="AA292" i="2"/>
  <c r="AA296" i="2"/>
  <c r="AA300" i="2"/>
  <c r="AA304" i="2"/>
  <c r="AA308" i="2"/>
  <c r="AA223" i="2"/>
  <c r="AA291" i="2"/>
  <c r="AA295" i="2"/>
  <c r="AA299" i="2"/>
  <c r="AA303" i="2"/>
  <c r="AA307" i="2"/>
  <c r="AA222" i="2"/>
  <c r="AA236" i="2"/>
  <c r="AA285" i="2"/>
  <c r="AA294" i="2"/>
  <c r="AA298" i="2"/>
  <c r="AA302" i="2"/>
  <c r="AA306" i="2"/>
  <c r="AA310" i="2"/>
</calcChain>
</file>

<file path=xl/sharedStrings.xml><?xml version="1.0" encoding="utf-8"?>
<sst xmlns="http://schemas.openxmlformats.org/spreadsheetml/2006/main" count="9063" uniqueCount="2282">
  <si>
    <t>LakeNum</t>
  </si>
  <si>
    <t>LakeName</t>
  </si>
  <si>
    <t>County</t>
  </si>
  <si>
    <t>Town</t>
  </si>
  <si>
    <t>Area (ac)</t>
  </si>
  <si>
    <t>Area (ha)</t>
  </si>
  <si>
    <t>WshedArea (ac)</t>
  </si>
  <si>
    <t>WshedArea (ha)</t>
  </si>
  <si>
    <t>Wshed/Area</t>
  </si>
  <si>
    <t>Zmax (ft)</t>
  </si>
  <si>
    <t>Zmax (m)</t>
  </si>
  <si>
    <t>Zmean (ft)</t>
  </si>
  <si>
    <t>Zmean (m), orange=calc.</t>
  </si>
  <si>
    <t>ZmeanCalc?</t>
  </si>
  <si>
    <t>Residence</t>
  </si>
  <si>
    <t>Sampling Years</t>
  </si>
  <si>
    <t>Dlatitude</t>
  </si>
  <si>
    <t>Dlongitude</t>
  </si>
  <si>
    <t>Class</t>
  </si>
  <si>
    <t>DamClass</t>
  </si>
  <si>
    <t>Potable Water?</t>
  </si>
  <si>
    <t>Swimming beach?</t>
  </si>
  <si>
    <t>Supported Uses</t>
  </si>
  <si>
    <t>Fish impacts?</t>
  </si>
  <si>
    <t>Invasive Plants?</t>
  </si>
  <si>
    <t>Invasive Animals?</t>
  </si>
  <si>
    <t>Distance to Nearby AIS (mi)</t>
  </si>
  <si>
    <t>Name of Nearest Infected Lake (fixed?)</t>
  </si>
  <si>
    <t>&gt;1HAB Notification?</t>
  </si>
  <si>
    <t>Multiple Years HAB Notification?</t>
  </si>
  <si>
    <t>PotableWater PWL</t>
  </si>
  <si>
    <t>Bathing  PWL</t>
  </si>
  <si>
    <t>Recreation PWL</t>
  </si>
  <si>
    <t>AquaticLife PWL</t>
  </si>
  <si>
    <t>Aesthetics PWL</t>
  </si>
  <si>
    <t>Habitat PWL</t>
  </si>
  <si>
    <t>FishConsumption PWL</t>
  </si>
  <si>
    <t>Date 1st HAB listing 19</t>
  </si>
  <si>
    <t>#Wks HAB Notification 19</t>
  </si>
  <si>
    <t>#Wks HAB Notification 18</t>
  </si>
  <si>
    <t>#Wks HAB Updates 18</t>
  </si>
  <si>
    <t>#Wks HAB Updates 17</t>
  </si>
  <si>
    <t>#Wks HAB Updates 16</t>
  </si>
  <si>
    <t>#Wks HAB Updates 15</t>
  </si>
  <si>
    <t>#Wks HAB Updates 14</t>
  </si>
  <si>
    <t>#Wks HAB Updates 13</t>
  </si>
  <si>
    <t>#Wks HAB Updates 12</t>
  </si>
  <si>
    <t>Weed Management?</t>
  </si>
  <si>
    <t>Lake Assn Name</t>
  </si>
  <si>
    <t>Sampled &gt;2013?</t>
  </si>
  <si>
    <t>CSLAP Region</t>
  </si>
  <si>
    <t>Watershed</t>
  </si>
  <si>
    <t>Exp Region</t>
  </si>
  <si>
    <t>ExpRegion2</t>
  </si>
  <si>
    <t>CSLAP</t>
  </si>
  <si>
    <t>2019 Sample?</t>
  </si>
  <si>
    <t>Yrs Last 5</t>
  </si>
  <si>
    <t>#Yrs&gt;1HABsUpdates</t>
  </si>
  <si>
    <t>Shore HABs PWS Score</t>
  </si>
  <si>
    <t>Shore HABs Rec Score</t>
  </si>
  <si>
    <t>Program</t>
  </si>
  <si>
    <t>Zebras</t>
  </si>
  <si>
    <t>Runoff (m)</t>
  </si>
  <si>
    <t>PWS-Days Closed</t>
  </si>
  <si>
    <t>PWS-Treatments</t>
  </si>
  <si>
    <t>PWS-MCL Violations-# Reporting Quarters</t>
  </si>
  <si>
    <t>Beach-#Days Closures</t>
  </si>
  <si>
    <t>Beach-Control measures</t>
  </si>
  <si>
    <t>Algae Control Measures</t>
  </si>
  <si>
    <t>Weed Control Measures</t>
  </si>
  <si>
    <t>Plants</t>
  </si>
  <si>
    <t>Fish Stocking</t>
  </si>
  <si>
    <t>Comments</t>
  </si>
  <si>
    <t>Adirondack Lake</t>
  </si>
  <si>
    <t>Hamilton</t>
  </si>
  <si>
    <t>Indian Lake</t>
  </si>
  <si>
    <t>1986-1989</t>
  </si>
  <si>
    <t>B</t>
  </si>
  <si>
    <t>C</t>
  </si>
  <si>
    <t>none reported</t>
  </si>
  <si>
    <t>banded mystery snail</t>
  </si>
  <si>
    <t>NA</t>
  </si>
  <si>
    <t>Fully supported</t>
  </si>
  <si>
    <t>Stressed</t>
  </si>
  <si>
    <t>Fair</t>
  </si>
  <si>
    <t>Good</t>
  </si>
  <si>
    <t>grass carp</t>
  </si>
  <si>
    <t>Adirondack</t>
  </si>
  <si>
    <t>Upper Hudson River</t>
  </si>
  <si>
    <t>eastern Adk</t>
  </si>
  <si>
    <t>grass carp 2012</t>
  </si>
  <si>
    <t>grass carp every 3-5 years</t>
  </si>
  <si>
    <t>Anawanda Lake</t>
  </si>
  <si>
    <t>Sullivan</t>
  </si>
  <si>
    <t>Callicoon Center</t>
  </si>
  <si>
    <t>B(T)</t>
  </si>
  <si>
    <t>A</t>
  </si>
  <si>
    <t>lake association beach</t>
  </si>
  <si>
    <t>Somerset Lake</t>
  </si>
  <si>
    <t>no</t>
  </si>
  <si>
    <t>Unknown</t>
  </si>
  <si>
    <t>Anawanda Lake Owners' Association</t>
  </si>
  <si>
    <t>yes</t>
  </si>
  <si>
    <t>Downstate</t>
  </si>
  <si>
    <t>Delaware River</t>
  </si>
  <si>
    <t>Mid Atlantic</t>
  </si>
  <si>
    <t>Mid Hudson</t>
  </si>
  <si>
    <t>Arnold Lake</t>
  </si>
  <si>
    <t>Otsego</t>
  </si>
  <si>
    <t>Milford</t>
  </si>
  <si>
    <t/>
  </si>
  <si>
    <t>1987-1991, 1995</t>
  </si>
  <si>
    <t>Canadarago Lake</t>
  </si>
  <si>
    <t>Arnold Lake Association</t>
  </si>
  <si>
    <t>Susquehanna River</t>
  </si>
  <si>
    <t>Central NY</t>
  </si>
  <si>
    <t>Augur Lake</t>
  </si>
  <si>
    <t>Essex</t>
  </si>
  <si>
    <t>Chesterfield</t>
  </si>
  <si>
    <t>Camp Whippoorwill for Girls; Camp Lincoln for Boys</t>
  </si>
  <si>
    <t>Eurasian watermilfoil</t>
  </si>
  <si>
    <t>Poor</t>
  </si>
  <si>
    <t xml:space="preserve">Augur Lake Property Owners Association </t>
  </si>
  <si>
    <t>Paul, Kay and Eric Knott, Noel Cacchio</t>
  </si>
  <si>
    <t>Lake Champlain</t>
  </si>
  <si>
    <t>grass carp 1998</t>
  </si>
  <si>
    <t>Babcock Lake</t>
  </si>
  <si>
    <t>Rensselaer</t>
  </si>
  <si>
    <t>Grafton</t>
  </si>
  <si>
    <t>Chinese mystery snail</t>
  </si>
  <si>
    <t>Long Pond</t>
  </si>
  <si>
    <t xml:space="preserve">Babcock Lake Estates </t>
  </si>
  <si>
    <t>Central</t>
  </si>
  <si>
    <t>mid Hudson</t>
  </si>
  <si>
    <t>fill/excavation in lake</t>
  </si>
  <si>
    <t>Ballston Lake</t>
  </si>
  <si>
    <t>Saratoga</t>
  </si>
  <si>
    <t>Ballston</t>
  </si>
  <si>
    <t>Eurasian watermilfoil; water chestnut</t>
  </si>
  <si>
    <t>zebra mussels</t>
  </si>
  <si>
    <t>2013, 2014, 2017</t>
  </si>
  <si>
    <t>Impaired</t>
  </si>
  <si>
    <t>Ballston Lake Improvement Association</t>
  </si>
  <si>
    <t>Mohawk</t>
  </si>
  <si>
    <t>copper sulfate 1999, 1997, 1996</t>
  </si>
  <si>
    <t>Ballston Lake-shallow site</t>
  </si>
  <si>
    <t>Barger Pond</t>
  </si>
  <si>
    <t>Putnam</t>
  </si>
  <si>
    <t>Putnam Valley</t>
  </si>
  <si>
    <t>y</t>
  </si>
  <si>
    <t>Barger Pond Beach</t>
  </si>
  <si>
    <t>2017, 2018, 2019</t>
  </si>
  <si>
    <t>Lower Hudson River</t>
  </si>
  <si>
    <t>Barrett Pond</t>
  </si>
  <si>
    <t>Kent</t>
  </si>
  <si>
    <t>Lake Tibet</t>
  </si>
  <si>
    <t>Unassessed</t>
  </si>
  <si>
    <t>suction harvesting 2017, 2013</t>
  </si>
  <si>
    <t>China-Barrett Homeowners Association</t>
  </si>
  <si>
    <t>Hudson Valley</t>
  </si>
  <si>
    <t>lower Hudson</t>
  </si>
  <si>
    <t>Bartlett Pond</t>
  </si>
  <si>
    <t>1997-2000</t>
  </si>
  <si>
    <t>AA(T)</t>
  </si>
  <si>
    <t>Beaver Dam Lake</t>
  </si>
  <si>
    <t>Orange</t>
  </si>
  <si>
    <t>Blooming Grove, Cornwall, New Windsor</t>
  </si>
  <si>
    <t>2009-2012, 2014-2019</t>
  </si>
  <si>
    <t>lake association beach; Beaver Dam Lake Reserve #4</t>
  </si>
  <si>
    <t>Eurasian watermilfoil; Curly leafed pondweed; water chestnut</t>
  </si>
  <si>
    <t>2013, 2014, 2015, 2016, 2017</t>
  </si>
  <si>
    <t>Beaver Dam Lake Protective and Rehabilitation District</t>
  </si>
  <si>
    <t>Larry and Kathleen Rossini, Denise Spina, Molly and Frederick Widman</t>
  </si>
  <si>
    <t>Cutrine Plus 2017, 2016, 2008; copper sulfate 2015, 2014, 2009, 2008</t>
  </si>
  <si>
    <t>Aquathol K 2014</t>
  </si>
  <si>
    <t>Beaver Lake</t>
  </si>
  <si>
    <t>Broome</t>
  </si>
  <si>
    <t>Windsor</t>
  </si>
  <si>
    <t>banded mystery snail, virile crayfish</t>
  </si>
  <si>
    <t>2012, 2013, 2014, 2015, 2017, 2019</t>
  </si>
  <si>
    <t>Broome County Beaver Lake Assn.</t>
  </si>
  <si>
    <t>Charles Heesh, Karen Madsen, Larry and Susan Paul</t>
  </si>
  <si>
    <t>Bedford Lake</t>
  </si>
  <si>
    <t>Westchester</t>
  </si>
  <si>
    <t>Bedford</t>
  </si>
  <si>
    <t>brittle naiad</t>
  </si>
  <si>
    <t>2014, 2016, 2017, 2019</t>
  </si>
  <si>
    <t>herbicides 2018</t>
  </si>
  <si>
    <t>Bedford Lake Club</t>
  </si>
  <si>
    <t>Peter Chieco</t>
  </si>
  <si>
    <t>SeClear/copper sulfate 2018, 2017, 2016, 2015, 2014, 2013</t>
  </si>
  <si>
    <t>Big Bowman Lake</t>
  </si>
  <si>
    <t>Sand Lake</t>
  </si>
  <si>
    <t>2013-2019</t>
  </si>
  <si>
    <t>Burden Lake</t>
  </si>
  <si>
    <t xml:space="preserve">Bowman Lake Association  </t>
  </si>
  <si>
    <t>east central</t>
  </si>
  <si>
    <t>Big Fresh Pond (Lake Missapogue)</t>
  </si>
  <si>
    <t>Suffolk</t>
  </si>
  <si>
    <t>Southhampton</t>
  </si>
  <si>
    <t>Little Fresh Pond</t>
  </si>
  <si>
    <t>Lake Missapogue Association</t>
  </si>
  <si>
    <t>Long Island Sound</t>
  </si>
  <si>
    <t>NYC LI</t>
  </si>
  <si>
    <t>Black Lake</t>
  </si>
  <si>
    <t>St. Lawrence</t>
  </si>
  <si>
    <t>Hammond</t>
  </si>
  <si>
    <t>1988-2019</t>
  </si>
  <si>
    <t xml:space="preserve">McLear's Cottage Colony; Cedar Grove Camps; Indian Head Point
</t>
  </si>
  <si>
    <t>Eurasian watermilfoil; Curly leafed pondweed</t>
  </si>
  <si>
    <t>zebra mussels; common carp</t>
  </si>
  <si>
    <t>2012, 2013, 2014, 2015, 2016, 2017, 2019</t>
  </si>
  <si>
    <t>physical</t>
  </si>
  <si>
    <t>Black Lake Association</t>
  </si>
  <si>
    <t>Alan Boekhout</t>
  </si>
  <si>
    <t>St. Lawrence River</t>
  </si>
  <si>
    <t>western Adk</t>
  </si>
  <si>
    <t>Black Pond</t>
  </si>
  <si>
    <t>2009-2013, 2015</t>
  </si>
  <si>
    <t>Little Long Pond</t>
  </si>
  <si>
    <t>Blind Sodus Bay</t>
  </si>
  <si>
    <t>Wayne</t>
  </si>
  <si>
    <t>Wolcott</t>
  </si>
  <si>
    <t>1993-1994, 1996-1997</t>
  </si>
  <si>
    <t>*</t>
  </si>
  <si>
    <t>Little Sodus Bay</t>
  </si>
  <si>
    <t>Western</t>
  </si>
  <si>
    <t>Lake Ontario</t>
  </si>
  <si>
    <t>Ontario</t>
  </si>
  <si>
    <t>Finger Lakes</t>
  </si>
  <si>
    <t>eelgrass, and an unidentified narrow leafed pondweed.</t>
  </si>
  <si>
    <t>Blue Heron Lake</t>
  </si>
  <si>
    <t>Pound Ridge</t>
  </si>
  <si>
    <t>2005-2006, 2008, 2014-2019</t>
  </si>
  <si>
    <t>Blue Heron Landowners Association</t>
  </si>
  <si>
    <t>Jonas and Sharon Weiner, DL Hutchinson and CW London</t>
  </si>
  <si>
    <t>Boyd Lake</t>
  </si>
  <si>
    <t>Jefferson</t>
  </si>
  <si>
    <t>Alexandria</t>
  </si>
  <si>
    <t>2014-2015</t>
  </si>
  <si>
    <t>Lake of the Woods</t>
  </si>
  <si>
    <t>2014, 2015</t>
  </si>
  <si>
    <t>Bradley Brook Reservoir</t>
  </si>
  <si>
    <t>Madison</t>
  </si>
  <si>
    <t>West Eaton</t>
  </si>
  <si>
    <t>Camp Lookout Madison County Children's Camp</t>
  </si>
  <si>
    <t xml:space="preserve">Hatch-Bradley Brook Lakes Association </t>
  </si>
  <si>
    <t>west central</t>
  </si>
  <si>
    <t>Bradys Pond</t>
  </si>
  <si>
    <t>Richmond</t>
  </si>
  <si>
    <t>New York City</t>
  </si>
  <si>
    <t>1997-2001</t>
  </si>
  <si>
    <t>Prospect Park Lake</t>
  </si>
  <si>
    <t>Brant Lake</t>
  </si>
  <si>
    <t>Warren</t>
  </si>
  <si>
    <t>AAspec</t>
  </si>
  <si>
    <t>Mead's Cottages; Jimbo's Club at the Point; Mill Pond Beach; Pilgrim Camp; Point O'Pines Camp for Girls; Sunset Mountain Lodge</t>
  </si>
  <si>
    <t>Threatened</t>
  </si>
  <si>
    <t>Brant Lake Association/Foundation</t>
  </si>
  <si>
    <t>Wayne Butler</t>
  </si>
  <si>
    <t>yellow water lily, white water lily, water shield, eelgrass</t>
  </si>
  <si>
    <t>Brantingham Lake</t>
  </si>
  <si>
    <t>Lewis</t>
  </si>
  <si>
    <t>Greig</t>
  </si>
  <si>
    <t>Effley Falls Lake</t>
  </si>
  <si>
    <t>Brantingham Community Association</t>
  </si>
  <si>
    <t>Karen and Chris Murphy</t>
  </si>
  <si>
    <t>Black River</t>
  </si>
  <si>
    <t>Buckingham Lake</t>
  </si>
  <si>
    <t>Albany</t>
  </si>
  <si>
    <t>water chestnut</t>
  </si>
  <si>
    <t>2012, 2013, 2019</t>
  </si>
  <si>
    <t>herbicide 2013</t>
  </si>
  <si>
    <t>Buckingham Pond Conservancy</t>
  </si>
  <si>
    <t>copper sulfate 2014</t>
  </si>
  <si>
    <t>Burden Third Lake</t>
  </si>
  <si>
    <t>Camp Adventure</t>
  </si>
  <si>
    <t>virile crayfish</t>
  </si>
  <si>
    <t>harvester 2016; fluridone 2015, 2004, 1999, 1997</t>
  </si>
  <si>
    <t xml:space="preserve">Burden Lake Improvement Association </t>
  </si>
  <si>
    <t>Kevin Tighe, Steve Scarlata, Michael Kania, Dennis Ryan</t>
  </si>
  <si>
    <t>Butterfield Lake</t>
  </si>
  <si>
    <t>Redwood</t>
  </si>
  <si>
    <t>Eurasian watermilfoil; Curly leaf pondweed; frog bit</t>
  </si>
  <si>
    <t>2013, 2014, 2019</t>
  </si>
  <si>
    <t>Butterfield Lake Cottage Owners' Association</t>
  </si>
  <si>
    <t>Walter Dutcher</t>
  </si>
  <si>
    <t>Canaan Lake</t>
  </si>
  <si>
    <t>Brookhaven</t>
  </si>
  <si>
    <t>1990-1995, 2000-2001, 2003-2005</t>
  </si>
  <si>
    <t>fanwort; variable watermilfoil</t>
  </si>
  <si>
    <t>grass carp 2000, weed/surction harvesting 2000</t>
  </si>
  <si>
    <t>Canada Lake</t>
  </si>
  <si>
    <t>Fulton</t>
  </si>
  <si>
    <t>Caroga</t>
  </si>
  <si>
    <t>Lakeside Motel</t>
  </si>
  <si>
    <t>Canada Lake Conservation Association</t>
  </si>
  <si>
    <t>John and Merryn Byrnes</t>
  </si>
  <si>
    <t>Mohawk/Hudson River</t>
  </si>
  <si>
    <t>Richfield Springs</t>
  </si>
  <si>
    <t>Baker's Beach</t>
  </si>
  <si>
    <t>Eurasian watermilfoil; Curly leafed pondweed; starry stonewort</t>
  </si>
  <si>
    <t>zebra mussels; rusty crayfish; common carp</t>
  </si>
  <si>
    <t>Canadarago Lake Improvement Association</t>
  </si>
  <si>
    <t>Canadice Lake</t>
  </si>
  <si>
    <t>Canadice</t>
  </si>
  <si>
    <t>2017-2019</t>
  </si>
  <si>
    <t>AA(TS)</t>
  </si>
  <si>
    <t>Eurasian Watermilfoil, Brittle Naiad, Curly Leafed Pondweed</t>
  </si>
  <si>
    <t>City of Rochester DES Water Bureau</t>
  </si>
  <si>
    <t>Genesee River</t>
  </si>
  <si>
    <t>Canandaigua Lake - N</t>
  </si>
  <si>
    <t>Ontario, Yates</t>
  </si>
  <si>
    <t>Gorham, Canandaigua, Middlesex, Italy, South Bristol</t>
  </si>
  <si>
    <t>D</t>
  </si>
  <si>
    <t>Canandaigua Yacht Club; Kershaw Park beach; Deep Run Beach; Letourneau Christian Camp; Onanda Park; West Lake Road Butler Beach; Vine Valley Campground; Vine Valley Park</t>
  </si>
  <si>
    <t>Eurasian Watermilfoil, Curly Leafed Pondweed, Water Chestnut</t>
  </si>
  <si>
    <t>Fishhook Waterflea, Chinese Mystery Snail, Asian Clam, Common Carp, Quagga Mussel, Zebra Mussel, Scud</t>
  </si>
  <si>
    <t>2015, 2016, 2017, 2019</t>
  </si>
  <si>
    <t>Canandaigua Lake Association</t>
  </si>
  <si>
    <t>Oswego River</t>
  </si>
  <si>
    <t>Canandaigua Lake - S</t>
  </si>
  <si>
    <t>Cayuga Lake</t>
  </si>
  <si>
    <t>Cayuga, Tompkins, Seneca</t>
  </si>
  <si>
    <t>Montezuma, Aurelius, Springport, Ledyard, Genoa, Lansing, Ithaca, Ulysses, Covert, Ovid, Romulus, Varick, Fayette, Seneca Falls</t>
  </si>
  <si>
    <t>1996-1999</t>
  </si>
  <si>
    <t>Ithaca Yacht Club; Camp Comstock; Camp Barton; Lansing Town Park; Camp Caspar Gregory Beach; Frontenac Park; Harris Park Beach; Wells College Boathouse</t>
  </si>
  <si>
    <t xml:space="preserve">Eurasian watermilfoil; Curly-leafed pondweed; variable leaf watermilfoil; hydrilla; starry stonewort </t>
  </si>
  <si>
    <t>quagga mussels; zebra mussels; common carp; scud; European stream valvata</t>
  </si>
  <si>
    <t>2014, 2016, 2019</t>
  </si>
  <si>
    <t>Cayuga Lake Watershed Network</t>
  </si>
  <si>
    <t>182-N</t>
  </si>
  <si>
    <t>Cayuga Lake - old N</t>
  </si>
  <si>
    <t>2002-2007</t>
  </si>
  <si>
    <t>182-MN</t>
  </si>
  <si>
    <t>Cayuga Lake - old MN</t>
  </si>
  <si>
    <t>Cayuga Lake - NN</t>
  </si>
  <si>
    <t>182-S</t>
  </si>
  <si>
    <t>Cayuga Lake - old S</t>
  </si>
  <si>
    <t>Cayuga Lake - S</t>
  </si>
  <si>
    <t>Cayuga Lake - N</t>
  </si>
  <si>
    <t>Cayuga Lake - SS</t>
  </si>
  <si>
    <t>Cayuga Lake - LP</t>
  </si>
  <si>
    <t>Cazenovia Lake</t>
  </si>
  <si>
    <t>Cazenovia</t>
  </si>
  <si>
    <t>Willow Bank Yacht Club; Lakeland Park Beach</t>
  </si>
  <si>
    <t>Eurasian watermilfoil; starry stonewort; European frogbit; Curly leafed pondweed</t>
  </si>
  <si>
    <t>2012, 2013, 2014, 2015, 2019</t>
  </si>
  <si>
    <t>herbicides 2015, mechanical harvesting most years</t>
  </si>
  <si>
    <t>Cazenovia Lake Association</t>
  </si>
  <si>
    <t>Margot Giblin, Theresa Parke and Barbara Settel</t>
  </si>
  <si>
    <t>mechanical harvesterin 1991, 1995, 1998</t>
  </si>
  <si>
    <t>Chase Lake</t>
  </si>
  <si>
    <t>Watson</t>
  </si>
  <si>
    <t>1990-1995, 1997</t>
  </si>
  <si>
    <t>Chautauqua Lake-N</t>
  </si>
  <si>
    <t>Chautauqua</t>
  </si>
  <si>
    <t>Chautauqua, Ellery</t>
  </si>
  <si>
    <t>Mayville Lakeside Park Beach; Camp Merz Beach; Camp Onyahsa Children's Camp; University Beach; Children's Beach; College Club Pier Beach; Heinz Beach; Yerkey's Cottages; Viking Lake Park Beach; Camp Mission Meadows; We Wan Chu Cottages; Boys Jim Club of America, Inc.; Boys &amp; Girls Children's Camp - Chautauqua Institute; Lake Chautauqua Lutheran Center; Lakewood Village Beach; Camp Onyasha TR</t>
  </si>
  <si>
    <t>Eurasian watermilfoil; Curly-leafed pondweed; water chestnut; brittle naiad</t>
  </si>
  <si>
    <t>zebra mussels; Asian clam; common carp; goldfish; Allegheny crayfish</t>
  </si>
  <si>
    <t>mechanical harvester</t>
  </si>
  <si>
    <t xml:space="preserve">Chautauqua Lake Association </t>
  </si>
  <si>
    <t>Jane and Doug Conroe</t>
  </si>
  <si>
    <t>Allegheny/Chemung River</t>
  </si>
  <si>
    <t>western NY</t>
  </si>
  <si>
    <t>Chautauqua Lake-S</t>
  </si>
  <si>
    <t>North Harmony, Ellery, Busti, Ellicott</t>
  </si>
  <si>
    <t>Jeff Moore</t>
  </si>
  <si>
    <t>Chenango Lake</t>
  </si>
  <si>
    <t>Chenango</t>
  </si>
  <si>
    <t>New Berlin</t>
  </si>
  <si>
    <t xml:space="preserve">Chenango Lake Property Owners Association </t>
  </si>
  <si>
    <t>Brian Brennan and Colin Fraser</t>
  </si>
  <si>
    <t>China Pond</t>
  </si>
  <si>
    <t>Sedgewood Club</t>
  </si>
  <si>
    <t>hand harvesting 2018</t>
  </si>
  <si>
    <t>Livingston</t>
  </si>
  <si>
    <t>Livonia, Conesus, Groveland, Geneseo</t>
  </si>
  <si>
    <t>AA</t>
  </si>
  <si>
    <t>Long Point Park; Camp Stella Maris; Southern Shores Campground</t>
  </si>
  <si>
    <t>zebra mussels; rudd; common carp</t>
  </si>
  <si>
    <t>2014, 2015, 2016, 2019</t>
  </si>
  <si>
    <t>Conesus Lake Association</t>
  </si>
  <si>
    <t>Karl and Ellen Hanafin, Chris Willoughby</t>
  </si>
  <si>
    <t>Copake Lake</t>
  </si>
  <si>
    <t>Columbia</t>
  </si>
  <si>
    <t>Craryville</t>
  </si>
  <si>
    <t>1986-1990, 1997-2000</t>
  </si>
  <si>
    <t>Eurasian watermilfoil; water chestnut; Curly-leafed pondweed</t>
  </si>
  <si>
    <t>rudd</t>
  </si>
  <si>
    <t>Copake Lake Conservation Society</t>
  </si>
  <si>
    <t>copper sulfate</t>
  </si>
  <si>
    <t>common waterweed</t>
  </si>
  <si>
    <t>copper sulfate 1999, 1997</t>
  </si>
  <si>
    <t>Cossayuna Lake</t>
  </si>
  <si>
    <t>Washington</t>
  </si>
  <si>
    <t>Argyle</t>
  </si>
  <si>
    <t>Eurasian watermilfoil; Curly leafed pondweed; water chestnut; brittle naiad</t>
  </si>
  <si>
    <t>Aquathol K 2018, 2016, 2002 (2,4-D); weed harvesting 2016, 2015, 2004, 2000; hydroraking 2015</t>
  </si>
  <si>
    <t xml:space="preserve">Cossayuna Lake Improvement Association </t>
  </si>
  <si>
    <t>Craine Lake</t>
  </si>
  <si>
    <t>private beach</t>
  </si>
  <si>
    <t>2012, 2013, 2015, 2016, 2017, 2019, 2019</t>
  </si>
  <si>
    <t>weed harvester 2017; grass carp 1996</t>
  </si>
  <si>
    <t>Lake Craine Lot Owners Association</t>
  </si>
  <si>
    <t>weed harvester 2017; grass carp `996</t>
  </si>
  <si>
    <t>Cranberry Lake</t>
  </si>
  <si>
    <t>Harrison</t>
  </si>
  <si>
    <t>Crooked Lake</t>
  </si>
  <si>
    <t>Onondaga</t>
  </si>
  <si>
    <t>Tully</t>
  </si>
  <si>
    <t xml:space="preserve">Crooked Lake Homeowners Association </t>
  </si>
  <si>
    <t>Seth Aldric, Gary Kittell</t>
  </si>
  <si>
    <t>grass carp 1995</t>
  </si>
  <si>
    <t>Cross Lake</t>
  </si>
  <si>
    <t>Cayuga</t>
  </si>
  <si>
    <t>Meridian</t>
  </si>
  <si>
    <t>1988-1991</t>
  </si>
  <si>
    <t>Cross Lake Park Campground</t>
  </si>
  <si>
    <t>Eurasian watermilfoil; Curly-leafed pondweed</t>
  </si>
  <si>
    <t>zebra mussels; fishhook waterflea; goldfish; common carp</t>
  </si>
  <si>
    <t>Sago pondweed, white water lily, yellow water lily</t>
  </si>
  <si>
    <t>Crystal Lake</t>
  </si>
  <si>
    <t>Delaware</t>
  </si>
  <si>
    <t>Deposit</t>
  </si>
  <si>
    <t>B(TS)</t>
  </si>
  <si>
    <t>Cuba Lake</t>
  </si>
  <si>
    <t>Allegany</t>
  </si>
  <si>
    <t>Cuba</t>
  </si>
  <si>
    <t>Eurasian watermilfoil; Curly-leafed pondweed; brittle naiad</t>
  </si>
  <si>
    <t>common carp</t>
  </si>
  <si>
    <t>2015, 2019</t>
  </si>
  <si>
    <t xml:space="preserve">Cuba Lake District </t>
  </si>
  <si>
    <t>Scott Barrey, Dana Harvey</t>
  </si>
  <si>
    <t>western ny</t>
  </si>
  <si>
    <t>Deans Pond</t>
  </si>
  <si>
    <t>Cortland</t>
  </si>
  <si>
    <t>Marathon</t>
  </si>
  <si>
    <t>2014-2018</t>
  </si>
  <si>
    <t>Melody Lake</t>
  </si>
  <si>
    <t xml:space="preserve">Deans Pond Association </t>
  </si>
  <si>
    <t>Deer Lake</t>
  </si>
  <si>
    <t>Sanford</t>
  </si>
  <si>
    <t>Grass carp 2015, 2013; hand harvesting 2013</t>
  </si>
  <si>
    <t>Deer Lake Association</t>
  </si>
  <si>
    <t>Dan Zembek, Jim Rotella</t>
  </si>
  <si>
    <t>Deer River Flow</t>
  </si>
  <si>
    <t>Franklin</t>
  </si>
  <si>
    <t>Duane</t>
  </si>
  <si>
    <t>C(T)</t>
  </si>
  <si>
    <t>recreation</t>
  </si>
  <si>
    <t>Horseshoe Pond-Deer River Flow Association</t>
  </si>
  <si>
    <t>Rich Grayson and James Harwood</t>
  </si>
  <si>
    <t>Delta Reservoir</t>
  </si>
  <si>
    <t>Oneida</t>
  </si>
  <si>
    <t>Floyd</t>
  </si>
  <si>
    <t>1991-1993</t>
  </si>
  <si>
    <t>A(T)</t>
  </si>
  <si>
    <t>Delta Lake Bible Conference; Delta Lake Bible Conference Children's Camp</t>
  </si>
  <si>
    <t>common carp; Allegheny crayfish</t>
  </si>
  <si>
    <t>DeRuyter Reservoir</t>
  </si>
  <si>
    <t>DeRuyter</t>
  </si>
  <si>
    <t>Fabius Recreation Swim Program; Deruyter Recreation Swim Area</t>
  </si>
  <si>
    <t>Eurasian watermilfoil; starry stonewort</t>
  </si>
  <si>
    <t>zebra mussels; banded mystery snail</t>
  </si>
  <si>
    <t>mechanical harvester 2018</t>
  </si>
  <si>
    <t>Tioughnioga Lake Association or DeRuyter Lake Association</t>
  </si>
  <si>
    <t>Kathy Sherlock, Jim Adsitt</t>
  </si>
  <si>
    <t>mechanical harvester 1997, 2005, 2006</t>
  </si>
  <si>
    <t>Duane Lake</t>
  </si>
  <si>
    <t>Schenectady</t>
  </si>
  <si>
    <t>Duanesburg</t>
  </si>
  <si>
    <t>Curly leafed pondweed</t>
  </si>
  <si>
    <t>2014, 2015, 2019</t>
  </si>
  <si>
    <t>Duane Lake Association</t>
  </si>
  <si>
    <t>copper sulfate 1999</t>
  </si>
  <si>
    <t>Duck Lake</t>
  </si>
  <si>
    <t>Conquest</t>
  </si>
  <si>
    <t>herbicides 2017, 2016, 2015 (Aquathol K)</t>
  </si>
  <si>
    <t xml:space="preserve">Duck Lake Association </t>
  </si>
  <si>
    <t>Eagle Crag Lake</t>
  </si>
  <si>
    <t>Tupper Lake</t>
  </si>
  <si>
    <t>1986-1990, 1998-2005</t>
  </si>
  <si>
    <t>Upper Saranac Lake-South</t>
  </si>
  <si>
    <t>Mount Arab Preserve</t>
  </si>
  <si>
    <t>Eagle Lake</t>
  </si>
  <si>
    <t>Ticonderoga</t>
  </si>
  <si>
    <t>Eurasian watermilfoil, curly leafed pondweed; flowering rush</t>
  </si>
  <si>
    <t>hand harvesting 2015</t>
  </si>
  <si>
    <t>Eagle Lake Property Owners Association</t>
  </si>
  <si>
    <t>Dianne and Rolf Tiedemann, Chris Hyde, Keith Park, Paul and Mary Lloyd Burroughs</t>
  </si>
  <si>
    <t>Eagle Pond</t>
  </si>
  <si>
    <t>Horseshoe Pond</t>
  </si>
  <si>
    <t>2016, 2019</t>
  </si>
  <si>
    <t>Eagle Pond Association</t>
  </si>
  <si>
    <t>Gerry Gould, Bob Matthews</t>
  </si>
  <si>
    <t>East Caroga Lake</t>
  </si>
  <si>
    <t xml:space="preserve">B </t>
  </si>
  <si>
    <t>East Caroga Lake Protective Association</t>
  </si>
  <si>
    <t>Marc and Gary Platt, Gary Gent</t>
  </si>
  <si>
    <t>suction/weed harvesting 2002, 1991</t>
  </si>
  <si>
    <t>Eatonbrook Reservoir</t>
  </si>
  <si>
    <t>West Eaton/Nelson</t>
  </si>
  <si>
    <t>Eurasian watermilfoil; Curly-leafed pondweed; water chestnut</t>
  </si>
  <si>
    <t>mechanical</t>
  </si>
  <si>
    <t xml:space="preserve">Eatonbrook Lake Association </t>
  </si>
  <si>
    <t>Weed harvester 1997, 2000</t>
  </si>
  <si>
    <t>Echo Lake</t>
  </si>
  <si>
    <t>Smithville</t>
  </si>
  <si>
    <t>1991-1995, 2002-2010, 2012-2015</t>
  </si>
  <si>
    <t xml:space="preserve">Echo Lake Association </t>
  </si>
  <si>
    <t>Effley Falls Reservoir</t>
  </si>
  <si>
    <t>Croghan</t>
  </si>
  <si>
    <t>1997-2001, 2004-2011, 2013-2014</t>
  </si>
  <si>
    <t>Mud bithynia snail</t>
  </si>
  <si>
    <t>fluridone 2015</t>
  </si>
  <si>
    <t>Effley Falls Campers Association</t>
  </si>
  <si>
    <t>Efner Lake</t>
  </si>
  <si>
    <t>Corinth</t>
  </si>
  <si>
    <t>1997-2001, 2012-2016</t>
  </si>
  <si>
    <t>fanwort</t>
  </si>
  <si>
    <t>Efner Lake Association, Inc.</t>
  </si>
  <si>
    <t>Henry Hanson, Nancy Hanson</t>
  </si>
  <si>
    <t>Findley Lake</t>
  </si>
  <si>
    <t>Paradise Bay Park &amp; Campground; Camp Findley Children's Beach</t>
  </si>
  <si>
    <t xml:space="preserve">Findley Lake Watershed Foundation </t>
  </si>
  <si>
    <t>Lant and Alex Lictus, Ed Mulkearn</t>
  </si>
  <si>
    <t>harvesting 2018</t>
  </si>
  <si>
    <t>harvesting 2009, 2000, 1999</t>
  </si>
  <si>
    <t>Forest Lake-R</t>
  </si>
  <si>
    <t>Camp Barker</t>
  </si>
  <si>
    <t>Forest Lake Park Club</t>
  </si>
  <si>
    <t>David Bruso</t>
  </si>
  <si>
    <t>Forest Lake-W</t>
  </si>
  <si>
    <t>Lake Luzerne</t>
  </si>
  <si>
    <t>Forest Lake Camp</t>
  </si>
  <si>
    <t>drawdown</t>
  </si>
  <si>
    <t xml:space="preserve">Northwoods Association </t>
  </si>
  <si>
    <t>Rose O'Boyle</t>
  </si>
  <si>
    <t>Fresh Pond</t>
  </si>
  <si>
    <t>Shelter Island</t>
  </si>
  <si>
    <t>Fresh Pond Neighbors Association</t>
  </si>
  <si>
    <t>Friends Lake</t>
  </si>
  <si>
    <t>Chester</t>
  </si>
  <si>
    <t>Lone Rock Cottages</t>
  </si>
  <si>
    <t>Friends Lake Property Owners Association</t>
  </si>
  <si>
    <t>Larry Estill, Louis Fortin, John Daly, and Frank Cappiabanaca</t>
  </si>
  <si>
    <t>Fulton Second Lake</t>
  </si>
  <si>
    <t>Herkimer</t>
  </si>
  <si>
    <t>Old Forge</t>
  </si>
  <si>
    <t>variable leaf watermilfoil</t>
  </si>
  <si>
    <t>Fulton Chain of Lakes Association</t>
  </si>
  <si>
    <t>Tom Vawter and John Jeffrey</t>
  </si>
  <si>
    <t>Galway Lake</t>
  </si>
  <si>
    <t>Galway</t>
  </si>
  <si>
    <t>Eurasian watermilfoil; water chestnut; brittle naiad</t>
  </si>
  <si>
    <t>deep drawdown 2014</t>
  </si>
  <si>
    <t>Galway Lake Campers Association</t>
  </si>
  <si>
    <t>Edward Piotrowski, Tim Forbes, Jeremy Douglas</t>
  </si>
  <si>
    <t>Garnet Lake</t>
  </si>
  <si>
    <t>Johnsburg</t>
  </si>
  <si>
    <t>1989-1993, 2000-2001, 2014</t>
  </si>
  <si>
    <t>Garnet Lake Lodge &amp; Cottages</t>
  </si>
  <si>
    <t>Garnet Lake Civic Association</t>
  </si>
  <si>
    <t>pickerelweed, watershield, needle spike rush, white water lily, slender naiad, and slender pondweed</t>
  </si>
  <si>
    <t>Geneganslet Lake</t>
  </si>
  <si>
    <t>McDonough</t>
  </si>
  <si>
    <t>Balsam Pond</t>
  </si>
  <si>
    <t>Geneganslet Lake Association</t>
  </si>
  <si>
    <t>Glass Lake</t>
  </si>
  <si>
    <t>Eurasian Watermilfoil</t>
  </si>
  <si>
    <t>Cirile Crayfish</t>
  </si>
  <si>
    <t>Glass Lake Preservation Corporation</t>
  </si>
  <si>
    <t>Alfred Aita, Barth Neitzel, Linda and David Cairns, Peter Burkart</t>
  </si>
  <si>
    <t>Glen Lake</t>
  </si>
  <si>
    <t>Glens Falls</t>
  </si>
  <si>
    <t>Glenmoore Lodge</t>
  </si>
  <si>
    <t>Eurasian watermilfoil, Curly leafed pondweed, brittle naiad</t>
  </si>
  <si>
    <t>Aquathol K, fluridone; benthic mats</t>
  </si>
  <si>
    <t>Glen Lake Protective Association</t>
  </si>
  <si>
    <t>Aquathol K 2016, 2015; benthic mats 2017</t>
  </si>
  <si>
    <t>fluridone 2008</t>
  </si>
  <si>
    <t>Goodnow Flow</t>
  </si>
  <si>
    <t>Newcomb</t>
  </si>
  <si>
    <t>1986-1990, 1993, 1997-2000, 2007-2012, 2014-2015,2017-2019</t>
  </si>
  <si>
    <t xml:space="preserve">Goodnow Flow Association </t>
  </si>
  <si>
    <t>Bill and Andrea James</t>
  </si>
  <si>
    <t>Gorton Lake</t>
  </si>
  <si>
    <t>North Brookfield</t>
  </si>
  <si>
    <t>1988-2006</t>
  </si>
  <si>
    <t>Weed eater 1996</t>
  </si>
  <si>
    <t>Gossamans Pond</t>
  </si>
  <si>
    <t>Dutchess</t>
  </si>
  <si>
    <t>Pawling</t>
  </si>
  <si>
    <t>2003-2005</t>
  </si>
  <si>
    <t>weed harvester 2004</t>
  </si>
  <si>
    <t>Grass Lake</t>
  </si>
  <si>
    <t>Rossie</t>
  </si>
  <si>
    <t>2004-2011, 2013-2019</t>
  </si>
  <si>
    <t xml:space="preserve">Grass Lake Association </t>
  </si>
  <si>
    <t>Jim Ninos</t>
  </si>
  <si>
    <t>Guilford Lake</t>
  </si>
  <si>
    <t>Guilford</t>
  </si>
  <si>
    <t>Guilford Lake Association</t>
  </si>
  <si>
    <t>Tommy and Donna Shedd</t>
  </si>
  <si>
    <t>weed pulling 2005; dredging 2005</t>
  </si>
  <si>
    <t>Gull Pond</t>
  </si>
  <si>
    <t>Altamont</t>
  </si>
  <si>
    <t>1994-1998</t>
  </si>
  <si>
    <t>Hadlock Pond</t>
  </si>
  <si>
    <t>Fort Ann</t>
  </si>
  <si>
    <t>Bruce's Campground</t>
  </si>
  <si>
    <t>Eurasian watermilfoil; water chestnut; Curly leafed pondweed; brittle naiad</t>
  </si>
  <si>
    <t>mechanical harvester 2018, 2017 (hand harvesting 2017), 2015</t>
  </si>
  <si>
    <t>Lake Hadlock Association, Inc.</t>
  </si>
  <si>
    <t>Adirondacks</t>
  </si>
  <si>
    <t>Hatch Lake</t>
  </si>
  <si>
    <t>Shiloh Christian Family Campground</t>
  </si>
  <si>
    <t>2012, 2019</t>
  </si>
  <si>
    <t>Kenneth and Jan Walterick</t>
  </si>
  <si>
    <t>Hedges Lake</t>
  </si>
  <si>
    <t>Jackson</t>
  </si>
  <si>
    <t>1990-1995</t>
  </si>
  <si>
    <t>Hemlock Lake - S1</t>
  </si>
  <si>
    <t>Livingston, Ontario</t>
  </si>
  <si>
    <t>Conesus, Springwater, Canadice, Livonia</t>
  </si>
  <si>
    <t>Zebra Mussel</t>
  </si>
  <si>
    <t>Hemlock Lake - S2</t>
  </si>
  <si>
    <t>Hemlock Lake - S3</t>
  </si>
  <si>
    <t>Highland Lake</t>
  </si>
  <si>
    <t>Wallkill</t>
  </si>
  <si>
    <t>2003-2005, 2008-2010</t>
  </si>
  <si>
    <t>potable water</t>
  </si>
  <si>
    <t>Swinging Bridge Reservoir</t>
  </si>
  <si>
    <t>Village of Middletown</t>
  </si>
  <si>
    <t>copper sulfate 2004, 2003</t>
  </si>
  <si>
    <t>Hillside Lake</t>
  </si>
  <si>
    <t>East Fishkill</t>
  </si>
  <si>
    <t>1994-1996</t>
  </si>
  <si>
    <t>Wappinger Lake</t>
  </si>
  <si>
    <t>Honeoye Lake - S2</t>
  </si>
  <si>
    <t>Richmond, Canadice</t>
  </si>
  <si>
    <t>Sandy Bottom Beach</t>
  </si>
  <si>
    <t>Honeoeye Valley Association</t>
  </si>
  <si>
    <t>Terry and Dorothy Gronwall</t>
  </si>
  <si>
    <t>Honeoye Lake - S1</t>
  </si>
  <si>
    <t>2004-2005,2007-2010, 2013-2014, 2016-2017</t>
  </si>
  <si>
    <t>Deer River Campsite Beach</t>
  </si>
  <si>
    <t>Hunt Lake</t>
  </si>
  <si>
    <t>Hunt Lake Association</t>
  </si>
  <si>
    <t>Bob Cady</t>
  </si>
  <si>
    <t>Hyde Lake</t>
  </si>
  <si>
    <t>Theresa</t>
  </si>
  <si>
    <t>1999-2001, 2003-2004, 2008-2012, 2014</t>
  </si>
  <si>
    <t>Wilson's Hyde Lake Campground; Gibbs' Hyde Lake North Beach</t>
  </si>
  <si>
    <t>Save Hyde Lake Association</t>
  </si>
  <si>
    <t>Stapf's Farm Beach</t>
  </si>
  <si>
    <t>Lake Celeste</t>
  </si>
  <si>
    <t>Indian Lake Association (Putnam County)</t>
  </si>
  <si>
    <t>Laurie Levy, Steve Altaresco</t>
  </si>
  <si>
    <t>Mountain View</t>
  </si>
  <si>
    <t>1986-1990, 1995-1997</t>
  </si>
  <si>
    <t>4-H Camp Overlook</t>
  </si>
  <si>
    <t>Mountain View Assn, Inc.</t>
  </si>
  <si>
    <t>Jamesville Reservoir</t>
  </si>
  <si>
    <t>Lafayette</t>
  </si>
  <si>
    <t>Jamesville Beach</t>
  </si>
  <si>
    <t>Eurasian watermilfoil, Curly leafed pondweed; variable watermilfoil; brittle naiad</t>
  </si>
  <si>
    <t xml:space="preserve">Jamesville Reservoir Preservation Association </t>
  </si>
  <si>
    <t>Mark Teece</t>
  </si>
  <si>
    <t>Java Lake</t>
  </si>
  <si>
    <t>Wyoming</t>
  </si>
  <si>
    <t>Java</t>
  </si>
  <si>
    <t>2012, 2014, 2015, 2016, 2017, 2019</t>
  </si>
  <si>
    <t>Java Lake Colony</t>
  </si>
  <si>
    <t>Keith Davis</t>
  </si>
  <si>
    <t>Erie/Niagara River</t>
  </si>
  <si>
    <t>Jenny Lake</t>
  </si>
  <si>
    <t>Camp Gahada, Inc.</t>
  </si>
  <si>
    <t>Joe Indian Lake</t>
  </si>
  <si>
    <t>Parishville</t>
  </si>
  <si>
    <t>1986-1990</t>
  </si>
  <si>
    <t>Kasoag Lake</t>
  </si>
  <si>
    <t>Oswego</t>
  </si>
  <si>
    <t>Williamstown</t>
  </si>
  <si>
    <t>Eurasian watermilfoil; fanwort</t>
  </si>
  <si>
    <t>Clipper herbicide 2017</t>
  </si>
  <si>
    <t xml:space="preserve">Kasoag Lake Conservation Association </t>
  </si>
  <si>
    <t>weed harvester 2009, 2008</t>
  </si>
  <si>
    <t>Katonah Lake</t>
  </si>
  <si>
    <t>Lewisboro</t>
  </si>
  <si>
    <t>2006-2011, 2013-2017, 2019</t>
  </si>
  <si>
    <t>2013, 2014</t>
  </si>
  <si>
    <t>herbicides</t>
  </si>
  <si>
    <t xml:space="preserve">Lake Katonah Club </t>
  </si>
  <si>
    <t>Nelson Dorta</t>
  </si>
  <si>
    <t>copper sulfate 2008, 2006; Avast 2006</t>
  </si>
  <si>
    <t>Kayuta Lake</t>
  </si>
  <si>
    <t>Forestport</t>
  </si>
  <si>
    <t>mechanical harvester 2015</t>
  </si>
  <si>
    <t>Kellum Lake</t>
  </si>
  <si>
    <t>Warrensburg</t>
  </si>
  <si>
    <t>Keuka Lake - S1</t>
  </si>
  <si>
    <t>Steuben, Yates</t>
  </si>
  <si>
    <t>Milo, Barrington, Wayne, Urbana, Pulteney, Jerusalem</t>
  </si>
  <si>
    <t>Champlin Beach, Head of the Lake/Depot Park, Blackberry Hill Campground, Camp Arey, Camp Good Days &amp; Special Times, Camp Iroquois, Indian Pines Park, Keuka College Point Neamo, Red Jacket Park, YMCA Camp Cory</t>
  </si>
  <si>
    <t>Chinese Mystery Snail, Asian Clam, Quagga Mussel, Zebra Mussel, Scud</t>
  </si>
  <si>
    <t>2017, 2019</t>
  </si>
  <si>
    <t>Keuka Lake Association</t>
  </si>
  <si>
    <t>Maria Hudson</t>
  </si>
  <si>
    <t>Keuka Lake - S2</t>
  </si>
  <si>
    <t>Keuka Lake - S3</t>
  </si>
  <si>
    <t>Kinderhook Lake</t>
  </si>
  <si>
    <t>Kinderhook</t>
  </si>
  <si>
    <t>Eurasian watermilfoil; water chestnut; Curly-leafed pondweed; brittle naiad</t>
  </si>
  <si>
    <t>weed harvester 2018 (hand harvesting 2018)</t>
  </si>
  <si>
    <t>Kinderhook Lake Corporation</t>
  </si>
  <si>
    <t>Ron Jensis</t>
  </si>
  <si>
    <t>copper sulfate 2018</t>
  </si>
  <si>
    <t>alum</t>
  </si>
  <si>
    <t>Kirk Lake</t>
  </si>
  <si>
    <t>Carmel</t>
  </si>
  <si>
    <t>Eurasian watermilfoil, water chestnut</t>
  </si>
  <si>
    <t>2013, 2014, 2015, 2016, 2019</t>
  </si>
  <si>
    <t>Kirk Lake Watershed Association</t>
  </si>
  <si>
    <t>Joseph and Patrick Montuori</t>
  </si>
  <si>
    <t>Lake Alice</t>
  </si>
  <si>
    <t>Orleans</t>
  </si>
  <si>
    <t>Carlton</t>
  </si>
  <si>
    <t>1991-1995</t>
  </si>
  <si>
    <t>Lake Bonaparte</t>
  </si>
  <si>
    <t>Harrisville</t>
  </si>
  <si>
    <t>1988-1992, 1995, 1998-2001, 2007-2019</t>
  </si>
  <si>
    <t>weevils</t>
  </si>
  <si>
    <t xml:space="preserve">Lake Bonaparte Conservation Club </t>
  </si>
  <si>
    <t>Ray Powers, Richard Kahn, Glenn Johnson, Robert Rood, Johnathan and Julie Wicks</t>
  </si>
  <si>
    <t>Lake Carmel</t>
  </si>
  <si>
    <t>Lake Carmel Beach #2, 3, 4, 7</t>
  </si>
  <si>
    <t>2015, 2016, 2017</t>
  </si>
  <si>
    <t xml:space="preserve">Lake Carmel Tax District </t>
  </si>
  <si>
    <t>copper, GreenClean</t>
  </si>
  <si>
    <t>copper 2018, 2017, 2016; GreenClean 2018</t>
  </si>
  <si>
    <t>copper 1986</t>
  </si>
  <si>
    <t>1993-1997</t>
  </si>
  <si>
    <t>Lake Clear</t>
  </si>
  <si>
    <t>Harrietstown</t>
  </si>
  <si>
    <t>1998-2010, 2012-2013</t>
  </si>
  <si>
    <t>The Lodge on Lake Clear; Lake Clear Girl Scout Camp</t>
  </si>
  <si>
    <t>Lake Colby</t>
  </si>
  <si>
    <t>1999-2001</t>
  </si>
  <si>
    <t>William Wallace Memorial Beach; Camp Colby Beach</t>
  </si>
  <si>
    <t>Lake Colby Association</t>
  </si>
  <si>
    <t>Lake Como</t>
  </si>
  <si>
    <t>Summerhill</t>
  </si>
  <si>
    <t>goldfish</t>
  </si>
  <si>
    <t>2013, 2015, 2016</t>
  </si>
  <si>
    <t>mechanical harvester 2017</t>
  </si>
  <si>
    <t>Lake Como Association</t>
  </si>
  <si>
    <t>Patrick Mooney</t>
  </si>
  <si>
    <t>herbicies 2004; mechanical harvester 1998, 2002</t>
  </si>
  <si>
    <t>Lake Demmon</t>
  </si>
  <si>
    <t>Steuben</t>
  </si>
  <si>
    <t>Howard</t>
  </si>
  <si>
    <t>Lake Demmon Campground</t>
  </si>
  <si>
    <t>Smith Pond</t>
  </si>
  <si>
    <t>Lake Demmon Association</t>
  </si>
  <si>
    <t>John and Shelly Clancy, Meghan Franclemont</t>
  </si>
  <si>
    <t>weed harvesting 2000, 1997</t>
  </si>
  <si>
    <t>Lake DeVenoge</t>
  </si>
  <si>
    <t>Lumberland, Highland</t>
  </si>
  <si>
    <t>2014-2019</t>
  </si>
  <si>
    <t xml:space="preserve">Lake DeVenoge Property Owners Association </t>
  </si>
  <si>
    <t>Thomas (Bud) Wilson, Skip Roman, and William Payne</t>
  </si>
  <si>
    <t>Lake George- Hague</t>
  </si>
  <si>
    <t>Hague</t>
  </si>
  <si>
    <t>A,B</t>
  </si>
  <si>
    <t>Silver Bay Center YMCA Camp - Bay Beach; Silver Bay YMCA Retreat - Slim Point Beach; Northern Lake George Resort; North Brook Motel; Adirondack Park Motel; Horicon Heights; Timberlane Cottages; Candlelight Cottages; Veterans Memorial Park; Rogers Memorial Park; The Sagamore Shallow Beach; The Point Cabins; Bonnie View on the Lake; Northwood Ho Resort Motel; Melody Manor Resort; Blue Water Manor; Cool Ledge Cottages; Porter's Cottages; Chekla Lodge; Diamond Village Resort; Beckley's Lake Shore Cottages; Flamingo Resort; Stepping Stones Resort; Olympian Village; Diamond Point Beach; Lake George Suites; Blue Lagoon Resort; Mt. Knoll Beach Cottages; Diamond Cove Cottages; Clinton Inn; Bayfront Housekeeping Cottages; Lodges at Cresthaven; Sun Castle Resort - South Beach; The Boulder's Resort; Scotty's Lakeside Resort; O'Sullivan's Motel; The Georogian Lakeside Resort; Marine Village Resort; Lake George Club - Deep Beach; Lake George Club - Shallow Beach; Capri Village; Northern Lake George Yacht Club; Nates Bayshore Court Cottages; Canoe Island Lodge Beach II; Boathouse Bed &amp; Breakfast; Hague Motel; Sun Castle Resort - North Beach; Fort Ann Town Beach; YMCA Camp Chingachgook; YMCA Camp Chingachgook TR; Surfside on the Lake; The Sagamore Deep Beach; Antigua Resort on Plum Point; Collette's Stony Hill Cottages; Adirondack Camp Spider Rock Beach; Adirondack Camp Sr Point Beach; Shore Meadows Motel; Tahoe Resort; Lake Motel; Snug Harbor Motel &amp; Cottages; Hague Public Beach; Juliana Motel; O'Connor's Resort Cottages; Villas on Lake George; Jan Dor Manor; Golden Sands Resort; Red Gate Cottages; Twin Bay Village; Alpine Village; Trout House Village; Twin Birches Cottages; Canoe Island Lodge Beach I; Carey's Lakeside Cottages; Shephard Memorial Park; Park Lane Motel; Still Bay Resort; Depe Dene Motel; George &amp; Nancy Stannard (Briar Dell Lakeshore Motel); Tea Island Resort; Wiawaka Holiday House Beach #2; Adirondack Camp Jr Dock Beach; Adirondack Camp Main Beach; Washington County Beach at Huletts; Ticonderoga Town Beach; Cramer's Point Motel &amp; Cottages; Sundowner Motel; Delong Usher Park; Lake Crest Inn; Gull Bay Beach; Treasure Cover Resort; Dunham's Bay Resort; Wiawaka Holiday House Beach #1</t>
  </si>
  <si>
    <t>Eurasian watermilfoil; Curly leaf pondweed; brittle naiad</t>
  </si>
  <si>
    <t>Asian clam; zebra mussels; spiny waterflea; virile crayfish</t>
  </si>
  <si>
    <t>Lake George Association</t>
  </si>
  <si>
    <t>Lake George-Basin Bay</t>
  </si>
  <si>
    <t>Bolton</t>
  </si>
  <si>
    <t>2004-2014, 2017-2019</t>
  </si>
  <si>
    <t>Lake George-Crown Island</t>
  </si>
  <si>
    <t>2004-2005, 2007-2009, 2011-2014</t>
  </si>
  <si>
    <t>Lake George-Diamond Island</t>
  </si>
  <si>
    <t>Lake George</t>
  </si>
  <si>
    <t>Kristen Wilde</t>
  </si>
  <si>
    <t>Lake George- Lake George Village</t>
  </si>
  <si>
    <t>2004-2005, 2007-2008</t>
  </si>
  <si>
    <t>Lake George-Gull Bay</t>
  </si>
  <si>
    <t>Steve and Cindy W. Hughes</t>
  </si>
  <si>
    <t>Lake George-Harris Bay</t>
  </si>
  <si>
    <t>2007-2011</t>
  </si>
  <si>
    <t>Lake George-Hearts Bay</t>
  </si>
  <si>
    <t>Jill and Tom Cunningham</t>
  </si>
  <si>
    <t>Lake George-Huletts Landing</t>
  </si>
  <si>
    <t>Dresden</t>
  </si>
  <si>
    <t>2004-2014</t>
  </si>
  <si>
    <t>Lake George- Northwest Bay</t>
  </si>
  <si>
    <t>2007-2008</t>
  </si>
  <si>
    <t>Lake Gerry</t>
  </si>
  <si>
    <t>Oxford</t>
  </si>
  <si>
    <t>2004-2005</t>
  </si>
  <si>
    <t>Lake Gerry Association</t>
  </si>
  <si>
    <t>hand harvesting 2004</t>
  </si>
  <si>
    <t>Lake Guymard</t>
  </si>
  <si>
    <t>Mount Hope</t>
  </si>
  <si>
    <t>Brazilian elodea</t>
  </si>
  <si>
    <t>Lake Guymard Association, Inc.</t>
  </si>
  <si>
    <t>Peter and Robb Adams, Russell Beres</t>
  </si>
  <si>
    <t>Lake Kitchawan</t>
  </si>
  <si>
    <t>Truesdale Lake</t>
  </si>
  <si>
    <t>Lake Kiwassa</t>
  </si>
  <si>
    <t>Lake Lacoma</t>
  </si>
  <si>
    <t>Monroe</t>
  </si>
  <si>
    <t>Perinton</t>
  </si>
  <si>
    <t>n/a</t>
  </si>
  <si>
    <t>Tinker Nature Center Pond</t>
  </si>
  <si>
    <t>2014, 2015, 2017</t>
  </si>
  <si>
    <t>Lake Lacoma Conservancy</t>
  </si>
  <si>
    <t>Fred Beer, Mark Rosenzweig</t>
  </si>
  <si>
    <t>Lake Lauderdale</t>
  </si>
  <si>
    <t>Salem</t>
  </si>
  <si>
    <t>1989-1993, 1995, 1997</t>
  </si>
  <si>
    <t>Washington County Beach - Lake Lauderdale</t>
  </si>
  <si>
    <t>Eurasian watermilfoil; curly-leafed pondweed</t>
  </si>
  <si>
    <t>Lake Lauderdale Improvement Association</t>
  </si>
  <si>
    <t>common waterweed, large leaf pondweed</t>
  </si>
  <si>
    <t>Lake Lincolndale</t>
  </si>
  <si>
    <t>Somers</t>
  </si>
  <si>
    <t>Lake Lincondale Beach</t>
  </si>
  <si>
    <t>Eurasian watermilfoil; brittle naiad</t>
  </si>
  <si>
    <t>Lake Lincolndale Property Owners Association</t>
  </si>
  <si>
    <t>Lake Lucille</t>
  </si>
  <si>
    <t>Rockland</t>
  </si>
  <si>
    <t>New City</t>
  </si>
  <si>
    <t>Congers Lake</t>
  </si>
  <si>
    <t xml:space="preserve">Lake Lucille Property Owners Association </t>
  </si>
  <si>
    <t>Juli Schaefer, Judith Andersen, Rik Paul, Daniel Petrow</t>
  </si>
  <si>
    <t>dredging proposed 1995</t>
  </si>
  <si>
    <t>Lake Luzerne Motel; Lake Luzerne Public Beach Wayside; Lake Luzerne Public Beach Pierpont; Island View Motel; Luzerne Music Center; The Elms</t>
  </si>
  <si>
    <t>Lake Luzerne Association</t>
  </si>
  <si>
    <t>coontail and large leaf pondweed</t>
  </si>
  <si>
    <t>Lake Mahopac</t>
  </si>
  <si>
    <t>Mahopac</t>
  </si>
  <si>
    <t>1986-1995, 1997-1998, 2000, 2002</t>
  </si>
  <si>
    <t>Mahopac Golf and Beach Club</t>
  </si>
  <si>
    <t>Lake Mahopac Park District </t>
  </si>
  <si>
    <t>Lake Meahagh</t>
  </si>
  <si>
    <t>Cortlandt</t>
  </si>
  <si>
    <t>1999=2001</t>
  </si>
  <si>
    <t>Wallace Pond</t>
  </si>
  <si>
    <t>water level withdrawal 2000</t>
  </si>
  <si>
    <t>Lake Mohegan</t>
  </si>
  <si>
    <t>Yorktown</t>
  </si>
  <si>
    <t>Mohegan Colony Association; Mohegan Beach Park District</t>
  </si>
  <si>
    <t>Mohegan Lake Improvement District</t>
  </si>
  <si>
    <t>Cutrine 2018; copper sulfate 2017, 2016, 2015</t>
  </si>
  <si>
    <t>Lake Moraine</t>
  </si>
  <si>
    <t xml:space="preserve">Lake Moraine Association </t>
  </si>
  <si>
    <t>copper 2018, 2016 , 2015</t>
  </si>
  <si>
    <t>fluridone 2006, drawdown</t>
  </si>
  <si>
    <t>Lake Myosotis</t>
  </si>
  <si>
    <t>Rensselaerville</t>
  </si>
  <si>
    <t>1989-1993, 1995</t>
  </si>
  <si>
    <t>Huyck Preserve Beach</t>
  </si>
  <si>
    <t>Rusty crayfish</t>
  </si>
  <si>
    <t>Lake Nimham</t>
  </si>
  <si>
    <t>Lake of the Isles</t>
  </si>
  <si>
    <t>2000-2001</t>
  </si>
  <si>
    <t>Lake of the Woods Association</t>
  </si>
  <si>
    <t>Francis Wood, Kevin McCarthy, John Weymann</t>
  </si>
  <si>
    <t>Lake Ontario-Golden Hill</t>
  </si>
  <si>
    <t>Niagara</t>
  </si>
  <si>
    <t>Somerset</t>
  </si>
  <si>
    <t>1995-1997</t>
  </si>
  <si>
    <t>YMCA Camp Kenan; Henderson Habor Yacht Club; Kring's Mobile Home Park; Docteur's Cottages; Roosevelt Cottages and Trailer Park; Willows on the Lake Campground; Waddington Town Beach; Crescent Yacht Club</t>
  </si>
  <si>
    <t>Eurasian watermilfoil; Curly-leafed pondweed; starry stonewort</t>
  </si>
  <si>
    <t>quagga mussels, zebra mussels</t>
  </si>
  <si>
    <t>Lake Ontario-Wilson Tuscarora</t>
  </si>
  <si>
    <t>Wilson</t>
  </si>
  <si>
    <t>Curly-leafed pondweed; starry stonewort</t>
  </si>
  <si>
    <t>quagga mussels; zebra mussels; common carp</t>
  </si>
  <si>
    <t>Lake Oscaleta</t>
  </si>
  <si>
    <t>South Salem</t>
  </si>
  <si>
    <t>Eurasian watermilfoil; Curly leafed pondweed; brittle naiad</t>
  </si>
  <si>
    <t>Three Lakes Council</t>
  </si>
  <si>
    <t>Janet Andersen, Louis Feeney</t>
  </si>
  <si>
    <t>white perch, brown trout</t>
  </si>
  <si>
    <t>Lake Oscawana</t>
  </si>
  <si>
    <t>Abele Park Beach; Abele Park Children's Beach; Hilltop Beach; North View Estates; Lookout Manor Beach; Wildwood Knolls Beach</t>
  </si>
  <si>
    <t>Lake Oscawana Civic Association, Inc.</t>
  </si>
  <si>
    <t>Lake Ossi</t>
  </si>
  <si>
    <t>1996-2000</t>
  </si>
  <si>
    <t>Lake Peekskill</t>
  </si>
  <si>
    <t>Carraras Beach Lake Peekskill; North Beach Lake Peekskill; Singers Beach Lake Peekskill</t>
  </si>
  <si>
    <t xml:space="preserve">Lake Peekskill Preservation Comittee </t>
  </si>
  <si>
    <t>Christine Hritz, Michael Hritz</t>
  </si>
  <si>
    <t>Lake Placid</t>
  </si>
  <si>
    <t>North Elba</t>
  </si>
  <si>
    <t>Whiteface Lodge Canoe Club Beach</t>
  </si>
  <si>
    <t>variable watermilfoil</t>
  </si>
  <si>
    <t xml:space="preserve">Shore Owners' Association of Lake Placid </t>
  </si>
  <si>
    <t>Mark Wilson and Mary Thill</t>
  </si>
  <si>
    <t>Lake Pleasant</t>
  </si>
  <si>
    <t>Speculator Village Beach; Camp Tapawingo; Bearhurst Lakeside Cottages; Camp-of-the-Woods; Northwoods Lodge</t>
  </si>
  <si>
    <t>spiny waterflea</t>
  </si>
  <si>
    <t xml:space="preserve">Lake Pleasant-Sacandaga Association </t>
  </si>
  <si>
    <t>Lake Rippowam</t>
  </si>
  <si>
    <t>Janet Andersen,  Louis Feeney</t>
  </si>
  <si>
    <t>brown trout</t>
  </si>
  <si>
    <t>Lake Salubria</t>
  </si>
  <si>
    <t>Bath</t>
  </si>
  <si>
    <t>Lake Salubria Association</t>
  </si>
  <si>
    <t>Istvan Szabo, Steve Borkowski</t>
  </si>
  <si>
    <t>mechanical weed harvester 2005, 2004, 2003, 2000, 1997</t>
  </si>
  <si>
    <t>Lake Taghanic</t>
  </si>
  <si>
    <t>Gallatin</t>
  </si>
  <si>
    <t>Curly-leafed pondweed</t>
  </si>
  <si>
    <t>weed harvesting &lt; 1991</t>
  </si>
  <si>
    <t>Lake Titus</t>
  </si>
  <si>
    <t>Malone</t>
  </si>
  <si>
    <t>Lake Titus Trailer Park</t>
  </si>
  <si>
    <t>Lake Truesdale</t>
  </si>
  <si>
    <t>1999-2013</t>
  </si>
  <si>
    <t xml:space="preserve">Truesdale Estates Association &amp; Truesdale Lake Property Owners Association </t>
  </si>
  <si>
    <t>copper sulfate 2013, 2010, 2009, 2008, 2002, 2000, 1999</t>
  </si>
  <si>
    <t>fluridone 2008, 2006; aquathol 2000</t>
  </si>
  <si>
    <t>Lake Waccabuc</t>
  </si>
  <si>
    <t>Waccabuc Country Club</t>
  </si>
  <si>
    <t>Eurasian watermilfoil; Brazilian elodea; Curly leafed pondweed; water chestnut; brittle naiad</t>
  </si>
  <si>
    <t>2012, 2013, 2016</t>
  </si>
  <si>
    <t>hand harvesting</t>
  </si>
  <si>
    <t>hand harvesting 2017;; aqua thrusters 2018</t>
  </si>
  <si>
    <t>brown trout 2018, 2017, 2015</t>
  </si>
  <si>
    <t>Lake Wanaksink</t>
  </si>
  <si>
    <t>Thompson</t>
  </si>
  <si>
    <t>Pleasure Lake</t>
  </si>
  <si>
    <t>Lake Warn</t>
  </si>
  <si>
    <t>Warn Lake Association</t>
  </si>
  <si>
    <t>James and Elaine Hill</t>
  </si>
  <si>
    <t>Lamoka Lake</t>
  </si>
  <si>
    <t>Schulyer</t>
  </si>
  <si>
    <t>Tyrone</t>
  </si>
  <si>
    <t>Lamoka Baptist Camp</t>
  </si>
  <si>
    <t>Lamoka-Waneta Lakes Foundation</t>
  </si>
  <si>
    <t>western FL</t>
  </si>
  <si>
    <t>duckweed, white water lily, and yellow water lily</t>
  </si>
  <si>
    <t>Laurel Lake</t>
  </si>
  <si>
    <t>2012-2016</t>
  </si>
  <si>
    <t>2012, 2015, 2016</t>
  </si>
  <si>
    <t>Laurel Lake Association</t>
  </si>
  <si>
    <t>Victor and Marilyn Corbin, Lars Updale</t>
  </si>
  <si>
    <t>Lebanon Reservoir</t>
  </si>
  <si>
    <t>Lebanon</t>
  </si>
  <si>
    <t>Lebanon Reservoir Campground</t>
  </si>
  <si>
    <t>mechanical harvester 2016-2018</t>
  </si>
  <si>
    <t>Lebanon Reservoir Lot Owners Association</t>
  </si>
  <si>
    <t>mechanical harvester 1997, 1999, 2000</t>
  </si>
  <si>
    <t>Upper Leland Pond</t>
  </si>
  <si>
    <t>Eaton</t>
  </si>
  <si>
    <t>1992-1996</t>
  </si>
  <si>
    <t>mechanical harvester 2015; diquat 2015</t>
  </si>
  <si>
    <t>Leland Pond Betterment Association</t>
  </si>
  <si>
    <t>weed harvesting 1996</t>
  </si>
  <si>
    <t>Lower Leland Pond</t>
  </si>
  <si>
    <t>Lily Pond</t>
  </si>
  <si>
    <t>Lime Lake</t>
  </si>
  <si>
    <t>Cattaraugus</t>
  </si>
  <si>
    <t>Machias</t>
  </si>
  <si>
    <t>2012, 2013, 2014, 2017</t>
  </si>
  <si>
    <t>herbicides 2018, 2017, 2016, 2014, 2005, 1999 (Aqua Clean), 1998, 1997 (fluridone)</t>
  </si>
  <si>
    <t>Lime Lake Cottage Owners Association</t>
  </si>
  <si>
    <t>Lincoln Pond</t>
  </si>
  <si>
    <t>Elizabethtown</t>
  </si>
  <si>
    <t xml:space="preserve">Lincoln Pond Association </t>
  </si>
  <si>
    <t>Wayne Johnson, Gerald Zahavi, Deborah Maxwell</t>
  </si>
  <si>
    <t>aquatic moths; lake level drawdown</t>
  </si>
  <si>
    <t>fanwort; curly leafed pondweed</t>
  </si>
  <si>
    <t>Little Fresh Pond Association</t>
  </si>
  <si>
    <t>Ann Barzola, Jo Viola-Utschig</t>
  </si>
  <si>
    <t>Southampton</t>
  </si>
  <si>
    <t>Friends of the Long Pond Greenbelt</t>
  </si>
  <si>
    <t>Jean Dodds, Doreen Johnston, Sandra Ferguson, Dai Dayton</t>
  </si>
  <si>
    <t>Fair Haven</t>
  </si>
  <si>
    <t>1988-1995, 2016</t>
  </si>
  <si>
    <t>Eurasian watermilfoil; curly leafed pondweed; water chestnut</t>
  </si>
  <si>
    <t>Little We Wah Lake</t>
  </si>
  <si>
    <t>Tuxedo</t>
  </si>
  <si>
    <t>2012, 2014, 2017, 2019</t>
  </si>
  <si>
    <t>suction harvesting 2016; hand harvesting 2014</t>
  </si>
  <si>
    <t xml:space="preserve">Tuxedo Park Environmental Committee </t>
  </si>
  <si>
    <t>Little Wolf Lake</t>
  </si>
  <si>
    <t>1998-2000</t>
  </si>
  <si>
    <t>arrow head, clasping leaf pondweed, pipewort, and needle spikerush</t>
  </si>
  <si>
    <t>1994-2003</t>
  </si>
  <si>
    <t>Grafton Lakes State Park beach</t>
  </si>
  <si>
    <t>Ancram</t>
  </si>
  <si>
    <t>Curly Leafed Pondweed</t>
  </si>
  <si>
    <t>Friends of Long Lake</t>
  </si>
  <si>
    <t>Mark Pitsch</t>
  </si>
  <si>
    <t>Loon Lake</t>
  </si>
  <si>
    <t>Wayland</t>
  </si>
  <si>
    <t>mechanical harvesting 201, 2017, 2002</t>
  </si>
  <si>
    <t xml:space="preserve">Loon Lake Association </t>
  </si>
  <si>
    <t>Paula and Bernie Thoma, Susan and John Pryor</t>
  </si>
  <si>
    <t>Chestertown</t>
  </si>
  <si>
    <t>1986-1990, 1997</t>
  </si>
  <si>
    <t>Birchwood Cottages; Conway's Lake Manor; Loon Lake Public Beach</t>
  </si>
  <si>
    <t>Eurasian watermilfoil; water chestnut; curly-leafed pondweed</t>
  </si>
  <si>
    <t>herbicides 2013?</t>
  </si>
  <si>
    <t>Loon Lake Park District Association</t>
  </si>
  <si>
    <t>Lorton Lake</t>
  </si>
  <si>
    <t>Albion</t>
  </si>
  <si>
    <t>variable leaf watermilfoil; brittle naiad</t>
  </si>
  <si>
    <t>Lorton Lake Association</t>
  </si>
  <si>
    <t>weed harvesting 2000</t>
  </si>
  <si>
    <t>Lower Cassadaga Lake</t>
  </si>
  <si>
    <t>Pomfret</t>
  </si>
  <si>
    <t>Cassadaga Village Beach</t>
  </si>
  <si>
    <t>Cassadaga Lakes Association</t>
  </si>
  <si>
    <t>yellow water lily, white water lily, common waterweed, arrowhead, long leaf pondweed, Sago pondweed, and ribbon leaf pondweed</t>
  </si>
  <si>
    <t>Lower Chateaugay Lake</t>
  </si>
  <si>
    <t>Chateaugay</t>
  </si>
  <si>
    <t>Chateaugay Lake Foundation</t>
  </si>
  <si>
    <t>Lower Rhoda Lake</t>
  </si>
  <si>
    <t>Ancram, Copake</t>
  </si>
  <si>
    <t>Camp Anne Beach; Camp Pontiac</t>
  </si>
  <si>
    <t>Eurasian watermilfoil; Water chestnut</t>
  </si>
  <si>
    <t>herbicide 2018; hand harvesting 2017</t>
  </si>
  <si>
    <t xml:space="preserve">Rhoda Lake Community, Inc. </t>
  </si>
  <si>
    <t>Jamie Purinton and Robert (Tad) Higgins</t>
  </si>
  <si>
    <t>herbicide 2018; hand harvesting 2017,2018</t>
  </si>
  <si>
    <t>Lower St. Regis Lake</t>
  </si>
  <si>
    <t>2000-2002</t>
  </si>
  <si>
    <t>Paul Smith's College</t>
  </si>
  <si>
    <t>St. Regis Property Owners Association</t>
  </si>
  <si>
    <t>Madison Lake</t>
  </si>
  <si>
    <t>1988-1993, 1998, 2004-2011, 2013</t>
  </si>
  <si>
    <t>Madison Lake Park</t>
  </si>
  <si>
    <t>Mariaville Lake</t>
  </si>
  <si>
    <t>1999-2011, 2014-2019</t>
  </si>
  <si>
    <t>potable water and recreation</t>
  </si>
  <si>
    <t xml:space="preserve">Mariaville Civic Association </t>
  </si>
  <si>
    <t>Michael Blood</t>
  </si>
  <si>
    <t>Mayfield Lake</t>
  </si>
  <si>
    <t>Mayfield</t>
  </si>
  <si>
    <t>2000-2004</t>
  </si>
  <si>
    <t>Mayfield Lake Association</t>
  </si>
  <si>
    <t>Willet</t>
  </si>
  <si>
    <t>carp</t>
  </si>
  <si>
    <t xml:space="preserve">Melody Lake Association </t>
  </si>
  <si>
    <t>grass carp 2006</t>
  </si>
  <si>
    <t>Millsite Lake</t>
  </si>
  <si>
    <t>Camp Wabasso Cabins; Camp Wabasso Children's Camp</t>
  </si>
  <si>
    <t>Navigate 2018, 2017, 2009, 2007; Renovate 2014; herbicide 1997</t>
  </si>
  <si>
    <t>Millsite Lake Association</t>
  </si>
  <si>
    <t>Janice and Michael Douglass, Steven DuBois, Gail and Bob Wright, George Kabel</t>
  </si>
  <si>
    <t>Mirror Lake</t>
  </si>
  <si>
    <t>Crowne Plaza Lake Placid Resort; Golden Arrow Lakeside Resort; North Elba Municipal Beach; Mirror Lake Inn; High Peaks Resort Lakeside</t>
  </si>
  <si>
    <t>Mirror Lake Watershed Association</t>
  </si>
  <si>
    <t>Monhagen Lake</t>
  </si>
  <si>
    <t>Montgomery Lake</t>
  </si>
  <si>
    <t>Highland</t>
  </si>
  <si>
    <t>2012, 2013, 2015, 2016, 2017, 2019</t>
  </si>
  <si>
    <t>Montgomery Lake Association</t>
  </si>
  <si>
    <t>Moon Lake</t>
  </si>
  <si>
    <t>2015, 2016</t>
  </si>
  <si>
    <t xml:space="preserve">large leaf pondweed, flat stemmed pondweed, Robbins pondweed, floating leaf pondweed, unidentified narrow leaf pondweed, coontail, common water weed, yellow water lily, white water lily, arrowhead, bur reed, and pickerel weed </t>
  </si>
  <si>
    <t>Moreau Lake</t>
  </si>
  <si>
    <t>Moreau</t>
  </si>
  <si>
    <t>1994-2002</t>
  </si>
  <si>
    <t>Moreau Lake State Park beach</t>
  </si>
  <si>
    <t>Mountain Lake</t>
  </si>
  <si>
    <t>Gloversville</t>
  </si>
  <si>
    <t>1998-2001</t>
  </si>
  <si>
    <t>Peck Lake</t>
  </si>
  <si>
    <t>Mountain View Lake</t>
  </si>
  <si>
    <t>Belmont</t>
  </si>
  <si>
    <t>1991-1995, 2001-2009</t>
  </si>
  <si>
    <t>Mountain View Association</t>
  </si>
  <si>
    <t>Nassau Lake</t>
  </si>
  <si>
    <t>Nassau</t>
  </si>
  <si>
    <t>Water chestnut; Curly leafed pondweed</t>
  </si>
  <si>
    <t>2012, 2013, 2014, 2016, 2017, 2019</t>
  </si>
  <si>
    <t>Precluded</t>
  </si>
  <si>
    <t>Nassau Lake Park Improvement Association</t>
  </si>
  <si>
    <t>yellow water lily, white water lily</t>
  </si>
  <si>
    <t>copper sulfate 2000, 1998, 1997</t>
  </si>
  <si>
    <t>North Sandy Pond</t>
  </si>
  <si>
    <t>Sandy Creek</t>
  </si>
  <si>
    <t>Eurasian watermilfoil; variable watermilfoil; European frogbit; curly-leafed pondweed</t>
  </si>
  <si>
    <t>common waterweed, yellow waterlily, and pickerel weed</t>
  </si>
  <si>
    <t>Oquaga Lake</t>
  </si>
  <si>
    <t>Scott's Oquaga Lake House Beach</t>
  </si>
  <si>
    <t>Fully Supported</t>
  </si>
  <si>
    <t xml:space="preserve">Oquaga Lake Improvement Association </t>
  </si>
  <si>
    <t>Ben Hanson</t>
  </si>
  <si>
    <t>Orange Lake</t>
  </si>
  <si>
    <t>Newburgh</t>
  </si>
  <si>
    <t>Orange Lake Civic Association</t>
  </si>
  <si>
    <t>Donald, Karen, Bo and Kayla DuBois</t>
  </si>
  <si>
    <t>Otisco Lake - S1</t>
  </si>
  <si>
    <t>Spafford, Otisco</t>
  </si>
  <si>
    <t>Eurasian watermilfoil, Starry Stonewart, Curly Leafed Pondweed, Water Chestnut</t>
  </si>
  <si>
    <t>Fishhook Waterflea, Asian Clam, Common Carp, Zebra Mussel, Scud, Green Sunfish</t>
  </si>
  <si>
    <t>Otisco Lake Preservation Association</t>
  </si>
  <si>
    <t>Jennifer Griffin, Ben Hardwick</t>
  </si>
  <si>
    <t>Otisco Lake - S2</t>
  </si>
  <si>
    <t>Otter Lake</t>
  </si>
  <si>
    <t xml:space="preserve">Otter Lake Association </t>
  </si>
  <si>
    <t>grass carp 2007, 2006</t>
  </si>
  <si>
    <t>Owasco Lake - S1</t>
  </si>
  <si>
    <t>Owasco, Fleming, Niles, Moravia, Scipio</t>
  </si>
  <si>
    <t>Emerson Park Beach; Deauville Island Beach; Casowasco Camp &amp; Retreat Center; Camp Columbus; Camp Y-Owasco; Owasco Yacht Club; Camp Rotary</t>
  </si>
  <si>
    <t>zebra mussels; Asian clam; scud</t>
  </si>
  <si>
    <t>2013, 2014, 2015, 2016, 2017, 2019</t>
  </si>
  <si>
    <t>Owasco Watershed Lake Association</t>
  </si>
  <si>
    <t>(1) Brian Brundage, (2) Mark and Michelle Plis</t>
  </si>
  <si>
    <t>Owasco Lake - S2</t>
  </si>
  <si>
    <t>Palmer Lake</t>
  </si>
  <si>
    <t>Hill and Dale Property Owners Inc.</t>
  </si>
  <si>
    <t>common waterweed, coontail, naiads, white water lily, yellow water lily</t>
  </si>
  <si>
    <t>Panther Lake</t>
  </si>
  <si>
    <t>Constantia</t>
  </si>
  <si>
    <t>Panther Lake Association</t>
  </si>
  <si>
    <t>Cutrine Plus 2016</t>
  </si>
  <si>
    <t>Paradox Lake</t>
  </si>
  <si>
    <t>Schroon Lake</t>
  </si>
  <si>
    <t>2003, 2005, 2007-2011, 2013</t>
  </si>
  <si>
    <t>Southwoods Camp; Lake Paradox Club; Sunderland Cottages</t>
  </si>
  <si>
    <t>Paradox Lake-Site 2</t>
  </si>
  <si>
    <t>Peach Lake</t>
  </si>
  <si>
    <t>Putnam/Westchester</t>
  </si>
  <si>
    <t>Southeast</t>
  </si>
  <si>
    <t>2013, 2015, 2016, 2017, 2019</t>
  </si>
  <si>
    <t xml:space="preserve">Peach Lake Environmental Coalition </t>
  </si>
  <si>
    <t>Bleeker</t>
  </si>
  <si>
    <t xml:space="preserve">Peck's Lake Protective Association </t>
  </si>
  <si>
    <t>Petonia Lake</t>
  </si>
  <si>
    <t>Greene</t>
  </si>
  <si>
    <t>Petonia Lake Association</t>
  </si>
  <si>
    <t>hand harvesting 2017</t>
  </si>
  <si>
    <t>Piseco Lake</t>
  </si>
  <si>
    <t>Arietta</t>
  </si>
  <si>
    <t>1999-2003</t>
  </si>
  <si>
    <t>Irondequoit Inn; Pleasant Manor; Sleepy Hollow Campground; Bonnie Brae Trailer Park</t>
  </si>
  <si>
    <t>Pleasant Lake</t>
  </si>
  <si>
    <t>Stratford</t>
  </si>
  <si>
    <t>Stewarts Landing</t>
  </si>
  <si>
    <t>Stratford Pleasant Lake Club</t>
  </si>
  <si>
    <t>Schroeppel</t>
  </si>
  <si>
    <t>Pleasant Lake RV Park</t>
  </si>
  <si>
    <t>Pleasant Lake Association (Oswego Co.)</t>
  </si>
  <si>
    <t>James and Mary Hettler</t>
  </si>
  <si>
    <t>Dibrom 1991</t>
  </si>
  <si>
    <t>Fallsburg</t>
  </si>
  <si>
    <t>Eurasian watermilfoil, brittle naiad; water chestnut</t>
  </si>
  <si>
    <t>hand harvesting 2017, 2016, 2015, 2014; fluridone 2016</t>
  </si>
  <si>
    <t xml:space="preserve">Fallsburg Fishing &amp; Boating Club </t>
  </si>
  <si>
    <t>Mike Meier, Robert Scott, Bob McPhillips</t>
  </si>
  <si>
    <t>Plum Brook Lake</t>
  </si>
  <si>
    <t>2005-2009</t>
  </si>
  <si>
    <t>B?</t>
  </si>
  <si>
    <t>Plymouth Reservoir</t>
  </si>
  <si>
    <t>Plymouth</t>
  </si>
  <si>
    <t>2016, 2017, 2019</t>
  </si>
  <si>
    <t>Plymouth Reservoir Lot Owners Association</t>
  </si>
  <si>
    <t>Weed harvester 2005, 2003, 2002, 1999, 1991; grass carp 1997, 2000</t>
  </si>
  <si>
    <t>Port Bay</t>
  </si>
  <si>
    <t>1990-1991</t>
  </si>
  <si>
    <t>Eurasian watermilfoil; Curly leafed pondweed; European frogbit</t>
  </si>
  <si>
    <t>June: David Kelley, David Neuman; July: David Neuman, Rebecca Gorney; August: David, Emily</t>
  </si>
  <si>
    <t xml:space="preserve">unidentified narrow leafed pondweed, yellow water lilies, and duckweed </t>
  </si>
  <si>
    <t>Putnam Lake</t>
  </si>
  <si>
    <t>Patterson</t>
  </si>
  <si>
    <t>Warren Beach; Jackson Beach</t>
  </si>
  <si>
    <t>Curly leafed pondweed; water chestnut</t>
  </si>
  <si>
    <t>2013, 2014, 2015, 2016</t>
  </si>
  <si>
    <t xml:space="preserve">Putnam Lake Park District </t>
  </si>
  <si>
    <t>Hank Earle, Laura Russo, Cesira Farrell</t>
  </si>
  <si>
    <t>Cutrine 2018, 2017, 2016, 2015, 2014; hand harvesting 2013</t>
  </si>
  <si>
    <t>Queechy Lake</t>
  </si>
  <si>
    <t>Canaan</t>
  </si>
  <si>
    <t>Adams Point Beach; Berkshire Farm Beach</t>
  </si>
  <si>
    <t>Queechy Lake Club</t>
  </si>
  <si>
    <t>Raquette Lake</t>
  </si>
  <si>
    <t>Long Lake</t>
  </si>
  <si>
    <t>Golden Beach Campground</t>
  </si>
  <si>
    <t>potable water, recreation, and public bathing</t>
  </si>
  <si>
    <t>Variableleaf watermilfoil</t>
  </si>
  <si>
    <t>Raquette Lake Preservation Foundation</t>
  </si>
  <si>
    <t>Roaring Brook Lake</t>
  </si>
  <si>
    <t>Park Beach; Moon Beach; Spur Beach; Children's Beach</t>
  </si>
  <si>
    <t>Eurasian watermilfoil; fanwort; curly leafed pondweed</t>
  </si>
  <si>
    <t>2012, 2015, 2017, 2019</t>
  </si>
  <si>
    <t xml:space="preserve">Roaring Brook Lake Property Owners Association </t>
  </si>
  <si>
    <t>Ina Cholst, Samuel Lee, Ira Goldberg</t>
  </si>
  <si>
    <t>Robinson Pond</t>
  </si>
  <si>
    <t>Copake</t>
  </si>
  <si>
    <t>Captain herbicides 2007</t>
  </si>
  <si>
    <t>Taconic Shores Property Owners Association</t>
  </si>
  <si>
    <t>Gary Menchen, Deborah Goldberg, Lois Lovisolo, Susan Vaughan</t>
  </si>
  <si>
    <t>weed cutter/copper 1991</t>
  </si>
  <si>
    <t>Rondaxe Lake</t>
  </si>
  <si>
    <t>Webb</t>
  </si>
  <si>
    <t>Rondaxe Lake Association</t>
  </si>
  <si>
    <t>Round Lake</t>
  </si>
  <si>
    <t>rusty crayfish</t>
  </si>
  <si>
    <t>Round Pond</t>
  </si>
  <si>
    <t>Berlin</t>
  </si>
  <si>
    <t>A?</t>
  </si>
  <si>
    <t>Berlin Pond Fish and Game Club</t>
  </si>
  <si>
    <t>Melanie Coupland</t>
  </si>
  <si>
    <t>water level lowered (dam repair)</t>
  </si>
  <si>
    <t>Rushford Lake</t>
  </si>
  <si>
    <t>Rushford, Caneadea</t>
  </si>
  <si>
    <t>The Park at Rushford Lake Beach; Rushford Lake Swim Area</t>
  </si>
  <si>
    <t xml:space="preserve">Rushford Lake Recreation District </t>
  </si>
  <si>
    <t>Sacandaga Lake</t>
  </si>
  <si>
    <t>1987-1991, 1997-2001, 2009-2013, 2017-2019</t>
  </si>
  <si>
    <t>Camp Fowler</t>
  </si>
  <si>
    <t>Lake Pleasant-Sacandaga Association</t>
  </si>
  <si>
    <t>Peter Tobiessen, William Thielking, James Olsen</t>
  </si>
  <si>
    <t>Sagamore Lake</t>
  </si>
  <si>
    <t>Lake Sagamore Community Association</t>
  </si>
  <si>
    <t>Saratoga Lake</t>
  </si>
  <si>
    <t>Saratoga, Malta, Stillwater</t>
  </si>
  <si>
    <t>Brown's Beach</t>
  </si>
  <si>
    <t>zebra mussels; common carp; goldfish</t>
  </si>
  <si>
    <t>2013, 2015, 2017, 2019</t>
  </si>
  <si>
    <t>herbicides, harvesting</t>
  </si>
  <si>
    <t>Saratoga Lake Protection and Improvement District</t>
  </si>
  <si>
    <t>Karl Hardcastle, Neal Kramer, William LaMay</t>
  </si>
  <si>
    <t>Schroon Lake-N</t>
  </si>
  <si>
    <t>Schroon</t>
  </si>
  <si>
    <t>Word of Life Ranch and Ranger Camp; Word of Life Lakeside; Sand Point Beach; Adirondack Beach; Chamlar Lodge &amp; Cottages; Word of Life Island; Word of Life Inn; Schroon Lake Beach; Terra Alta Cottages; Kish Duna Motel and Cabins; Ideal Campgrounds</t>
  </si>
  <si>
    <t xml:space="preserve">Schroon Lake Association </t>
  </si>
  <si>
    <t>Schroon Lake-S</t>
  </si>
  <si>
    <t>Horicon</t>
  </si>
  <si>
    <t>Seneca Lake-13</t>
  </si>
  <si>
    <t>Seneca, Schuyler, Yates, Ontario</t>
  </si>
  <si>
    <t>Multiple</t>
  </si>
  <si>
    <t>1991-1996</t>
  </si>
  <si>
    <t>multi</t>
  </si>
  <si>
    <t>Arrowhead Beach; Back Achers Campsite; Seneca Drums Trailer Park; Camp Babcock-Hovey BSA; Gold Coast Trailer Park; Seneca Lake Youth Camp; Binghamton Boating Club; Smith Memorial Park and Campground; Lakeside Park; Seneca Lake Camp</t>
  </si>
  <si>
    <t>quagga mussels; zebra mussels; mud bithynia; scud; bloody-red shrimp; rudd</t>
  </si>
  <si>
    <t>Seneca Lake Pure Waters Association</t>
  </si>
  <si>
    <t>(1) Addison and Diane Mason, (2) Jacob and Karen Welch, Dan and Laurie Corbett, (3) Larry and Susan Martin, (4) David Youst, Faye Phillips, Edward and Mary Ann Marks, Sayre Fulkerson</t>
  </si>
  <si>
    <t>Seneca Lake-11</t>
  </si>
  <si>
    <t>1991-1992</t>
  </si>
  <si>
    <t>Seneca Lake-12</t>
  </si>
  <si>
    <t>Seneca Lake-14</t>
  </si>
  <si>
    <t>Seneca Lake-16</t>
  </si>
  <si>
    <t>Seneca Lake-17</t>
  </si>
  <si>
    <t>Seneca Lake - S1</t>
  </si>
  <si>
    <t>Seneca Lake - S2</t>
  </si>
  <si>
    <t>Seneca Lake - S3</t>
  </si>
  <si>
    <t>Seneca Lake - S4</t>
  </si>
  <si>
    <t>Sepasco Lake</t>
  </si>
  <si>
    <t>Red Hook</t>
  </si>
  <si>
    <t>Ramapo for Children, Ramapo TR</t>
  </si>
  <si>
    <t>mechanical harvesting 2017, 2016; fluridone 2015, 2006, 2003; aquathol 2014; renovate 2009</t>
  </si>
  <si>
    <t>Sepasco Lake Association</t>
  </si>
  <si>
    <t>Carl Parris</t>
  </si>
  <si>
    <t>Seven Hills Lake</t>
  </si>
  <si>
    <t>Chinese Mystery Snail</t>
  </si>
  <si>
    <t>herbicide treatments 2019</t>
  </si>
  <si>
    <t>Seven Hills Lake Association</t>
  </si>
  <si>
    <t>Shadow Lake</t>
  </si>
  <si>
    <t>2008-2010</t>
  </si>
  <si>
    <t>Teatown Lake</t>
  </si>
  <si>
    <t>Shaver Pond</t>
  </si>
  <si>
    <t>Shawangunk Lake</t>
  </si>
  <si>
    <t>Shenorock Lake</t>
  </si>
  <si>
    <t>2004-2009</t>
  </si>
  <si>
    <t>Silver Lake</t>
  </si>
  <si>
    <t>Clinton</t>
  </si>
  <si>
    <t>Hawkeye</t>
  </si>
  <si>
    <t>1996-2000, 2002-2010, 2012-2019</t>
  </si>
  <si>
    <t>Douglas Corporation of Silver Lake - Campground</t>
  </si>
  <si>
    <t>Union Falls Pond</t>
  </si>
  <si>
    <t>Clifton</t>
  </si>
  <si>
    <t>Stillwater Reservoir</t>
  </si>
  <si>
    <t>Silver Lake Shoreowners Association</t>
  </si>
  <si>
    <t>Perry, Castille</t>
  </si>
  <si>
    <t>zebra mussels; rudd</t>
  </si>
  <si>
    <t>2014, 2015, 2017, 2019</t>
  </si>
  <si>
    <t xml:space="preserve">Silver Lake Association </t>
  </si>
  <si>
    <t>Frank Bright</t>
  </si>
  <si>
    <t>Sixberry Lake</t>
  </si>
  <si>
    <t>2001-2004, 2015-2019</t>
  </si>
  <si>
    <t>Sixberry Lake Association</t>
  </si>
  <si>
    <t>Richard and Monica Leclerc</t>
  </si>
  <si>
    <t>Skaneateles Lake</t>
  </si>
  <si>
    <t>Cayuga, Cortland, Onondaga</t>
  </si>
  <si>
    <t>Skaneateles Country Club; Lourdes Camp; Clift Park Beach</t>
  </si>
  <si>
    <t>quagga mussels; zebra mussels; scud</t>
  </si>
  <si>
    <t>Skaneateles Lake Association</t>
  </si>
  <si>
    <t>(1) Bill and Bobbie Dean, (2) Buzz and Gretchen Roberts, Deb and Rich Hole, Barbara and Jed Delmonico</t>
  </si>
  <si>
    <t>Skaneateles Lake - S1</t>
  </si>
  <si>
    <t>Skaneateles Lake - S2</t>
  </si>
  <si>
    <t>Sleepy Hollow Lake</t>
  </si>
  <si>
    <t>Athens</t>
  </si>
  <si>
    <t>Sleep Hollow Lake Beach</t>
  </si>
  <si>
    <t>2013, 2019</t>
  </si>
  <si>
    <t>Aquathol K 2017; hand harvesting 2017, 2013</t>
  </si>
  <si>
    <t>Sleepy Hollow Lake Association</t>
  </si>
  <si>
    <t>Smith Pond Sportsmens Club</t>
  </si>
  <si>
    <t>weed harvester 2005, 2004</t>
  </si>
  <si>
    <t>Snyders Lake</t>
  </si>
  <si>
    <t>North Greenbush</t>
  </si>
  <si>
    <t>1995, 1997-2001, 2010-2011</t>
  </si>
  <si>
    <t>Camp Scully; North Greenbush Town Beach</t>
  </si>
  <si>
    <t>Eurasian watermilfoil; brittle naiad; Curly leafed pondweed</t>
  </si>
  <si>
    <t>2012, 2014, 2015</t>
  </si>
  <si>
    <t>L.A.K.E. Association of Snyder's Lake</t>
  </si>
  <si>
    <t>Sodus Bay</t>
  </si>
  <si>
    <t>Sodus Point</t>
  </si>
  <si>
    <t>Eurasian watermilfoil; water chestnut; variable watermilfoil; European frogbit</t>
  </si>
  <si>
    <t>2012, 2016</t>
  </si>
  <si>
    <t>Save Our Sodus</t>
  </si>
  <si>
    <t>Hamden</t>
  </si>
  <si>
    <t>2012, 2013</t>
  </si>
  <si>
    <t>Somerset Lake Association</t>
  </si>
  <si>
    <t>Song Lake</t>
  </si>
  <si>
    <t>Camp Hoover</t>
  </si>
  <si>
    <t>Tully Lake</t>
  </si>
  <si>
    <t xml:space="preserve">Song Lake Property Owners Association </t>
  </si>
  <si>
    <t>Spitfire Lake</t>
  </si>
  <si>
    <t>Brighton</t>
  </si>
  <si>
    <t>1996-2002</t>
  </si>
  <si>
    <t>Spring Lake</t>
  </si>
  <si>
    <t>physical controls; fluridone 2010</t>
  </si>
  <si>
    <t>SPLAKE Inc.</t>
  </si>
  <si>
    <t>Elizabeth Mastrianni</t>
  </si>
  <si>
    <t>Star Lake</t>
  </si>
  <si>
    <t>Fine</t>
  </si>
  <si>
    <t>Haven - Star Lake Harbor</t>
  </si>
  <si>
    <t>Stewarts Landing Association</t>
  </si>
  <si>
    <t>Stissing Lake</t>
  </si>
  <si>
    <t>Pine Plains</t>
  </si>
  <si>
    <t>Stissing Lake Association</t>
  </si>
  <si>
    <t>Sugar Pond</t>
  </si>
  <si>
    <t>Greenburgh</t>
  </si>
  <si>
    <t>Summit Lake</t>
  </si>
  <si>
    <t>Schoharie</t>
  </si>
  <si>
    <t>Blenheim</t>
  </si>
  <si>
    <t>Engleville Pond - Upper</t>
  </si>
  <si>
    <t>Summit Lake Association</t>
  </si>
  <si>
    <t>hydroraking 2008</t>
  </si>
  <si>
    <t>1990-1995, 1997, 2002-2003, 2015-2019</t>
  </si>
  <si>
    <t>2013, 2016</t>
  </si>
  <si>
    <t>Summit Lake Association for Preservation</t>
  </si>
  <si>
    <t>Mike and Karen Lockhart, Veronica Denio, Timothy Bearor</t>
  </si>
  <si>
    <t>mechanical harvesting 1991</t>
  </si>
  <si>
    <t>Sunnyside Lake</t>
  </si>
  <si>
    <t>Queensbury</t>
  </si>
  <si>
    <t>hand harvesting 2018; suction harvesting 2017; fluridone 2014, 2000</t>
  </si>
  <si>
    <t>Protective Association of Lake Sunnyside</t>
  </si>
  <si>
    <t>Christie and William Bennett, Patty Myhrberg, Jared Lendrum</t>
  </si>
  <si>
    <t>copper sulfate 2015, 2014</t>
  </si>
  <si>
    <t>Taconic Pond</t>
  </si>
  <si>
    <t>Taconic Lake Association</t>
  </si>
  <si>
    <t>Paul Thomas</t>
  </si>
  <si>
    <t>Tanglewood Lake</t>
  </si>
  <si>
    <t>Thurston</t>
  </si>
  <si>
    <t>Tanglewood Lake Association</t>
  </si>
  <si>
    <t>1997-2001, 2003-2010</t>
  </si>
  <si>
    <t>Eurasian watermilfoil; European four leaf clover; water chesnut</t>
  </si>
  <si>
    <t>Thompsons Lake</t>
  </si>
  <si>
    <t>Berne</t>
  </si>
  <si>
    <t>1994-2000, 2002</t>
  </si>
  <si>
    <t>Zebra mussel; rusty crayfish; virile crayfish</t>
  </si>
  <si>
    <t>Thunder Lake</t>
  </si>
  <si>
    <t>2015, 2017, 2019</t>
  </si>
  <si>
    <t>Thunder Lake Association</t>
  </si>
  <si>
    <t>Pat Chirumbolo, Dana Barvinchak</t>
  </si>
  <si>
    <t>Timber Lake-W</t>
  </si>
  <si>
    <t>Morningside Lake</t>
  </si>
  <si>
    <t>grass carp 2015</t>
  </si>
  <si>
    <t>Golden's Bridge Community Association</t>
  </si>
  <si>
    <t>Timber Lake-S</t>
  </si>
  <si>
    <t>2004-2005, 2007-2009</t>
  </si>
  <si>
    <t>Tomkins Lake</t>
  </si>
  <si>
    <t>Stony Point</t>
  </si>
  <si>
    <t>mechanical harvester 2017, 2016, 2015</t>
  </si>
  <si>
    <t xml:space="preserve">Tully Lake Property Owners Association </t>
  </si>
  <si>
    <t>Christine Kruth, Melinda Portmess, Jeffrey Schardt, Carl Kirshbaum, Sam Columbo</t>
  </si>
  <si>
    <t>Tuscarora Lake</t>
  </si>
  <si>
    <t>Erieville</t>
  </si>
  <si>
    <t xml:space="preserve">Tuscarora Lake Association </t>
  </si>
  <si>
    <t>Tuxedo Lake</t>
  </si>
  <si>
    <t>copper sulfate 2017, 2016, 2015, 2014</t>
  </si>
  <si>
    <t>Twitchell Lake</t>
  </si>
  <si>
    <t>Big Moose</t>
  </si>
  <si>
    <t>1986-1990, 1996</t>
  </si>
  <si>
    <t>Ulster Heights Lake</t>
  </si>
  <si>
    <t>Ulster</t>
  </si>
  <si>
    <t>Wawarsing</t>
  </si>
  <si>
    <t>Ulster Heights Lake Association</t>
  </si>
  <si>
    <t>John Sweeney, Gil Podorson, Ed Mitchell, Dan Derfel</t>
  </si>
  <si>
    <t>drawdown 2009</t>
  </si>
  <si>
    <t>Unnamed Wallkill Pond</t>
  </si>
  <si>
    <t>Tillson Lake</t>
  </si>
  <si>
    <t>Clipper herbicide 2018, 2017</t>
  </si>
  <si>
    <t>Upper Chateaugay Lake</t>
  </si>
  <si>
    <t>Ellenburg</t>
  </si>
  <si>
    <t>1990-1994</t>
  </si>
  <si>
    <t>Tanager Lodge Beach</t>
  </si>
  <si>
    <t>Upper Little York Lake</t>
  </si>
  <si>
    <t>Homer</t>
  </si>
  <si>
    <t>mechanical harvester 2016, 2009</t>
  </si>
  <si>
    <t>Little York Improvement Society</t>
  </si>
  <si>
    <t>Gary and Cathy Lawrence,  Donald and Robyn Fisher</t>
  </si>
  <si>
    <t>Upper Saranac Lake-North</t>
  </si>
  <si>
    <t>2006-2012</t>
  </si>
  <si>
    <t>Saranac Village Young Life Camp; St Lawrence University Conference Center Camp Canaras; Donaldson's Campground; Colgate University Camp; The Point</t>
  </si>
  <si>
    <t>Upper Saranac Lake Association and Foundation</t>
  </si>
  <si>
    <t>Upper St. Regis Lake</t>
  </si>
  <si>
    <t>1997-2002</t>
  </si>
  <si>
    <t>2004-2008</t>
  </si>
  <si>
    <t>We Wah Lake</t>
  </si>
  <si>
    <t>Wee Wah Beach Club</t>
  </si>
  <si>
    <t>2012, 2014</t>
  </si>
  <si>
    <t>Weiden Pond</t>
  </si>
  <si>
    <t>Tusten</t>
  </si>
  <si>
    <t>Weiden Lake Property Owners Association</t>
  </si>
  <si>
    <t>Tim Wood</t>
  </si>
  <si>
    <t>West Caroga Lake</t>
  </si>
  <si>
    <t>West Caroga Lake Park</t>
  </si>
  <si>
    <t>West Caroga Lake Association</t>
  </si>
  <si>
    <t>Donald Hopper, J. Edward Potocar, Walter Hogan, Brian Drain</t>
  </si>
  <si>
    <t>Whaley Lake</t>
  </si>
  <si>
    <t>Camp Liahona</t>
  </si>
  <si>
    <t>White Birch Lake</t>
  </si>
  <si>
    <t>1996-2000, 2013-2015</t>
  </si>
  <si>
    <t xml:space="preserve">White Birch Lake Property Owners Association </t>
  </si>
  <si>
    <t>Windover Lake</t>
  </si>
  <si>
    <t>drawdown 2000</t>
  </si>
  <si>
    <t>Wolf Lake</t>
  </si>
  <si>
    <t>Wurtsboro</t>
  </si>
  <si>
    <t>1987-1992, 1995, 1997-2001, 2013-2017</t>
  </si>
  <si>
    <t>Kiamesha Lake</t>
  </si>
  <si>
    <t>Wolf Lake Incorporated</t>
  </si>
  <si>
    <t>Yankee Lake</t>
  </si>
  <si>
    <t>Mamakating</t>
  </si>
  <si>
    <t>2006-2011, 2013-2015, 2017-2019</t>
  </si>
  <si>
    <t>Yankee Lake Preservation Association, Inc.</t>
  </si>
  <si>
    <t>Georgia Rampe and Louise Rozos</t>
  </si>
  <si>
    <t>water level drawdown</t>
  </si>
  <si>
    <t>Lake_ID</t>
  </si>
  <si>
    <t>Lake Name</t>
  </si>
  <si>
    <t>Total Count</t>
  </si>
  <si>
    <t>Watershed Area (Sqmi)</t>
  </si>
  <si>
    <t>Watershed Area (Ha)</t>
  </si>
  <si>
    <t>Open Water</t>
  </si>
  <si>
    <t>Developed Open Space</t>
  </si>
  <si>
    <t>Developed Low Intensity</t>
  </si>
  <si>
    <t>Developed Medium Intensity</t>
  </si>
  <si>
    <t>Developed High Intensity</t>
  </si>
  <si>
    <t>Barren Land</t>
  </si>
  <si>
    <t>Deciduous Forest</t>
  </si>
  <si>
    <t>Evergreen Forest</t>
  </si>
  <si>
    <t>Mixed Forest</t>
  </si>
  <si>
    <t>Scrub/Shrub</t>
  </si>
  <si>
    <t>Grassland/Herbaceous</t>
  </si>
  <si>
    <t>Pasture/Hay</t>
  </si>
  <si>
    <t>Cultivated Crops</t>
  </si>
  <si>
    <t>Woody Wetlands</t>
  </si>
  <si>
    <t>Emergent Herbaceous Wetland</t>
  </si>
  <si>
    <t>Lake Watershed</t>
  </si>
  <si>
    <t>Agriculture</t>
  </si>
  <si>
    <t>Forest</t>
  </si>
  <si>
    <t>Residential</t>
  </si>
  <si>
    <t>Urban</t>
  </si>
  <si>
    <t>SUM</t>
  </si>
  <si>
    <t>1104ADI0587A</t>
  </si>
  <si>
    <t>1401ANA0251</t>
  </si>
  <si>
    <t>0601ARN0362</t>
  </si>
  <si>
    <t>1004AUG0213</t>
  </si>
  <si>
    <t>1102BAB1109</t>
  </si>
  <si>
    <t>1101BAL1090</t>
  </si>
  <si>
    <t>Ballston Lake-shallow</t>
  </si>
  <si>
    <t>1301BAR0181</t>
  </si>
  <si>
    <t>1302BAR0071</t>
  </si>
  <si>
    <t>1005BAR0338</t>
  </si>
  <si>
    <t>1303BEA0234</t>
  </si>
  <si>
    <t>0601BEA0174</t>
  </si>
  <si>
    <t>1302HOW0127</t>
  </si>
  <si>
    <t>1301BOW0444</t>
  </si>
  <si>
    <t>Big Bowman Pond</t>
  </si>
  <si>
    <t>1701FRE0661</t>
  </si>
  <si>
    <t>0906BLA0001</t>
  </si>
  <si>
    <t>1302BLU0122A</t>
  </si>
  <si>
    <t>0906UWB5014</t>
  </si>
  <si>
    <t>0602BRA0154</t>
  </si>
  <si>
    <t>1104BRA0347</t>
  </si>
  <si>
    <t>0801BRA0689</t>
  </si>
  <si>
    <t>1301BUC0303</t>
  </si>
  <si>
    <t>1301BUR0386</t>
  </si>
  <si>
    <t>0906BUT0054</t>
  </si>
  <si>
    <t>1201CAN0717</t>
  </si>
  <si>
    <t>0601CAN0392</t>
  </si>
  <si>
    <t>0402CAN0043</t>
  </si>
  <si>
    <t>0704CAN0286</t>
  </si>
  <si>
    <t>0705CAY0296</t>
  </si>
  <si>
    <t>0703CAZ0153</t>
  </si>
  <si>
    <t>0801CHA0597</t>
  </si>
  <si>
    <t>0202CHA0122</t>
  </si>
  <si>
    <t>0601CHE0213</t>
  </si>
  <si>
    <t>1302CHI0075</t>
  </si>
  <si>
    <t>0402CON0067</t>
  </si>
  <si>
    <t>Conesus Lake - S1</t>
  </si>
  <si>
    <t>Conesus Lake - S2</t>
  </si>
  <si>
    <t>1310COP0108</t>
  </si>
  <si>
    <t>1103COS0079</t>
  </si>
  <si>
    <t>0602EAR0146</t>
  </si>
  <si>
    <t>1702CRA6892</t>
  </si>
  <si>
    <t xml:space="preserve">Cranberry Lake </t>
  </si>
  <si>
    <t>0602CRO0073</t>
  </si>
  <si>
    <t>0701CRO0185</t>
  </si>
  <si>
    <t>1401CRY0260</t>
  </si>
  <si>
    <t>Crystal Lake (Sullivan)</t>
  </si>
  <si>
    <t>0201CUB0115</t>
  </si>
  <si>
    <t>0602DEA0036</t>
  </si>
  <si>
    <t>1404DEE0389</t>
  </si>
  <si>
    <t>0902DEE0073</t>
  </si>
  <si>
    <t>1201DEL1059</t>
  </si>
  <si>
    <t>0703DER0139A</t>
  </si>
  <si>
    <t xml:space="preserve">Deruyter Reservoir </t>
  </si>
  <si>
    <t>1311DUA0276A</t>
  </si>
  <si>
    <t>0705DUC0222</t>
  </si>
  <si>
    <t>0903EAG0080</t>
  </si>
  <si>
    <t>1104EAG0438</t>
  </si>
  <si>
    <t>0902EAG0083</t>
  </si>
  <si>
    <t>1201ECA0697</t>
  </si>
  <si>
    <t>0602EAT0163</t>
  </si>
  <si>
    <t>Eaton Reservoir</t>
  </si>
  <si>
    <t>0602ECH0081</t>
  </si>
  <si>
    <t>0801EFF0426</t>
  </si>
  <si>
    <t>1104EFN0129</t>
  </si>
  <si>
    <t>0202FIN0153</t>
  </si>
  <si>
    <t>1301FOR0441</t>
  </si>
  <si>
    <t>1104FOR0340</t>
  </si>
  <si>
    <t>1104FRI0365</t>
  </si>
  <si>
    <t>0801SEC0782B</t>
  </si>
  <si>
    <t>1201GAL0563</t>
  </si>
  <si>
    <t>1104GAR0520</t>
  </si>
  <si>
    <t>0602GEN0088</t>
  </si>
  <si>
    <t>1301GLA0394</t>
  </si>
  <si>
    <t>1005GLE0441</t>
  </si>
  <si>
    <t>1104GOO0672A</t>
  </si>
  <si>
    <t>0602GOR0136</t>
  </si>
  <si>
    <t>1302UWB0089F</t>
  </si>
  <si>
    <t>0906GRA0051</t>
  </si>
  <si>
    <t>0601GUI0188</t>
  </si>
  <si>
    <t>0903GUL0087</t>
  </si>
  <si>
    <t>1005HAD0432</t>
  </si>
  <si>
    <t>0602HAT0155</t>
  </si>
  <si>
    <t>1103HED0089</t>
  </si>
  <si>
    <t>0402HEM0044</t>
  </si>
  <si>
    <t>1306HIG0492</t>
  </si>
  <si>
    <t>1304HIL0345G</t>
  </si>
  <si>
    <t>0402HON0057</t>
  </si>
  <si>
    <t>0902HOR0078</t>
  </si>
  <si>
    <t>Horsehoe Pond</t>
  </si>
  <si>
    <t>1104HUN0131</t>
  </si>
  <si>
    <t>0303HYD0391</t>
  </si>
  <si>
    <t>1104IND0597</t>
  </si>
  <si>
    <t>Indian Lake (Hamilton)</t>
  </si>
  <si>
    <t>1301IND0167</t>
  </si>
  <si>
    <t>Indian Lake (Putnam)</t>
  </si>
  <si>
    <t>0703JAM0144</t>
  </si>
  <si>
    <t>0104JAV0152</t>
  </si>
  <si>
    <t>1104JEN0130</t>
  </si>
  <si>
    <t>0903JOE0031</t>
  </si>
  <si>
    <t>Joe Indian Pond</t>
  </si>
  <si>
    <t>0703KAS0109</t>
  </si>
  <si>
    <t>1302KAT0107A</t>
  </si>
  <si>
    <t>0801KAY0984A</t>
  </si>
  <si>
    <t>1104KELXXX1</t>
  </si>
  <si>
    <t>0705KEU0388</t>
  </si>
  <si>
    <t>1310KIN0024</t>
  </si>
  <si>
    <t>1302KIR0052</t>
  </si>
  <si>
    <t>1002ALI5018</t>
  </si>
  <si>
    <t>0906BON0024</t>
  </si>
  <si>
    <t>1302CAR0062A</t>
  </si>
  <si>
    <t>1301CEL0166</t>
  </si>
  <si>
    <t>1003CLE0199</t>
  </si>
  <si>
    <t>1003COL0106</t>
  </si>
  <si>
    <t>0705COM0333</t>
  </si>
  <si>
    <t>0502DEM0068</t>
  </si>
  <si>
    <t>1401DEV0174</t>
  </si>
  <si>
    <t>Lake Devenoge</t>
  </si>
  <si>
    <t>1006GEO0367</t>
  </si>
  <si>
    <t>Lake George-Lake George Village</t>
  </si>
  <si>
    <t>0602GER0097</t>
  </si>
  <si>
    <t>1402GUY0014</t>
  </si>
  <si>
    <t>0302LAC0132</t>
  </si>
  <si>
    <t>1102LAU1121</t>
  </si>
  <si>
    <t>1302LIN0057A</t>
  </si>
  <si>
    <t>1501LUC0982B</t>
  </si>
  <si>
    <t>1104LUZ0318</t>
  </si>
  <si>
    <t>1301MOH0179</t>
  </si>
  <si>
    <t>Mohegan Lake</t>
  </si>
  <si>
    <t>0602MOR0152</t>
  </si>
  <si>
    <t>0901ISLXXX1</t>
  </si>
  <si>
    <t>0906OTH0009</t>
  </si>
  <si>
    <t>1302OSC0118</t>
  </si>
  <si>
    <t>1301PEE0171</t>
  </si>
  <si>
    <t>1004PLA0254</t>
  </si>
  <si>
    <t>1104PLE0313</t>
  </si>
  <si>
    <t>1302RIP0119</t>
  </si>
  <si>
    <t>0502SAL0051</t>
  </si>
  <si>
    <t>1302TRU0115A</t>
  </si>
  <si>
    <t>1302WAC0117</t>
  </si>
  <si>
    <t>0602WAR0094</t>
  </si>
  <si>
    <t>0502LAM0047</t>
  </si>
  <si>
    <t>1404LAU0382</t>
  </si>
  <si>
    <t>0602LEB0153</t>
  </si>
  <si>
    <t>1701LIL0779</t>
  </si>
  <si>
    <t>Lily Pond (Suffolk)</t>
  </si>
  <si>
    <t>0104LIM0130</t>
  </si>
  <si>
    <t>1004LIN0315</t>
  </si>
  <si>
    <t>1701LFR0662</t>
  </si>
  <si>
    <t>0302LSO0076</t>
  </si>
  <si>
    <t>1501UWB1006</t>
  </si>
  <si>
    <t>Little We Wah</t>
  </si>
  <si>
    <t>0903LWO0095</t>
  </si>
  <si>
    <t>Little Wolf Pond</t>
  </si>
  <si>
    <t>1308LONXXX1</t>
  </si>
  <si>
    <t>0404LOO0079</t>
  </si>
  <si>
    <t>1104LOO0367</t>
  </si>
  <si>
    <t>0202LCA0133</t>
  </si>
  <si>
    <t>1308LRH0888</t>
  </si>
  <si>
    <t>Lower Rhoda Pond</t>
  </si>
  <si>
    <t>1201MAR0570</t>
  </si>
  <si>
    <t>1104MAYXXX1</t>
  </si>
  <si>
    <t>0602MEL0039</t>
  </si>
  <si>
    <t>0906MIL0055</t>
  </si>
  <si>
    <t>1004MIR0250</t>
  </si>
  <si>
    <t>1401MON0186</t>
  </si>
  <si>
    <t>0905MOO0071</t>
  </si>
  <si>
    <t>1101MOR0101</t>
  </si>
  <si>
    <t>1201MOU0691</t>
  </si>
  <si>
    <t>Mountain Lake (Fulton)</t>
  </si>
  <si>
    <t>0902MOU0050</t>
  </si>
  <si>
    <t>Moutain View Lake</t>
  </si>
  <si>
    <t>1310NAS0034</t>
  </si>
  <si>
    <t>0303NOR1041</t>
  </si>
  <si>
    <t>1404OQU0383</t>
  </si>
  <si>
    <t>1301ORA0340</t>
  </si>
  <si>
    <t>Orange Lake (Orange)</t>
  </si>
  <si>
    <t>0702OTI0175</t>
  </si>
  <si>
    <t>0801OTT0926</t>
  </si>
  <si>
    <t>0706OWA0212</t>
  </si>
  <si>
    <t>1302PAL0061A</t>
  </si>
  <si>
    <t>0703PAN0094</t>
  </si>
  <si>
    <t>1302PEA0093</t>
  </si>
  <si>
    <t>1201PEC0686</t>
  </si>
  <si>
    <t>0602PET0078</t>
  </si>
  <si>
    <t>1201PLE0745</t>
  </si>
  <si>
    <t>Pleasant Lake (Fulton)</t>
  </si>
  <si>
    <t>0703PLE0019</t>
  </si>
  <si>
    <t>Pleasant Lake (Oswego)</t>
  </si>
  <si>
    <t>1402PLE0045</t>
  </si>
  <si>
    <t>0602PLY0107</t>
  </si>
  <si>
    <t>1302PUT0093B</t>
  </si>
  <si>
    <t>1310QUE0057</t>
  </si>
  <si>
    <t>0903RAQ0293</t>
  </si>
  <si>
    <t>1308ROB0902</t>
  </si>
  <si>
    <t>0801RON0739</t>
  </si>
  <si>
    <t>Rondaxe Pond</t>
  </si>
  <si>
    <t>Round Lake (Orange)</t>
  </si>
  <si>
    <t>1310ROU0080</t>
  </si>
  <si>
    <t>0403RUS0146</t>
  </si>
  <si>
    <t>1104SAC0314</t>
  </si>
  <si>
    <t>1302SAG0076J</t>
  </si>
  <si>
    <t>1101SAR0027</t>
  </si>
  <si>
    <t>1104SCH0374</t>
  </si>
  <si>
    <t>0705SEN0369</t>
  </si>
  <si>
    <t>1301SEP0826</t>
  </si>
  <si>
    <t>1302SEV0077C</t>
  </si>
  <si>
    <t>1302SHA0128J</t>
  </si>
  <si>
    <t>1301SHA0424</t>
  </si>
  <si>
    <t>1306SHA0491</t>
  </si>
  <si>
    <t>1302SHE0050A</t>
  </si>
  <si>
    <t>1003SIL0073</t>
  </si>
  <si>
    <t>Silver Lake (Clinton)</t>
  </si>
  <si>
    <t>0904SIL0351</t>
  </si>
  <si>
    <t>Silver Lake (St. Lawrence)</t>
  </si>
  <si>
    <t>0403SIL0115</t>
  </si>
  <si>
    <t>Silver Lake (Wyoming)</t>
  </si>
  <si>
    <t>0906SIX0056</t>
  </si>
  <si>
    <t>0707SKA0193</t>
  </si>
  <si>
    <t>1301SLE6666</t>
  </si>
  <si>
    <t>0502SMI0066</t>
  </si>
  <si>
    <t>1301SNY0377</t>
  </si>
  <si>
    <t>0302SOD0096</t>
  </si>
  <si>
    <t>1401SOM0268</t>
  </si>
  <si>
    <t>0602SON0072</t>
  </si>
  <si>
    <t>0902SPI0264</t>
  </si>
  <si>
    <t>1310SPR0081</t>
  </si>
  <si>
    <t>0905STA0281</t>
  </si>
  <si>
    <t>1201LIL0716</t>
  </si>
  <si>
    <t>1305STI0409</t>
  </si>
  <si>
    <t>1301UWB5186</t>
  </si>
  <si>
    <t>1202SUM0629</t>
  </si>
  <si>
    <t>1103SUM0080</t>
  </si>
  <si>
    <t>Summit Lake (Washington)</t>
  </si>
  <si>
    <t>1005SUN0440</t>
  </si>
  <si>
    <t>1102TAC1129</t>
  </si>
  <si>
    <t>Taconic Lake</t>
  </si>
  <si>
    <t>1302UWB0128A</t>
  </si>
  <si>
    <t>0602TRU5405</t>
  </si>
  <si>
    <t>1302UWB0044H</t>
  </si>
  <si>
    <t>Timber Lake (Westchester)</t>
  </si>
  <si>
    <t>1403UWB0294B</t>
  </si>
  <si>
    <t>Timber Lake (Sullivan)</t>
  </si>
  <si>
    <t>0602TUL0068</t>
  </si>
  <si>
    <t>0703TUS0153A</t>
  </si>
  <si>
    <t>1501TUX1007</t>
  </si>
  <si>
    <t>0801TWI0584</t>
  </si>
  <si>
    <t>1306ULS0799</t>
  </si>
  <si>
    <t>1306UWB0464B</t>
  </si>
  <si>
    <t>0902UCH0002</t>
  </si>
  <si>
    <t>Upper Chataugay Lake</t>
  </si>
  <si>
    <t>0602ULI0067</t>
  </si>
  <si>
    <t>1003USA0114</t>
  </si>
  <si>
    <t>0902USA0265</t>
  </si>
  <si>
    <t>1301WAL0165</t>
  </si>
  <si>
    <t>1501WEE1005</t>
  </si>
  <si>
    <t>1401STU0245</t>
  </si>
  <si>
    <t>1201WCA0698</t>
  </si>
  <si>
    <t>1304WHA0353</t>
  </si>
  <si>
    <t>0601WHI5191</t>
  </si>
  <si>
    <t>1104WIN0529A</t>
  </si>
  <si>
    <t>1402WOL0037</t>
  </si>
  <si>
    <t>1402YAN0021</t>
  </si>
  <si>
    <t>LakeID</t>
  </si>
  <si>
    <t>Location_ID</t>
  </si>
  <si>
    <t>1104ADI0587A_C</t>
  </si>
  <si>
    <t>1401ANA0251_C</t>
  </si>
  <si>
    <t>0601ARN0362_C</t>
  </si>
  <si>
    <t>1004AUG0213_C</t>
  </si>
  <si>
    <t>1102BAB1109_C</t>
  </si>
  <si>
    <t>1101BAL1090_MAIN</t>
  </si>
  <si>
    <t>1301BAR0181_C</t>
  </si>
  <si>
    <t>1302BAR0071_C</t>
  </si>
  <si>
    <t>1005BAR0338_C</t>
  </si>
  <si>
    <t>1303BEA0234_C</t>
  </si>
  <si>
    <t>0601BEA0174_C</t>
  </si>
  <si>
    <t>1302HOW0127_C</t>
  </si>
  <si>
    <t>1301BOW0444_C</t>
  </si>
  <si>
    <t>1701FRE0661_C</t>
  </si>
  <si>
    <t>0906BLA0001_C</t>
  </si>
  <si>
    <t>1701BLA0788</t>
  </si>
  <si>
    <t>1701BLA0788_C</t>
  </si>
  <si>
    <t>0302BLI0077</t>
  </si>
  <si>
    <t>0302BLI0077_C</t>
  </si>
  <si>
    <t>1302BLU0122A_C</t>
  </si>
  <si>
    <t>0906UWB5014_C</t>
  </si>
  <si>
    <t>0602BRA0154_C</t>
  </si>
  <si>
    <t>1702BRA1039</t>
  </si>
  <si>
    <t>1702BRA1039_C</t>
  </si>
  <si>
    <t>1104BRA0347_C</t>
  </si>
  <si>
    <t>0801BRA0689_C</t>
  </si>
  <si>
    <t>1301BUC0303_C</t>
  </si>
  <si>
    <t>1301BUR0386C_C</t>
  </si>
  <si>
    <t>0906BUT0054_C</t>
  </si>
  <si>
    <t>1701CAN0889</t>
  </si>
  <si>
    <t>1701CAN0889_C</t>
  </si>
  <si>
    <t>1201CAN0717_C</t>
  </si>
  <si>
    <t>0601CAN0392_C</t>
  </si>
  <si>
    <t>0402CAN0043_C</t>
  </si>
  <si>
    <t>0704CAN0286_CSL1</t>
  </si>
  <si>
    <t>0704CAN0286_CSL2</t>
  </si>
  <si>
    <t>0705CAY0296_C</t>
  </si>
  <si>
    <t>0705CAY0296_CSL5</t>
  </si>
  <si>
    <t>0705CAY0296_CSL2</t>
  </si>
  <si>
    <t>0705CAY0296_CSL1</t>
  </si>
  <si>
    <t>0705CAY0296_CSL3</t>
  </si>
  <si>
    <t>0705CAY0296_CSL4</t>
  </si>
  <si>
    <t>0703CAZ0153_C</t>
  </si>
  <si>
    <t>0801CHA0597_C</t>
  </si>
  <si>
    <t>0202CHA0122_NCSL</t>
  </si>
  <si>
    <t>0601CHE0213_C</t>
  </si>
  <si>
    <t>1302CHI0075_C</t>
  </si>
  <si>
    <t>1310COP0108_C</t>
  </si>
  <si>
    <t>1103COS0079_C</t>
  </si>
  <si>
    <t>0602EAR0146_C</t>
  </si>
  <si>
    <t>1702CRA6892_C</t>
  </si>
  <si>
    <t>0602CRO0073_C</t>
  </si>
  <si>
    <t>0701CRO0185_C</t>
  </si>
  <si>
    <t>0906CRY0058</t>
  </si>
  <si>
    <t>0906CRY0058_C</t>
  </si>
  <si>
    <t>0201CUB0115_C</t>
  </si>
  <si>
    <t>0602DEA0036_C</t>
  </si>
  <si>
    <t>1404DEE0389_C</t>
  </si>
  <si>
    <t>0902DEE0073_C</t>
  </si>
  <si>
    <t>1201DEL1059_C</t>
  </si>
  <si>
    <t>0703DER0139A_C</t>
  </si>
  <si>
    <t>1311DUA0276A_C</t>
  </si>
  <si>
    <t>0705DUC0222_C</t>
  </si>
  <si>
    <t>0903EAG0080_C</t>
  </si>
  <si>
    <t>1104EAG0438_C</t>
  </si>
  <si>
    <t>0902EAG0083_C</t>
  </si>
  <si>
    <t>1201ECA0697_C</t>
  </si>
  <si>
    <t>0602EAT0163_C</t>
  </si>
  <si>
    <t>0602ECH0081_C</t>
  </si>
  <si>
    <t>0801EFF0426_C</t>
  </si>
  <si>
    <t>1104EFN0129_C</t>
  </si>
  <si>
    <t>0202FIN0153_C</t>
  </si>
  <si>
    <t>1301FOR0441_C</t>
  </si>
  <si>
    <t>1104FOR0340_C</t>
  </si>
  <si>
    <t>1701FRE0458</t>
  </si>
  <si>
    <t>1701FRE0458_C</t>
  </si>
  <si>
    <t>1104FRI0365_C</t>
  </si>
  <si>
    <t>0801SEC0782B_C</t>
  </si>
  <si>
    <t>1201GAL0563_C</t>
  </si>
  <si>
    <t>1104GAR0520_C</t>
  </si>
  <si>
    <t>0602GEN0088_C</t>
  </si>
  <si>
    <t>1301GLA0394_C</t>
  </si>
  <si>
    <t>1005GLE0441_C</t>
  </si>
  <si>
    <t>1104GOO0672A_C</t>
  </si>
  <si>
    <t>0602GOR0136_C</t>
  </si>
  <si>
    <t>1302UWB0089F_C</t>
  </si>
  <si>
    <t>0906GRA0051_C</t>
  </si>
  <si>
    <t>0601GUI0188_C</t>
  </si>
  <si>
    <t>0903GUL0087_C</t>
  </si>
  <si>
    <t>1005HAD0432_C</t>
  </si>
  <si>
    <t>0602HAT0155_C</t>
  </si>
  <si>
    <t>1103HED0089_C</t>
  </si>
  <si>
    <t>0402HEM0044_CSL1</t>
  </si>
  <si>
    <t>0402HEM0044_CSL2</t>
  </si>
  <si>
    <t>0402HEM0044_CSL3</t>
  </si>
  <si>
    <t>1306HIG0492_C</t>
  </si>
  <si>
    <t>1304HIL0345G_C</t>
  </si>
  <si>
    <t>0402HON0057_CSL2</t>
  </si>
  <si>
    <t>0402HON0057_CSL1</t>
  </si>
  <si>
    <t>0902HOR0078_C</t>
  </si>
  <si>
    <t>1104HUN0131_C</t>
  </si>
  <si>
    <t>0303HYD0391_C</t>
  </si>
  <si>
    <t>1301IND0167_C</t>
  </si>
  <si>
    <t>0902IND0051</t>
  </si>
  <si>
    <t>0902IND0051_C</t>
  </si>
  <si>
    <t>0703JAM0144_C</t>
  </si>
  <si>
    <t>0104JAV0152_C</t>
  </si>
  <si>
    <t>1104JEN0130_C</t>
  </si>
  <si>
    <t>0903JOE0031_C</t>
  </si>
  <si>
    <t>0703KAS0109_C</t>
  </si>
  <si>
    <t>1302KAT0107A_C</t>
  </si>
  <si>
    <t>0801KAY0984A_C</t>
  </si>
  <si>
    <t>1104KELXXX1_C</t>
  </si>
  <si>
    <t>0705KEU0388_CSL1</t>
  </si>
  <si>
    <t>0705KEU0388_CSL2</t>
  </si>
  <si>
    <t>1310KIN0024_C</t>
  </si>
  <si>
    <t>1302KIR0052_C</t>
  </si>
  <si>
    <t>0301WAT0166</t>
  </si>
  <si>
    <t>0301WAT0166_C</t>
  </si>
  <si>
    <t>0906BON0024_C</t>
  </si>
  <si>
    <t>1302CAR0062A_C</t>
  </si>
  <si>
    <t>1301CEL0166_C</t>
  </si>
  <si>
    <t>1003CLE0199_C</t>
  </si>
  <si>
    <t>1003COL0106_C</t>
  </si>
  <si>
    <t>0705COM0333_C</t>
  </si>
  <si>
    <t>0502DEM0068_C</t>
  </si>
  <si>
    <t>1401DEV0174_C</t>
  </si>
  <si>
    <t>1006GEO0367_C</t>
  </si>
  <si>
    <t>1006GEO0367_BB_04</t>
  </si>
  <si>
    <t>1006GEO0367_DI_02</t>
  </si>
  <si>
    <t>1006GEO0367_GB_23</t>
  </si>
  <si>
    <t>1006GEO0367_HEART_24</t>
  </si>
  <si>
    <t>1006GEO0367_HL_21</t>
  </si>
  <si>
    <t>0602GER0097_C</t>
  </si>
  <si>
    <t>1402GUY0014_C</t>
  </si>
  <si>
    <t>1302KIT0114</t>
  </si>
  <si>
    <t>1302KIT0114_C</t>
  </si>
  <si>
    <t>1003KIW0100</t>
  </si>
  <si>
    <t>1003KIW0100_C</t>
  </si>
  <si>
    <t>0302LAC0132_C</t>
  </si>
  <si>
    <t>1102LAU1121_C</t>
  </si>
  <si>
    <t>1302LIN0057A_C</t>
  </si>
  <si>
    <t>1501LUC0982B_C</t>
  </si>
  <si>
    <t>1104LUZ0318_C</t>
  </si>
  <si>
    <t>1302MAH0053</t>
  </si>
  <si>
    <t>1302MAH0053_C</t>
  </si>
  <si>
    <t>1301MEA0160</t>
  </si>
  <si>
    <t>1301MEA0160_C</t>
  </si>
  <si>
    <t>1301MOH0179_C</t>
  </si>
  <si>
    <t>0602MOR0152_C</t>
  </si>
  <si>
    <t>1309MYO0954</t>
  </si>
  <si>
    <t>1309MYO0954_C</t>
  </si>
  <si>
    <t>1302NIM0076E</t>
  </si>
  <si>
    <t>1302NIM0076E_C</t>
  </si>
  <si>
    <t>0901ISLXXX1_C</t>
  </si>
  <si>
    <t>0906OTH0009_C</t>
  </si>
  <si>
    <t>1302OSC0118_C</t>
  </si>
  <si>
    <t>1301OSC0175</t>
  </si>
  <si>
    <t>1301OSC0175_C</t>
  </si>
  <si>
    <t>1301OSS0183D</t>
  </si>
  <si>
    <t>1301OSS0183D_C</t>
  </si>
  <si>
    <t>1301PEE0171_C</t>
  </si>
  <si>
    <t>1004PLA0254_C</t>
  </si>
  <si>
    <t>1104PLE0313_C</t>
  </si>
  <si>
    <t>1302RIP0119_C</t>
  </si>
  <si>
    <t>0502SAL0051_C</t>
  </si>
  <si>
    <t>1301TIB0183E</t>
  </si>
  <si>
    <t>1301TIB0183E_C</t>
  </si>
  <si>
    <t>0902TIT0028</t>
  </si>
  <si>
    <t>0902TIT0028_C</t>
  </si>
  <si>
    <t>1302TRU0115A_C</t>
  </si>
  <si>
    <t>1302WAC0117_C</t>
  </si>
  <si>
    <t>1402WAN0053</t>
  </si>
  <si>
    <t>1402WAN0053_C</t>
  </si>
  <si>
    <t>0602WAR0094_C</t>
  </si>
  <si>
    <t>0502LAM0047_C</t>
  </si>
  <si>
    <t>1404LAU0382_C</t>
  </si>
  <si>
    <t>0602LEB0153_C</t>
  </si>
  <si>
    <t>1701LIL0779_C</t>
  </si>
  <si>
    <t>0104LIM0130_C</t>
  </si>
  <si>
    <t>1004LIN0315_C</t>
  </si>
  <si>
    <t>1701LFR0662_C</t>
  </si>
  <si>
    <t>0902LLO0141</t>
  </si>
  <si>
    <t>1701LLO0708_C</t>
  </si>
  <si>
    <t>0302LSO0076_C</t>
  </si>
  <si>
    <t>1501UWB1006_C</t>
  </si>
  <si>
    <t>0903LWO0095_C</t>
  </si>
  <si>
    <t>1701LON0702</t>
  </si>
  <si>
    <t>1701LON0702_C</t>
  </si>
  <si>
    <t>1308LONXXX1_C</t>
  </si>
  <si>
    <t>0404LOO0079_C</t>
  </si>
  <si>
    <t>1104LOO0367_C</t>
  </si>
  <si>
    <t>0303LOR0009</t>
  </si>
  <si>
    <t>0303LOR0009_C</t>
  </si>
  <si>
    <t>0202LCA0133_C</t>
  </si>
  <si>
    <t>0902LCH0006</t>
  </si>
  <si>
    <t>0902LCH0006_C</t>
  </si>
  <si>
    <t>1308LRH0888_C</t>
  </si>
  <si>
    <t>0902LSA0257A</t>
  </si>
  <si>
    <t>0902LSA0257A_C</t>
  </si>
  <si>
    <t>1204MAD1051</t>
  </si>
  <si>
    <t>1204MAD1051_C</t>
  </si>
  <si>
    <t>1201MAR0570_C</t>
  </si>
  <si>
    <t>1104MAYXXX1_C</t>
  </si>
  <si>
    <t>0602MEL0039_C</t>
  </si>
  <si>
    <t>0906MIL0055_C</t>
  </si>
  <si>
    <t>1004MIR0250_C</t>
  </si>
  <si>
    <t>1306MON0598</t>
  </si>
  <si>
    <t>1306MON0598_C</t>
  </si>
  <si>
    <t>1401MON0186_C</t>
  </si>
  <si>
    <t>0905MOO0071_C</t>
  </si>
  <si>
    <t>1201MOU0691_C</t>
  </si>
  <si>
    <t>0902MOU0050_C</t>
  </si>
  <si>
    <t>1310NAS0034_C</t>
  </si>
  <si>
    <t>0303NOR1041_C</t>
  </si>
  <si>
    <t>1404OQU0383_C</t>
  </si>
  <si>
    <t>1301ORA0340_C</t>
  </si>
  <si>
    <t>0702OTI0175_CSL1</t>
  </si>
  <si>
    <t>0702OTI0175_CSL2</t>
  </si>
  <si>
    <t>0801OTT0926_C</t>
  </si>
  <si>
    <t>0706OWA0212_CSL1</t>
  </si>
  <si>
    <t>0706OWA0212_CSL2</t>
  </si>
  <si>
    <t>1302PAL0061A_C</t>
  </si>
  <si>
    <t>0703PAN0094_C</t>
  </si>
  <si>
    <t>1104PAR0432</t>
  </si>
  <si>
    <t>1104PAR0432_C</t>
  </si>
  <si>
    <t>1302PEA0093_C</t>
  </si>
  <si>
    <t>1201PEC0686_C</t>
  </si>
  <si>
    <t>0602PET0078_C</t>
  </si>
  <si>
    <t>1104PIS0234</t>
  </si>
  <si>
    <t>1104PIS0234_C</t>
  </si>
  <si>
    <t>1201PLE0745_C</t>
  </si>
  <si>
    <t>0703PLE0019_C</t>
  </si>
  <si>
    <t>1402PLE0045_C</t>
  </si>
  <si>
    <t>1302UWB5115</t>
  </si>
  <si>
    <t>1302UWB5115_C</t>
  </si>
  <si>
    <t>0602PLY0107_C</t>
  </si>
  <si>
    <t>0302POR0089</t>
  </si>
  <si>
    <t>0302POR0089_C</t>
  </si>
  <si>
    <t>1302PUT0093B_C</t>
  </si>
  <si>
    <t>1310QUE0057_C</t>
  </si>
  <si>
    <t>0903RAQ0293_C</t>
  </si>
  <si>
    <t>1301ROA0183B</t>
  </si>
  <si>
    <t>1301ROA0183B_C</t>
  </si>
  <si>
    <t>1308ROB0902_C</t>
  </si>
  <si>
    <t>0801RON0739_C</t>
  </si>
  <si>
    <t>1501ROU1021</t>
  </si>
  <si>
    <t>1501ROU1021_C</t>
  </si>
  <si>
    <t>1310ROU0080_C</t>
  </si>
  <si>
    <t>0403RUS0146_C</t>
  </si>
  <si>
    <t>1104SAC0314_C</t>
  </si>
  <si>
    <t>1302SAG0076J_C</t>
  </si>
  <si>
    <t>1101SAR0027_C</t>
  </si>
  <si>
    <t>1104SCH0374_NCSL</t>
  </si>
  <si>
    <t>1104SCH0374_SCSL</t>
  </si>
  <si>
    <t>0705SEN0369_CSL1</t>
  </si>
  <si>
    <t>0705SEN0369_CSL2</t>
  </si>
  <si>
    <t>0705SEN0369_CSL3</t>
  </si>
  <si>
    <t>0705SEN0369_CSL4</t>
  </si>
  <si>
    <t>1301SEP0826_C</t>
  </si>
  <si>
    <t>1302SEV0077C_C</t>
  </si>
  <si>
    <t>1302SHA0128J_C</t>
  </si>
  <si>
    <t>1306SHA0491_C</t>
  </si>
  <si>
    <t>1302SHE0050A_C</t>
  </si>
  <si>
    <t>1003SIL0073_C</t>
  </si>
  <si>
    <t>0904SIL0351_C</t>
  </si>
  <si>
    <t>0403SIL0115_C</t>
  </si>
  <si>
    <t>0906SIX0056_C</t>
  </si>
  <si>
    <t>0707SKA0193_C</t>
  </si>
  <si>
    <t>0707SKA0193_CSL1</t>
  </si>
  <si>
    <t>0707SKA0193_CSL2</t>
  </si>
  <si>
    <t>1301SLE6666_C</t>
  </si>
  <si>
    <t>0502SMI0066_C</t>
  </si>
  <si>
    <t>1301SNY0377_C</t>
  </si>
  <si>
    <t>0302SOD0096_C</t>
  </si>
  <si>
    <t>1401SOM0268_C</t>
  </si>
  <si>
    <t>0602SON0072_C</t>
  </si>
  <si>
    <t>0902SPI0264_C</t>
  </si>
  <si>
    <t>1310SPR0081_C</t>
  </si>
  <si>
    <t>0905STA0281_C</t>
  </si>
  <si>
    <t>1201LIL0716_C</t>
  </si>
  <si>
    <t>1305STI0409_C</t>
  </si>
  <si>
    <t>1301UWB5186_C</t>
  </si>
  <si>
    <t>1202SUM0629_C</t>
  </si>
  <si>
    <t>1103SUM0080_C</t>
  </si>
  <si>
    <t>1005SUN0440_C</t>
  </si>
  <si>
    <t>1102TAC1129_C</t>
  </si>
  <si>
    <t>0503TANXXX1</t>
  </si>
  <si>
    <t>0503TANXXX1_C</t>
  </si>
  <si>
    <t>1302UWB0128A_C</t>
  </si>
  <si>
    <t>0602TRU5405_C</t>
  </si>
  <si>
    <t>1302UWB0044H_C</t>
  </si>
  <si>
    <t>0104TIM5635</t>
  </si>
  <si>
    <t>0104TIM5635_C</t>
  </si>
  <si>
    <t>1301TOM0150I</t>
  </si>
  <si>
    <t>1301TOM0150I_C</t>
  </si>
  <si>
    <t>0602TUL0068_C</t>
  </si>
  <si>
    <t>0703TUS0153A_C</t>
  </si>
  <si>
    <t>1501TUX1007_C</t>
  </si>
  <si>
    <t>0801TWI0584_C</t>
  </si>
  <si>
    <t>1306ULS0799_C</t>
  </si>
  <si>
    <t>1306UWB0464B_C</t>
  </si>
  <si>
    <t>0902UCH0002_C</t>
  </si>
  <si>
    <t>0602ULI0067_C</t>
  </si>
  <si>
    <t>0902USA0265_C</t>
  </si>
  <si>
    <t>1301WAL0165_C</t>
  </si>
  <si>
    <t>1501WEE1005_C</t>
  </si>
  <si>
    <t>1401STU0245_C</t>
  </si>
  <si>
    <t>1201WCA0698_C</t>
  </si>
  <si>
    <t>1304WHA0353_C</t>
  </si>
  <si>
    <t>0601WHI5191_C</t>
  </si>
  <si>
    <t>1104WIN0529A_C</t>
  </si>
  <si>
    <t>1402WOL0037_C</t>
  </si>
  <si>
    <t>1402YAN0021_C</t>
  </si>
  <si>
    <t>0402CON0067_CSL1</t>
  </si>
  <si>
    <t>0402CON0067_CSL2</t>
  </si>
  <si>
    <t>1003USA0114_C</t>
  </si>
  <si>
    <t>1302KEN5213_C</t>
  </si>
  <si>
    <t>1301VOS0433_C</t>
  </si>
  <si>
    <t>0502WAN0048_C</t>
  </si>
  <si>
    <t>1302KEN5213</t>
  </si>
  <si>
    <t>1301VOS0433</t>
  </si>
  <si>
    <t>0502WAN0048</t>
  </si>
  <si>
    <t>Kentwood Lake</t>
  </si>
  <si>
    <t>Vosburg Pond</t>
  </si>
  <si>
    <t>Waneta Lake</t>
  </si>
  <si>
    <t>Poestenkill</t>
  </si>
  <si>
    <t>Schuyler</t>
  </si>
  <si>
    <t>1993, 2020</t>
  </si>
  <si>
    <t>Eurasian watermilfoil, brittle naiad, starry stonewort, curly leafed pondweed</t>
  </si>
  <si>
    <t>2012, 2013, 2017, 2018</t>
  </si>
  <si>
    <t>Lake Tibet Property Owners Association</t>
  </si>
  <si>
    <t>Kentwood Lake Property Owners Association</t>
  </si>
  <si>
    <t>Vosburg Pond Association</t>
  </si>
  <si>
    <t>20 samplers</t>
  </si>
  <si>
    <t>Lamoka Waneta Lakes' Association</t>
  </si>
  <si>
    <t>1988-1993, 1995-1996, 1998-2020</t>
  </si>
  <si>
    <t>Karl Stahl, Matt Novak</t>
  </si>
  <si>
    <t>1997-2001, 2003-2020</t>
  </si>
  <si>
    <t>1987-1995, 1997-2020</t>
  </si>
  <si>
    <t>Jan Shields, Megan Myers</t>
  </si>
  <si>
    <t>1991-2020</t>
  </si>
  <si>
    <t>2007-2008, 2011-2020</t>
  </si>
  <si>
    <t>Peter Herman, Dave Piece, Drew Hamelink, Lawrence Hausheer</t>
  </si>
  <si>
    <t>2018-2020</t>
  </si>
  <si>
    <t>Tony Morosco, Thim Oung, Julie Ruben, Natasha Prenn, Sylvia Humphrey, Charney Bromberg, Sharon Bromberg</t>
  </si>
  <si>
    <t>2011-2015, 2018-2020</t>
  </si>
  <si>
    <t>Dora Keller, Scott Keller, Gregory Almond, Joan Sapinsley</t>
  </si>
  <si>
    <t>1991-1994, 2002-2010, 2012-2020</t>
  </si>
  <si>
    <t>2012-2020</t>
  </si>
  <si>
    <t>2013-2020</t>
  </si>
  <si>
    <t>Bruce Sowalski, Scott Frost, Thomas Simons, Matt LeFleur, Jack Betterly</t>
  </si>
  <si>
    <t>2011-2014, 2016-2020</t>
  </si>
  <si>
    <t>Fred Vanderwerven, John B Simoni Jr, Dorothea Donaldson, Tom Eager</t>
  </si>
  <si>
    <t>1988-2001, 2011-2014, 2016-2020</t>
  </si>
  <si>
    <t>James Kallmerten, Don Bigelow</t>
  </si>
  <si>
    <t>1987-1991, 1999-2003, 2020</t>
  </si>
  <si>
    <t>2001-2010, 2012-2014, 2016-2020</t>
  </si>
  <si>
    <t>2011-2014, 2018-2020</t>
  </si>
  <si>
    <t>Felton McLaughlin, Grace Bennett, Gabriela Sarhos, Gwendolyn Templer, Charles Rhynhart</t>
  </si>
  <si>
    <t>1997-1999, 2003-2011, 2013-2020</t>
  </si>
  <si>
    <t>1986-2010, 2012-2020</t>
  </si>
  <si>
    <t>2001-2010, 2012-2020</t>
  </si>
  <si>
    <t>1989-1993, 2015, 2017-2020</t>
  </si>
  <si>
    <t>Susan Rosengrant, Rita and Douglas Hitchcock, Christine and Charles Kuhn, Barbara Crandall, Pamela Lea</t>
  </si>
  <si>
    <t>2017-2020</t>
  </si>
  <si>
    <t>John Maier, Britt Vanno, David Rowley, Robert Holland, Patricia Bedard</t>
  </si>
  <si>
    <t>Stephen Zumbo, Deirdre Crofton, Nadia Harvieux, Lindsay McMillan, Marty Lasher</t>
  </si>
  <si>
    <t>1986-1990, 2016-2020</t>
  </si>
  <si>
    <t>Robert Ulich, Brett Harrison, Andrew Bargamain</t>
  </si>
  <si>
    <t>2002-2007, 2017-2020</t>
  </si>
  <si>
    <t>2002-2004, 2006-2007, 2018-2020</t>
  </si>
  <si>
    <t>(1) Tom Casella, William Ebert, (2) Sarah and Peter Gould, (3) Bill Foster, Marina Howarth, Shelley Blackler, (4) Douglas and Linda Dixon, (5) James and John Murphy</t>
  </si>
  <si>
    <t>1988-2002, 2004-2008, 2011-2014, 2016-2020</t>
  </si>
  <si>
    <t>1998-2020</t>
  </si>
  <si>
    <t>0202CHA0122_SCSL</t>
  </si>
  <si>
    <t>2000-2010, 2012-2020</t>
  </si>
  <si>
    <t>Dora and Scott Keller, Gregory Almond, Joan Sapinsley, Theodora Bania</t>
  </si>
  <si>
    <t>1988-1994, 1997-2013, 2015-2020</t>
  </si>
  <si>
    <t>1986-1991, 2017-2020</t>
  </si>
  <si>
    <t>1992-1996, 1998-1999, 2001-2010, 2012-2020</t>
  </si>
  <si>
    <t>Lynn Clauer, Lynn Wilbur, Edward Costello, Lynn Edgerly, William Zeppetelli, Wendy Hord, Charles Cooke</t>
  </si>
  <si>
    <t>1988-1994, 1996-1998, 2000-2001, 2009-2013, 2015-2020</t>
  </si>
  <si>
    <t>Patty Matson</t>
  </si>
  <si>
    <t>1986-1990, 1993-1998, 2009-2013, 2015-2020</t>
  </si>
  <si>
    <t>1986-1988, 1990-1991, 1998-2020</t>
  </si>
  <si>
    <t>2004-2010, 2014-2015, 2020</t>
  </si>
  <si>
    <t>2000-2003, 2006, 2014, 2018-2020</t>
  </si>
  <si>
    <t>James Harwood, Richard Grayson</t>
  </si>
  <si>
    <t>1996-2001, 2013-2020</t>
  </si>
  <si>
    <t>1988-2010, 2012-2020</t>
  </si>
  <si>
    <t>1990-2020</t>
  </si>
  <si>
    <t>Ken Pearsall, Ward Freeman, Alan Knight, William Mulligan</t>
  </si>
  <si>
    <t>1988, 1990-1992, 1994-1995, 1998, 2004-2010, 2015-2020</t>
  </si>
  <si>
    <t>Joe Tumia, George Rondash</t>
  </si>
  <si>
    <t>2000-2020</t>
  </si>
  <si>
    <t>2009-2013, 2015-2020</t>
  </si>
  <si>
    <t>1990-1995, 2000-2010, 2012-2020</t>
  </si>
  <si>
    <t>1988-2000, 2010-2013, 2015-2020</t>
  </si>
  <si>
    <t>James Crawford, Colleen McSweeney</t>
  </si>
  <si>
    <t>1986-2000, 2003-2013, 2015, 2018-2020</t>
  </si>
  <si>
    <t>2003-2006, 2009-2011, 2013-2020</t>
  </si>
  <si>
    <t>2001-2010, 2012-2013, 2015, 2019-2020</t>
  </si>
  <si>
    <t>Peter Grand, James Eklund, Peter Spacek</t>
  </si>
  <si>
    <t>1991-1995, 2001-2010, 2012-2014, 2016-2020</t>
  </si>
  <si>
    <t>1990-1997, 2000-2010, 2012-2020</t>
  </si>
  <si>
    <t>1990-2010, 2012-2016, 2018-2020</t>
  </si>
  <si>
    <t>Linda Best, Deborah Waziak, Elliott LaRose, Virginia Potter, Peter Kirkaldy</t>
  </si>
  <si>
    <t>2004-2014, 2017-2020</t>
  </si>
  <si>
    <t>2007-2014, 2017-2020</t>
  </si>
  <si>
    <t>2005-2012, 2018-2020</t>
  </si>
  <si>
    <t>1986-1990, 1993-1995, 1997-2020</t>
  </si>
  <si>
    <t>Paul Derby, Lorraine Stein</t>
  </si>
  <si>
    <t>2004-2011, 2013-2020</t>
  </si>
  <si>
    <t>2004-2008, 2012-2020</t>
  </si>
  <si>
    <t>1997-2001, 2003, 2011-2013, 2018-2020</t>
  </si>
  <si>
    <t>1997-2001, 2011-2015, 2017-2020</t>
  </si>
  <si>
    <t>Sal Ricciardone, Ernest and Sharon Small</t>
  </si>
  <si>
    <t>1988-1996, 1998-2001, 2004, 2011-2015, 2019-2020</t>
  </si>
  <si>
    <t>John Maier, David Rowley, Brittany Vanno, Robert Holland, Patricia Bedard</t>
  </si>
  <si>
    <t>1996-2000, 2017-2020</t>
  </si>
  <si>
    <t>1994-1998, 2002-2013, 2015-2020</t>
  </si>
  <si>
    <t>1994-1996, 1998-2001, 2003-2011, 2013-2020</t>
  </si>
  <si>
    <t>2016-2020</t>
  </si>
  <si>
    <t>1998-1999, 2007-2020</t>
  </si>
  <si>
    <t>1994-1998, 2001-2007, 2011-2014, 2016-2020</t>
  </si>
  <si>
    <t>Charles Moore, Frederic Pierce Schmidt, Robin Stocks, David Connard</t>
  </si>
  <si>
    <t>1991-1995, 2001-2010, 2012-2015,2017-2020</t>
  </si>
  <si>
    <t>Robert Thompson, Mary Augustus, Tim Hartmann, Brenda Hyatt</t>
  </si>
  <si>
    <t>John Christensen, Raul Morales</t>
  </si>
  <si>
    <t>1997-2001, 2018-2020</t>
  </si>
  <si>
    <t>1988-1990, 2020</t>
  </si>
  <si>
    <t>Bill Hassoldt, Barry Pappas, Mary Tucker</t>
  </si>
  <si>
    <t>1994-1995, 1999-2005, 2008, 2015-2020</t>
  </si>
  <si>
    <t>1988-1994, 1997-2001, 2004-2005, 2011-2013, 2015-2020</t>
  </si>
  <si>
    <t>Bob Washbon, Ted Neveldine</t>
  </si>
  <si>
    <t>1997-1999, 2001-2002, 2005, 2011-2014, 2016-2020</t>
  </si>
  <si>
    <t>Gail and Thomas Reese, Wendy Thompson, Marcia Bender</t>
  </si>
  <si>
    <t>1997-2001, 2004, 2008-2016, 2018-2020</t>
  </si>
  <si>
    <t>1993-2005, 2007-2009, 2013-2020</t>
  </si>
  <si>
    <t>Michael and Melinda O'Keefe, Stephanie Geiger, Michael Schwarzchild</t>
  </si>
  <si>
    <t>1989-1994, 1997, 2002-2020</t>
  </si>
  <si>
    <t>2007-2010, 2012-2020</t>
  </si>
  <si>
    <t>2009-2012, 2014-2020</t>
  </si>
  <si>
    <t>Alan McHugh, John Bello, Jeff Voss, James Hays, Deborah Miller, Odeta Roberston</t>
  </si>
  <si>
    <t>1994-2020</t>
  </si>
  <si>
    <t>1990-1994, 2000-2013, 2015-2020</t>
  </si>
  <si>
    <t>Jim Burba</t>
  </si>
  <si>
    <t>1986-1990, 2012-2020</t>
  </si>
  <si>
    <t>1999-2004, 2020</t>
  </si>
  <si>
    <t>Howard Schaffer, Jane Oppenlander, Elton Kurt Tekolste, Keala Tekolste, Peter Minotti, Michael L. Schaffer</t>
  </si>
  <si>
    <t>1987-1991, 1994, 1997-2020</t>
  </si>
  <si>
    <t>Robert and Carol Rosati, Bob Eastman, Steve Smith, Kelly Cerroni</t>
  </si>
  <si>
    <t>1997-2020</t>
  </si>
  <si>
    <t>1998-2001, 2003-2011, 2013-2020</t>
  </si>
  <si>
    <t>Marcy Fagan, Sandy Bissel, Steven Detwiler</t>
  </si>
  <si>
    <t>1998-2013, 2015-2020</t>
  </si>
  <si>
    <t>Randall Duggan, Ken Belfer, Joseph Pacchiana, Celeste Foster</t>
  </si>
  <si>
    <t>2014-2020</t>
  </si>
  <si>
    <t>Brenda Derfner, Peter Kolesar, Edward Reeves, Christina Bergey</t>
  </si>
  <si>
    <t>1986-2020</t>
  </si>
  <si>
    <t>Terry and Christine Spooner, Earl Ewing, Eileen Fehlner, James Finch, Janet Walsh, Allen Lash, Alan Tuttle</t>
  </si>
  <si>
    <t>1986-1990, 1997-2000, 2018-2020</t>
  </si>
  <si>
    <t>Brian Wilson, James Prime, John Chuley</t>
  </si>
  <si>
    <t>1987-1992, 2002-2020</t>
  </si>
  <si>
    <t>1994-1998, 2002, 2005, 2011-2014, 2016-2020</t>
  </si>
  <si>
    <t>2006-2011, 2013-2020</t>
  </si>
  <si>
    <t>1992-1996, 2002-2009, 2011, 2013, 2015-2020</t>
  </si>
  <si>
    <t>Robert Vanderwater, August Gene Trimble</t>
  </si>
  <si>
    <t>1989-1994, 1997, 2017-2020</t>
  </si>
  <si>
    <t>Kathy Kahng, Nicola Roe, John Olson, John and Ellen Mueller</t>
  </si>
  <si>
    <t>1993-1997, 2014-2020</t>
  </si>
  <si>
    <t>Bruce and Debbie Walters, Lynn Montani, Arthur Montani, Miles Lewis, Richard Keville, Don Ryder</t>
  </si>
  <si>
    <t>1999-2009, 2011, 2013-2020</t>
  </si>
  <si>
    <t>Lorraine Janus, Jack Waltzer, Charlie Voelkl</t>
  </si>
  <si>
    <t>1992-1997, 2009-2012, 2014-2020</t>
  </si>
  <si>
    <t>Tom Bielli, Herb and Kira Roes</t>
  </si>
  <si>
    <t>1990-1994, 1996, 1998, 2000-2010, 2012-2020</t>
  </si>
  <si>
    <t>1986-1990, 2001-2020</t>
  </si>
  <si>
    <t>Jim and Valerie Kozak, David Arkin</t>
  </si>
  <si>
    <t>2000-2001, 2003-2011, 2013-2020</t>
  </si>
  <si>
    <t>Jay Pierz, Steven Abdoo, Christopher Wester, James Snyder</t>
  </si>
  <si>
    <t>2014-2016, 2020</t>
  </si>
  <si>
    <t>Peter Tobiessen, James Olsen, William Thielking</t>
  </si>
  <si>
    <t>1991-1995, 1998, 2001-2002, 2007-2012, 2014-2020</t>
  </si>
  <si>
    <t>1991-2010, 2012-2020</t>
  </si>
  <si>
    <t>Rena Doing, Elizabeth Johnson, Paul Simack, Robert Hart, Catherine Murphy</t>
  </si>
  <si>
    <t>1988-1992, 1995, 1997-2020</t>
  </si>
  <si>
    <t>Craig Warn, Bridget Vasquez, Craig Skerkis</t>
  </si>
  <si>
    <t>2019-2020</t>
  </si>
  <si>
    <t>Leonard Schantz, Kenneth Hawks, Lynne Ballou-Gentry, Richard Gentry</t>
  </si>
  <si>
    <t>1989-1993, 2007-2012, 2014-2020</t>
  </si>
  <si>
    <t>1991-1995, 2001-2011, 2013-2020</t>
  </si>
  <si>
    <t>Daryl Stevenson, Danny Harris,  James Pomeroy, Patrick Tyndall, Gary M. Jaros</t>
  </si>
  <si>
    <t>1994-1997, 2020</t>
  </si>
  <si>
    <t>Getz Obstfeld</t>
  </si>
  <si>
    <t>1997-2001, 2003-2008, 2015, 2017-2020</t>
  </si>
  <si>
    <t>1993-1997, 2005-2011, 2013, 2015-2020</t>
  </si>
  <si>
    <t>Charles Harste, Glenn Repko, Peter White, Neil Chippendale, Geradine Cox, Roger Friedman</t>
  </si>
  <si>
    <t>Barbara and Robert Colegrove, Everett McNeill</t>
  </si>
  <si>
    <t>1986-1990, 1995-2012, 2018-2020</t>
  </si>
  <si>
    <t>(1) Addison and Diane Mason, (2) Pamela and Stepher Acker, Jacob and Karen Welch, Dan and Laurie Corbett, (3) Larry and Susan Martin, William Roege, David Granzin (4) Edward and Mary Ann Marks, Sayre Fulkerson, Kristi and James Hoag</t>
  </si>
  <si>
    <t>1997-2001, 2003-2011, 2013-2020</t>
  </si>
  <si>
    <t>Thomas A. Fiorilla, Maureen Galway-Perotti, Joseph Perotti, Patrick Lennon, Joyce Toth</t>
  </si>
  <si>
    <t>1989-1993, 2020</t>
  </si>
  <si>
    <t>Daniel and Susan Heneka, Sarah and Richard Whelden, Bernard VanBrocklin</t>
  </si>
  <si>
    <t>1986-1991, 1995-1997, 2006-2013, 2015-2020</t>
  </si>
  <si>
    <t>Laurel and Walter Wolfe, Julia DiGiovanni, Chris Frisbee</t>
  </si>
  <si>
    <t>Luanne Dockstader, Terry and Molly Vandelinder, Beth Cartella</t>
  </si>
  <si>
    <t>1988-1991, 2001-2005, 2013-2020</t>
  </si>
  <si>
    <t>Thomas VanEtten, David S. Scudder</t>
  </si>
  <si>
    <t>1998-2010, 2012, 2014-2020</t>
  </si>
  <si>
    <t>Wil Kamp, Cheryl Stockton, Arthur Pierson, Scott Carter</t>
  </si>
  <si>
    <t>Tarki Heath, Carl Grillo, Terry and Donna Evans-Orr, Gloria Wright</t>
  </si>
  <si>
    <t>1998-2001, 2007-2011, 2014-2020</t>
  </si>
  <si>
    <t>2009-2012, 2014, 2017-2020</t>
  </si>
  <si>
    <t>John Hoffman, Christine Macneil, Rory Chase, Matt Zick</t>
  </si>
  <si>
    <t>1999-2003, 2011-2015, 2017-2020</t>
  </si>
  <si>
    <t>2002-2003, 2006-2007, 2009-2011, 2013-2020</t>
  </si>
  <si>
    <t>Thomas Shipley, Mary and Derek Woollatt, Joanne and Michael Cowan</t>
  </si>
  <si>
    <t>Vivian and Denis Gufarotti, Elizabeth Baird, Brian Lewis</t>
  </si>
  <si>
    <t>2006, 2009-2011, 2014-2020</t>
  </si>
  <si>
    <t>George Levites, Russell Gordon, Michael Brown</t>
  </si>
  <si>
    <t>2001, 2020</t>
  </si>
  <si>
    <t>Alan Levin, Maria MacArthur</t>
  </si>
  <si>
    <t>1986-2013, 2015-2020</t>
  </si>
  <si>
    <t>Jeff Edgarton</t>
  </si>
  <si>
    <t>2009-2012, 2014-2016, 2019-2020</t>
  </si>
  <si>
    <t>Alene Onion, Tad Holtz</t>
  </si>
  <si>
    <t xml:space="preserve"> Angela Sisson, Lee Rosenthal</t>
  </si>
  <si>
    <t>1986-1991, 1993-1995, 2000, 2002, 2006-2020</t>
  </si>
  <si>
    <t>Mary and Ronald Tucker, Edward Sharpe, Thomas Webb, John Fisk, Jay White</t>
  </si>
  <si>
    <t>1991-1996, 2001-2010, 2012-2020</t>
  </si>
  <si>
    <t>2004-2013, 2015-2020</t>
  </si>
  <si>
    <t>1997-2001, 2020</t>
  </si>
  <si>
    <t>Eurasian watermilfoil; brittle naiad; Curly leafed pondweed; fanwart</t>
  </si>
  <si>
    <t>Tomkins Cove Lake Association</t>
  </si>
  <si>
    <t>Barger Pond Neighborhood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</si>
</sst>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8"/>
      <name val="Arial"/>
      <family val="2"/>
    </font>
    <font>
      <sz val="10"/>
      <color rgb="FF000000"/>
      <name val="Arial"/>
      <family val="2"/>
    </font>
    <font>
      <b/>
      <sz val="11"/>
      <name val="Calibri"/>
      <family val="2"/>
      <scheme val="minor"/>
    </font>
    <font>
      <sz val="9"/>
      <color rgb="FF000000"/>
      <name val="Arial"/>
      <family val="2"/>
    </font>
    <font>
      <sz val="11"/>
      <color rgb="FF000000"/>
      <name val="Calibri"/>
      <family val="2"/>
      <scheme val="minor"/>
    </font>
    <font>
      <strike/>
      <sz val="11"/>
      <name val="Calibri"/>
      <family val="2"/>
      <scheme val="minor"/>
    </font>
    <font>
      <b/>
      <strike/>
      <sz val="11"/>
      <name val="Calibri"/>
      <family val="2"/>
      <scheme val="minor"/>
    </font>
    <font>
      <strike/>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16">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9">
    <xf numFmtId="0" fontId="0" fillId="0" borderId="0" xfId="0"/>
    <xf numFmtId="0" fontId="0" fillId="0" borderId="0" xfId="0" applyAlignment="1">
      <alignment wrapText="1"/>
    </xf>
    <xf numFmtId="1" fontId="0" fillId="0" borderId="0" xfId="0" applyNumberFormat="1" applyAlignment="1">
      <alignment horizontal="right" wrapText="1"/>
    </xf>
    <xf numFmtId="1" fontId="0" fillId="0" borderId="0" xfId="0" applyNumberFormat="1" applyAlignment="1">
      <alignment wrapText="1"/>
    </xf>
    <xf numFmtId="164" fontId="0" fillId="0" borderId="0" xfId="0" applyNumberFormat="1" applyAlignment="1">
      <alignment wrapText="1"/>
    </xf>
    <xf numFmtId="0" fontId="0" fillId="0" borderId="0" xfId="0" applyAlignment="1">
      <alignment horizontal="right" wrapText="1"/>
    </xf>
    <xf numFmtId="2" fontId="0" fillId="0" borderId="0" xfId="0" applyNumberFormat="1" applyAlignment="1">
      <alignment wrapText="1"/>
    </xf>
    <xf numFmtId="1" fontId="0" fillId="2" borderId="0" xfId="0" applyNumberFormat="1" applyFill="1" applyAlignment="1">
      <alignment wrapText="1"/>
    </xf>
    <xf numFmtId="165" fontId="0" fillId="0" borderId="0" xfId="0" applyNumberFormat="1" applyAlignment="1">
      <alignment wrapText="1"/>
    </xf>
    <xf numFmtId="0" fontId="4" fillId="0" borderId="0" xfId="0" applyFont="1" applyAlignment="1">
      <alignment horizontal="left" wrapText="1"/>
    </xf>
    <xf numFmtId="0" fontId="4" fillId="0" borderId="0" xfId="0" applyFont="1" applyAlignment="1">
      <alignment horizontal="center" wrapText="1"/>
    </xf>
    <xf numFmtId="0" fontId="4" fillId="0" borderId="0" xfId="0" applyFont="1" applyAlignment="1">
      <alignment wrapText="1"/>
    </xf>
    <xf numFmtId="14" fontId="0" fillId="0" borderId="0" xfId="0" applyNumberFormat="1" applyAlignment="1">
      <alignment horizontal="right" wrapText="1"/>
    </xf>
    <xf numFmtId="0" fontId="3" fillId="0" borderId="0" xfId="0" applyFont="1" applyAlignment="1">
      <alignment horizontal="left" wrapText="1"/>
    </xf>
    <xf numFmtId="0" fontId="5" fillId="0" borderId="0" xfId="0" applyFont="1"/>
    <xf numFmtId="0" fontId="0" fillId="3" borderId="0" xfId="0" applyFill="1" applyAlignment="1">
      <alignment wrapText="1"/>
    </xf>
    <xf numFmtId="0" fontId="4" fillId="0" borderId="0" xfId="0" applyFont="1"/>
    <xf numFmtId="1" fontId="4" fillId="0" borderId="0" xfId="0" applyNumberFormat="1" applyFont="1" applyAlignment="1">
      <alignment horizontal="right"/>
    </xf>
    <xf numFmtId="1" fontId="4" fillId="0" borderId="0" xfId="0" applyNumberFormat="1" applyFont="1"/>
    <xf numFmtId="164" fontId="4" fillId="0" borderId="0" xfId="0" applyNumberFormat="1" applyFont="1"/>
    <xf numFmtId="164" fontId="4" fillId="0" borderId="0" xfId="0" applyNumberFormat="1" applyFont="1" applyAlignment="1">
      <alignment horizontal="right"/>
    </xf>
    <xf numFmtId="164" fontId="0" fillId="0" borderId="0" xfId="0" applyNumberFormat="1"/>
    <xf numFmtId="2" fontId="4" fillId="0" borderId="0" xfId="0" applyNumberFormat="1" applyFont="1"/>
    <xf numFmtId="165" fontId="4" fillId="0" borderId="0" xfId="0" applyNumberFormat="1" applyFont="1"/>
    <xf numFmtId="0" fontId="4" fillId="0" borderId="0" xfId="1" applyFont="1"/>
    <xf numFmtId="0" fontId="0" fillId="0" borderId="0" xfId="0" applyAlignment="1">
      <alignment horizontal="left"/>
    </xf>
    <xf numFmtId="0" fontId="1" fillId="0" borderId="0" xfId="2"/>
    <xf numFmtId="0" fontId="1" fillId="0" borderId="0" xfId="3"/>
    <xf numFmtId="0" fontId="1" fillId="0" borderId="0" xfId="4"/>
    <xf numFmtId="0" fontId="1" fillId="0" borderId="0" xfId="5"/>
    <xf numFmtId="0" fontId="1" fillId="0" borderId="0" xfId="6"/>
    <xf numFmtId="0" fontId="1" fillId="0" borderId="0" xfId="7"/>
    <xf numFmtId="0" fontId="1" fillId="0" borderId="0" xfId="8"/>
    <xf numFmtId="14" fontId="0" fillId="0" borderId="0" xfId="0" applyNumberFormat="1" applyAlignment="1">
      <alignment horizontal="right"/>
    </xf>
    <xf numFmtId="0" fontId="0" fillId="0" borderId="0" xfId="0" applyAlignment="1">
      <alignment horizontal="right"/>
    </xf>
    <xf numFmtId="164" fontId="4" fillId="0" borderId="0" xfId="1" applyNumberFormat="1" applyFont="1"/>
    <xf numFmtId="1" fontId="0" fillId="0" borderId="0" xfId="0" applyNumberFormat="1" applyAlignment="1">
      <alignment horizontal="right"/>
    </xf>
    <xf numFmtId="1" fontId="0" fillId="0" borderId="0" xfId="0" applyNumberFormat="1"/>
    <xf numFmtId="165" fontId="0" fillId="0" borderId="0" xfId="0" applyNumberFormat="1"/>
    <xf numFmtId="14" fontId="0" fillId="0" borderId="0" xfId="0" applyNumberFormat="1"/>
    <xf numFmtId="0" fontId="1" fillId="0" borderId="0" xfId="1"/>
    <xf numFmtId="0" fontId="2" fillId="0" borderId="0" xfId="0" applyFont="1"/>
    <xf numFmtId="166" fontId="0" fillId="0" borderId="0" xfId="0" applyNumberFormat="1"/>
    <xf numFmtId="2" fontId="0" fillId="0" borderId="0" xfId="0" applyNumberFormat="1"/>
    <xf numFmtId="14" fontId="1" fillId="0" borderId="0" xfId="4" applyNumberFormat="1"/>
    <xf numFmtId="0" fontId="0" fillId="0" borderId="0" xfId="1" applyFont="1"/>
    <xf numFmtId="0" fontId="1" fillId="0" borderId="0" xfId="9"/>
    <xf numFmtId="0" fontId="1" fillId="0" borderId="0" xfId="10"/>
    <xf numFmtId="1" fontId="1" fillId="0" borderId="0" xfId="10" applyNumberFormat="1"/>
    <xf numFmtId="14" fontId="4" fillId="0" borderId="0" xfId="0" applyNumberFormat="1" applyFont="1"/>
    <xf numFmtId="0" fontId="1" fillId="0" borderId="0" xfId="11"/>
    <xf numFmtId="0" fontId="1" fillId="0" borderId="0" xfId="12"/>
    <xf numFmtId="0" fontId="1" fillId="0" borderId="0" xfId="13"/>
    <xf numFmtId="0" fontId="1" fillId="0" borderId="0" xfId="14"/>
    <xf numFmtId="164" fontId="4" fillId="4" borderId="0" xfId="0" applyNumberFormat="1" applyFont="1" applyFill="1"/>
    <xf numFmtId="1" fontId="0" fillId="2" borderId="0" xfId="0" applyNumberFormat="1" applyFill="1"/>
    <xf numFmtId="0" fontId="1" fillId="4" borderId="0" xfId="2" applyFill="1"/>
    <xf numFmtId="0" fontId="1" fillId="4" borderId="0" xfId="3" applyFill="1"/>
    <xf numFmtId="14" fontId="0" fillId="4" borderId="0" xfId="0" applyNumberFormat="1" applyFill="1" applyAlignment="1">
      <alignment horizontal="right"/>
    </xf>
    <xf numFmtId="0" fontId="0" fillId="4" borderId="0" xfId="0" applyFill="1"/>
    <xf numFmtId="0" fontId="0" fillId="5" borderId="0" xfId="0" applyFill="1"/>
    <xf numFmtId="0" fontId="0" fillId="0" borderId="0" xfId="2" applyFont="1"/>
    <xf numFmtId="0" fontId="3" fillId="0" borderId="0" xfId="0" applyFont="1" applyAlignment="1">
      <alignment horizontal="left"/>
    </xf>
    <xf numFmtId="0" fontId="3" fillId="0" borderId="0" xfId="0" applyFont="1"/>
    <xf numFmtId="0" fontId="4" fillId="0" borderId="0" xfId="0" applyFont="1" applyAlignment="1">
      <alignment horizontal="left"/>
    </xf>
    <xf numFmtId="164" fontId="0" fillId="0" borderId="0" xfId="0" applyNumberFormat="1" applyAlignment="1">
      <alignment horizontal="right"/>
    </xf>
    <xf numFmtId="0" fontId="0" fillId="0" borderId="0" xfId="0" applyAlignment="1">
      <alignment vertical="center"/>
    </xf>
    <xf numFmtId="0" fontId="0" fillId="0" borderId="0" xfId="10" applyFont="1"/>
    <xf numFmtId="1" fontId="4" fillId="0" borderId="1" xfId="0" applyNumberFormat="1" applyFont="1" applyBorder="1"/>
    <xf numFmtId="0" fontId="4" fillId="0" borderId="0" xfId="2" applyFont="1"/>
    <xf numFmtId="0" fontId="4" fillId="0" borderId="0" xfId="3" applyFont="1"/>
    <xf numFmtId="0" fontId="4" fillId="0" borderId="0" xfId="4" applyFont="1"/>
    <xf numFmtId="0" fontId="4" fillId="0" borderId="0" xfId="5" applyFont="1"/>
    <xf numFmtId="0" fontId="4" fillId="0" borderId="0" xfId="6" applyFont="1"/>
    <xf numFmtId="0" fontId="4" fillId="0" borderId="0" xfId="7" applyFont="1"/>
    <xf numFmtId="0" fontId="4" fillId="0" borderId="0" xfId="8" applyFont="1"/>
    <xf numFmtId="0" fontId="0" fillId="0" borderId="1" xfId="0" applyBorder="1"/>
    <xf numFmtId="0" fontId="0" fillId="0" borderId="0" xfId="3" applyFont="1"/>
    <xf numFmtId="0" fontId="0" fillId="0" borderId="0" xfId="4" applyFont="1"/>
    <xf numFmtId="0" fontId="0" fillId="0" borderId="0" xfId="5" applyFont="1"/>
    <xf numFmtId="0" fontId="0" fillId="0" borderId="0" xfId="6" applyFont="1"/>
    <xf numFmtId="0" fontId="0" fillId="0" borderId="0" xfId="7" applyFont="1"/>
    <xf numFmtId="0" fontId="0" fillId="0" borderId="0" xfId="8" applyFont="1"/>
    <xf numFmtId="0" fontId="0" fillId="6" borderId="0" xfId="0" applyFill="1"/>
    <xf numFmtId="0" fontId="6" fillId="0" borderId="0" xfId="0" applyFont="1"/>
    <xf numFmtId="1" fontId="1" fillId="0" borderId="0" xfId="10" applyNumberFormat="1" applyAlignment="1">
      <alignment horizontal="right"/>
    </xf>
    <xf numFmtId="0" fontId="4" fillId="0" borderId="1" xfId="0" applyFont="1" applyBorder="1"/>
    <xf numFmtId="0" fontId="7" fillId="7" borderId="2" xfId="0" applyFont="1" applyFill="1" applyBorder="1" applyAlignment="1">
      <alignment wrapText="1"/>
    </xf>
    <xf numFmtId="0" fontId="7" fillId="7" borderId="3" xfId="0" applyFont="1" applyFill="1" applyBorder="1" applyAlignment="1">
      <alignment wrapText="1"/>
    </xf>
    <xf numFmtId="2" fontId="7" fillId="7" borderId="3" xfId="0" applyNumberFormat="1" applyFont="1" applyFill="1" applyBorder="1" applyAlignment="1">
      <alignment wrapText="1"/>
    </xf>
    <xf numFmtId="2" fontId="7" fillId="8" borderId="4" xfId="0" applyNumberFormat="1" applyFont="1" applyFill="1" applyBorder="1" applyAlignment="1">
      <alignment wrapText="1"/>
    </xf>
    <xf numFmtId="166" fontId="7" fillId="7" borderId="4" xfId="0" applyNumberFormat="1" applyFont="1" applyFill="1" applyBorder="1" applyAlignment="1">
      <alignment wrapText="1"/>
    </xf>
    <xf numFmtId="166" fontId="7" fillId="7" borderId="2" xfId="0" applyNumberFormat="1" applyFont="1" applyFill="1" applyBorder="1" applyAlignment="1">
      <alignment wrapText="1"/>
    </xf>
    <xf numFmtId="166" fontId="7" fillId="7" borderId="5" xfId="0" applyNumberFormat="1" applyFont="1" applyFill="1" applyBorder="1" applyAlignment="1">
      <alignment wrapText="1"/>
    </xf>
    <xf numFmtId="0" fontId="4" fillId="0" borderId="2" xfId="0" applyFont="1" applyBorder="1" applyAlignment="1">
      <alignment wrapText="1"/>
    </xf>
    <xf numFmtId="0" fontId="0" fillId="0" borderId="6" xfId="0" applyBorder="1" applyAlignment="1">
      <alignment horizontal="left"/>
    </xf>
    <xf numFmtId="0" fontId="0" fillId="0" borderId="7" xfId="0" applyBorder="1" applyAlignment="1">
      <alignment horizontal="left"/>
    </xf>
    <xf numFmtId="2" fontId="0" fillId="0" borderId="6" xfId="0" applyNumberFormat="1" applyBorder="1" applyAlignment="1">
      <alignment horizontal="left"/>
    </xf>
    <xf numFmtId="2" fontId="0" fillId="0" borderId="1" xfId="0" applyNumberFormat="1" applyBorder="1" applyAlignment="1">
      <alignment horizontal="left"/>
    </xf>
    <xf numFmtId="166" fontId="0" fillId="0" borderId="1" xfId="0" applyNumberFormat="1" applyBorder="1"/>
    <xf numFmtId="166" fontId="0" fillId="0" borderId="8" xfId="0" applyNumberFormat="1" applyBorder="1"/>
    <xf numFmtId="166" fontId="4" fillId="0" borderId="0" xfId="0" applyNumberFormat="1" applyFont="1"/>
    <xf numFmtId="0" fontId="0" fillId="0" borderId="9" xfId="0" applyBorder="1" applyAlignment="1">
      <alignment horizontal="left"/>
    </xf>
    <xf numFmtId="2" fontId="0" fillId="0" borderId="9" xfId="0" applyNumberFormat="1" applyBorder="1" applyAlignment="1">
      <alignment horizontal="left"/>
    </xf>
    <xf numFmtId="2" fontId="0" fillId="0" borderId="10" xfId="0" applyNumberFormat="1" applyBorder="1" applyAlignment="1">
      <alignment horizontal="left"/>
    </xf>
    <xf numFmtId="166" fontId="0" fillId="0" borderId="11" xfId="0" applyNumberFormat="1" applyBorder="1"/>
    <xf numFmtId="166" fontId="0" fillId="0" borderId="12" xfId="0" applyNumberFormat="1" applyBorder="1"/>
    <xf numFmtId="166" fontId="0" fillId="0" borderId="0" xfId="0" applyNumberFormat="1" applyAlignment="1">
      <alignment horizontal="left"/>
    </xf>
    <xf numFmtId="166" fontId="8" fillId="0" borderId="0" xfId="0" applyNumberFormat="1" applyFont="1"/>
    <xf numFmtId="0" fontId="4" fillId="0" borderId="6" xfId="0" applyFont="1" applyBorder="1"/>
    <xf numFmtId="0" fontId="9" fillId="0" borderId="0" xfId="0" applyFont="1"/>
    <xf numFmtId="10" fontId="0" fillId="0" borderId="1" xfId="0" applyNumberFormat="1" applyBorder="1"/>
    <xf numFmtId="10" fontId="0" fillId="0" borderId="0" xfId="0" applyNumberFormat="1"/>
    <xf numFmtId="10" fontId="0" fillId="0" borderId="8" xfId="0" applyNumberFormat="1" applyBorder="1"/>
    <xf numFmtId="0" fontId="8" fillId="0" borderId="0" xfId="0" applyFont="1"/>
    <xf numFmtId="166" fontId="7" fillId="0" borderId="0" xfId="0" applyNumberFormat="1" applyFont="1"/>
    <xf numFmtId="0" fontId="1" fillId="0" borderId="9" xfId="10" applyBorder="1" applyAlignment="1">
      <alignment horizontal="left"/>
    </xf>
    <xf numFmtId="0" fontId="4" fillId="0" borderId="9" xfId="0" applyFont="1" applyBorder="1" applyAlignment="1">
      <alignment horizontal="left"/>
    </xf>
    <xf numFmtId="166" fontId="9" fillId="0" borderId="0" xfId="0" applyNumberFormat="1" applyFont="1"/>
    <xf numFmtId="0" fontId="0" fillId="0" borderId="6" xfId="0" applyBorder="1"/>
    <xf numFmtId="0" fontId="0" fillId="0" borderId="8" xfId="0" applyBorder="1" applyAlignment="1">
      <alignment horizontal="left"/>
    </xf>
    <xf numFmtId="0" fontId="0" fillId="0" borderId="1" xfId="0" applyBorder="1" applyAlignment="1">
      <alignment horizontal="left"/>
    </xf>
    <xf numFmtId="2" fontId="0" fillId="0" borderId="7" xfId="0" applyNumberFormat="1" applyBorder="1" applyAlignment="1">
      <alignment horizontal="left"/>
    </xf>
    <xf numFmtId="0" fontId="0" fillId="0" borderId="3" xfId="0" applyBorder="1" applyAlignment="1">
      <alignment horizontal="left"/>
    </xf>
    <xf numFmtId="2" fontId="0" fillId="0" borderId="3" xfId="0" applyNumberFormat="1" applyBorder="1" applyAlignment="1">
      <alignment horizontal="left"/>
    </xf>
    <xf numFmtId="2" fontId="0" fillId="0" borderId="13" xfId="0" applyNumberFormat="1" applyBorder="1" applyAlignment="1">
      <alignment horizontal="left"/>
    </xf>
    <xf numFmtId="166" fontId="0" fillId="0" borderId="14" xfId="0" applyNumberFormat="1" applyBorder="1"/>
    <xf numFmtId="166" fontId="0" fillId="0" borderId="15" xfId="0" applyNumberFormat="1" applyBorder="1"/>
    <xf numFmtId="9" fontId="0" fillId="0" borderId="0" xfId="0" applyNumberFormat="1"/>
    <xf numFmtId="0" fontId="10" fillId="0" borderId="0" xfId="0" applyFont="1"/>
    <xf numFmtId="1" fontId="10" fillId="0" borderId="0" xfId="0" applyNumberFormat="1" applyFont="1" applyAlignment="1">
      <alignment horizontal="right"/>
    </xf>
    <xf numFmtId="1" fontId="10" fillId="0" borderId="0" xfId="0" applyNumberFormat="1" applyFont="1"/>
    <xf numFmtId="164" fontId="7" fillId="0" borderId="0" xfId="0" applyNumberFormat="1" applyFont="1"/>
    <xf numFmtId="1" fontId="7" fillId="0" borderId="0" xfId="0" applyNumberFormat="1" applyFont="1" applyAlignment="1">
      <alignment horizontal="right"/>
    </xf>
    <xf numFmtId="1" fontId="4" fillId="2" borderId="0" xfId="0" applyNumberFormat="1" applyFont="1" applyFill="1"/>
    <xf numFmtId="1" fontId="11" fillId="0" borderId="0" xfId="0" applyNumberFormat="1" applyFont="1"/>
    <xf numFmtId="0" fontId="12" fillId="0" borderId="0" xfId="2" applyFont="1"/>
    <xf numFmtId="0" fontId="12" fillId="0" borderId="0" xfId="3" applyFont="1"/>
    <xf numFmtId="0" fontId="12" fillId="0" borderId="0" xfId="4" applyFont="1"/>
    <xf numFmtId="0" fontId="12" fillId="0" borderId="0" xfId="5" applyFont="1"/>
    <xf numFmtId="0" fontId="12" fillId="0" borderId="0" xfId="6" applyFont="1"/>
    <xf numFmtId="0" fontId="12" fillId="0" borderId="0" xfId="7" applyFont="1"/>
    <xf numFmtId="0" fontId="12" fillId="0" borderId="0" xfId="8" applyFont="1"/>
    <xf numFmtId="1" fontId="3" fillId="0" borderId="0" xfId="0" applyNumberFormat="1" applyFont="1" applyAlignment="1">
      <alignment horizontal="right"/>
    </xf>
    <xf numFmtId="1" fontId="3" fillId="0" borderId="0" xfId="0" applyNumberFormat="1" applyFont="1"/>
    <xf numFmtId="166" fontId="0" fillId="0" borderId="0" xfId="0" applyNumberFormat="1" applyAlignment="1">
      <alignment horizontal="right"/>
    </xf>
    <xf numFmtId="1" fontId="0" fillId="0" borderId="0" xfId="0" applyNumberFormat="1" applyFill="1" applyAlignment="1">
      <alignment horizontal="left"/>
    </xf>
    <xf numFmtId="0" fontId="1" fillId="0" borderId="0" xfId="1" applyFill="1"/>
    <xf numFmtId="164" fontId="4" fillId="0" borderId="0" xfId="1" applyNumberFormat="1" applyFont="1" applyFill="1"/>
    <xf numFmtId="3" fontId="0" fillId="0" borderId="0" xfId="0" applyNumberFormat="1" applyAlignment="1">
      <alignment horizontal="left"/>
    </xf>
    <xf numFmtId="0" fontId="1" fillId="0" borderId="0" xfId="2" applyFill="1"/>
    <xf numFmtId="0" fontId="1" fillId="0" borderId="0" xfId="3" applyFill="1"/>
    <xf numFmtId="1" fontId="0" fillId="0" borderId="9" xfId="0" applyNumberFormat="1" applyFill="1" applyBorder="1" applyAlignment="1">
      <alignment horizontal="left"/>
    </xf>
    <xf numFmtId="0" fontId="0" fillId="0" borderId="9" xfId="0" applyFill="1" applyBorder="1" applyAlignment="1">
      <alignment horizontal="left"/>
    </xf>
    <xf numFmtId="2" fontId="0" fillId="0" borderId="9" xfId="0" applyNumberFormat="1" applyFill="1" applyBorder="1" applyAlignment="1">
      <alignment horizontal="left"/>
    </xf>
    <xf numFmtId="2" fontId="0" fillId="0" borderId="10" xfId="0" applyNumberFormat="1" applyFill="1" applyBorder="1" applyAlignment="1">
      <alignment horizontal="left"/>
    </xf>
    <xf numFmtId="1" fontId="0" fillId="0" borderId="7" xfId="0" applyNumberFormat="1" applyFill="1" applyBorder="1" applyAlignment="1">
      <alignment horizontal="left"/>
    </xf>
    <xf numFmtId="0" fontId="0" fillId="0" borderId="7" xfId="0" applyFill="1" applyBorder="1" applyAlignment="1">
      <alignment horizontal="left"/>
    </xf>
    <xf numFmtId="2" fontId="0" fillId="0" borderId="13" xfId="0" applyNumberFormat="1" applyFill="1" applyBorder="1" applyAlignment="1">
      <alignment horizontal="left"/>
    </xf>
  </cellXfs>
  <cellStyles count="15">
    <cellStyle name="Normal" xfId="0" builtinId="0"/>
    <cellStyle name="Normal 14" xfId="2" xr:uid="{B249D6A1-6AB5-4045-B0DD-45B3207AC0CD}"/>
    <cellStyle name="Normal 16" xfId="3" xr:uid="{665333B1-6253-4B68-9601-D108DBCB6C97}"/>
    <cellStyle name="Normal 17" xfId="4" xr:uid="{BC2EB19E-1898-4BB5-8118-B341E06DAE63}"/>
    <cellStyle name="Normal 19" xfId="5" xr:uid="{2CE0D3C4-A0C5-410B-A1A5-AF1A67EA96AB}"/>
    <cellStyle name="Normal 20" xfId="6" xr:uid="{2FF61F92-051B-43C3-A386-2F2B3FCB3B0D}"/>
    <cellStyle name="Normal 21" xfId="7" xr:uid="{199D8AFE-C848-44F8-8494-5907F6B747DE}"/>
    <cellStyle name="Normal 22" xfId="1" xr:uid="{CF066F58-3B92-41C9-8036-AA156465C5D9}"/>
    <cellStyle name="Normal 23" xfId="8" xr:uid="{B4ACA5A1-F2A6-446B-A2BE-0D3A776D8D54}"/>
    <cellStyle name="Normal 27" xfId="10" xr:uid="{A84D1C17-46CF-4648-98CA-9E464E3FDFCC}"/>
    <cellStyle name="Normal 28" xfId="9" xr:uid="{6CF49D82-86A5-4BE4-A10F-36F85FFDF24F}"/>
    <cellStyle name="Normal 30" xfId="11" xr:uid="{E0180DD1-F7EE-485E-B5D3-1E6470331865}"/>
    <cellStyle name="Normal 31" xfId="12" xr:uid="{8FF81C15-3DE1-4CC6-9956-1901B4B45C73}"/>
    <cellStyle name="Normal 32" xfId="13" xr:uid="{34E25747-9B72-4780-BA78-058D5397B62B}"/>
    <cellStyle name="Normal 33" xfId="14" xr:uid="{EDF8DEF9-4867-4FA5-A9D6-1FE8B82E18DD}"/>
  </cellStyles>
  <dxfs count="23">
    <dxf>
      <numFmt numFmtId="166" formatCode="0.0%"/>
      <fill>
        <patternFill patternType="none">
          <fgColor indexed="64"/>
          <bgColor auto="1"/>
        </patternFill>
      </fill>
      <border diagonalUp="0" diagonalDown="0" outline="0">
        <left/>
        <right style="thin">
          <color indexed="64"/>
        </right>
        <top style="thin">
          <color auto="1"/>
        </top>
        <bottom style="thin">
          <color auto="1"/>
        </bottom>
      </border>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border diagonalUp="0" diagonalDown="0" outline="0">
        <left/>
        <right/>
        <top style="thin">
          <color auto="1"/>
        </top>
        <bottom style="thin">
          <color auto="1"/>
        </bottom>
      </border>
    </dxf>
    <dxf>
      <numFmt numFmtId="2" formatCode="0.00"/>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top style="thin">
          <color auto="1"/>
        </top>
        <bottom style="thin">
          <color auto="1"/>
        </bottom>
      </border>
    </dxf>
    <dxf>
      <numFmt numFmtId="2" formatCode="0.00"/>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numFmt numFmtId="166" formatCode="0.0%"/>
      <fill>
        <patternFill patternType="none">
          <fgColor indexed="64"/>
          <bgColor auto="1"/>
        </patternFill>
      </fill>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cott\Desktop\1986_2018_CSLAP_Indic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LAPLakes"/>
      <sheetName val="RawData"/>
      <sheetName val="Zsd"/>
      <sheetName val="TP"/>
      <sheetName val="HypoTP"/>
      <sheetName val="HypoSurfTP"/>
      <sheetName val="NOx"/>
      <sheetName val="NH4"/>
      <sheetName val="HypoNH4"/>
      <sheetName val="HypoSurfNH4"/>
      <sheetName val="TN"/>
      <sheetName val="OrgN"/>
      <sheetName val="TNTP"/>
      <sheetName val="OrgTNTP"/>
      <sheetName val="TColor"/>
      <sheetName val="pH"/>
      <sheetName val="Cond25"/>
      <sheetName val="Ca"/>
      <sheetName val="Cl"/>
      <sheetName val="HypoFe"/>
      <sheetName val="HypoMn"/>
      <sheetName val="HypoAs"/>
      <sheetName val="Chla"/>
      <sheetName val="TAir"/>
      <sheetName val="SUVA"/>
      <sheetName val="TH2O"/>
      <sheetName val="QA"/>
      <sheetName val="QB"/>
      <sheetName val="QC"/>
      <sheetName val="OpenFP_BGChl"/>
      <sheetName val="ShoreFP_BGChl"/>
      <sheetName val="OpenFP_TChl"/>
      <sheetName val="OpenMC"/>
      <sheetName val="ShoreMC"/>
      <sheetName val="2019_Avg"/>
      <sheetName val="2014-19_Avg"/>
      <sheetName val="2014-2018_Avg"/>
      <sheetName val="PWL_303d_PWS"/>
      <sheetName val="PWL_303d_PrimRec"/>
      <sheetName val="PWL_303d_2ndRec"/>
      <sheetName val="PWL_303d_AqLife"/>
      <sheetName val="PWL_303d_FishCon"/>
      <sheetName val="PWL_303d_Aesth"/>
      <sheetName val="PWL_303d_Habitat"/>
      <sheetName val="2014-19_Trend"/>
      <sheetName val="ReportTablesZsd"/>
      <sheetName val="ReportTablesTP"/>
      <sheetName val="ReportTablesChla"/>
      <sheetName val="ReportTablespH"/>
      <sheetName val="ReportTablesCond"/>
      <sheetName val="ReportTablesCa"/>
      <sheetName val="ReportTablesQA"/>
      <sheetName val="ReportTablesQB"/>
      <sheetName val="ReportTablesQC"/>
      <sheetName val="ReportTablesBGChl"/>
      <sheetName val="ReportTablesTN"/>
      <sheetName val="ReportTablesNOx"/>
      <sheetName val="ReportTablesNH4"/>
      <sheetName val="ReportTablesCl"/>
      <sheetName val="ReportTablesTNTP"/>
      <sheetName val="ReportTablesColor"/>
      <sheetName val="ReportTablesH2O"/>
      <sheetName val="ReportTablesDeepTP"/>
      <sheetName val="ReportTablesDeepNH4"/>
    </sheetNames>
    <sheetDataSet>
      <sheetData sheetId="0" refreshError="1">
        <row r="50">
          <cell r="A50">
            <v>22.1</v>
          </cell>
          <cell r="B50" t="str">
            <v>Conesus Lake - S1</v>
          </cell>
        </row>
        <row r="51">
          <cell r="A51">
            <v>22.2</v>
          </cell>
          <cell r="B51" t="str">
            <v>Conesus Lake - S2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95B7D-85EE-40E4-B75E-61414B5CD377}" name="Table5" displayName="Table5" ref="A1:T314" totalsRowShown="0" headerRowDxfId="22" dataDxfId="20" headerRowBorderDxfId="21">
  <autoFilter ref="A1:T314" xr:uid="{A7F3328B-1326-4A21-9BA5-397162324A11}"/>
  <sortState xmlns:xlrd2="http://schemas.microsoft.com/office/spreadsheetml/2017/richdata2" ref="A2:T310">
    <sortCondition ref="B1:B310"/>
  </sortState>
  <tableColumns count="20">
    <tableColumn id="20" xr3:uid="{8B2A83FF-9697-4215-B859-15BC55526692}" name="Lake_ID" dataDxfId="19"/>
    <tableColumn id="1" xr3:uid="{1CF51BD2-1261-4538-815D-694CBDB369DB}" name="Lake Name" dataDxfId="18"/>
    <tableColumn id="2" xr3:uid="{6069E09E-A99C-44E3-BA46-B324BAE110AF}" name="Total Count" dataDxfId="17"/>
    <tableColumn id="3" xr3:uid="{F7D85E38-ED2F-4B30-9522-F12F97D59218}" name="Watershed Area (Sqmi)" dataDxfId="16">
      <calculatedColumnFormula>C2/2877.76</calculatedColumnFormula>
    </tableColumn>
    <tableColumn id="4" xr3:uid="{6C6ED891-5461-4D06-822A-2430BFC191BF}" name="Watershed Area (Ha)" dataDxfId="15">
      <calculatedColumnFormula>D2/0.003861</calculatedColumnFormula>
    </tableColumn>
    <tableColumn id="5" xr3:uid="{5483433E-57A5-4899-99E5-58B39EE63903}" name="Open Water" dataDxfId="14"/>
    <tableColumn id="6" xr3:uid="{54BB8D1C-8292-487B-A92B-44ED590A0D98}" name="Developed Open Space" dataDxfId="13"/>
    <tableColumn id="7" xr3:uid="{9662FD1B-6506-48F9-AA69-9BF8DE149400}" name="Developed Low Intensity" dataDxfId="12"/>
    <tableColumn id="8" xr3:uid="{DE4D4993-6CB0-48A6-8B3A-9CB889F361E6}" name="Developed Medium Intensity" dataDxfId="11"/>
    <tableColumn id="9" xr3:uid="{8C356074-2BAE-44D0-9869-3713289D2DFC}" name="Developed High Intensity" dataDxfId="10"/>
    <tableColumn id="10" xr3:uid="{1AB5A251-36C2-4352-AF61-DF4A2C0ED7F7}" name="Barren Land" dataDxfId="9"/>
    <tableColumn id="11" xr3:uid="{D0752F85-F3EE-4B94-BC50-AA0A8555C9CA}" name="Deciduous Forest" dataDxfId="8"/>
    <tableColumn id="12" xr3:uid="{F0B3C719-3DDF-45E8-86CA-30452B146C61}" name="Evergreen Forest" dataDxfId="7"/>
    <tableColumn id="13" xr3:uid="{594FFFE0-579B-4352-AD26-2B617ECAE6D1}" name="Mixed Forest" dataDxfId="6"/>
    <tableColumn id="14" xr3:uid="{687A8E2C-FF7B-4BC2-971B-9E6A70E93249}" name="Scrub/Shrub" dataDxfId="5"/>
    <tableColumn id="15" xr3:uid="{A6242F55-39F9-40B1-A39C-CFADF501CFE1}" name="Grassland/Herbaceous" dataDxfId="4"/>
    <tableColumn id="16" xr3:uid="{8C126DAF-8A6B-4BBC-A75F-2D726A413581}" name="Pasture/Hay" dataDxfId="3"/>
    <tableColumn id="17" xr3:uid="{8698508D-98BF-46F7-9FB4-8A2B5734A767}" name="Cultivated Crops" dataDxfId="2"/>
    <tableColumn id="18" xr3:uid="{E8B8B523-7E16-4D25-BC00-D2D45B3A160A}" name="Woody Wetlands" dataDxfId="1"/>
    <tableColumn id="19" xr3:uid="{9A6BFCCF-0706-4546-A86D-73EC69BB3B98}" name="Emergent Herbaceous Wetla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1E893-6FDF-4890-87E8-3BFBCEA57E79}">
  <dimension ref="A1:BY344"/>
  <sheetViews>
    <sheetView topLeftCell="A295" workbookViewId="0">
      <selection activeCell="A311" sqref="A311:A314"/>
    </sheetView>
  </sheetViews>
  <sheetFormatPr defaultColWidth="9.109375" defaultRowHeight="14.4" x14ac:dyDescent="0.3"/>
  <cols>
    <col min="1" max="1" width="14.33203125" customWidth="1"/>
    <col min="3" max="3" width="7" customWidth="1"/>
    <col min="4" max="4" width="14.33203125" customWidth="1"/>
    <col min="5" max="5" width="9.5546875" customWidth="1"/>
    <col min="6" max="6" width="11.5546875" customWidth="1"/>
    <col min="7" max="7" width="12.44140625" style="36" customWidth="1"/>
    <col min="8" max="8" width="10.5546875" style="36" customWidth="1"/>
    <col min="9" max="9" width="11.88671875" style="37" customWidth="1"/>
    <col min="10" max="10" width="11.6640625" style="37" customWidth="1"/>
    <col min="11" max="13" width="9.33203125" style="21" customWidth="1"/>
    <col min="14" max="14" width="9.33203125" style="34" customWidth="1"/>
    <col min="15" max="16" width="8.5546875" style="21" customWidth="1"/>
    <col min="17" max="17" width="12.88671875" style="43" customWidth="1"/>
    <col min="18" max="18" width="13.88671875" style="55" customWidth="1"/>
    <col min="19" max="19" width="10.5546875" customWidth="1"/>
    <col min="20" max="20" width="11.33203125" customWidth="1"/>
    <col min="21" max="21" width="9.109375" customWidth="1"/>
    <col min="22" max="22" width="11.5546875" customWidth="1"/>
    <col min="23" max="23" width="9.109375" customWidth="1"/>
    <col min="24" max="24" width="14.109375" customWidth="1"/>
    <col min="25" max="25" width="17.88671875" customWidth="1"/>
    <col min="26" max="26" width="19.44140625" customWidth="1"/>
    <col min="27" max="27" width="23.44140625" customWidth="1"/>
    <col min="28" max="28" width="20" customWidth="1"/>
    <col min="29" max="29" width="9.88671875" customWidth="1"/>
    <col min="30" max="30" width="21.5546875" customWidth="1"/>
    <col min="31" max="31" width="32.33203125" style="25" customWidth="1"/>
    <col min="32" max="32" width="13.44140625" style="25" customWidth="1"/>
    <col min="33" max="33" width="12" customWidth="1"/>
    <col min="34" max="34" width="15.109375" customWidth="1"/>
    <col min="35" max="35" width="21.5546875" customWidth="1"/>
    <col min="36" max="36" width="17.44140625" customWidth="1"/>
    <col min="37" max="37" width="14.44140625" customWidth="1"/>
    <col min="38" max="38" width="21.6640625" customWidth="1"/>
    <col min="39" max="39" width="24" customWidth="1"/>
    <col min="40" max="41" width="10.88671875" style="33" customWidth="1"/>
    <col min="42" max="42" width="10.88671875" style="34" customWidth="1"/>
    <col min="43" max="45" width="8.88671875" customWidth="1"/>
    <col min="46" max="46" width="10" style="62" customWidth="1"/>
    <col min="47" max="47" width="9.6640625" style="62" customWidth="1"/>
    <col min="48" max="49" width="9.109375" style="62" customWidth="1"/>
    <col min="50" max="50" width="9" style="62" customWidth="1"/>
    <col min="51" max="51" width="9.109375" customWidth="1"/>
    <col min="52" max="52" width="54" customWidth="1"/>
    <col min="53" max="53" width="17.109375" customWidth="1"/>
    <col min="54" max="54" width="40" customWidth="1"/>
    <col min="55" max="55" width="18.5546875" customWidth="1"/>
    <col min="56" max="56" width="26.109375" customWidth="1"/>
    <col min="57" max="57" width="13.88671875" customWidth="1"/>
    <col min="58" max="58" width="20.109375" customWidth="1"/>
    <col min="59" max="59" width="15.5546875" customWidth="1"/>
    <col min="75" max="75" width="7.33203125" customWidth="1"/>
    <col min="76" max="76" width="6.6640625" customWidth="1"/>
  </cols>
  <sheetData>
    <row r="1" spans="1:77" ht="68.25" customHeight="1" x14ac:dyDescent="0.3">
      <c r="A1" t="s">
        <v>1742</v>
      </c>
      <c r="B1" t="s">
        <v>1743</v>
      </c>
      <c r="C1" s="1" t="s">
        <v>0</v>
      </c>
      <c r="D1" s="1" t="s">
        <v>1</v>
      </c>
      <c r="E1" s="1" t="s">
        <v>2</v>
      </c>
      <c r="F1" s="1" t="s">
        <v>3</v>
      </c>
      <c r="G1" s="2" t="s">
        <v>4</v>
      </c>
      <c r="H1" s="2" t="s">
        <v>5</v>
      </c>
      <c r="I1" s="3" t="s">
        <v>6</v>
      </c>
      <c r="J1" s="3" t="s">
        <v>7</v>
      </c>
      <c r="K1" s="4" t="s">
        <v>8</v>
      </c>
      <c r="L1" s="4" t="s">
        <v>9</v>
      </c>
      <c r="M1" s="4" t="s">
        <v>10</v>
      </c>
      <c r="N1" s="5" t="s">
        <v>11</v>
      </c>
      <c r="O1" s="4" t="s">
        <v>12</v>
      </c>
      <c r="P1" s="4" t="s">
        <v>13</v>
      </c>
      <c r="Q1" s="6" t="s">
        <v>14</v>
      </c>
      <c r="R1" s="7" t="s">
        <v>15</v>
      </c>
      <c r="S1" s="8" t="s">
        <v>16</v>
      </c>
      <c r="T1" s="8" t="s">
        <v>17</v>
      </c>
      <c r="U1" s="1" t="s">
        <v>18</v>
      </c>
      <c r="V1" s="1" t="s">
        <v>19</v>
      </c>
      <c r="W1" s="1" t="s">
        <v>20</v>
      </c>
      <c r="X1" s="1" t="s">
        <v>21</v>
      </c>
      <c r="Y1" s="1" t="s">
        <v>22</v>
      </c>
      <c r="Z1" s="1" t="s">
        <v>23</v>
      </c>
      <c r="AA1" s="1" t="s">
        <v>24</v>
      </c>
      <c r="AB1" s="1" t="s">
        <v>25</v>
      </c>
      <c r="AC1" s="1" t="s">
        <v>26</v>
      </c>
      <c r="AD1" s="1" t="s">
        <v>27</v>
      </c>
      <c r="AE1" s="9" t="s">
        <v>28</v>
      </c>
      <c r="AF1" s="9" t="s">
        <v>29</v>
      </c>
      <c r="AG1" s="10" t="s">
        <v>30</v>
      </c>
      <c r="AH1" s="11" t="s">
        <v>31</v>
      </c>
      <c r="AI1" s="11" t="s">
        <v>32</v>
      </c>
      <c r="AJ1" s="11" t="s">
        <v>33</v>
      </c>
      <c r="AK1" s="11" t="s">
        <v>34</v>
      </c>
      <c r="AL1" s="11" t="s">
        <v>35</v>
      </c>
      <c r="AM1" s="11" t="s">
        <v>36</v>
      </c>
      <c r="AN1" s="12" t="s">
        <v>37</v>
      </c>
      <c r="AO1" t="s">
        <v>38</v>
      </c>
      <c r="AP1" s="1" t="s">
        <v>38</v>
      </c>
      <c r="AQ1" s="1" t="s">
        <v>39</v>
      </c>
      <c r="AR1" s="13" t="s">
        <v>40</v>
      </c>
      <c r="AS1" s="13" t="s">
        <v>41</v>
      </c>
      <c r="AT1" s="13" t="s">
        <v>42</v>
      </c>
      <c r="AU1" s="13" t="s">
        <v>43</v>
      </c>
      <c r="AV1" s="13" t="s">
        <v>44</v>
      </c>
      <c r="AW1" s="13" t="s">
        <v>45</v>
      </c>
      <c r="AX1" s="13" t="s">
        <v>46</v>
      </c>
      <c r="AY1" s="13" t="s">
        <v>47</v>
      </c>
      <c r="AZ1" s="1" t="s">
        <v>48</v>
      </c>
      <c r="BA1" s="1" t="s">
        <v>49</v>
      </c>
      <c r="BB1" s="1" t="s">
        <v>2078</v>
      </c>
      <c r="BC1" s="1" t="s">
        <v>50</v>
      </c>
      <c r="BD1" s="1" t="s">
        <v>51</v>
      </c>
      <c r="BE1" s="1" t="s">
        <v>52</v>
      </c>
      <c r="BF1" t="s">
        <v>53</v>
      </c>
      <c r="BG1" t="s">
        <v>54</v>
      </c>
      <c r="BH1" s="14" t="s">
        <v>55</v>
      </c>
      <c r="BI1" s="1" t="s">
        <v>56</v>
      </c>
      <c r="BJ1" s="1" t="s">
        <v>57</v>
      </c>
      <c r="BK1" s="1" t="s">
        <v>58</v>
      </c>
      <c r="BL1" s="1" t="s">
        <v>59</v>
      </c>
      <c r="BM1" s="1" t="s">
        <v>60</v>
      </c>
      <c r="BN1" s="1" t="s">
        <v>61</v>
      </c>
      <c r="BO1" s="1" t="s">
        <v>62</v>
      </c>
      <c r="BP1" s="1" t="s">
        <v>63</v>
      </c>
      <c r="BQ1" s="1" t="s">
        <v>64</v>
      </c>
      <c r="BR1" s="1" t="s">
        <v>65</v>
      </c>
      <c r="BS1" s="1" t="s">
        <v>66</v>
      </c>
      <c r="BT1" s="1" t="s">
        <v>67</v>
      </c>
      <c r="BU1" s="15" t="s">
        <v>68</v>
      </c>
      <c r="BV1" s="15" t="s">
        <v>69</v>
      </c>
      <c r="BW1" s="1" t="s">
        <v>70</v>
      </c>
      <c r="BX1" s="1" t="s">
        <v>71</v>
      </c>
      <c r="BY1" s="1" t="s">
        <v>72</v>
      </c>
    </row>
    <row r="2" spans="1:77" x14ac:dyDescent="0.3">
      <c r="A2" t="s">
        <v>1479</v>
      </c>
      <c r="B2" t="s">
        <v>1744</v>
      </c>
      <c r="C2" s="16">
        <v>7</v>
      </c>
      <c r="D2" s="16" t="s">
        <v>73</v>
      </c>
      <c r="E2" s="16" t="s">
        <v>74</v>
      </c>
      <c r="F2" s="16" t="s">
        <v>75</v>
      </c>
      <c r="G2" s="17">
        <f>H2*2.4711</f>
        <v>217.70390999999998</v>
      </c>
      <c r="H2" s="17">
        <v>88.1</v>
      </c>
      <c r="I2" s="18">
        <f t="shared" ref="I2:I8" si="0">IF(J2="","",J2*2.4711)</f>
        <v>667.197</v>
      </c>
      <c r="J2" s="18">
        <v>270</v>
      </c>
      <c r="K2" s="19">
        <f t="shared" ref="K2:K65" si="1">J2/H2</f>
        <v>3.0646992054483544</v>
      </c>
      <c r="L2" s="19">
        <v>16</v>
      </c>
      <c r="M2" s="19">
        <v>4.8</v>
      </c>
      <c r="N2" s="20">
        <f t="shared" ref="N2:N8" si="2">IF(O2="", "",O2*3.2808)</f>
        <v>7.87392</v>
      </c>
      <c r="O2" s="19">
        <v>2.4</v>
      </c>
      <c r="P2" s="21" t="str">
        <f t="shared" ref="P2:P65" si="3">IF(O2=(M2*0.46),"yes","no")</f>
        <v>no</v>
      </c>
      <c r="Q2" s="22">
        <v>0.69078347107438021</v>
      </c>
      <c r="R2" s="18" t="s">
        <v>76</v>
      </c>
      <c r="S2" s="23">
        <v>43.788629999999998</v>
      </c>
      <c r="T2" s="23">
        <v>-74.259680000000003</v>
      </c>
      <c r="U2" s="18" t="s">
        <v>77</v>
      </c>
      <c r="V2" s="18" t="s">
        <v>78</v>
      </c>
      <c r="W2" t="str">
        <f>IF(OR(U2="A",U2="AA",U2="AAspec",U2="A(T)",U2="AA(T)"),"yes","no")</f>
        <v>no</v>
      </c>
      <c r="Y2" t="str">
        <f t="shared" ref="Y2:Y65" si="4">IF(W2="yes",IF(X2="","potable water and recreation","potable water, recreation, and public bathing"),IF(X2="","recreation","recreation and public bathing"))</f>
        <v>recreation</v>
      </c>
      <c r="Z2" t="s">
        <v>79</v>
      </c>
      <c r="AA2" s="24" t="s">
        <v>79</v>
      </c>
      <c r="AB2" s="24" t="s">
        <v>80</v>
      </c>
      <c r="AC2" s="24">
        <f>IF(AND(AA2="none reported",AB2="none reported"),"",0)</f>
        <v>0</v>
      </c>
      <c r="AD2" s="24"/>
      <c r="AF2" t="str">
        <f t="shared" ref="AF2:AF65" si="5">IF(AE2="","",IF(IFERROR(SEARCH(",",AE2,1)&gt;1,0),"yes","no"))</f>
        <v/>
      </c>
      <c r="AG2" s="26" t="s">
        <v>81</v>
      </c>
      <c r="AH2" s="27" t="s">
        <v>82</v>
      </c>
      <c r="AI2" s="28" t="s">
        <v>83</v>
      </c>
      <c r="AJ2" s="29" t="s">
        <v>82</v>
      </c>
      <c r="AK2" s="30" t="s">
        <v>84</v>
      </c>
      <c r="AL2" s="31" t="s">
        <v>85</v>
      </c>
      <c r="AM2" s="32" t="s">
        <v>82</v>
      </c>
      <c r="AN2" s="33" t="s">
        <v>81</v>
      </c>
      <c r="AO2" s="32" t="s">
        <v>81</v>
      </c>
      <c r="AQ2">
        <v>0</v>
      </c>
      <c r="AR2">
        <v>0</v>
      </c>
      <c r="AS2">
        <v>0</v>
      </c>
      <c r="AT2">
        <v>0</v>
      </c>
      <c r="AU2">
        <v>0</v>
      </c>
      <c r="AV2">
        <v>0</v>
      </c>
      <c r="AW2">
        <v>0</v>
      </c>
      <c r="AX2">
        <v>0</v>
      </c>
      <c r="AY2" t="s">
        <v>86</v>
      </c>
      <c r="BC2" t="s">
        <v>87</v>
      </c>
      <c r="BD2" t="s">
        <v>88</v>
      </c>
      <c r="BE2" t="s">
        <v>89</v>
      </c>
      <c r="BF2" t="s">
        <v>89</v>
      </c>
      <c r="BG2" t="str">
        <f>IF(C2="","LCI","CSLAP")</f>
        <v>CSLAP</v>
      </c>
      <c r="BH2" s="14" t="str">
        <f>IF(RIGHT(CM2,4)="2011","yes","no")</f>
        <v>no</v>
      </c>
      <c r="BJ2">
        <f>IF(MAX(AT2:AX2)=0,0,IF(MAX(AT2:AX2)=1,1,LEN(AE2)-LEN(SUBSTITUTE(UPPER(AE2),",",""))+1))</f>
        <v>0</v>
      </c>
      <c r="BK2">
        <f>IF(BJ2&gt;1,2,IF(BJ2&gt;0,1,0))</f>
        <v>0</v>
      </c>
      <c r="BL2">
        <f>IF(BJ2&gt;2,3,IF(BJ2&gt;2,2,IF(BJ2&gt;1,1,0)))</f>
        <v>0</v>
      </c>
      <c r="BM2" t="str">
        <f>IF(C2="","LCI","CSLAP")</f>
        <v>CSLAP</v>
      </c>
      <c r="BN2" t="str">
        <f>IF(LEFT(AB2,13)="zebra mussels","yes","no")</f>
        <v>no</v>
      </c>
      <c r="BO2">
        <v>1.1336564117452508</v>
      </c>
      <c r="BV2" t="s">
        <v>90</v>
      </c>
      <c r="BY2" t="s">
        <v>91</v>
      </c>
    </row>
    <row r="3" spans="1:77" x14ac:dyDescent="0.3">
      <c r="A3" t="s">
        <v>1480</v>
      </c>
      <c r="B3" t="s">
        <v>1745</v>
      </c>
      <c r="C3" s="16">
        <v>53</v>
      </c>
      <c r="D3" s="16" t="s">
        <v>92</v>
      </c>
      <c r="E3" s="16" t="s">
        <v>93</v>
      </c>
      <c r="F3" s="16" t="s">
        <v>94</v>
      </c>
      <c r="G3" s="17">
        <f t="shared" ref="G3:G31" si="6">H3*2.4711</f>
        <v>38.302049999999994</v>
      </c>
      <c r="H3" s="17">
        <v>15.5</v>
      </c>
      <c r="I3" s="18">
        <f t="shared" si="0"/>
        <v>197.68799999999999</v>
      </c>
      <c r="J3" s="18">
        <v>80</v>
      </c>
      <c r="K3" s="19">
        <f t="shared" si="1"/>
        <v>5.161290322580645</v>
      </c>
      <c r="L3" s="19">
        <v>45.275040000000004</v>
      </c>
      <c r="M3" s="19">
        <v>13.8</v>
      </c>
      <c r="N3" s="20">
        <f t="shared" si="2"/>
        <v>21.653279999999999</v>
      </c>
      <c r="O3" s="19">
        <v>6.6</v>
      </c>
      <c r="P3" s="21" t="str">
        <f t="shared" si="3"/>
        <v>no</v>
      </c>
      <c r="Q3" s="22">
        <v>2.5000000000000004</v>
      </c>
      <c r="R3" s="18" t="s">
        <v>2080</v>
      </c>
      <c r="S3" s="23">
        <v>41.857080000000003</v>
      </c>
      <c r="T3" s="23">
        <v>-74.962999999999994</v>
      </c>
      <c r="U3" s="18" t="s">
        <v>95</v>
      </c>
      <c r="V3" s="18" t="s">
        <v>96</v>
      </c>
      <c r="W3" t="str">
        <f t="shared" ref="W3:W66" si="7">IF(OR(U3="A",U3="AA",U3="AAspec",U3="A(T)",U3="AA(T)"),"yes","no")</f>
        <v>no</v>
      </c>
      <c r="X3" t="s">
        <v>97</v>
      </c>
      <c r="Y3" t="str">
        <f t="shared" si="4"/>
        <v>recreation and public bathing</v>
      </c>
      <c r="Z3" t="s">
        <v>79</v>
      </c>
      <c r="AA3" s="24" t="s">
        <v>79</v>
      </c>
      <c r="AB3" s="24" t="s">
        <v>79</v>
      </c>
      <c r="AC3" s="35">
        <v>14.192568477069035</v>
      </c>
      <c r="AD3" s="35" t="s">
        <v>98</v>
      </c>
      <c r="AF3" t="s">
        <v>99</v>
      </c>
      <c r="AG3" s="26" t="s">
        <v>81</v>
      </c>
      <c r="AH3" s="28" t="s">
        <v>82</v>
      </c>
      <c r="AI3" s="28" t="s">
        <v>82</v>
      </c>
      <c r="AJ3" s="28" t="s">
        <v>82</v>
      </c>
      <c r="AK3" s="27" t="s">
        <v>100</v>
      </c>
      <c r="AL3" s="27" t="s">
        <v>100</v>
      </c>
      <c r="AM3" s="32" t="s">
        <v>82</v>
      </c>
      <c r="AN3" s="33" t="s">
        <v>81</v>
      </c>
      <c r="AO3" s="27" t="s">
        <v>81</v>
      </c>
      <c r="AQ3">
        <v>0</v>
      </c>
      <c r="AR3">
        <v>0</v>
      </c>
      <c r="AS3">
        <v>0</v>
      </c>
      <c r="AT3">
        <v>0</v>
      </c>
      <c r="AU3">
        <v>0</v>
      </c>
      <c r="AV3">
        <v>0</v>
      </c>
      <c r="AW3">
        <v>1</v>
      </c>
      <c r="AX3">
        <v>0</v>
      </c>
      <c r="AZ3" s="16" t="s">
        <v>101</v>
      </c>
      <c r="BA3" s="16" t="s">
        <v>102</v>
      </c>
      <c r="BB3" t="s">
        <v>2081</v>
      </c>
      <c r="BC3" t="s">
        <v>103</v>
      </c>
      <c r="BD3" t="s">
        <v>104</v>
      </c>
      <c r="BE3" t="s">
        <v>105</v>
      </c>
      <c r="BF3" t="s">
        <v>106</v>
      </c>
      <c r="BG3" t="str">
        <f t="shared" ref="BG3:BG32" si="8">IF(C3="","LCI","CSLAP")</f>
        <v>CSLAP</v>
      </c>
      <c r="BH3" s="14" t="s">
        <v>102</v>
      </c>
      <c r="BJ3">
        <f t="shared" ref="BJ3:BJ32" si="9">IF(MAX(AT3:AX3)=0,0,IF(MAX(AT3:AX3)=1,1,LEN(AE3)-LEN(SUBSTITUTE(UPPER(AE3),",",""))+1))</f>
        <v>1</v>
      </c>
      <c r="BK3">
        <f t="shared" ref="BK3:BK32" si="10">IF(BJ3&gt;1,2,IF(BJ3&gt;0,1,0))</f>
        <v>1</v>
      </c>
      <c r="BL3">
        <f t="shared" ref="BL3:BL32" si="11">IF(BJ3&gt;2,3,IF(BJ3&gt;2,2,IF(BJ3&gt;1,1,0)))</f>
        <v>0</v>
      </c>
      <c r="BM3" t="str">
        <f t="shared" ref="BM3:BM32" si="12">IF(C3="","LCI","CSLAP")</f>
        <v>CSLAP</v>
      </c>
      <c r="BN3" t="str">
        <f t="shared" ref="BN3:BN31" si="13">IF(LEFT(AB3,13)="zebra mussels","yes","no")</f>
        <v>no</v>
      </c>
      <c r="BO3">
        <v>0.51149999999999995</v>
      </c>
    </row>
    <row r="4" spans="1:77" x14ac:dyDescent="0.3">
      <c r="A4" t="s">
        <v>1481</v>
      </c>
      <c r="B4" t="s">
        <v>1746</v>
      </c>
      <c r="C4" s="16">
        <v>32</v>
      </c>
      <c r="D4" s="16" t="s">
        <v>107</v>
      </c>
      <c r="E4" s="16" t="s">
        <v>108</v>
      </c>
      <c r="F4" s="16" t="s">
        <v>109</v>
      </c>
      <c r="G4" s="17">
        <f t="shared" si="6"/>
        <v>64.00148999999999</v>
      </c>
      <c r="H4" s="17">
        <v>25.9</v>
      </c>
      <c r="I4" s="18">
        <f t="shared" si="0"/>
        <v>266.87879999999996</v>
      </c>
      <c r="J4" s="18">
        <v>108</v>
      </c>
      <c r="K4" s="19">
        <f t="shared" si="1"/>
        <v>4.1698841698841704</v>
      </c>
      <c r="L4" s="19" t="s">
        <v>110</v>
      </c>
      <c r="M4" s="19"/>
      <c r="N4" s="20">
        <f t="shared" si="2"/>
        <v>27.886800000000001</v>
      </c>
      <c r="O4" s="19">
        <v>8.5</v>
      </c>
      <c r="P4" s="21" t="str">
        <f t="shared" si="3"/>
        <v>no</v>
      </c>
      <c r="Q4" s="22">
        <v>4.0116222222222211</v>
      </c>
      <c r="R4" s="18" t="s">
        <v>111</v>
      </c>
      <c r="S4" s="23">
        <v>42.611061050000004</v>
      </c>
      <c r="T4" s="23">
        <v>-75.004968059999996</v>
      </c>
      <c r="U4" s="18" t="s">
        <v>95</v>
      </c>
      <c r="V4" s="18"/>
      <c r="W4" t="str">
        <f t="shared" si="7"/>
        <v>no</v>
      </c>
      <c r="Y4" t="str">
        <f t="shared" si="4"/>
        <v>recreation</v>
      </c>
      <c r="Z4" t="s">
        <v>79</v>
      </c>
      <c r="AA4" s="24" t="s">
        <v>79</v>
      </c>
      <c r="AB4" s="24" t="s">
        <v>79</v>
      </c>
      <c r="AC4" s="35">
        <v>14.126368222380707</v>
      </c>
      <c r="AD4" s="35" t="s">
        <v>112</v>
      </c>
      <c r="AF4" t="str">
        <f t="shared" si="5"/>
        <v/>
      </c>
      <c r="AG4" s="26" t="s">
        <v>81</v>
      </c>
      <c r="AH4" s="27" t="s">
        <v>82</v>
      </c>
      <c r="AI4" s="28" t="s">
        <v>82</v>
      </c>
      <c r="AJ4" s="29" t="s">
        <v>82</v>
      </c>
      <c r="AK4" s="30" t="s">
        <v>85</v>
      </c>
      <c r="AL4" s="31" t="s">
        <v>85</v>
      </c>
      <c r="AM4" s="32" t="s">
        <v>82</v>
      </c>
      <c r="AN4" s="33" t="s">
        <v>81</v>
      </c>
      <c r="AO4" s="27" t="s">
        <v>81</v>
      </c>
      <c r="AQ4">
        <v>0</v>
      </c>
      <c r="AR4">
        <v>0</v>
      </c>
      <c r="AS4">
        <v>0</v>
      </c>
      <c r="AT4">
        <v>0</v>
      </c>
      <c r="AU4">
        <v>0</v>
      </c>
      <c r="AV4">
        <v>0</v>
      </c>
      <c r="AW4">
        <v>0</v>
      </c>
      <c r="AX4">
        <v>0</v>
      </c>
      <c r="AZ4" t="s">
        <v>113</v>
      </c>
      <c r="BD4" t="s">
        <v>114</v>
      </c>
      <c r="BF4" t="s">
        <v>115</v>
      </c>
      <c r="BG4" t="str">
        <f t="shared" si="8"/>
        <v>CSLAP</v>
      </c>
      <c r="BH4" s="14" t="str">
        <f>IF(RIGHT(CM4,4)="2011","yes","no")</f>
        <v>no</v>
      </c>
      <c r="BJ4">
        <f t="shared" si="9"/>
        <v>0</v>
      </c>
      <c r="BK4">
        <f t="shared" si="10"/>
        <v>0</v>
      </c>
      <c r="BL4">
        <f t="shared" si="11"/>
        <v>0</v>
      </c>
      <c r="BM4" t="str">
        <f t="shared" si="12"/>
        <v>CSLAP</v>
      </c>
      <c r="BN4" t="str">
        <f t="shared" si="13"/>
        <v>no</v>
      </c>
      <c r="BO4">
        <v>0.50813008130081305</v>
      </c>
    </row>
    <row r="5" spans="1:77" x14ac:dyDescent="0.3">
      <c r="A5" t="s">
        <v>1482</v>
      </c>
      <c r="B5" t="s">
        <v>1747</v>
      </c>
      <c r="C5" s="16">
        <v>120</v>
      </c>
      <c r="D5" s="16" t="s">
        <v>116</v>
      </c>
      <c r="E5" s="16" t="s">
        <v>117</v>
      </c>
      <c r="F5" s="16" t="s">
        <v>118</v>
      </c>
      <c r="G5" s="17">
        <f t="shared" si="6"/>
        <v>377.58408000000003</v>
      </c>
      <c r="H5" s="17">
        <v>152.80000000000001</v>
      </c>
      <c r="I5" s="18">
        <f t="shared" si="0"/>
        <v>2801.98029</v>
      </c>
      <c r="J5" s="18">
        <v>1133.9000000000001</v>
      </c>
      <c r="K5" s="19">
        <f t="shared" si="1"/>
        <v>7.4208115183246077</v>
      </c>
      <c r="L5" s="19">
        <v>20.997120000000002</v>
      </c>
      <c r="M5" s="19">
        <v>6.4</v>
      </c>
      <c r="N5" s="20">
        <f t="shared" si="2"/>
        <v>9.8686464000000012</v>
      </c>
      <c r="O5" s="19">
        <v>3.008</v>
      </c>
      <c r="P5" s="21" t="str">
        <f t="shared" si="3"/>
        <v>no</v>
      </c>
      <c r="Q5" s="22">
        <v>1.0636292244466001</v>
      </c>
      <c r="R5" s="18" t="s">
        <v>2082</v>
      </c>
      <c r="S5" s="23">
        <v>44.459958129999997</v>
      </c>
      <c r="T5" s="23">
        <v>-73.500076750000005</v>
      </c>
      <c r="U5" s="16" t="s">
        <v>96</v>
      </c>
      <c r="V5" s="16"/>
      <c r="W5" t="str">
        <f t="shared" si="7"/>
        <v>yes</v>
      </c>
      <c r="X5" s="16" t="s">
        <v>119</v>
      </c>
      <c r="Y5" t="str">
        <f t="shared" si="4"/>
        <v>potable water, recreation, and public bathing</v>
      </c>
      <c r="Z5" t="s">
        <v>79</v>
      </c>
      <c r="AA5" s="24" t="s">
        <v>120</v>
      </c>
      <c r="AB5" s="24" t="s">
        <v>79</v>
      </c>
      <c r="AC5" s="24">
        <f>IF(AND(AA5="none reported",AB5="none reported"),"",0)</f>
        <v>0</v>
      </c>
      <c r="AD5" s="24"/>
      <c r="AF5" t="s">
        <v>99</v>
      </c>
      <c r="AG5" s="26" t="s">
        <v>82</v>
      </c>
      <c r="AH5" s="27" t="s">
        <v>82</v>
      </c>
      <c r="AI5" s="28" t="s">
        <v>83</v>
      </c>
      <c r="AJ5" s="29" t="s">
        <v>82</v>
      </c>
      <c r="AK5" s="30" t="s">
        <v>85</v>
      </c>
      <c r="AL5" s="31" t="s">
        <v>121</v>
      </c>
      <c r="AM5" s="32" t="s">
        <v>82</v>
      </c>
      <c r="AN5" s="33" t="s">
        <v>81</v>
      </c>
      <c r="AO5" s="27" t="s">
        <v>81</v>
      </c>
      <c r="AQ5">
        <v>0</v>
      </c>
      <c r="AR5">
        <v>0</v>
      </c>
      <c r="AS5">
        <v>0</v>
      </c>
      <c r="AT5">
        <v>0</v>
      </c>
      <c r="AU5">
        <v>0</v>
      </c>
      <c r="AV5">
        <v>0</v>
      </c>
      <c r="AW5">
        <v>0</v>
      </c>
      <c r="AX5">
        <v>0</v>
      </c>
      <c r="AZ5" t="s">
        <v>122</v>
      </c>
      <c r="BA5" t="s">
        <v>102</v>
      </c>
      <c r="BB5" t="s">
        <v>123</v>
      </c>
      <c r="BC5" t="s">
        <v>87</v>
      </c>
      <c r="BD5" t="s">
        <v>124</v>
      </c>
      <c r="BE5" t="s">
        <v>89</v>
      </c>
      <c r="BF5" t="s">
        <v>89</v>
      </c>
      <c r="BG5" t="str">
        <f t="shared" si="8"/>
        <v>CSLAP</v>
      </c>
      <c r="BH5" s="14" t="s">
        <v>99</v>
      </c>
      <c r="BJ5">
        <f t="shared" si="9"/>
        <v>0</v>
      </c>
      <c r="BK5">
        <f t="shared" si="10"/>
        <v>0</v>
      </c>
      <c r="BL5">
        <f t="shared" si="11"/>
        <v>0</v>
      </c>
      <c r="BM5" t="str">
        <f t="shared" si="12"/>
        <v>CSLAP</v>
      </c>
      <c r="BN5" t="str">
        <f t="shared" si="13"/>
        <v>no</v>
      </c>
      <c r="BO5">
        <v>0.38109756097560976</v>
      </c>
      <c r="BY5" t="s">
        <v>125</v>
      </c>
    </row>
    <row r="6" spans="1:77" x14ac:dyDescent="0.3">
      <c r="A6" t="s">
        <v>1483</v>
      </c>
      <c r="B6" t="s">
        <v>1748</v>
      </c>
      <c r="C6" s="16">
        <v>29</v>
      </c>
      <c r="D6" s="16" t="s">
        <v>126</v>
      </c>
      <c r="E6" s="16" t="s">
        <v>127</v>
      </c>
      <c r="F6" s="16" t="s">
        <v>128</v>
      </c>
      <c r="G6" s="17">
        <f t="shared" si="6"/>
        <v>44.726910000000004</v>
      </c>
      <c r="H6" s="17">
        <v>18.100000000000001</v>
      </c>
      <c r="I6" s="18">
        <f t="shared" si="0"/>
        <v>296.53199999999998</v>
      </c>
      <c r="J6" s="18">
        <v>120</v>
      </c>
      <c r="K6" s="19">
        <f t="shared" si="1"/>
        <v>6.6298342541436455</v>
      </c>
      <c r="L6" s="19">
        <v>37.729199999999999</v>
      </c>
      <c r="M6" s="19">
        <v>11.5</v>
      </c>
      <c r="N6" s="20">
        <f t="shared" si="2"/>
        <v>15.09168</v>
      </c>
      <c r="O6" s="19">
        <v>4.5999999999999996</v>
      </c>
      <c r="P6" s="21" t="str">
        <f t="shared" si="3"/>
        <v>no</v>
      </c>
      <c r="Q6" s="22">
        <v>2.1</v>
      </c>
      <c r="R6" s="18" t="s">
        <v>2083</v>
      </c>
      <c r="S6" s="23">
        <v>42.817386169999999</v>
      </c>
      <c r="T6" s="23">
        <v>-73.399494410000003</v>
      </c>
      <c r="U6" s="18" t="s">
        <v>96</v>
      </c>
      <c r="V6" s="18" t="s">
        <v>96</v>
      </c>
      <c r="W6" t="str">
        <f t="shared" si="7"/>
        <v>yes</v>
      </c>
      <c r="X6" t="s">
        <v>97</v>
      </c>
      <c r="Y6" t="str">
        <f t="shared" si="4"/>
        <v>potable water, recreation, and public bathing</v>
      </c>
      <c r="Z6" t="s">
        <v>79</v>
      </c>
      <c r="AA6" s="24" t="s">
        <v>79</v>
      </c>
      <c r="AB6" t="s">
        <v>129</v>
      </c>
      <c r="AC6" s="35">
        <v>2.9574577692315898</v>
      </c>
      <c r="AD6" s="35" t="s">
        <v>130</v>
      </c>
      <c r="AF6" t="s">
        <v>99</v>
      </c>
      <c r="AG6" s="26" t="s">
        <v>82</v>
      </c>
      <c r="AH6" s="27" t="s">
        <v>82</v>
      </c>
      <c r="AI6" s="28" t="s">
        <v>82</v>
      </c>
      <c r="AJ6" s="29" t="s">
        <v>82</v>
      </c>
      <c r="AK6" s="30" t="s">
        <v>85</v>
      </c>
      <c r="AL6" s="31" t="s">
        <v>85</v>
      </c>
      <c r="AM6" s="32" t="s">
        <v>82</v>
      </c>
      <c r="AN6" s="33" t="s">
        <v>81</v>
      </c>
      <c r="AO6" s="27" t="s">
        <v>81</v>
      </c>
      <c r="AQ6">
        <v>0</v>
      </c>
      <c r="AR6">
        <v>0</v>
      </c>
      <c r="AS6">
        <v>0</v>
      </c>
      <c r="AT6">
        <v>0</v>
      </c>
      <c r="AU6">
        <v>0</v>
      </c>
      <c r="AV6">
        <v>0</v>
      </c>
      <c r="AW6">
        <v>0</v>
      </c>
      <c r="AX6">
        <v>0</v>
      </c>
      <c r="AZ6" t="s">
        <v>131</v>
      </c>
      <c r="BA6" t="s">
        <v>102</v>
      </c>
      <c r="BB6" t="s">
        <v>2084</v>
      </c>
      <c r="BC6" t="s">
        <v>132</v>
      </c>
      <c r="BD6" t="s">
        <v>88</v>
      </c>
      <c r="BE6" t="s">
        <v>89</v>
      </c>
      <c r="BF6" t="s">
        <v>133</v>
      </c>
      <c r="BG6" t="str">
        <f t="shared" si="8"/>
        <v>CSLAP</v>
      </c>
      <c r="BH6" s="14" t="s">
        <v>102</v>
      </c>
      <c r="BJ6">
        <f t="shared" si="9"/>
        <v>0</v>
      </c>
      <c r="BK6">
        <f t="shared" si="10"/>
        <v>0</v>
      </c>
      <c r="BL6">
        <f t="shared" si="11"/>
        <v>0</v>
      </c>
      <c r="BM6" t="str">
        <f t="shared" si="12"/>
        <v>CSLAP</v>
      </c>
      <c r="BN6" t="str">
        <f t="shared" si="13"/>
        <v>no</v>
      </c>
      <c r="BO6">
        <v>0.33039682539682541</v>
      </c>
      <c r="BY6" t="s">
        <v>134</v>
      </c>
    </row>
    <row r="7" spans="1:77" x14ac:dyDescent="0.3">
      <c r="A7" t="s">
        <v>1484</v>
      </c>
      <c r="B7" t="s">
        <v>1749</v>
      </c>
      <c r="C7" s="16">
        <v>77</v>
      </c>
      <c r="D7" s="16" t="s">
        <v>135</v>
      </c>
      <c r="E7" s="16" t="s">
        <v>136</v>
      </c>
      <c r="F7" s="16" t="s">
        <v>137</v>
      </c>
      <c r="G7" s="17">
        <f t="shared" si="6"/>
        <v>277.75164000000001</v>
      </c>
      <c r="H7" s="17">
        <v>112.4</v>
      </c>
      <c r="I7" s="18">
        <f t="shared" si="0"/>
        <v>6326.0159999999996</v>
      </c>
      <c r="J7" s="18">
        <v>2560</v>
      </c>
      <c r="K7" s="19">
        <f t="shared" si="1"/>
        <v>22.77580071174377</v>
      </c>
      <c r="L7" s="19">
        <v>116</v>
      </c>
      <c r="M7" s="19">
        <v>35.4</v>
      </c>
      <c r="N7" s="20">
        <f t="shared" si="2"/>
        <v>22.309440000000002</v>
      </c>
      <c r="O7" s="19">
        <v>6.8</v>
      </c>
      <c r="P7" s="21" t="str">
        <f t="shared" si="3"/>
        <v>no</v>
      </c>
      <c r="Q7" s="22">
        <v>0.74640625000000005</v>
      </c>
      <c r="R7" s="18" t="s">
        <v>2085</v>
      </c>
      <c r="S7" s="23">
        <v>42.936520260000002</v>
      </c>
      <c r="T7" s="23">
        <v>-73.858631650000007</v>
      </c>
      <c r="U7" s="18" t="s">
        <v>96</v>
      </c>
      <c r="V7" s="18"/>
      <c r="W7" t="str">
        <f t="shared" si="7"/>
        <v>yes</v>
      </c>
      <c r="Y7" t="str">
        <f t="shared" si="4"/>
        <v>potable water and recreation</v>
      </c>
      <c r="Z7" t="s">
        <v>79</v>
      </c>
      <c r="AA7" s="24" t="s">
        <v>138</v>
      </c>
      <c r="AB7" s="24" t="s">
        <v>139</v>
      </c>
      <c r="AC7" s="24">
        <f>IF(AND(AA7="none reported",AB7="none reported"),"",0)</f>
        <v>0</v>
      </c>
      <c r="AD7" s="24"/>
      <c r="AE7" s="25" t="s">
        <v>140</v>
      </c>
      <c r="AF7" t="str">
        <f t="shared" si="5"/>
        <v>yes</v>
      </c>
      <c r="AG7" s="26" t="s">
        <v>83</v>
      </c>
      <c r="AH7" s="27" t="s">
        <v>83</v>
      </c>
      <c r="AI7" s="28" t="s">
        <v>141</v>
      </c>
      <c r="AJ7" s="29" t="s">
        <v>82</v>
      </c>
      <c r="AK7" s="30" t="s">
        <v>84</v>
      </c>
      <c r="AL7" s="31" t="s">
        <v>84</v>
      </c>
      <c r="AM7" s="32" t="s">
        <v>82</v>
      </c>
      <c r="AN7" s="33" t="s">
        <v>81</v>
      </c>
      <c r="AO7" s="27" t="s">
        <v>81</v>
      </c>
      <c r="AQ7">
        <v>6</v>
      </c>
      <c r="AR7">
        <v>3</v>
      </c>
      <c r="AS7">
        <v>3</v>
      </c>
      <c r="AT7">
        <v>0</v>
      </c>
      <c r="AU7">
        <v>0</v>
      </c>
      <c r="AV7">
        <v>2</v>
      </c>
      <c r="AW7">
        <v>4</v>
      </c>
      <c r="AX7">
        <v>0</v>
      </c>
      <c r="AZ7" t="s">
        <v>142</v>
      </c>
      <c r="BA7" t="s">
        <v>102</v>
      </c>
      <c r="BB7" t="s">
        <v>2087</v>
      </c>
      <c r="BC7" t="s">
        <v>132</v>
      </c>
      <c r="BD7" t="s">
        <v>88</v>
      </c>
      <c r="BE7" t="s">
        <v>89</v>
      </c>
      <c r="BF7" t="s">
        <v>143</v>
      </c>
      <c r="BG7" t="str">
        <f t="shared" si="8"/>
        <v>CSLAP</v>
      </c>
      <c r="BH7" s="14" t="s">
        <v>102</v>
      </c>
      <c r="BJ7">
        <f t="shared" si="9"/>
        <v>3</v>
      </c>
      <c r="BK7">
        <f t="shared" si="10"/>
        <v>2</v>
      </c>
      <c r="BL7">
        <f t="shared" si="11"/>
        <v>3</v>
      </c>
      <c r="BM7" t="str">
        <f t="shared" si="12"/>
        <v>CSLAP</v>
      </c>
      <c r="BN7" t="str">
        <f t="shared" si="13"/>
        <v>yes</v>
      </c>
      <c r="BO7">
        <v>0.4</v>
      </c>
      <c r="BY7" t="s">
        <v>144</v>
      </c>
    </row>
    <row r="8" spans="1:77" x14ac:dyDescent="0.3">
      <c r="A8" t="s">
        <v>1484</v>
      </c>
      <c r="B8" t="s">
        <v>1749</v>
      </c>
      <c r="C8" s="16">
        <v>77</v>
      </c>
      <c r="D8" s="16" t="s">
        <v>145</v>
      </c>
      <c r="E8" s="16" t="s">
        <v>136</v>
      </c>
      <c r="F8" s="16" t="s">
        <v>137</v>
      </c>
      <c r="G8" s="17">
        <f t="shared" si="6"/>
        <v>263.39999999999998</v>
      </c>
      <c r="H8" s="36">
        <v>106.59220590020638</v>
      </c>
      <c r="I8" s="18">
        <f t="shared" si="0"/>
        <v>6326.0159999999996</v>
      </c>
      <c r="J8" s="18">
        <v>2560</v>
      </c>
      <c r="K8" s="19">
        <f t="shared" si="1"/>
        <v>24.016765375854217</v>
      </c>
      <c r="L8" s="19">
        <f>3.28*M8</f>
        <v>16.399999999999999</v>
      </c>
      <c r="M8" s="19">
        <v>5</v>
      </c>
      <c r="N8" s="20">
        <f t="shared" si="2"/>
        <v>22.309440000000002</v>
      </c>
      <c r="O8" s="19">
        <v>6.8</v>
      </c>
      <c r="P8" s="21" t="str">
        <f t="shared" si="3"/>
        <v>no</v>
      </c>
      <c r="Q8" s="22">
        <v>0.6907834710743801</v>
      </c>
      <c r="R8" s="18" t="s">
        <v>2086</v>
      </c>
      <c r="S8" s="23">
        <v>42.936520260000002</v>
      </c>
      <c r="T8" s="23">
        <v>-73.858631650000007</v>
      </c>
      <c r="U8" s="18" t="s">
        <v>96</v>
      </c>
      <c r="V8" s="18"/>
      <c r="W8" t="str">
        <f t="shared" si="7"/>
        <v>yes</v>
      </c>
      <c r="Y8" t="str">
        <f t="shared" si="4"/>
        <v>potable water and recreation</v>
      </c>
      <c r="Z8" t="s">
        <v>79</v>
      </c>
      <c r="AA8" s="24" t="s">
        <v>138</v>
      </c>
      <c r="AB8" s="24" t="s">
        <v>139</v>
      </c>
      <c r="AC8" s="24">
        <f>IF(AND(AA8="none reported",AB8="none reported"),"",0)</f>
        <v>0</v>
      </c>
      <c r="AD8" s="24"/>
      <c r="AE8" s="25" t="s">
        <v>140</v>
      </c>
      <c r="AF8" t="str">
        <f t="shared" si="5"/>
        <v>yes</v>
      </c>
      <c r="AG8" s="26" t="s">
        <v>83</v>
      </c>
      <c r="AH8" s="27" t="s">
        <v>83</v>
      </c>
      <c r="AI8" s="28" t="s">
        <v>141</v>
      </c>
      <c r="AJ8" s="29" t="s">
        <v>82</v>
      </c>
      <c r="AK8" s="30" t="s">
        <v>84</v>
      </c>
      <c r="AL8" s="31" t="s">
        <v>84</v>
      </c>
      <c r="AM8" s="32" t="s">
        <v>82</v>
      </c>
      <c r="AN8" s="33" t="s">
        <v>81</v>
      </c>
      <c r="AO8" s="27" t="s">
        <v>81</v>
      </c>
      <c r="AQ8">
        <v>6</v>
      </c>
      <c r="AR8">
        <v>3</v>
      </c>
      <c r="AS8">
        <v>3</v>
      </c>
      <c r="AT8">
        <v>0</v>
      </c>
      <c r="AU8">
        <v>0</v>
      </c>
      <c r="AV8">
        <v>2</v>
      </c>
      <c r="AW8">
        <v>4</v>
      </c>
      <c r="AX8">
        <v>0</v>
      </c>
      <c r="AZ8" t="s">
        <v>142</v>
      </c>
      <c r="BA8" t="s">
        <v>102</v>
      </c>
      <c r="BB8" t="s">
        <v>2087</v>
      </c>
      <c r="BC8" t="s">
        <v>132</v>
      </c>
      <c r="BD8" t="s">
        <v>88</v>
      </c>
      <c r="BE8" t="s">
        <v>89</v>
      </c>
      <c r="BF8" t="s">
        <v>143</v>
      </c>
      <c r="BG8" t="str">
        <f t="shared" si="8"/>
        <v>CSLAP</v>
      </c>
      <c r="BH8" s="14" t="s">
        <v>102</v>
      </c>
      <c r="BJ8">
        <f t="shared" si="9"/>
        <v>3</v>
      </c>
      <c r="BK8">
        <f t="shared" si="10"/>
        <v>2</v>
      </c>
      <c r="BL8">
        <f t="shared" si="11"/>
        <v>3</v>
      </c>
      <c r="BM8" t="str">
        <f t="shared" si="12"/>
        <v>CSLAP</v>
      </c>
      <c r="BN8" t="str">
        <f t="shared" si="13"/>
        <v>yes</v>
      </c>
      <c r="BO8">
        <v>0.43220851757735862</v>
      </c>
    </row>
    <row r="9" spans="1:77" x14ac:dyDescent="0.3">
      <c r="A9" t="s">
        <v>1486</v>
      </c>
      <c r="B9" t="s">
        <v>1750</v>
      </c>
      <c r="C9">
        <v>257</v>
      </c>
      <c r="D9" t="s">
        <v>146</v>
      </c>
      <c r="E9" t="s">
        <v>147</v>
      </c>
      <c r="F9" t="s">
        <v>148</v>
      </c>
      <c r="G9" s="17">
        <f t="shared" si="6"/>
        <v>30.016451699999998</v>
      </c>
      <c r="H9" s="36">
        <v>12.147</v>
      </c>
      <c r="I9" s="37">
        <v>1073</v>
      </c>
      <c r="J9" s="37">
        <v>434</v>
      </c>
      <c r="K9" s="21">
        <f t="shared" si="1"/>
        <v>35.728986581048815</v>
      </c>
      <c r="L9" s="19">
        <f>3.28*M9</f>
        <v>13.447999999999999</v>
      </c>
      <c r="M9" s="21">
        <v>4.0999999999999996</v>
      </c>
      <c r="N9" s="20">
        <v>6</v>
      </c>
      <c r="O9" s="21">
        <f>6/3.28</f>
        <v>1.8292682926829269</v>
      </c>
      <c r="P9" s="21" t="s">
        <v>149</v>
      </c>
      <c r="Q9" s="22">
        <v>0.17060853481305321</v>
      </c>
      <c r="R9" s="37" t="s">
        <v>2088</v>
      </c>
      <c r="S9" s="38">
        <v>42.938341000000001</v>
      </c>
      <c r="T9" s="38">
        <v>-73.857860000000002</v>
      </c>
      <c r="U9" t="s">
        <v>77</v>
      </c>
      <c r="W9" t="str">
        <f t="shared" si="7"/>
        <v>no</v>
      </c>
      <c r="X9" t="s">
        <v>150</v>
      </c>
      <c r="Y9" t="str">
        <f t="shared" si="4"/>
        <v>recreation and public bathing</v>
      </c>
      <c r="Z9" t="s">
        <v>79</v>
      </c>
      <c r="AA9" t="s">
        <v>79</v>
      </c>
      <c r="AB9" t="s">
        <v>129</v>
      </c>
      <c r="AC9" s="24">
        <v>0</v>
      </c>
      <c r="AD9" s="24"/>
      <c r="AE9" s="25" t="s">
        <v>151</v>
      </c>
      <c r="AF9" t="s">
        <v>102</v>
      </c>
      <c r="AG9" t="s">
        <v>81</v>
      </c>
      <c r="AH9" t="s">
        <v>82</v>
      </c>
      <c r="AI9" t="s">
        <v>83</v>
      </c>
      <c r="AJ9" t="s">
        <v>82</v>
      </c>
      <c r="AK9" t="s">
        <v>84</v>
      </c>
      <c r="AL9" t="s">
        <v>84</v>
      </c>
      <c r="AM9" t="s">
        <v>82</v>
      </c>
      <c r="AN9" s="39">
        <v>43617</v>
      </c>
      <c r="AO9" s="39">
        <v>43715</v>
      </c>
      <c r="AP9" s="39"/>
      <c r="AQ9">
        <v>6</v>
      </c>
      <c r="AR9">
        <v>3</v>
      </c>
      <c r="AS9">
        <v>2</v>
      </c>
      <c r="AT9">
        <v>1</v>
      </c>
      <c r="AU9"/>
      <c r="AV9"/>
      <c r="AW9"/>
      <c r="AX9"/>
      <c r="AZ9" t="s">
        <v>2281</v>
      </c>
      <c r="BA9" t="s">
        <v>102</v>
      </c>
      <c r="BB9" t="s">
        <v>2089</v>
      </c>
      <c r="BD9" t="s">
        <v>152</v>
      </c>
      <c r="BG9" t="s">
        <v>54</v>
      </c>
      <c r="BH9" s="14" t="s">
        <v>102</v>
      </c>
      <c r="BM9" t="s">
        <v>54</v>
      </c>
      <c r="BN9" t="s">
        <v>99</v>
      </c>
      <c r="BO9">
        <v>0.66294132588265187</v>
      </c>
    </row>
    <row r="10" spans="1:77" x14ac:dyDescent="0.3">
      <c r="A10" t="s">
        <v>1487</v>
      </c>
      <c r="B10" t="s">
        <v>1751</v>
      </c>
      <c r="C10" s="16">
        <v>229</v>
      </c>
      <c r="D10" s="16" t="s">
        <v>153</v>
      </c>
      <c r="E10" s="16" t="s">
        <v>147</v>
      </c>
      <c r="F10" s="16" t="s">
        <v>154</v>
      </c>
      <c r="G10" s="17">
        <f t="shared" si="6"/>
        <v>70.426349999999999</v>
      </c>
      <c r="H10" s="17">
        <v>28.5</v>
      </c>
      <c r="I10" s="18">
        <f>IF(J10="","",J10*2.4711)</f>
        <v>409.70837999999998</v>
      </c>
      <c r="J10" s="18">
        <v>165.8</v>
      </c>
      <c r="K10" s="19">
        <f t="shared" si="1"/>
        <v>5.8175438596491231</v>
      </c>
      <c r="L10" s="19">
        <f>3.28*M10</f>
        <v>39.36</v>
      </c>
      <c r="M10" s="19">
        <v>12</v>
      </c>
      <c r="N10" s="20">
        <f>IF(O10="", "",O10*3.2808)</f>
        <v>16.075920000000004</v>
      </c>
      <c r="O10" s="19">
        <v>4.9000000000000004</v>
      </c>
      <c r="P10" s="21" t="str">
        <f t="shared" si="3"/>
        <v>no</v>
      </c>
      <c r="Q10" s="22">
        <v>1.4037997587454765</v>
      </c>
      <c r="R10" s="18" t="s">
        <v>2090</v>
      </c>
      <c r="S10" s="23">
        <v>41.433945081799997</v>
      </c>
      <c r="T10" s="23">
        <v>-73.740632883100005</v>
      </c>
      <c r="U10" s="18" t="s">
        <v>77</v>
      </c>
      <c r="V10" s="18" t="s">
        <v>96</v>
      </c>
      <c r="W10" t="str">
        <f t="shared" si="7"/>
        <v>no</v>
      </c>
      <c r="Y10" t="str">
        <f t="shared" si="4"/>
        <v>recreation</v>
      </c>
      <c r="Z10" t="s">
        <v>79</v>
      </c>
      <c r="AA10" s="24" t="s">
        <v>79</v>
      </c>
      <c r="AB10" s="24" t="s">
        <v>79</v>
      </c>
      <c r="AC10" s="35">
        <v>2.3872910422671296</v>
      </c>
      <c r="AD10" s="35" t="s">
        <v>155</v>
      </c>
      <c r="AE10" s="25">
        <v>2019</v>
      </c>
      <c r="AF10" t="s">
        <v>99</v>
      </c>
      <c r="AG10" s="16" t="s">
        <v>81</v>
      </c>
      <c r="AH10" s="16" t="s">
        <v>156</v>
      </c>
      <c r="AI10" s="16" t="s">
        <v>156</v>
      </c>
      <c r="AJ10" s="16" t="s">
        <v>156</v>
      </c>
      <c r="AK10" s="16" t="s">
        <v>156</v>
      </c>
      <c r="AL10" s="16" t="s">
        <v>156</v>
      </c>
      <c r="AM10" s="16" t="s">
        <v>156</v>
      </c>
      <c r="AN10" s="33">
        <v>43633</v>
      </c>
      <c r="AO10" s="33">
        <v>43633</v>
      </c>
      <c r="AP10" s="39"/>
      <c r="AQ10">
        <v>0</v>
      </c>
      <c r="AR10">
        <v>0</v>
      </c>
      <c r="AS10">
        <v>0</v>
      </c>
      <c r="AT10">
        <v>0</v>
      </c>
      <c r="AU10">
        <v>0</v>
      </c>
      <c r="AV10">
        <v>0</v>
      </c>
      <c r="AW10">
        <v>0</v>
      </c>
      <c r="AX10">
        <v>0</v>
      </c>
      <c r="AY10" t="s">
        <v>157</v>
      </c>
      <c r="AZ10" t="s">
        <v>158</v>
      </c>
      <c r="BA10" t="s">
        <v>102</v>
      </c>
      <c r="BB10" t="s">
        <v>2091</v>
      </c>
      <c r="BC10" t="s">
        <v>103</v>
      </c>
      <c r="BD10" t="s">
        <v>152</v>
      </c>
      <c r="BE10" t="s">
        <v>159</v>
      </c>
      <c r="BF10" t="s">
        <v>160</v>
      </c>
      <c r="BG10" t="str">
        <f t="shared" si="8"/>
        <v>CSLAP</v>
      </c>
      <c r="BH10" s="14" t="s">
        <v>102</v>
      </c>
      <c r="BJ10">
        <f t="shared" si="9"/>
        <v>0</v>
      </c>
      <c r="BK10">
        <f t="shared" si="10"/>
        <v>0</v>
      </c>
      <c r="BL10">
        <f t="shared" si="11"/>
        <v>0</v>
      </c>
      <c r="BM10" t="str">
        <f t="shared" si="12"/>
        <v>CSLAP</v>
      </c>
      <c r="BN10" t="str">
        <f t="shared" si="13"/>
        <v>no</v>
      </c>
      <c r="BO10">
        <v>0.6</v>
      </c>
      <c r="BV10" t="s">
        <v>157</v>
      </c>
    </row>
    <row r="11" spans="1:77" x14ac:dyDescent="0.3">
      <c r="A11" t="s">
        <v>1488</v>
      </c>
      <c r="B11" t="s">
        <v>1752</v>
      </c>
      <c r="C11" s="16">
        <v>121</v>
      </c>
      <c r="D11" s="16" t="s">
        <v>161</v>
      </c>
      <c r="E11" s="16" t="s">
        <v>117</v>
      </c>
      <c r="F11" s="16" t="s">
        <v>117</v>
      </c>
      <c r="G11" s="17">
        <f t="shared" si="6"/>
        <v>70.426349999999999</v>
      </c>
      <c r="H11" s="17">
        <v>28.5</v>
      </c>
      <c r="I11" s="18">
        <f>IF(J11="","",J11*2.4711)</f>
        <v>2698.4411999999998</v>
      </c>
      <c r="J11" s="18">
        <v>1092</v>
      </c>
      <c r="K11" s="19">
        <f t="shared" si="1"/>
        <v>38.315789473684212</v>
      </c>
      <c r="L11" s="19">
        <v>19.684800000000003</v>
      </c>
      <c r="M11" s="19">
        <v>6</v>
      </c>
      <c r="N11" s="20">
        <f>IF(O11="", "",O11*3.2808)</f>
        <v>9.2518560000000001</v>
      </c>
      <c r="O11" s="19">
        <v>2.82</v>
      </c>
      <c r="P11" s="21" t="str">
        <f t="shared" si="3"/>
        <v>no</v>
      </c>
      <c r="Q11" s="22">
        <v>0.19312351648351644</v>
      </c>
      <c r="R11" s="18" t="s">
        <v>162</v>
      </c>
      <c r="S11" s="23">
        <v>44.106166440000003</v>
      </c>
      <c r="T11" s="23">
        <v>-73.510749579999995</v>
      </c>
      <c r="U11" s="18" t="s">
        <v>163</v>
      </c>
      <c r="V11" s="18" t="s">
        <v>96</v>
      </c>
      <c r="W11" t="str">
        <f t="shared" si="7"/>
        <v>yes</v>
      </c>
      <c r="Y11" t="str">
        <f t="shared" si="4"/>
        <v>potable water and recreation</v>
      </c>
      <c r="Z11" t="s">
        <v>79</v>
      </c>
      <c r="AA11" s="40" t="s">
        <v>120</v>
      </c>
      <c r="AB11" s="40" t="s">
        <v>79</v>
      </c>
      <c r="AC11" s="24">
        <f>IF(AND(AA11="none reported",AB11="none reported"),"",0)</f>
        <v>0</v>
      </c>
      <c r="AD11" s="24"/>
      <c r="AF11" t="s">
        <v>99</v>
      </c>
      <c r="AG11" s="26" t="s">
        <v>82</v>
      </c>
      <c r="AH11" s="27" t="s">
        <v>83</v>
      </c>
      <c r="AI11" s="28" t="s">
        <v>141</v>
      </c>
      <c r="AJ11" s="29" t="s">
        <v>82</v>
      </c>
      <c r="AK11" s="30" t="s">
        <v>85</v>
      </c>
      <c r="AL11" s="31" t="s">
        <v>121</v>
      </c>
      <c r="AM11" s="32" t="s">
        <v>82</v>
      </c>
      <c r="AN11" s="33" t="s">
        <v>81</v>
      </c>
      <c r="AO11" s="27" t="s">
        <v>81</v>
      </c>
      <c r="AP11" s="39"/>
      <c r="AQ11">
        <v>0</v>
      </c>
      <c r="AR11">
        <v>0</v>
      </c>
      <c r="AS11">
        <v>0</v>
      </c>
      <c r="AT11">
        <v>0</v>
      </c>
      <c r="AU11">
        <v>0</v>
      </c>
      <c r="AV11">
        <v>0</v>
      </c>
      <c r="AW11">
        <v>0</v>
      </c>
      <c r="AX11">
        <v>0</v>
      </c>
      <c r="BD11" t="s">
        <v>124</v>
      </c>
      <c r="BE11" t="s">
        <v>89</v>
      </c>
      <c r="BF11" t="s">
        <v>89</v>
      </c>
      <c r="BG11" t="str">
        <f t="shared" si="8"/>
        <v>CSLAP</v>
      </c>
      <c r="BH11" s="14" t="str">
        <f>IF(RIGHT(CM11,4)="2011","yes","no")</f>
        <v>no</v>
      </c>
      <c r="BJ11">
        <f t="shared" si="9"/>
        <v>0</v>
      </c>
      <c r="BK11">
        <f t="shared" si="10"/>
        <v>0</v>
      </c>
      <c r="BL11">
        <f t="shared" si="11"/>
        <v>0</v>
      </c>
      <c r="BM11" t="str">
        <f t="shared" si="12"/>
        <v>CSLAP</v>
      </c>
      <c r="BN11" t="str">
        <f t="shared" si="13"/>
        <v>no</v>
      </c>
      <c r="BO11">
        <v>0.38109756097560976</v>
      </c>
    </row>
    <row r="12" spans="1:77" x14ac:dyDescent="0.3">
      <c r="A12" t="s">
        <v>1489</v>
      </c>
      <c r="B12" t="s">
        <v>1753</v>
      </c>
      <c r="C12" s="16">
        <v>216</v>
      </c>
      <c r="D12" s="16" t="s">
        <v>164</v>
      </c>
      <c r="E12" s="16" t="s">
        <v>165</v>
      </c>
      <c r="F12" s="16" t="s">
        <v>166</v>
      </c>
      <c r="G12" s="17">
        <f t="shared" si="6"/>
        <v>164.08104</v>
      </c>
      <c r="H12" s="17">
        <v>66.400000000000006</v>
      </c>
      <c r="I12" s="18">
        <f>IF(J12="","",J12*2.4711)</f>
        <v>825.36740890688259</v>
      </c>
      <c r="J12" s="18">
        <v>334.0080971659919</v>
      </c>
      <c r="K12" s="19">
        <f t="shared" si="1"/>
        <v>5.0302424271986723</v>
      </c>
      <c r="L12" s="19">
        <v>24.606000000000002</v>
      </c>
      <c r="M12" s="19">
        <v>7.5</v>
      </c>
      <c r="N12" s="20">
        <f>IF(O12="", "",O12*3.2808)</f>
        <v>11.564820000000001</v>
      </c>
      <c r="O12" s="19">
        <v>3.5249999999999999</v>
      </c>
      <c r="P12" s="21" t="str">
        <f t="shared" si="3"/>
        <v>no</v>
      </c>
      <c r="Q12" s="22">
        <v>0.6907834710743801</v>
      </c>
      <c r="R12" s="18" t="s">
        <v>167</v>
      </c>
      <c r="S12" s="23">
        <v>41.442952859499997</v>
      </c>
      <c r="T12" s="23">
        <v>-74.115417105800006</v>
      </c>
      <c r="U12" s="18" t="s">
        <v>77</v>
      </c>
      <c r="V12" s="18" t="s">
        <v>78</v>
      </c>
      <c r="W12" t="str">
        <f t="shared" si="7"/>
        <v>no</v>
      </c>
      <c r="X12" t="s">
        <v>168</v>
      </c>
      <c r="Y12" t="str">
        <f t="shared" si="4"/>
        <v>recreation and public bathing</v>
      </c>
      <c r="Z12" t="s">
        <v>79</v>
      </c>
      <c r="AA12" s="40" t="s">
        <v>169</v>
      </c>
      <c r="AB12" s="40" t="s">
        <v>79</v>
      </c>
      <c r="AC12" s="24">
        <f>IF(AND(AA12="none reported",AB12="none reported"),"",0)</f>
        <v>0</v>
      </c>
      <c r="AD12" s="24"/>
      <c r="AE12" s="25" t="s">
        <v>170</v>
      </c>
      <c r="AF12" t="str">
        <f t="shared" si="5"/>
        <v>yes</v>
      </c>
      <c r="AG12" s="26" t="s">
        <v>81</v>
      </c>
      <c r="AH12" s="27" t="s">
        <v>156</v>
      </c>
      <c r="AI12" s="28" t="s">
        <v>156</v>
      </c>
      <c r="AJ12" s="29" t="s">
        <v>156</v>
      </c>
      <c r="AK12" s="30" t="s">
        <v>156</v>
      </c>
      <c r="AL12" s="31" t="s">
        <v>156</v>
      </c>
      <c r="AM12" s="32" t="s">
        <v>156</v>
      </c>
      <c r="AN12" s="33" t="s">
        <v>81</v>
      </c>
      <c r="AO12" s="27" t="s">
        <v>81</v>
      </c>
      <c r="AP12" s="39"/>
      <c r="AQ12">
        <v>18</v>
      </c>
      <c r="AR12">
        <v>9</v>
      </c>
      <c r="AS12">
        <v>6</v>
      </c>
      <c r="AT12">
        <v>6</v>
      </c>
      <c r="AU12">
        <v>5</v>
      </c>
      <c r="AV12">
        <v>7</v>
      </c>
      <c r="AW12">
        <v>6</v>
      </c>
      <c r="AX12">
        <v>0</v>
      </c>
      <c r="AY12" t="s">
        <v>102</v>
      </c>
      <c r="AZ12" t="s">
        <v>171</v>
      </c>
      <c r="BA12" t="s">
        <v>102</v>
      </c>
      <c r="BB12" t="s">
        <v>172</v>
      </c>
      <c r="BC12" t="s">
        <v>103</v>
      </c>
      <c r="BD12" t="s">
        <v>152</v>
      </c>
      <c r="BE12" t="s">
        <v>159</v>
      </c>
      <c r="BF12" t="s">
        <v>160</v>
      </c>
      <c r="BG12" t="str">
        <f t="shared" si="8"/>
        <v>CSLAP</v>
      </c>
      <c r="BH12" s="14" t="s">
        <v>102</v>
      </c>
      <c r="BJ12">
        <f t="shared" si="9"/>
        <v>5</v>
      </c>
      <c r="BK12">
        <f t="shared" si="10"/>
        <v>2</v>
      </c>
      <c r="BL12">
        <f t="shared" si="11"/>
        <v>3</v>
      </c>
      <c r="BM12" t="str">
        <f t="shared" si="12"/>
        <v>CSLAP</v>
      </c>
      <c r="BN12" t="str">
        <f t="shared" si="13"/>
        <v>no</v>
      </c>
      <c r="BO12">
        <v>0.99</v>
      </c>
      <c r="BS12" s="41">
        <v>6.5</v>
      </c>
      <c r="BU12" t="s">
        <v>173</v>
      </c>
      <c r="BV12" t="s">
        <v>174</v>
      </c>
    </row>
    <row r="13" spans="1:77" x14ac:dyDescent="0.3">
      <c r="A13" t="s">
        <v>1490</v>
      </c>
      <c r="B13" t="s">
        <v>1754</v>
      </c>
      <c r="C13" s="16">
        <v>78</v>
      </c>
      <c r="D13" s="16" t="s">
        <v>175</v>
      </c>
      <c r="E13" s="16" t="s">
        <v>176</v>
      </c>
      <c r="F13" s="16" t="s">
        <v>177</v>
      </c>
      <c r="G13" s="17">
        <f t="shared" si="6"/>
        <v>38.302049999999994</v>
      </c>
      <c r="H13" s="17">
        <v>15.5</v>
      </c>
      <c r="I13" s="18">
        <f>IF(J13="","",J13*2.4711)</f>
        <v>336.06959999999998</v>
      </c>
      <c r="J13" s="18">
        <v>136</v>
      </c>
      <c r="K13" s="19">
        <f t="shared" si="1"/>
        <v>8.7741935483870961</v>
      </c>
      <c r="L13" s="19">
        <v>18.0444</v>
      </c>
      <c r="M13" s="19">
        <v>5.5</v>
      </c>
      <c r="N13" s="20">
        <f>IF(O13="", "",O13*3.2808)</f>
        <v>7.5458400000000001</v>
      </c>
      <c r="O13" s="19">
        <v>2.2999999999999998</v>
      </c>
      <c r="P13" s="21" t="str">
        <f t="shared" si="3"/>
        <v>no</v>
      </c>
      <c r="Q13" s="22">
        <v>0.58957310924369744</v>
      </c>
      <c r="R13" s="18" t="s">
        <v>2092</v>
      </c>
      <c r="S13" s="23">
        <v>42.045529999999999</v>
      </c>
      <c r="T13" s="23">
        <v>-75.665610000000001</v>
      </c>
      <c r="U13" s="18" t="s">
        <v>78</v>
      </c>
      <c r="V13" s="18" t="s">
        <v>77</v>
      </c>
      <c r="W13" t="str">
        <f t="shared" si="7"/>
        <v>no</v>
      </c>
      <c r="X13" s="16"/>
      <c r="Y13" t="str">
        <f t="shared" si="4"/>
        <v>recreation</v>
      </c>
      <c r="Z13" t="s">
        <v>79</v>
      </c>
      <c r="AA13" s="24" t="s">
        <v>79</v>
      </c>
      <c r="AB13" s="24" t="s">
        <v>178</v>
      </c>
      <c r="AC13" s="24">
        <f>IF(AND(AA13="none reported",AB13="none reported"),"",0)</f>
        <v>0</v>
      </c>
      <c r="AD13" s="24"/>
      <c r="AE13" s="25" t="s">
        <v>179</v>
      </c>
      <c r="AF13" t="str">
        <f t="shared" si="5"/>
        <v>yes</v>
      </c>
      <c r="AG13" s="26" t="s">
        <v>81</v>
      </c>
      <c r="AH13" s="27" t="s">
        <v>81</v>
      </c>
      <c r="AI13" s="28" t="s">
        <v>83</v>
      </c>
      <c r="AJ13" s="29" t="s">
        <v>82</v>
      </c>
      <c r="AK13" s="30" t="s">
        <v>85</v>
      </c>
      <c r="AL13" s="31" t="s">
        <v>85</v>
      </c>
      <c r="AM13" s="32" t="s">
        <v>82</v>
      </c>
      <c r="AN13" s="39">
        <v>43661</v>
      </c>
      <c r="AO13" s="39">
        <v>43671</v>
      </c>
      <c r="AP13" s="39"/>
      <c r="AQ13">
        <v>11</v>
      </c>
      <c r="AR13">
        <v>5</v>
      </c>
      <c r="AS13">
        <v>3</v>
      </c>
      <c r="AT13">
        <v>0</v>
      </c>
      <c r="AU13">
        <v>5</v>
      </c>
      <c r="AV13">
        <v>6</v>
      </c>
      <c r="AW13">
        <v>9</v>
      </c>
      <c r="AX13">
        <v>5</v>
      </c>
      <c r="AZ13" t="s">
        <v>180</v>
      </c>
      <c r="BA13" t="s">
        <v>102</v>
      </c>
      <c r="BB13" t="s">
        <v>181</v>
      </c>
      <c r="BC13" t="s">
        <v>132</v>
      </c>
      <c r="BD13" s="16" t="s">
        <v>114</v>
      </c>
      <c r="BE13" t="s">
        <v>105</v>
      </c>
      <c r="BF13" t="s">
        <v>115</v>
      </c>
      <c r="BG13" t="str">
        <f t="shared" si="8"/>
        <v>CSLAP</v>
      </c>
      <c r="BH13" s="14" t="s">
        <v>102</v>
      </c>
      <c r="BI13">
        <v>5</v>
      </c>
      <c r="BJ13">
        <f t="shared" si="9"/>
        <v>6</v>
      </c>
      <c r="BK13">
        <f t="shared" si="10"/>
        <v>2</v>
      </c>
      <c r="BL13">
        <f t="shared" si="11"/>
        <v>3</v>
      </c>
      <c r="BM13" t="str">
        <f t="shared" si="12"/>
        <v>CSLAP</v>
      </c>
      <c r="BN13" t="str">
        <f t="shared" si="13"/>
        <v>no</v>
      </c>
      <c r="BO13">
        <v>0.44461382113821141</v>
      </c>
    </row>
    <row r="14" spans="1:77" x14ac:dyDescent="0.3">
      <c r="A14" t="s">
        <v>1491</v>
      </c>
      <c r="B14" t="s">
        <v>1755</v>
      </c>
      <c r="C14" s="16">
        <v>232</v>
      </c>
      <c r="D14" s="16" t="s">
        <v>182</v>
      </c>
      <c r="E14" s="16" t="s">
        <v>183</v>
      </c>
      <c r="F14" s="16" t="s">
        <v>184</v>
      </c>
      <c r="G14" s="17">
        <f t="shared" si="6"/>
        <v>25.699439999999999</v>
      </c>
      <c r="H14" s="17">
        <v>10.4</v>
      </c>
      <c r="I14" s="18">
        <f t="shared" ref="I14:I31" si="14">IF(J14="","",J14*2.4711)</f>
        <v>694.37909999999999</v>
      </c>
      <c r="J14" s="18">
        <v>281</v>
      </c>
      <c r="K14" s="19">
        <f t="shared" si="1"/>
        <v>27.01923076923077</v>
      </c>
      <c r="L14" s="19">
        <f>3.28*M14</f>
        <v>18.04</v>
      </c>
      <c r="M14" s="19">
        <v>5.5</v>
      </c>
      <c r="N14" s="20">
        <f t="shared" ref="N14:N31" si="15">IF(O14="", "",O14*3.2808)</f>
        <v>4.2650399999999999</v>
      </c>
      <c r="O14" s="19">
        <v>1.3</v>
      </c>
      <c r="P14" s="21" t="str">
        <f t="shared" si="3"/>
        <v>no</v>
      </c>
      <c r="Q14" s="22">
        <v>8.018979833926454E-2</v>
      </c>
      <c r="R14" s="18" t="s">
        <v>2093</v>
      </c>
      <c r="S14" s="23">
        <v>41.194964735399999</v>
      </c>
      <c r="T14" s="23">
        <v>-73.703767197399998</v>
      </c>
      <c r="U14" s="16" t="s">
        <v>77</v>
      </c>
      <c r="V14" s="16" t="s">
        <v>77</v>
      </c>
      <c r="W14" t="str">
        <f t="shared" si="7"/>
        <v>no</v>
      </c>
      <c r="Y14" t="str">
        <f t="shared" si="4"/>
        <v>recreation</v>
      </c>
      <c r="Z14" t="s">
        <v>79</v>
      </c>
      <c r="AA14" s="24" t="s">
        <v>185</v>
      </c>
      <c r="AB14" s="24" t="s">
        <v>79</v>
      </c>
      <c r="AC14" s="24">
        <f>IF(AND(AA14="none reported",AB14="none reported"),"",0)</f>
        <v>0</v>
      </c>
      <c r="AD14" s="24"/>
      <c r="AE14" s="25" t="s">
        <v>186</v>
      </c>
      <c r="AF14" t="str">
        <f t="shared" si="5"/>
        <v>yes</v>
      </c>
      <c r="AG14" s="26" t="s">
        <v>81</v>
      </c>
      <c r="AH14" s="27" t="s">
        <v>156</v>
      </c>
      <c r="AI14" s="28" t="s">
        <v>156</v>
      </c>
      <c r="AJ14" s="29" t="s">
        <v>156</v>
      </c>
      <c r="AK14" s="30" t="s">
        <v>156</v>
      </c>
      <c r="AL14" s="31" t="s">
        <v>156</v>
      </c>
      <c r="AM14" s="32" t="s">
        <v>156</v>
      </c>
      <c r="AN14" s="39">
        <v>43667</v>
      </c>
      <c r="AO14" s="39">
        <v>43723</v>
      </c>
      <c r="AP14" s="39"/>
      <c r="AQ14">
        <v>10</v>
      </c>
      <c r="AR14">
        <v>4</v>
      </c>
      <c r="AS14">
        <v>2</v>
      </c>
      <c r="AT14">
        <v>5</v>
      </c>
      <c r="AU14">
        <v>1</v>
      </c>
      <c r="AV14">
        <v>2</v>
      </c>
      <c r="AW14">
        <v>1</v>
      </c>
      <c r="AX14">
        <v>1</v>
      </c>
      <c r="AY14" t="s">
        <v>187</v>
      </c>
      <c r="AZ14" t="s">
        <v>188</v>
      </c>
      <c r="BA14" t="s">
        <v>102</v>
      </c>
      <c r="BB14" t="s">
        <v>189</v>
      </c>
      <c r="BC14" t="s">
        <v>103</v>
      </c>
      <c r="BD14" t="s">
        <v>152</v>
      </c>
      <c r="BE14" t="s">
        <v>159</v>
      </c>
      <c r="BF14" t="s">
        <v>160</v>
      </c>
      <c r="BG14" t="str">
        <f t="shared" si="8"/>
        <v>CSLAP</v>
      </c>
      <c r="BH14" s="14" t="s">
        <v>102</v>
      </c>
      <c r="BJ14">
        <f t="shared" si="9"/>
        <v>4</v>
      </c>
      <c r="BK14">
        <f t="shared" si="10"/>
        <v>2</v>
      </c>
      <c r="BL14">
        <f t="shared" si="11"/>
        <v>3</v>
      </c>
      <c r="BM14" t="str">
        <f t="shared" si="12"/>
        <v>CSLAP</v>
      </c>
      <c r="BN14" t="str">
        <f t="shared" si="13"/>
        <v>no</v>
      </c>
      <c r="BO14">
        <v>0.6</v>
      </c>
      <c r="BU14" t="s">
        <v>190</v>
      </c>
      <c r="BV14" t="s">
        <v>187</v>
      </c>
    </row>
    <row r="15" spans="1:77" x14ac:dyDescent="0.3">
      <c r="A15" t="s">
        <v>1492</v>
      </c>
      <c r="B15" t="s">
        <v>1756</v>
      </c>
      <c r="C15" s="16">
        <v>235</v>
      </c>
      <c r="D15" s="16" t="s">
        <v>191</v>
      </c>
      <c r="E15" s="16" t="s">
        <v>127</v>
      </c>
      <c r="F15" s="16" t="s">
        <v>192</v>
      </c>
      <c r="G15" s="17">
        <f t="shared" si="6"/>
        <v>32.124299999999998</v>
      </c>
      <c r="H15" s="17">
        <v>13</v>
      </c>
      <c r="I15" s="18">
        <f t="shared" si="14"/>
        <v>580.70849999999996</v>
      </c>
      <c r="J15" s="18">
        <v>235</v>
      </c>
      <c r="K15" s="19">
        <f t="shared" si="1"/>
        <v>18.076923076923077</v>
      </c>
      <c r="L15" s="19">
        <f>3.28*M15</f>
        <v>26.895999999999997</v>
      </c>
      <c r="M15" s="19">
        <v>8.1999999999999993</v>
      </c>
      <c r="N15" s="20">
        <f t="shared" si="15"/>
        <v>14.7636</v>
      </c>
      <c r="O15" s="19">
        <v>4.5</v>
      </c>
      <c r="P15" s="21" t="str">
        <f t="shared" si="3"/>
        <v>no</v>
      </c>
      <c r="Q15" s="22">
        <v>0.41489361702127658</v>
      </c>
      <c r="R15" s="18" t="s">
        <v>2094</v>
      </c>
      <c r="S15" s="23">
        <v>42.648713638099998</v>
      </c>
      <c r="T15" s="23">
        <v>-73.488148900400006</v>
      </c>
      <c r="U15" s="16" t="s">
        <v>77</v>
      </c>
      <c r="V15" s="16" t="s">
        <v>96</v>
      </c>
      <c r="W15" t="str">
        <f t="shared" si="7"/>
        <v>no</v>
      </c>
      <c r="Y15" t="str">
        <f t="shared" si="4"/>
        <v>recreation</v>
      </c>
      <c r="Z15" t="s">
        <v>79</v>
      </c>
      <c r="AA15" s="24" t="s">
        <v>79</v>
      </c>
      <c r="AB15" s="24" t="s">
        <v>79</v>
      </c>
      <c r="AC15" s="35">
        <v>4.9591822511770953</v>
      </c>
      <c r="AD15" s="35" t="s">
        <v>194</v>
      </c>
      <c r="AE15" s="25">
        <v>2016</v>
      </c>
      <c r="AF15" t="str">
        <f t="shared" si="5"/>
        <v>no</v>
      </c>
      <c r="AG15" s="26" t="s">
        <v>81</v>
      </c>
      <c r="AH15" s="27" t="s">
        <v>156</v>
      </c>
      <c r="AI15" s="28" t="s">
        <v>156</v>
      </c>
      <c r="AJ15" s="29" t="s">
        <v>156</v>
      </c>
      <c r="AK15" s="30" t="s">
        <v>156</v>
      </c>
      <c r="AL15" s="31" t="s">
        <v>156</v>
      </c>
      <c r="AM15" s="32" t="s">
        <v>156</v>
      </c>
      <c r="AN15" s="33" t="s">
        <v>81</v>
      </c>
      <c r="AO15" s="32" t="s">
        <v>81</v>
      </c>
      <c r="AP15" s="39"/>
      <c r="AQ15">
        <v>2</v>
      </c>
      <c r="AR15">
        <v>1</v>
      </c>
      <c r="AS15">
        <v>0</v>
      </c>
      <c r="AT15">
        <v>2</v>
      </c>
      <c r="AU15">
        <v>0</v>
      </c>
      <c r="AV15">
        <v>0</v>
      </c>
      <c r="AW15">
        <v>0</v>
      </c>
      <c r="AX15">
        <v>0</v>
      </c>
      <c r="AZ15" t="s">
        <v>195</v>
      </c>
      <c r="BA15" t="s">
        <v>102</v>
      </c>
      <c r="BB15" t="s">
        <v>2095</v>
      </c>
      <c r="BC15" t="s">
        <v>132</v>
      </c>
      <c r="BD15" t="s">
        <v>152</v>
      </c>
      <c r="BE15" t="s">
        <v>196</v>
      </c>
      <c r="BF15" t="s">
        <v>133</v>
      </c>
      <c r="BG15" t="str">
        <f t="shared" si="8"/>
        <v>CSLAP</v>
      </c>
      <c r="BH15" s="14" t="s">
        <v>102</v>
      </c>
      <c r="BJ15">
        <f t="shared" si="9"/>
        <v>1</v>
      </c>
      <c r="BK15">
        <f t="shared" si="10"/>
        <v>1</v>
      </c>
      <c r="BL15">
        <f t="shared" si="11"/>
        <v>0</v>
      </c>
      <c r="BM15" t="str">
        <f t="shared" si="12"/>
        <v>CSLAP</v>
      </c>
      <c r="BN15" t="str">
        <f t="shared" si="13"/>
        <v>no</v>
      </c>
      <c r="BO15">
        <v>0.6</v>
      </c>
    </row>
    <row r="16" spans="1:77" x14ac:dyDescent="0.3">
      <c r="A16" t="s">
        <v>1494</v>
      </c>
      <c r="B16" t="s">
        <v>1757</v>
      </c>
      <c r="C16" s="16">
        <v>228</v>
      </c>
      <c r="D16" s="16" t="s">
        <v>197</v>
      </c>
      <c r="E16" s="16" t="s">
        <v>198</v>
      </c>
      <c r="F16" s="16" t="s">
        <v>199</v>
      </c>
      <c r="G16" s="17">
        <f>H16*2.4711</f>
        <v>76.851209999999995</v>
      </c>
      <c r="H16" s="17">
        <v>31.1</v>
      </c>
      <c r="I16" s="18">
        <f>IF(J16="","",J16*2.4711)</f>
        <v>563.16368999999997</v>
      </c>
      <c r="J16" s="18">
        <v>227.9</v>
      </c>
      <c r="K16" s="19">
        <f>J16/H16</f>
        <v>7.327974276527331</v>
      </c>
      <c r="L16" s="19">
        <f>3.28*M16</f>
        <v>50.839999999999996</v>
      </c>
      <c r="M16" s="19">
        <v>15.5</v>
      </c>
      <c r="N16" s="20">
        <f>IF(O16="", "",O16*3.2808)</f>
        <v>23.900627999999998</v>
      </c>
      <c r="O16" s="19">
        <v>7.2849999999999993</v>
      </c>
      <c r="P16" s="21" t="str">
        <f>IF(O16=(M16*0.46),"yes","no")</f>
        <v>no</v>
      </c>
      <c r="Q16" s="22">
        <v>1.2191979193899782</v>
      </c>
      <c r="R16" s="18" t="s">
        <v>2096</v>
      </c>
      <c r="S16" s="23">
        <v>40.920164213100001</v>
      </c>
      <c r="T16" s="23">
        <v>-72.419254389599999</v>
      </c>
      <c r="U16" s="18" t="s">
        <v>77</v>
      </c>
      <c r="V16" s="18"/>
      <c r="W16" t="str">
        <f>IF(OR(U16="A",U16="AA",U16="AAspec",U16="A(T)",U16="AA(T)"),"yes","no")</f>
        <v>no</v>
      </c>
      <c r="Y16" t="str">
        <f>IF(W16="yes",IF(X16="","potable water and recreation","potable water, recreation, and public bathing"),IF(X16="","recreation","recreation and public bathing"))</f>
        <v>recreation</v>
      </c>
      <c r="Z16" t="s">
        <v>79</v>
      </c>
      <c r="AA16" s="24" t="s">
        <v>79</v>
      </c>
      <c r="AB16" s="24" t="s">
        <v>79</v>
      </c>
      <c r="AC16" s="35">
        <v>0.58320140059881587</v>
      </c>
      <c r="AD16" s="35" t="s">
        <v>200</v>
      </c>
      <c r="AF16" t="str">
        <f>IF(AE16="","",IF(IFERROR(SEARCH(",",AE16,1)&gt;1,0),"yes","no"))</f>
        <v/>
      </c>
      <c r="AG16" s="16" t="s">
        <v>81</v>
      </c>
      <c r="AH16" s="16" t="s">
        <v>83</v>
      </c>
      <c r="AI16" s="16" t="s">
        <v>141</v>
      </c>
      <c r="AJ16" s="16" t="s">
        <v>82</v>
      </c>
      <c r="AK16" s="16" t="s">
        <v>100</v>
      </c>
      <c r="AL16" s="16" t="s">
        <v>100</v>
      </c>
      <c r="AM16" s="16" t="s">
        <v>82</v>
      </c>
      <c r="AN16" s="33" t="s">
        <v>81</v>
      </c>
      <c r="AO16" s="32" t="s">
        <v>81</v>
      </c>
      <c r="AP16" s="39"/>
      <c r="AQ16">
        <v>1</v>
      </c>
      <c r="AR16">
        <v>1</v>
      </c>
      <c r="AS16">
        <v>0</v>
      </c>
      <c r="AT16">
        <v>0</v>
      </c>
      <c r="AU16">
        <v>0</v>
      </c>
      <c r="AV16">
        <v>0</v>
      </c>
      <c r="AW16">
        <v>0</v>
      </c>
      <c r="AX16">
        <v>0</v>
      </c>
      <c r="AZ16" t="s">
        <v>201</v>
      </c>
      <c r="BA16" t="s">
        <v>102</v>
      </c>
      <c r="BB16" t="s">
        <v>2097</v>
      </c>
      <c r="BC16" t="s">
        <v>103</v>
      </c>
      <c r="BD16" t="s">
        <v>202</v>
      </c>
      <c r="BE16" t="s">
        <v>203</v>
      </c>
      <c r="BF16" t="s">
        <v>203</v>
      </c>
      <c r="BG16" t="str">
        <f>IF(C16="","LCI","CSLAP")</f>
        <v>CSLAP</v>
      </c>
      <c r="BH16" s="14" t="s">
        <v>102</v>
      </c>
      <c r="BJ16">
        <f>IF(MAX(AT16:AX16)=0,0,IF(MAX(AT16:AX16)=1,1,LEN(AE16)-LEN(SUBSTITUTE(UPPER(AE16),",",""))+1))</f>
        <v>0</v>
      </c>
      <c r="BK16">
        <f>IF(BJ16&gt;1,2,IF(BJ16&gt;0,1,0))</f>
        <v>0</v>
      </c>
      <c r="BL16">
        <f>IF(BJ16&gt;2,3,IF(BJ16&gt;2,2,IF(BJ16&gt;1,1,0)))</f>
        <v>0</v>
      </c>
      <c r="BM16" t="str">
        <f>IF(C16="","LCI","CSLAP")</f>
        <v>CSLAP</v>
      </c>
      <c r="BN16" t="str">
        <f>IF(LEFT(AB16,13)="zebra mussels","yes","no")</f>
        <v>no</v>
      </c>
      <c r="BO16">
        <v>0.3</v>
      </c>
    </row>
    <row r="17" spans="1:77" x14ac:dyDescent="0.3">
      <c r="A17" t="s">
        <v>1495</v>
      </c>
      <c r="B17" t="s">
        <v>1758</v>
      </c>
      <c r="C17" s="16">
        <v>51</v>
      </c>
      <c r="D17" s="16" t="s">
        <v>204</v>
      </c>
      <c r="E17" s="16" t="s">
        <v>205</v>
      </c>
      <c r="F17" s="16" t="s">
        <v>206</v>
      </c>
      <c r="G17" s="17">
        <f t="shared" si="6"/>
        <v>8352.3179999999993</v>
      </c>
      <c r="H17" s="17">
        <v>3380</v>
      </c>
      <c r="I17" s="18">
        <f t="shared" si="14"/>
        <v>356826.83999999997</v>
      </c>
      <c r="J17" s="18">
        <v>144400</v>
      </c>
      <c r="K17" s="19">
        <f t="shared" si="1"/>
        <v>42.721893491124263</v>
      </c>
      <c r="L17" s="19">
        <v>16.075920000000004</v>
      </c>
      <c r="M17" s="19">
        <v>4.9000000000000004</v>
      </c>
      <c r="N17" s="20">
        <f t="shared" si="15"/>
        <v>8.202</v>
      </c>
      <c r="O17" s="19">
        <v>2.5</v>
      </c>
      <c r="P17" s="21" t="str">
        <f t="shared" si="3"/>
        <v>no</v>
      </c>
      <c r="Q17" s="22">
        <v>0.13</v>
      </c>
      <c r="R17" s="18" t="s">
        <v>207</v>
      </c>
      <c r="S17" s="23">
        <v>44.505070000000003</v>
      </c>
      <c r="T17" s="23">
        <v>-75.582880000000003</v>
      </c>
      <c r="U17" s="18" t="s">
        <v>77</v>
      </c>
      <c r="V17" s="18" t="s">
        <v>78</v>
      </c>
      <c r="W17" t="str">
        <f t="shared" si="7"/>
        <v>no</v>
      </c>
      <c r="X17" s="16" t="s">
        <v>208</v>
      </c>
      <c r="Y17" t="str">
        <f t="shared" si="4"/>
        <v>recreation and public bathing</v>
      </c>
      <c r="Z17" t="s">
        <v>79</v>
      </c>
      <c r="AA17" s="40" t="s">
        <v>209</v>
      </c>
      <c r="AB17" s="40" t="s">
        <v>210</v>
      </c>
      <c r="AC17" s="24">
        <f>IF(AND(AA17="none reported",AB17="none reported"),"",0)</f>
        <v>0</v>
      </c>
      <c r="AD17" s="24"/>
      <c r="AE17" s="25" t="s">
        <v>211</v>
      </c>
      <c r="AF17" t="str">
        <f t="shared" si="5"/>
        <v>yes</v>
      </c>
      <c r="AG17" s="26" t="s">
        <v>81</v>
      </c>
      <c r="AH17" s="27" t="s">
        <v>141</v>
      </c>
      <c r="AI17" s="28" t="s">
        <v>141</v>
      </c>
      <c r="AJ17" s="29" t="s">
        <v>156</v>
      </c>
      <c r="AK17" s="30" t="s">
        <v>84</v>
      </c>
      <c r="AL17" s="31" t="s">
        <v>156</v>
      </c>
      <c r="AM17" s="32" t="s">
        <v>156</v>
      </c>
      <c r="AN17" s="39">
        <v>43693</v>
      </c>
      <c r="AO17" s="39">
        <v>43693</v>
      </c>
      <c r="AP17" s="39"/>
      <c r="AQ17">
        <v>11</v>
      </c>
      <c r="AR17">
        <v>5</v>
      </c>
      <c r="AS17">
        <v>2</v>
      </c>
      <c r="AT17">
        <v>5</v>
      </c>
      <c r="AU17">
        <v>2</v>
      </c>
      <c r="AV17">
        <v>4</v>
      </c>
      <c r="AW17">
        <v>3</v>
      </c>
      <c r="AX17">
        <v>3</v>
      </c>
      <c r="AY17" t="s">
        <v>212</v>
      </c>
      <c r="AZ17" t="s">
        <v>213</v>
      </c>
      <c r="BA17" t="s">
        <v>102</v>
      </c>
      <c r="BB17" t="s">
        <v>214</v>
      </c>
      <c r="BC17" t="s">
        <v>87</v>
      </c>
      <c r="BD17" t="s">
        <v>215</v>
      </c>
      <c r="BE17" t="s">
        <v>216</v>
      </c>
      <c r="BF17" t="s">
        <v>216</v>
      </c>
      <c r="BG17" t="str">
        <f t="shared" si="8"/>
        <v>CSLAP</v>
      </c>
      <c r="BH17" s="14" t="s">
        <v>102</v>
      </c>
      <c r="BJ17">
        <f t="shared" si="9"/>
        <v>7</v>
      </c>
      <c r="BK17">
        <f t="shared" si="10"/>
        <v>2</v>
      </c>
      <c r="BL17">
        <f t="shared" si="11"/>
        <v>3</v>
      </c>
      <c r="BM17" t="str">
        <f t="shared" si="12"/>
        <v>CSLAP</v>
      </c>
      <c r="BN17" t="str">
        <f t="shared" si="13"/>
        <v>yes</v>
      </c>
      <c r="BO17">
        <v>0.45013850415512463</v>
      </c>
      <c r="BS17" s="41">
        <f>(6+0+27)/3</f>
        <v>11</v>
      </c>
    </row>
    <row r="18" spans="1:77" x14ac:dyDescent="0.3">
      <c r="A18" t="s">
        <v>1759</v>
      </c>
      <c r="B18" t="s">
        <v>1760</v>
      </c>
      <c r="C18" s="16">
        <v>217</v>
      </c>
      <c r="D18" s="16" t="s">
        <v>217</v>
      </c>
      <c r="E18" s="16" t="s">
        <v>198</v>
      </c>
      <c r="F18" s="16" t="s">
        <v>199</v>
      </c>
      <c r="G18" s="17">
        <f t="shared" si="6"/>
        <v>2.71821</v>
      </c>
      <c r="H18" s="17">
        <v>1.1000000000000001</v>
      </c>
      <c r="I18" s="18">
        <f t="shared" si="14"/>
        <v>123.55499999999999</v>
      </c>
      <c r="J18" s="18">
        <v>50</v>
      </c>
      <c r="K18" s="19">
        <f t="shared" si="1"/>
        <v>45.454545454545453</v>
      </c>
      <c r="L18" s="19">
        <v>3.2808000000000002</v>
      </c>
      <c r="M18" s="19">
        <v>1</v>
      </c>
      <c r="N18" s="20">
        <f t="shared" si="15"/>
        <v>1.541976</v>
      </c>
      <c r="O18" s="19">
        <v>0.47</v>
      </c>
      <c r="P18" s="21" t="str">
        <f t="shared" si="3"/>
        <v>no</v>
      </c>
      <c r="Q18" s="22">
        <v>3.565517241379311E-2</v>
      </c>
      <c r="R18" s="18" t="s">
        <v>218</v>
      </c>
      <c r="S18" s="23">
        <v>40.951336900000001</v>
      </c>
      <c r="T18" s="23">
        <v>-72.296261729999998</v>
      </c>
      <c r="U18" s="18" t="s">
        <v>78</v>
      </c>
      <c r="V18" s="18"/>
      <c r="W18" t="str">
        <f t="shared" si="7"/>
        <v>no</v>
      </c>
      <c r="Y18" t="str">
        <f t="shared" si="4"/>
        <v>recreation</v>
      </c>
      <c r="Z18" t="s">
        <v>79</v>
      </c>
      <c r="AA18" s="24" t="s">
        <v>79</v>
      </c>
      <c r="AB18" s="24" t="s">
        <v>79</v>
      </c>
      <c r="AC18" s="35">
        <v>1.793695641268457</v>
      </c>
      <c r="AD18" s="35" t="s">
        <v>219</v>
      </c>
      <c r="AF18" t="str">
        <f t="shared" si="5"/>
        <v/>
      </c>
      <c r="AG18" s="26" t="s">
        <v>81</v>
      </c>
      <c r="AH18" s="27" t="s">
        <v>81</v>
      </c>
      <c r="AI18" s="28" t="s">
        <v>156</v>
      </c>
      <c r="AJ18" s="28" t="s">
        <v>156</v>
      </c>
      <c r="AK18" s="28" t="s">
        <v>156</v>
      </c>
      <c r="AL18" s="28" t="s">
        <v>156</v>
      </c>
      <c r="AM18" s="28" t="s">
        <v>156</v>
      </c>
      <c r="AN18" s="33" t="s">
        <v>81</v>
      </c>
      <c r="AO18" s="28" t="s">
        <v>81</v>
      </c>
      <c r="AP18" s="39"/>
      <c r="AQ18">
        <v>0</v>
      </c>
      <c r="AR18">
        <v>0</v>
      </c>
      <c r="AS18">
        <v>0</v>
      </c>
      <c r="AT18">
        <v>0</v>
      </c>
      <c r="AU18">
        <v>0</v>
      </c>
      <c r="AV18">
        <v>0</v>
      </c>
      <c r="AW18">
        <v>0</v>
      </c>
      <c r="AX18">
        <v>0</v>
      </c>
      <c r="BA18" t="s">
        <v>102</v>
      </c>
      <c r="BC18" t="s">
        <v>103</v>
      </c>
      <c r="BD18" t="s">
        <v>202</v>
      </c>
      <c r="BE18" t="s">
        <v>203</v>
      </c>
      <c r="BF18" t="s">
        <v>203</v>
      </c>
      <c r="BG18" t="str">
        <f t="shared" si="8"/>
        <v>CSLAP</v>
      </c>
      <c r="BH18" s="14" t="s">
        <v>99</v>
      </c>
      <c r="BJ18">
        <f t="shared" si="9"/>
        <v>0</v>
      </c>
      <c r="BK18">
        <f t="shared" si="10"/>
        <v>0</v>
      </c>
      <c r="BL18">
        <f t="shared" si="11"/>
        <v>0</v>
      </c>
      <c r="BM18" t="str">
        <f t="shared" si="12"/>
        <v>CSLAP</v>
      </c>
      <c r="BN18" t="str">
        <f t="shared" si="13"/>
        <v>no</v>
      </c>
      <c r="BO18">
        <v>0.28999999999999998</v>
      </c>
    </row>
    <row r="19" spans="1:77" x14ac:dyDescent="0.3">
      <c r="A19" t="s">
        <v>1761</v>
      </c>
      <c r="B19" t="s">
        <v>1762</v>
      </c>
      <c r="C19" s="16">
        <v>106</v>
      </c>
      <c r="D19" s="16" t="s">
        <v>220</v>
      </c>
      <c r="E19" s="16" t="s">
        <v>221</v>
      </c>
      <c r="F19" s="16" t="s">
        <v>222</v>
      </c>
      <c r="G19" s="17">
        <f t="shared" si="6"/>
        <v>244.39178999999999</v>
      </c>
      <c r="H19" s="17">
        <v>98.9</v>
      </c>
      <c r="I19" s="18">
        <f t="shared" si="14"/>
        <v>629.38916999999992</v>
      </c>
      <c r="J19" s="18">
        <v>254.7</v>
      </c>
      <c r="K19" s="19">
        <f t="shared" si="1"/>
        <v>2.5753286147623862</v>
      </c>
      <c r="L19" s="19">
        <v>22.965600000000002</v>
      </c>
      <c r="M19" s="19">
        <v>7</v>
      </c>
      <c r="N19" s="20">
        <f t="shared" si="15"/>
        <v>10.793832</v>
      </c>
      <c r="O19" s="19">
        <v>3.29</v>
      </c>
      <c r="P19" s="21" t="str">
        <f t="shared" si="3"/>
        <v>no</v>
      </c>
      <c r="Q19" s="22">
        <v>3.352178029053789</v>
      </c>
      <c r="R19" s="18" t="s">
        <v>223</v>
      </c>
      <c r="S19" s="23">
        <v>43.337810779999998</v>
      </c>
      <c r="T19" s="23">
        <v>-76.727879709999996</v>
      </c>
      <c r="U19" s="18" t="s">
        <v>77</v>
      </c>
      <c r="V19" s="18" t="s">
        <v>224</v>
      </c>
      <c r="W19" t="str">
        <f t="shared" si="7"/>
        <v>no</v>
      </c>
      <c r="Y19" t="str">
        <f t="shared" si="4"/>
        <v>recreation</v>
      </c>
      <c r="Z19" t="s">
        <v>79</v>
      </c>
      <c r="AA19" s="40" t="s">
        <v>79</v>
      </c>
      <c r="AB19" s="40" t="s">
        <v>79</v>
      </c>
      <c r="AC19" s="35">
        <v>1.0800025144934058</v>
      </c>
      <c r="AD19" s="35" t="s">
        <v>225</v>
      </c>
      <c r="AE19" s="25">
        <v>2016</v>
      </c>
      <c r="AF19" t="str">
        <f t="shared" si="5"/>
        <v>no</v>
      </c>
      <c r="AG19" s="26" t="s">
        <v>81</v>
      </c>
      <c r="AH19" s="27" t="s">
        <v>141</v>
      </c>
      <c r="AI19" s="28" t="s">
        <v>141</v>
      </c>
      <c r="AJ19" s="29" t="s">
        <v>82</v>
      </c>
      <c r="AK19" s="30" t="s">
        <v>84</v>
      </c>
      <c r="AL19" s="31" t="s">
        <v>84</v>
      </c>
      <c r="AM19" s="32" t="s">
        <v>83</v>
      </c>
      <c r="AN19" s="33" t="s">
        <v>81</v>
      </c>
      <c r="AO19" s="28" t="s">
        <v>81</v>
      </c>
      <c r="AP19" s="39"/>
      <c r="AQ19">
        <v>7</v>
      </c>
      <c r="AR19">
        <v>0</v>
      </c>
      <c r="AS19">
        <v>0</v>
      </c>
      <c r="AT19">
        <v>3</v>
      </c>
      <c r="AU19">
        <v>0</v>
      </c>
      <c r="AV19">
        <v>1</v>
      </c>
      <c r="AW19">
        <v>0</v>
      </c>
      <c r="AX19">
        <v>0</v>
      </c>
      <c r="BA19" t="s">
        <v>102</v>
      </c>
      <c r="BC19" t="s">
        <v>226</v>
      </c>
      <c r="BD19" t="s">
        <v>227</v>
      </c>
      <c r="BE19" t="s">
        <v>228</v>
      </c>
      <c r="BF19" t="s">
        <v>229</v>
      </c>
      <c r="BG19" t="str">
        <f t="shared" si="8"/>
        <v>CSLAP</v>
      </c>
      <c r="BH19" s="14" t="str">
        <f>IF(RIGHT(CM19,4)="2011","yes","no")</f>
        <v>no</v>
      </c>
      <c r="BJ19">
        <f t="shared" si="9"/>
        <v>1</v>
      </c>
      <c r="BK19">
        <f t="shared" si="10"/>
        <v>1</v>
      </c>
      <c r="BL19">
        <f t="shared" si="11"/>
        <v>0</v>
      </c>
      <c r="BM19" t="str">
        <f t="shared" si="12"/>
        <v>CSLAP</v>
      </c>
      <c r="BN19" t="str">
        <f t="shared" si="13"/>
        <v>no</v>
      </c>
      <c r="BO19">
        <v>0.38109756097560976</v>
      </c>
      <c r="BW19" t="s">
        <v>230</v>
      </c>
    </row>
    <row r="20" spans="1:77" x14ac:dyDescent="0.3">
      <c r="A20" t="s">
        <v>1496</v>
      </c>
      <c r="B20" t="s">
        <v>1763</v>
      </c>
      <c r="C20" s="16">
        <v>202</v>
      </c>
      <c r="D20" s="16" t="s">
        <v>231</v>
      </c>
      <c r="E20" s="16" t="s">
        <v>183</v>
      </c>
      <c r="F20" s="16" t="s">
        <v>232</v>
      </c>
      <c r="G20" s="17">
        <f t="shared" si="6"/>
        <v>44.726910000000004</v>
      </c>
      <c r="H20" s="17">
        <v>18.100000000000001</v>
      </c>
      <c r="I20" s="18">
        <f t="shared" si="14"/>
        <v>480.13472999999999</v>
      </c>
      <c r="J20" s="18">
        <v>194.3</v>
      </c>
      <c r="K20" s="19">
        <f t="shared" si="1"/>
        <v>10.734806629834253</v>
      </c>
      <c r="L20" s="19">
        <v>15.09168</v>
      </c>
      <c r="M20" s="19">
        <v>4.5999999999999996</v>
      </c>
      <c r="N20" s="20">
        <f t="shared" si="15"/>
        <v>9.8424000000000014</v>
      </c>
      <c r="O20" s="19">
        <v>3</v>
      </c>
      <c r="P20" s="21" t="str">
        <f t="shared" si="3"/>
        <v>no</v>
      </c>
      <c r="Q20" s="22">
        <v>0.56568262313995132</v>
      </c>
      <c r="R20" s="18" t="s">
        <v>233</v>
      </c>
      <c r="S20" s="23">
        <v>41.196185922399998</v>
      </c>
      <c r="T20" s="23">
        <v>-73.591616110299995</v>
      </c>
      <c r="U20" s="18" t="s">
        <v>77</v>
      </c>
      <c r="V20" s="18" t="s">
        <v>77</v>
      </c>
      <c r="W20" t="str">
        <f t="shared" si="7"/>
        <v>no</v>
      </c>
      <c r="Y20" t="str">
        <f t="shared" si="4"/>
        <v>recreation</v>
      </c>
      <c r="Z20" t="s">
        <v>79</v>
      </c>
      <c r="AA20" s="24" t="s">
        <v>79</v>
      </c>
      <c r="AB20" s="24" t="s">
        <v>79</v>
      </c>
      <c r="AC20" s="35">
        <v>5.8449845902375843</v>
      </c>
      <c r="AD20" s="35" t="s">
        <v>182</v>
      </c>
      <c r="AE20" s="25">
        <v>2014</v>
      </c>
      <c r="AF20" t="str">
        <f t="shared" si="5"/>
        <v>no</v>
      </c>
      <c r="AG20" s="26" t="s">
        <v>81</v>
      </c>
      <c r="AH20" s="27" t="s">
        <v>82</v>
      </c>
      <c r="AI20" s="28" t="s">
        <v>82</v>
      </c>
      <c r="AJ20" s="29" t="s">
        <v>82</v>
      </c>
      <c r="AK20" s="30" t="s">
        <v>85</v>
      </c>
      <c r="AL20" s="31" t="s">
        <v>85</v>
      </c>
      <c r="AM20" s="32" t="s">
        <v>82</v>
      </c>
      <c r="AN20" s="33" t="s">
        <v>81</v>
      </c>
      <c r="AO20" s="28" t="s">
        <v>81</v>
      </c>
      <c r="AP20" s="39"/>
      <c r="AQ20">
        <v>0</v>
      </c>
      <c r="AR20">
        <v>0</v>
      </c>
      <c r="AS20">
        <v>0</v>
      </c>
      <c r="AT20">
        <v>0</v>
      </c>
      <c r="AU20">
        <v>0</v>
      </c>
      <c r="AV20">
        <v>2</v>
      </c>
      <c r="AW20">
        <v>0</v>
      </c>
      <c r="AX20">
        <v>0</v>
      </c>
      <c r="AZ20" t="s">
        <v>234</v>
      </c>
      <c r="BA20" t="s">
        <v>102</v>
      </c>
      <c r="BB20" t="s">
        <v>235</v>
      </c>
      <c r="BC20" t="s">
        <v>103</v>
      </c>
      <c r="BD20" t="s">
        <v>152</v>
      </c>
      <c r="BE20" t="s">
        <v>159</v>
      </c>
      <c r="BF20" t="s">
        <v>160</v>
      </c>
      <c r="BG20" t="str">
        <f t="shared" si="8"/>
        <v>CSLAP</v>
      </c>
      <c r="BH20" s="14" t="s">
        <v>102</v>
      </c>
      <c r="BJ20">
        <f t="shared" si="9"/>
        <v>1</v>
      </c>
      <c r="BK20">
        <f t="shared" si="10"/>
        <v>1</v>
      </c>
      <c r="BL20">
        <f t="shared" si="11"/>
        <v>0</v>
      </c>
      <c r="BM20" t="str">
        <f t="shared" si="12"/>
        <v>CSLAP</v>
      </c>
      <c r="BN20" t="str">
        <f t="shared" si="13"/>
        <v>no</v>
      </c>
      <c r="BO20">
        <v>0.49403098806197615</v>
      </c>
    </row>
    <row r="21" spans="1:77" x14ac:dyDescent="0.3">
      <c r="A21" t="s">
        <v>1497</v>
      </c>
      <c r="B21" t="s">
        <v>1764</v>
      </c>
      <c r="C21" s="16">
        <v>237</v>
      </c>
      <c r="D21" s="16" t="s">
        <v>236</v>
      </c>
      <c r="E21" s="16" t="s">
        <v>237</v>
      </c>
      <c r="F21" s="16" t="s">
        <v>238</v>
      </c>
      <c r="G21" s="17">
        <f t="shared" si="6"/>
        <v>21.399725999999998</v>
      </c>
      <c r="H21" s="17">
        <v>8.66</v>
      </c>
      <c r="I21" s="18">
        <f t="shared" si="14"/>
        <v>296.53199999999998</v>
      </c>
      <c r="J21" s="18">
        <v>120</v>
      </c>
      <c r="K21" s="19">
        <f t="shared" si="1"/>
        <v>13.856812933025404</v>
      </c>
      <c r="L21" s="19">
        <f>3.28*M21</f>
        <v>9.84</v>
      </c>
      <c r="M21" s="19">
        <v>3</v>
      </c>
      <c r="N21" s="20">
        <f t="shared" si="15"/>
        <v>2.9527200000000002</v>
      </c>
      <c r="O21" s="19">
        <v>0.9</v>
      </c>
      <c r="P21" s="21" t="str">
        <f t="shared" si="3"/>
        <v>no</v>
      </c>
      <c r="Q21" s="22">
        <v>0.12990000000000002</v>
      </c>
      <c r="R21" s="18" t="s">
        <v>239</v>
      </c>
      <c r="S21" s="23">
        <v>44.309312436900001</v>
      </c>
      <c r="T21" s="23">
        <v>-75.739522803400007</v>
      </c>
      <c r="U21" s="16" t="s">
        <v>77</v>
      </c>
      <c r="V21" s="16" t="s">
        <v>96</v>
      </c>
      <c r="W21" t="str">
        <f t="shared" si="7"/>
        <v>no</v>
      </c>
      <c r="Y21" t="str">
        <f t="shared" si="4"/>
        <v>recreation</v>
      </c>
      <c r="Z21" t="s">
        <v>79</v>
      </c>
      <c r="AA21" s="24" t="s">
        <v>79</v>
      </c>
      <c r="AB21" s="24" t="s">
        <v>79</v>
      </c>
      <c r="AC21" s="35">
        <v>0.7494193316582437</v>
      </c>
      <c r="AD21" s="35" t="s">
        <v>240</v>
      </c>
      <c r="AE21" s="25" t="s">
        <v>241</v>
      </c>
      <c r="AF21" t="str">
        <f t="shared" si="5"/>
        <v>yes</v>
      </c>
      <c r="AG21" s="26" t="s">
        <v>81</v>
      </c>
      <c r="AH21" s="16" t="s">
        <v>156</v>
      </c>
      <c r="AI21" s="16" t="s">
        <v>156</v>
      </c>
      <c r="AJ21" s="16" t="s">
        <v>156</v>
      </c>
      <c r="AK21" s="16" t="s">
        <v>156</v>
      </c>
      <c r="AL21" s="16" t="s">
        <v>156</v>
      </c>
      <c r="AM21" s="16" t="s">
        <v>156</v>
      </c>
      <c r="AN21" s="33" t="s">
        <v>81</v>
      </c>
      <c r="AO21" s="28" t="s">
        <v>81</v>
      </c>
      <c r="AP21" s="39"/>
      <c r="AQ21">
        <v>0</v>
      </c>
      <c r="AR21">
        <v>0</v>
      </c>
      <c r="AS21">
        <v>0</v>
      </c>
      <c r="AT21">
        <v>0</v>
      </c>
      <c r="AU21">
        <v>3</v>
      </c>
      <c r="AV21">
        <v>7</v>
      </c>
      <c r="AW21">
        <v>0</v>
      </c>
      <c r="AX21">
        <v>0</v>
      </c>
      <c r="AZ21" s="16"/>
      <c r="BA21" t="s">
        <v>102</v>
      </c>
      <c r="BC21" t="s">
        <v>87</v>
      </c>
      <c r="BD21" t="s">
        <v>215</v>
      </c>
      <c r="BE21" t="s">
        <v>216</v>
      </c>
      <c r="BF21" t="s">
        <v>216</v>
      </c>
      <c r="BG21" t="str">
        <f t="shared" si="8"/>
        <v>CSLAP</v>
      </c>
      <c r="BH21" s="14" t="s">
        <v>99</v>
      </c>
      <c r="BJ21">
        <f t="shared" si="9"/>
        <v>2</v>
      </c>
      <c r="BK21">
        <f t="shared" si="10"/>
        <v>2</v>
      </c>
      <c r="BL21">
        <f t="shared" si="11"/>
        <v>1</v>
      </c>
      <c r="BM21" t="str">
        <f t="shared" si="12"/>
        <v>CSLAP</v>
      </c>
      <c r="BN21" t="str">
        <f t="shared" si="13"/>
        <v>no</v>
      </c>
      <c r="BO21">
        <v>0.5</v>
      </c>
    </row>
    <row r="22" spans="1:77" x14ac:dyDescent="0.3">
      <c r="A22" t="s">
        <v>1498</v>
      </c>
      <c r="B22" t="s">
        <v>1765</v>
      </c>
      <c r="C22" s="16">
        <v>46</v>
      </c>
      <c r="D22" s="16" t="s">
        <v>242</v>
      </c>
      <c r="E22" s="16" t="s">
        <v>243</v>
      </c>
      <c r="F22" s="16" t="s">
        <v>244</v>
      </c>
      <c r="G22" s="17">
        <f t="shared" si="6"/>
        <v>140.8527</v>
      </c>
      <c r="H22" s="17">
        <v>57</v>
      </c>
      <c r="I22" s="18">
        <f t="shared" si="14"/>
        <v>1638.0921899999998</v>
      </c>
      <c r="J22" s="18">
        <v>662.9</v>
      </c>
      <c r="K22" s="19">
        <f t="shared" si="1"/>
        <v>11.629824561403508</v>
      </c>
      <c r="L22" s="19">
        <f>3.28*M22</f>
        <v>28.864000000000001</v>
      </c>
      <c r="M22" s="19">
        <v>8.8000000000000007</v>
      </c>
      <c r="N22" s="20">
        <f t="shared" si="15"/>
        <v>13.77936</v>
      </c>
      <c r="O22" s="19">
        <v>4.2</v>
      </c>
      <c r="P22" s="21" t="str">
        <f t="shared" si="3"/>
        <v>no</v>
      </c>
      <c r="Q22" s="22">
        <v>0.90285110876451946</v>
      </c>
      <c r="R22" s="18" t="s">
        <v>2098</v>
      </c>
      <c r="S22" s="23">
        <v>42.834276920000001</v>
      </c>
      <c r="T22" s="23">
        <v>-75.661294139999995</v>
      </c>
      <c r="U22" s="18" t="s">
        <v>77</v>
      </c>
      <c r="V22" s="18" t="s">
        <v>77</v>
      </c>
      <c r="W22" t="str">
        <f t="shared" si="7"/>
        <v>no</v>
      </c>
      <c r="X22" s="16" t="s">
        <v>245</v>
      </c>
      <c r="Y22" t="str">
        <f t="shared" si="4"/>
        <v>recreation and public bathing</v>
      </c>
      <c r="Z22" t="s">
        <v>79</v>
      </c>
      <c r="AA22" s="40" t="s">
        <v>209</v>
      </c>
      <c r="AB22" s="40" t="s">
        <v>79</v>
      </c>
      <c r="AC22" s="24">
        <f>IF(AND(AA22="none reported",AB22="none reported"),"",0)</f>
        <v>0</v>
      </c>
      <c r="AD22" s="24"/>
      <c r="AE22" s="25">
        <v>2019</v>
      </c>
      <c r="AF22" t="str">
        <f t="shared" si="5"/>
        <v>no</v>
      </c>
      <c r="AG22" s="26" t="s">
        <v>81</v>
      </c>
      <c r="AH22" s="27" t="s">
        <v>82</v>
      </c>
      <c r="AI22" s="28" t="s">
        <v>82</v>
      </c>
      <c r="AJ22" s="29" t="s">
        <v>82</v>
      </c>
      <c r="AK22" s="30" t="s">
        <v>85</v>
      </c>
      <c r="AL22" s="31" t="s">
        <v>85</v>
      </c>
      <c r="AM22" s="32" t="s">
        <v>82</v>
      </c>
      <c r="AN22" s="39">
        <v>43644</v>
      </c>
      <c r="AO22" s="39">
        <v>43644</v>
      </c>
      <c r="AP22" s="39"/>
      <c r="AQ22">
        <v>3</v>
      </c>
      <c r="AR22">
        <v>1</v>
      </c>
      <c r="AS22">
        <v>0</v>
      </c>
      <c r="AT22">
        <v>0</v>
      </c>
      <c r="AU22">
        <v>0</v>
      </c>
      <c r="AV22">
        <v>0</v>
      </c>
      <c r="AW22">
        <v>0</v>
      </c>
      <c r="AX22">
        <v>0</v>
      </c>
      <c r="AZ22" t="s">
        <v>246</v>
      </c>
      <c r="BA22" t="s">
        <v>102</v>
      </c>
      <c r="BB22" t="s">
        <v>2099</v>
      </c>
      <c r="BC22" t="s">
        <v>132</v>
      </c>
      <c r="BD22" t="s">
        <v>114</v>
      </c>
      <c r="BE22" t="s">
        <v>247</v>
      </c>
      <c r="BF22" t="s">
        <v>115</v>
      </c>
      <c r="BG22" t="str">
        <f t="shared" si="8"/>
        <v>CSLAP</v>
      </c>
      <c r="BH22" s="14" t="s">
        <v>102</v>
      </c>
      <c r="BI22">
        <v>4</v>
      </c>
      <c r="BJ22">
        <f t="shared" si="9"/>
        <v>0</v>
      </c>
      <c r="BK22">
        <f t="shared" si="10"/>
        <v>0</v>
      </c>
      <c r="BL22">
        <f t="shared" si="11"/>
        <v>0</v>
      </c>
      <c r="BM22" t="str">
        <f t="shared" si="12"/>
        <v>CSLAP</v>
      </c>
      <c r="BN22" t="str">
        <f t="shared" si="13"/>
        <v>no</v>
      </c>
      <c r="BO22">
        <v>0.4</v>
      </c>
    </row>
    <row r="23" spans="1:77" x14ac:dyDescent="0.3">
      <c r="A23" t="s">
        <v>1766</v>
      </c>
      <c r="B23" t="s">
        <v>1767</v>
      </c>
      <c r="C23" s="16">
        <v>125</v>
      </c>
      <c r="D23" s="16" t="s">
        <v>248</v>
      </c>
      <c r="E23" s="16" t="s">
        <v>249</v>
      </c>
      <c r="F23" s="16" t="s">
        <v>250</v>
      </c>
      <c r="G23" s="17">
        <f t="shared" si="6"/>
        <v>19.274579999999997</v>
      </c>
      <c r="H23" s="17">
        <v>7.8</v>
      </c>
      <c r="I23" s="18">
        <f t="shared" si="14"/>
        <v>3130.8836999999999</v>
      </c>
      <c r="J23" s="18">
        <v>1267</v>
      </c>
      <c r="K23" s="19">
        <f t="shared" si="1"/>
        <v>162.43589743589743</v>
      </c>
      <c r="L23" s="19">
        <v>7.5458400000000001</v>
      </c>
      <c r="M23" s="19">
        <v>2.2999999999999998</v>
      </c>
      <c r="N23" s="20">
        <f t="shared" si="15"/>
        <v>3.5465447999999999</v>
      </c>
      <c r="O23" s="19">
        <v>1.081</v>
      </c>
      <c r="P23" s="21" t="str">
        <f t="shared" si="3"/>
        <v>no</v>
      </c>
      <c r="Q23" s="22">
        <v>1.3096907971586422E-2</v>
      </c>
      <c r="R23" s="18" t="s">
        <v>251</v>
      </c>
      <c r="S23" s="23">
        <v>40.604422999999997</v>
      </c>
      <c r="T23" s="23">
        <v>-74.080213000000001</v>
      </c>
      <c r="U23" s="18" t="s">
        <v>77</v>
      </c>
      <c r="V23" s="18"/>
      <c r="W23" t="str">
        <f t="shared" si="7"/>
        <v>no</v>
      </c>
      <c r="Y23" t="str">
        <f t="shared" si="4"/>
        <v>recreation</v>
      </c>
      <c r="Z23" t="s">
        <v>79</v>
      </c>
      <c r="AA23" s="40" t="s">
        <v>79</v>
      </c>
      <c r="AB23" s="40" t="s">
        <v>79</v>
      </c>
      <c r="AC23" s="35">
        <v>6.7999994745522399</v>
      </c>
      <c r="AD23" s="35" t="s">
        <v>252</v>
      </c>
      <c r="AF23" t="str">
        <f t="shared" si="5"/>
        <v/>
      </c>
      <c r="AG23" s="26" t="s">
        <v>81</v>
      </c>
      <c r="AH23" s="27" t="s">
        <v>141</v>
      </c>
      <c r="AI23" s="28" t="s">
        <v>141</v>
      </c>
      <c r="AJ23" s="29" t="s">
        <v>82</v>
      </c>
      <c r="AK23" s="30" t="s">
        <v>121</v>
      </c>
      <c r="AL23" s="31" t="s">
        <v>85</v>
      </c>
      <c r="AM23" s="32" t="s">
        <v>82</v>
      </c>
      <c r="AN23" s="33" t="s">
        <v>81</v>
      </c>
      <c r="AO23" s="28" t="s">
        <v>81</v>
      </c>
      <c r="AP23" s="39"/>
      <c r="AQ23">
        <v>0</v>
      </c>
      <c r="AR23">
        <v>0</v>
      </c>
      <c r="AS23">
        <v>0</v>
      </c>
      <c r="AT23">
        <v>0</v>
      </c>
      <c r="AU23">
        <v>0</v>
      </c>
      <c r="AV23">
        <v>0</v>
      </c>
      <c r="AW23">
        <v>0</v>
      </c>
      <c r="AX23">
        <v>0</v>
      </c>
      <c r="BD23" t="s">
        <v>202</v>
      </c>
      <c r="BE23" t="s">
        <v>203</v>
      </c>
      <c r="BF23" t="s">
        <v>203</v>
      </c>
      <c r="BG23" t="str">
        <f t="shared" si="8"/>
        <v>CSLAP</v>
      </c>
      <c r="BH23" s="14" t="str">
        <f>IF(RIGHT(CM23,4)="2011","yes","no")</f>
        <v>no</v>
      </c>
      <c r="BJ23">
        <f t="shared" si="9"/>
        <v>0</v>
      </c>
      <c r="BK23">
        <f t="shared" si="10"/>
        <v>0</v>
      </c>
      <c r="BL23">
        <f t="shared" si="11"/>
        <v>0</v>
      </c>
      <c r="BM23" t="str">
        <f t="shared" si="12"/>
        <v>CSLAP</v>
      </c>
      <c r="BN23" t="str">
        <f t="shared" si="13"/>
        <v>no</v>
      </c>
      <c r="BO23">
        <v>0.50813008130081305</v>
      </c>
    </row>
    <row r="24" spans="1:77" x14ac:dyDescent="0.3">
      <c r="A24" t="s">
        <v>1499</v>
      </c>
      <c r="B24" t="s">
        <v>1768</v>
      </c>
      <c r="C24" s="16">
        <v>28</v>
      </c>
      <c r="D24" s="16" t="s">
        <v>253</v>
      </c>
      <c r="E24" s="16" t="s">
        <v>254</v>
      </c>
      <c r="F24" s="16" t="s">
        <v>253</v>
      </c>
      <c r="G24" s="17">
        <f t="shared" si="6"/>
        <v>1376.1555899999998</v>
      </c>
      <c r="H24" s="17">
        <v>556.9</v>
      </c>
      <c r="I24" s="18">
        <f t="shared" si="14"/>
        <v>25452.329999999998</v>
      </c>
      <c r="J24" s="18">
        <v>10300</v>
      </c>
      <c r="K24" s="19">
        <f t="shared" si="1"/>
        <v>18.495241515532413</v>
      </c>
      <c r="L24" s="19">
        <v>65</v>
      </c>
      <c r="M24" s="19">
        <v>19.8</v>
      </c>
      <c r="N24" s="20">
        <f t="shared" si="15"/>
        <v>29.85528</v>
      </c>
      <c r="O24" s="19">
        <v>9.1</v>
      </c>
      <c r="P24" s="21" t="str">
        <f t="shared" si="3"/>
        <v>no</v>
      </c>
      <c r="Q24" s="22">
        <v>0.6907834710743801</v>
      </c>
      <c r="R24" s="18" t="s">
        <v>2100</v>
      </c>
      <c r="S24" s="23">
        <v>43.713279460000003</v>
      </c>
      <c r="T24" s="23">
        <v>-73.705272100000002</v>
      </c>
      <c r="U24" s="18" t="s">
        <v>255</v>
      </c>
      <c r="V24" s="18" t="s">
        <v>78</v>
      </c>
      <c r="W24" t="str">
        <f t="shared" si="7"/>
        <v>yes</v>
      </c>
      <c r="X24" t="s">
        <v>256</v>
      </c>
      <c r="Y24" t="str">
        <f t="shared" si="4"/>
        <v>potable water, recreation, and public bathing</v>
      </c>
      <c r="Z24" t="s">
        <v>79</v>
      </c>
      <c r="AA24" s="40" t="s">
        <v>209</v>
      </c>
      <c r="AB24" s="40" t="s">
        <v>79</v>
      </c>
      <c r="AC24" s="24">
        <f>IF(AND(AA24="none reported",AB24="none reported"),"",0)</f>
        <v>0</v>
      </c>
      <c r="AD24" s="24"/>
      <c r="AF24" t="str">
        <f t="shared" si="5"/>
        <v/>
      </c>
      <c r="AG24" s="26" t="s">
        <v>257</v>
      </c>
      <c r="AH24" s="27" t="s">
        <v>82</v>
      </c>
      <c r="AI24" s="28" t="s">
        <v>82</v>
      </c>
      <c r="AJ24" s="29" t="s">
        <v>82</v>
      </c>
      <c r="AK24" s="30" t="s">
        <v>85</v>
      </c>
      <c r="AL24" s="31" t="s">
        <v>85</v>
      </c>
      <c r="AM24" s="32" t="s">
        <v>82</v>
      </c>
      <c r="AN24" s="33" t="s">
        <v>81</v>
      </c>
      <c r="AO24" s="28" t="s">
        <v>81</v>
      </c>
      <c r="AP24" s="39"/>
      <c r="AQ24">
        <v>0</v>
      </c>
      <c r="AR24">
        <v>0</v>
      </c>
      <c r="AS24">
        <v>0</v>
      </c>
      <c r="AT24">
        <v>0</v>
      </c>
      <c r="AU24">
        <v>0</v>
      </c>
      <c r="AV24">
        <v>0</v>
      </c>
      <c r="AW24">
        <v>0</v>
      </c>
      <c r="AX24">
        <v>0</v>
      </c>
      <c r="AY24" t="s">
        <v>212</v>
      </c>
      <c r="AZ24" t="s">
        <v>258</v>
      </c>
      <c r="BA24" t="s">
        <v>102</v>
      </c>
      <c r="BB24" t="s">
        <v>259</v>
      </c>
      <c r="BD24" t="s">
        <v>88</v>
      </c>
      <c r="BE24" t="s">
        <v>89</v>
      </c>
      <c r="BF24" t="s">
        <v>89</v>
      </c>
      <c r="BG24" t="str">
        <f t="shared" si="8"/>
        <v>CSLAP</v>
      </c>
      <c r="BH24" s="14" t="str">
        <f>IF(RIGHT(CM24,4)="2011","yes","no")</f>
        <v>no</v>
      </c>
      <c r="BJ24">
        <f t="shared" si="9"/>
        <v>0</v>
      </c>
      <c r="BK24">
        <f t="shared" si="10"/>
        <v>0</v>
      </c>
      <c r="BL24">
        <f t="shared" si="11"/>
        <v>0</v>
      </c>
      <c r="BM24" t="str">
        <f t="shared" si="12"/>
        <v>CSLAP</v>
      </c>
      <c r="BN24" t="str">
        <f t="shared" si="13"/>
        <v>no</v>
      </c>
      <c r="BO24">
        <v>0.712261464271434</v>
      </c>
      <c r="BW24" t="s">
        <v>260</v>
      </c>
    </row>
    <row r="25" spans="1:77" x14ac:dyDescent="0.3">
      <c r="A25" t="s">
        <v>1500</v>
      </c>
      <c r="B25" t="s">
        <v>1769</v>
      </c>
      <c r="C25" s="16">
        <v>175</v>
      </c>
      <c r="D25" s="16" t="s">
        <v>261</v>
      </c>
      <c r="E25" s="16" t="s">
        <v>262</v>
      </c>
      <c r="F25" s="16" t="s">
        <v>263</v>
      </c>
      <c r="G25" s="17">
        <f t="shared" si="6"/>
        <v>326.67941999999994</v>
      </c>
      <c r="H25" s="17">
        <v>132.19999999999999</v>
      </c>
      <c r="I25" s="18">
        <f t="shared" si="14"/>
        <v>1625.4895799999997</v>
      </c>
      <c r="J25" s="18">
        <v>657.8</v>
      </c>
      <c r="K25" s="19">
        <f t="shared" si="1"/>
        <v>4.9757942511346442</v>
      </c>
      <c r="L25" s="19">
        <v>60.038640000000008</v>
      </c>
      <c r="M25" s="19">
        <v>18.3</v>
      </c>
      <c r="N25" s="20">
        <f t="shared" si="15"/>
        <v>28.2181608</v>
      </c>
      <c r="O25" s="19">
        <v>8.6009999999999991</v>
      </c>
      <c r="P25" s="21" t="str">
        <f t="shared" si="3"/>
        <v>no</v>
      </c>
      <c r="Q25" s="22">
        <v>2.2541812623627937</v>
      </c>
      <c r="R25" s="18" t="s">
        <v>2101</v>
      </c>
      <c r="S25" s="23">
        <v>43.694915870000003</v>
      </c>
      <c r="T25" s="23">
        <v>-75.274088829999997</v>
      </c>
      <c r="U25" s="18" t="s">
        <v>96</v>
      </c>
      <c r="V25" s="18" t="s">
        <v>96</v>
      </c>
      <c r="W25" t="str">
        <f t="shared" si="7"/>
        <v>yes</v>
      </c>
      <c r="Y25" t="str">
        <f t="shared" si="4"/>
        <v>potable water and recreation</v>
      </c>
      <c r="Z25" t="s">
        <v>79</v>
      </c>
      <c r="AA25" s="40" t="s">
        <v>79</v>
      </c>
      <c r="AB25" s="40" t="s">
        <v>79</v>
      </c>
      <c r="AC25" s="35">
        <v>15.65830056796181</v>
      </c>
      <c r="AD25" s="35" t="s">
        <v>264</v>
      </c>
      <c r="AF25" t="str">
        <f t="shared" si="5"/>
        <v/>
      </c>
      <c r="AG25" s="26" t="s">
        <v>257</v>
      </c>
      <c r="AH25" s="27" t="s">
        <v>257</v>
      </c>
      <c r="AI25" s="28" t="s">
        <v>82</v>
      </c>
      <c r="AJ25" s="29" t="s">
        <v>82</v>
      </c>
      <c r="AK25" s="30" t="s">
        <v>85</v>
      </c>
      <c r="AL25" s="31" t="s">
        <v>85</v>
      </c>
      <c r="AM25" s="32" t="s">
        <v>82</v>
      </c>
      <c r="AN25" s="33" t="s">
        <v>81</v>
      </c>
      <c r="AO25" s="28" t="s">
        <v>81</v>
      </c>
      <c r="AP25" s="39"/>
      <c r="AQ25">
        <v>0</v>
      </c>
      <c r="AR25">
        <v>0</v>
      </c>
      <c r="AS25">
        <v>0</v>
      </c>
      <c r="AT25">
        <v>0</v>
      </c>
      <c r="AU25">
        <v>0</v>
      </c>
      <c r="AV25">
        <v>0</v>
      </c>
      <c r="AW25">
        <v>0</v>
      </c>
      <c r="AX25">
        <v>0</v>
      </c>
      <c r="AY25" t="s">
        <v>102</v>
      </c>
      <c r="AZ25" t="s">
        <v>265</v>
      </c>
      <c r="BA25" t="s">
        <v>102</v>
      </c>
      <c r="BB25" t="s">
        <v>266</v>
      </c>
      <c r="BC25" t="s">
        <v>87</v>
      </c>
      <c r="BD25" t="s">
        <v>267</v>
      </c>
      <c r="BE25" t="s">
        <v>216</v>
      </c>
      <c r="BF25" t="s">
        <v>216</v>
      </c>
      <c r="BG25" t="str">
        <f t="shared" si="8"/>
        <v>CSLAP</v>
      </c>
      <c r="BH25" s="14" t="s">
        <v>102</v>
      </c>
      <c r="BJ25">
        <f t="shared" si="9"/>
        <v>0</v>
      </c>
      <c r="BK25">
        <f t="shared" si="10"/>
        <v>0</v>
      </c>
      <c r="BL25">
        <f t="shared" si="11"/>
        <v>0</v>
      </c>
      <c r="BM25" t="str">
        <f t="shared" si="12"/>
        <v>CSLAP</v>
      </c>
      <c r="BN25" t="str">
        <f t="shared" si="13"/>
        <v>no</v>
      </c>
      <c r="BO25">
        <v>0.76682753365506739</v>
      </c>
    </row>
    <row r="26" spans="1:77" x14ac:dyDescent="0.3">
      <c r="A26" t="s">
        <v>1501</v>
      </c>
      <c r="B26" t="s">
        <v>1770</v>
      </c>
      <c r="C26" s="16">
        <v>231</v>
      </c>
      <c r="D26" s="16" t="s">
        <v>268</v>
      </c>
      <c r="E26" s="16" t="s">
        <v>269</v>
      </c>
      <c r="F26" s="16" t="s">
        <v>269</v>
      </c>
      <c r="G26" s="17">
        <f t="shared" si="6"/>
        <v>5.9306399999999995</v>
      </c>
      <c r="H26" s="17">
        <v>2.4</v>
      </c>
      <c r="I26" s="18">
        <f t="shared" si="14"/>
        <v>158.07036437246961</v>
      </c>
      <c r="J26" s="18">
        <v>63.967611336032384</v>
      </c>
      <c r="K26" s="19">
        <f t="shared" si="1"/>
        <v>26.653171390013494</v>
      </c>
      <c r="L26" s="19">
        <v>4.9212000000000007</v>
      </c>
      <c r="M26" s="19">
        <v>1.5</v>
      </c>
      <c r="N26" s="20">
        <f t="shared" si="15"/>
        <v>3.0007317073170734</v>
      </c>
      <c r="O26" s="19">
        <v>0.91463414634146345</v>
      </c>
      <c r="P26" s="21" t="str">
        <f t="shared" si="3"/>
        <v>no</v>
      </c>
      <c r="Q26" s="22">
        <v>7.1491972831120729E-2</v>
      </c>
      <c r="R26" s="18" t="s">
        <v>2102</v>
      </c>
      <c r="S26" s="23">
        <v>42.663552260000003</v>
      </c>
      <c r="T26" s="23">
        <v>-73.80713591</v>
      </c>
      <c r="U26" s="18" t="s">
        <v>78</v>
      </c>
      <c r="V26" s="18"/>
      <c r="W26" t="str">
        <f t="shared" si="7"/>
        <v>no</v>
      </c>
      <c r="Y26" t="str">
        <f t="shared" si="4"/>
        <v>recreation</v>
      </c>
      <c r="Z26" t="s">
        <v>79</v>
      </c>
      <c r="AA26" s="24" t="s">
        <v>270</v>
      </c>
      <c r="AB26" s="24" t="s">
        <v>79</v>
      </c>
      <c r="AC26" s="24">
        <f t="shared" ref="AC26:AC31" si="16">IF(AND(AA26="none reported",AB26="none reported"),"",0)</f>
        <v>0</v>
      </c>
      <c r="AD26" s="24"/>
      <c r="AE26" s="25" t="s">
        <v>271</v>
      </c>
      <c r="AF26" t="str">
        <f t="shared" si="5"/>
        <v>yes</v>
      </c>
      <c r="AG26" s="16" t="s">
        <v>81</v>
      </c>
      <c r="AH26" s="16" t="s">
        <v>81</v>
      </c>
      <c r="AI26" s="16" t="s">
        <v>156</v>
      </c>
      <c r="AJ26" s="16" t="s">
        <v>156</v>
      </c>
      <c r="AK26" s="16" t="s">
        <v>156</v>
      </c>
      <c r="AL26" s="16" t="s">
        <v>156</v>
      </c>
      <c r="AM26" s="16" t="s">
        <v>156</v>
      </c>
      <c r="AN26" s="33">
        <v>43701</v>
      </c>
      <c r="AO26" s="33">
        <v>43701</v>
      </c>
      <c r="AP26" s="39"/>
      <c r="AQ26">
        <v>0</v>
      </c>
      <c r="AR26">
        <v>0</v>
      </c>
      <c r="AS26">
        <v>0</v>
      </c>
      <c r="AT26">
        <v>0</v>
      </c>
      <c r="AU26">
        <v>0</v>
      </c>
      <c r="AV26">
        <v>1</v>
      </c>
      <c r="AW26">
        <v>4</v>
      </c>
      <c r="AX26">
        <v>2</v>
      </c>
      <c r="AY26" t="s">
        <v>272</v>
      </c>
      <c r="AZ26" t="s">
        <v>273</v>
      </c>
      <c r="BA26" t="s">
        <v>102</v>
      </c>
      <c r="BB26" t="s">
        <v>2103</v>
      </c>
      <c r="BC26" t="s">
        <v>132</v>
      </c>
      <c r="BD26" t="s">
        <v>152</v>
      </c>
      <c r="BE26" t="s">
        <v>196</v>
      </c>
      <c r="BF26" t="s">
        <v>143</v>
      </c>
      <c r="BG26" t="str">
        <f t="shared" si="8"/>
        <v>CSLAP</v>
      </c>
      <c r="BH26" s="14" t="s">
        <v>102</v>
      </c>
      <c r="BJ26">
        <f t="shared" si="9"/>
        <v>3</v>
      </c>
      <c r="BK26">
        <f t="shared" si="10"/>
        <v>2</v>
      </c>
      <c r="BL26">
        <f t="shared" si="11"/>
        <v>3</v>
      </c>
      <c r="BM26" t="str">
        <f t="shared" si="12"/>
        <v>CSLAP</v>
      </c>
      <c r="BN26" t="str">
        <f t="shared" si="13"/>
        <v>no</v>
      </c>
      <c r="BO26">
        <v>0.48</v>
      </c>
      <c r="BU26" t="s">
        <v>274</v>
      </c>
      <c r="BV26" t="s">
        <v>272</v>
      </c>
    </row>
    <row r="27" spans="1:77" x14ac:dyDescent="0.3">
      <c r="A27" t="s">
        <v>1502</v>
      </c>
      <c r="B27" t="s">
        <v>1771</v>
      </c>
      <c r="C27" s="16">
        <v>122</v>
      </c>
      <c r="D27" s="16" t="s">
        <v>275</v>
      </c>
      <c r="E27" s="16" t="s">
        <v>127</v>
      </c>
      <c r="F27" s="16" t="s">
        <v>192</v>
      </c>
      <c r="G27" s="17">
        <f t="shared" si="6"/>
        <v>365.72280000000001</v>
      </c>
      <c r="H27" s="17">
        <v>148</v>
      </c>
      <c r="I27" s="18">
        <f t="shared" si="14"/>
        <v>2792.3429999999998</v>
      </c>
      <c r="J27" s="18">
        <v>1130</v>
      </c>
      <c r="K27" s="19">
        <f t="shared" si="1"/>
        <v>7.6351351351351351</v>
      </c>
      <c r="L27" s="19">
        <v>36</v>
      </c>
      <c r="M27" s="19">
        <v>11</v>
      </c>
      <c r="N27" s="20">
        <f t="shared" si="15"/>
        <v>9.8424000000000014</v>
      </c>
      <c r="O27" s="19">
        <v>3</v>
      </c>
      <c r="P27" s="21" t="str">
        <f t="shared" si="3"/>
        <v>no</v>
      </c>
      <c r="Q27" s="22">
        <v>0.88373400758533494</v>
      </c>
      <c r="R27" s="18" t="s">
        <v>2104</v>
      </c>
      <c r="S27" s="23">
        <v>42.601943239999997</v>
      </c>
      <c r="T27" s="23">
        <v>-73.562028369999993</v>
      </c>
      <c r="U27" s="16" t="s">
        <v>77</v>
      </c>
      <c r="V27" s="16" t="s">
        <v>77</v>
      </c>
      <c r="W27" t="str">
        <f t="shared" si="7"/>
        <v>no</v>
      </c>
      <c r="X27" s="16" t="s">
        <v>276</v>
      </c>
      <c r="Y27" t="str">
        <f t="shared" si="4"/>
        <v>recreation and public bathing</v>
      </c>
      <c r="Z27" t="s">
        <v>79</v>
      </c>
      <c r="AA27" s="40" t="s">
        <v>169</v>
      </c>
      <c r="AB27" s="40" t="s">
        <v>277</v>
      </c>
      <c r="AC27" s="24">
        <f t="shared" si="16"/>
        <v>0</v>
      </c>
      <c r="AD27" s="24"/>
      <c r="AE27" s="25">
        <v>2013</v>
      </c>
      <c r="AF27" t="str">
        <f t="shared" si="5"/>
        <v>no</v>
      </c>
      <c r="AG27" s="26" t="s">
        <v>81</v>
      </c>
      <c r="AH27" s="27" t="s">
        <v>82</v>
      </c>
      <c r="AI27" s="28" t="s">
        <v>83</v>
      </c>
      <c r="AJ27" s="29" t="s">
        <v>82</v>
      </c>
      <c r="AK27" s="30" t="s">
        <v>85</v>
      </c>
      <c r="AL27" s="31" t="s">
        <v>84</v>
      </c>
      <c r="AM27" s="32" t="s">
        <v>82</v>
      </c>
      <c r="AN27" s="33" t="s">
        <v>81</v>
      </c>
      <c r="AO27" s="28" t="s">
        <v>81</v>
      </c>
      <c r="AP27" s="39"/>
      <c r="AQ27">
        <v>0</v>
      </c>
      <c r="AR27">
        <v>0</v>
      </c>
      <c r="AS27">
        <v>0</v>
      </c>
      <c r="AT27">
        <v>0</v>
      </c>
      <c r="AU27">
        <v>0</v>
      </c>
      <c r="AV27">
        <v>0</v>
      </c>
      <c r="AW27">
        <v>2</v>
      </c>
      <c r="AX27">
        <v>0</v>
      </c>
      <c r="AY27" t="s">
        <v>278</v>
      </c>
      <c r="AZ27" t="s">
        <v>279</v>
      </c>
      <c r="BA27" t="s">
        <v>102</v>
      </c>
      <c r="BB27" t="s">
        <v>280</v>
      </c>
      <c r="BC27" t="s">
        <v>132</v>
      </c>
      <c r="BD27" t="s">
        <v>152</v>
      </c>
      <c r="BE27" t="s">
        <v>196</v>
      </c>
      <c r="BF27" t="s">
        <v>133</v>
      </c>
      <c r="BG27" t="str">
        <f t="shared" si="8"/>
        <v>CSLAP</v>
      </c>
      <c r="BH27" s="14" t="s">
        <v>102</v>
      </c>
      <c r="BJ27">
        <f t="shared" si="9"/>
        <v>1</v>
      </c>
      <c r="BK27">
        <f t="shared" si="10"/>
        <v>1</v>
      </c>
      <c r="BL27">
        <f t="shared" si="11"/>
        <v>0</v>
      </c>
      <c r="BM27" t="str">
        <f t="shared" si="12"/>
        <v>CSLAP</v>
      </c>
      <c r="BN27" t="str">
        <f t="shared" si="13"/>
        <v>no</v>
      </c>
      <c r="BO27">
        <v>0.44461382113821141</v>
      </c>
      <c r="BV27" t="s">
        <v>278</v>
      </c>
    </row>
    <row r="28" spans="1:77" x14ac:dyDescent="0.3">
      <c r="A28" t="s">
        <v>1503</v>
      </c>
      <c r="B28" t="s">
        <v>1772</v>
      </c>
      <c r="C28" s="16">
        <v>12</v>
      </c>
      <c r="D28" s="16" t="s">
        <v>281</v>
      </c>
      <c r="E28" s="16" t="s">
        <v>237</v>
      </c>
      <c r="F28" s="16" t="s">
        <v>282</v>
      </c>
      <c r="G28" s="17">
        <f t="shared" si="6"/>
        <v>1004.74926</v>
      </c>
      <c r="H28" s="17">
        <v>406.6</v>
      </c>
      <c r="I28" s="18">
        <f t="shared" si="14"/>
        <v>4250.2919999999995</v>
      </c>
      <c r="J28" s="18">
        <v>1720</v>
      </c>
      <c r="K28" s="19">
        <f t="shared" si="1"/>
        <v>4.230201672405312</v>
      </c>
      <c r="L28" s="19">
        <v>47.571600000000004</v>
      </c>
      <c r="M28" s="19">
        <v>14.5</v>
      </c>
      <c r="N28" s="20">
        <f t="shared" si="15"/>
        <v>14.435520000000002</v>
      </c>
      <c r="O28" s="19">
        <v>4.4000000000000004</v>
      </c>
      <c r="P28" s="21" t="str">
        <f t="shared" si="3"/>
        <v>no</v>
      </c>
      <c r="Q28" s="22">
        <v>0.6907834710743801</v>
      </c>
      <c r="R28" s="18" t="s">
        <v>2105</v>
      </c>
      <c r="S28" s="23">
        <v>44.318280569999999</v>
      </c>
      <c r="T28" s="23">
        <v>-75.774919420000003</v>
      </c>
      <c r="U28" s="18" t="s">
        <v>77</v>
      </c>
      <c r="V28" s="18"/>
      <c r="W28" t="str">
        <f t="shared" si="7"/>
        <v>no</v>
      </c>
      <c r="Y28" t="str">
        <f t="shared" si="4"/>
        <v>recreation</v>
      </c>
      <c r="Z28" t="s">
        <v>79</v>
      </c>
      <c r="AA28" s="40" t="s">
        <v>283</v>
      </c>
      <c r="AB28" s="40" t="s">
        <v>139</v>
      </c>
      <c r="AC28" s="24">
        <f t="shared" si="16"/>
        <v>0</v>
      </c>
      <c r="AD28" s="24"/>
      <c r="AE28" s="25" t="s">
        <v>284</v>
      </c>
      <c r="AF28" t="str">
        <f t="shared" si="5"/>
        <v>yes</v>
      </c>
      <c r="AG28" s="26" t="s">
        <v>81</v>
      </c>
      <c r="AH28" s="27" t="s">
        <v>83</v>
      </c>
      <c r="AI28" s="28" t="s">
        <v>83</v>
      </c>
      <c r="AJ28" s="29" t="s">
        <v>82</v>
      </c>
      <c r="AK28" s="30" t="s">
        <v>84</v>
      </c>
      <c r="AL28" s="31" t="s">
        <v>121</v>
      </c>
      <c r="AM28" s="32" t="s">
        <v>82</v>
      </c>
      <c r="AN28" s="39">
        <v>43716</v>
      </c>
      <c r="AO28" s="39">
        <v>43716</v>
      </c>
      <c r="AP28" s="39"/>
      <c r="AQ28">
        <v>2</v>
      </c>
      <c r="AR28">
        <v>1</v>
      </c>
      <c r="AS28">
        <v>1</v>
      </c>
      <c r="AT28">
        <v>0</v>
      </c>
      <c r="AU28">
        <v>0</v>
      </c>
      <c r="AV28">
        <v>2</v>
      </c>
      <c r="AW28">
        <v>8</v>
      </c>
      <c r="AX28">
        <v>0</v>
      </c>
      <c r="AZ28" t="s">
        <v>285</v>
      </c>
      <c r="BA28" t="s">
        <v>102</v>
      </c>
      <c r="BB28" t="s">
        <v>286</v>
      </c>
      <c r="BC28" t="s">
        <v>87</v>
      </c>
      <c r="BD28" t="s">
        <v>215</v>
      </c>
      <c r="BE28" t="s">
        <v>216</v>
      </c>
      <c r="BF28" t="s">
        <v>216</v>
      </c>
      <c r="BG28" t="str">
        <f t="shared" si="8"/>
        <v>CSLAP</v>
      </c>
      <c r="BH28" s="14" t="s">
        <v>102</v>
      </c>
      <c r="BJ28">
        <f t="shared" si="9"/>
        <v>3</v>
      </c>
      <c r="BK28">
        <f t="shared" si="10"/>
        <v>2</v>
      </c>
      <c r="BL28">
        <f t="shared" si="11"/>
        <v>3</v>
      </c>
      <c r="BM28" t="str">
        <f t="shared" si="12"/>
        <v>CSLAP</v>
      </c>
      <c r="BN28" t="str">
        <f t="shared" si="13"/>
        <v>yes</v>
      </c>
      <c r="BO28">
        <v>1.5057388869857948</v>
      </c>
    </row>
    <row r="29" spans="1:77" x14ac:dyDescent="0.3">
      <c r="A29" t="s">
        <v>1773</v>
      </c>
      <c r="B29" t="s">
        <v>1774</v>
      </c>
      <c r="C29" s="16">
        <v>62</v>
      </c>
      <c r="D29" s="16" t="s">
        <v>287</v>
      </c>
      <c r="E29" s="16" t="s">
        <v>198</v>
      </c>
      <c r="F29" s="16" t="s">
        <v>288</v>
      </c>
      <c r="G29" s="17">
        <f t="shared" si="6"/>
        <v>25.699439999999999</v>
      </c>
      <c r="H29" s="17">
        <v>10.4</v>
      </c>
      <c r="I29" s="18">
        <f t="shared" si="14"/>
        <v>7998.9506999999994</v>
      </c>
      <c r="J29" s="18">
        <v>3237</v>
      </c>
      <c r="K29" s="19">
        <f t="shared" si="1"/>
        <v>311.25</v>
      </c>
      <c r="L29" s="19">
        <v>6.9</v>
      </c>
      <c r="M29" s="19">
        <v>2.1</v>
      </c>
      <c r="N29" s="20">
        <f t="shared" si="15"/>
        <v>2.9527200000000002</v>
      </c>
      <c r="O29" s="19">
        <v>0.9</v>
      </c>
      <c r="P29" s="21" t="str">
        <f t="shared" si="3"/>
        <v>no</v>
      </c>
      <c r="Q29" s="22">
        <v>0.6907834710743801</v>
      </c>
      <c r="R29" s="18" t="s">
        <v>289</v>
      </c>
      <c r="S29" s="23">
        <v>40.788098939999998</v>
      </c>
      <c r="T29" s="23">
        <v>-73.021166829999999</v>
      </c>
      <c r="U29" s="18" t="s">
        <v>95</v>
      </c>
      <c r="V29" s="18" t="s">
        <v>95</v>
      </c>
      <c r="W29" t="str">
        <f t="shared" si="7"/>
        <v>no</v>
      </c>
      <c r="Y29" t="str">
        <f t="shared" si="4"/>
        <v>recreation</v>
      </c>
      <c r="Z29" t="s">
        <v>79</v>
      </c>
      <c r="AA29" s="40" t="s">
        <v>290</v>
      </c>
      <c r="AB29" s="40" t="s">
        <v>79</v>
      </c>
      <c r="AC29" s="24">
        <f t="shared" si="16"/>
        <v>0</v>
      </c>
      <c r="AD29" s="24"/>
      <c r="AF29" t="str">
        <f t="shared" si="5"/>
        <v/>
      </c>
      <c r="AG29" s="26" t="s">
        <v>81</v>
      </c>
      <c r="AH29" s="27" t="s">
        <v>83</v>
      </c>
      <c r="AI29" s="28" t="s">
        <v>83</v>
      </c>
      <c r="AJ29" s="29" t="s">
        <v>82</v>
      </c>
      <c r="AK29" s="30" t="s">
        <v>84</v>
      </c>
      <c r="AL29" s="31" t="s">
        <v>84</v>
      </c>
      <c r="AM29" s="32" t="s">
        <v>82</v>
      </c>
      <c r="AN29" s="33" t="s">
        <v>81</v>
      </c>
      <c r="AO29" s="28" t="s">
        <v>81</v>
      </c>
      <c r="AP29" s="39"/>
      <c r="AQ29">
        <v>0</v>
      </c>
      <c r="AR29">
        <v>0</v>
      </c>
      <c r="AS29">
        <v>0</v>
      </c>
      <c r="AT29">
        <v>0</v>
      </c>
      <c r="AU29">
        <v>0</v>
      </c>
      <c r="AV29">
        <v>0</v>
      </c>
      <c r="AW29">
        <v>0</v>
      </c>
      <c r="AX29">
        <v>0</v>
      </c>
      <c r="BD29" t="s">
        <v>202</v>
      </c>
      <c r="BE29" t="s">
        <v>203</v>
      </c>
      <c r="BF29" t="s">
        <v>203</v>
      </c>
      <c r="BG29" t="str">
        <f t="shared" si="8"/>
        <v>CSLAP</v>
      </c>
      <c r="BH29" s="14" t="str">
        <f>IF(RIGHT(CM29,4)="2011","yes","no")</f>
        <v>no</v>
      </c>
      <c r="BJ29">
        <f t="shared" si="9"/>
        <v>0</v>
      </c>
      <c r="BK29">
        <f t="shared" si="10"/>
        <v>0</v>
      </c>
      <c r="BL29">
        <f t="shared" si="11"/>
        <v>0</v>
      </c>
      <c r="BM29" t="str">
        <f t="shared" si="12"/>
        <v>CSLAP</v>
      </c>
      <c r="BN29" t="str">
        <f t="shared" si="13"/>
        <v>no</v>
      </c>
      <c r="BO29">
        <v>4.1859227762977144E-3</v>
      </c>
      <c r="BY29" t="s">
        <v>291</v>
      </c>
    </row>
    <row r="30" spans="1:77" x14ac:dyDescent="0.3">
      <c r="A30" t="s">
        <v>1504</v>
      </c>
      <c r="B30" t="s">
        <v>1775</v>
      </c>
      <c r="C30" s="16">
        <v>176</v>
      </c>
      <c r="D30" s="16" t="s">
        <v>292</v>
      </c>
      <c r="E30" s="16" t="s">
        <v>293</v>
      </c>
      <c r="F30" s="16" t="s">
        <v>294</v>
      </c>
      <c r="G30" s="17">
        <f t="shared" si="6"/>
        <v>128.00297999999998</v>
      </c>
      <c r="H30" s="17">
        <v>51.8</v>
      </c>
      <c r="I30" s="18">
        <f t="shared" si="14"/>
        <v>26827.942348178134</v>
      </c>
      <c r="J30" s="18">
        <v>10856.680161943319</v>
      </c>
      <c r="K30" s="19">
        <f t="shared" si="1"/>
        <v>209.5884201147359</v>
      </c>
      <c r="L30" s="19">
        <v>91.862400000000008</v>
      </c>
      <c r="M30" s="19">
        <v>28</v>
      </c>
      <c r="N30" s="20">
        <f t="shared" si="15"/>
        <v>69.881039999999999</v>
      </c>
      <c r="O30" s="19">
        <v>21.3</v>
      </c>
      <c r="P30" s="21" t="str">
        <f t="shared" si="3"/>
        <v>no</v>
      </c>
      <c r="Q30" s="22">
        <v>0.13372072643198091</v>
      </c>
      <c r="R30" s="18" t="s">
        <v>2106</v>
      </c>
      <c r="S30" s="23">
        <v>43.16706344</v>
      </c>
      <c r="T30" s="23">
        <v>-74.518339420000004</v>
      </c>
      <c r="U30" s="18" t="s">
        <v>77</v>
      </c>
      <c r="V30" s="18" t="s">
        <v>77</v>
      </c>
      <c r="W30" t="str">
        <f t="shared" si="7"/>
        <v>no</v>
      </c>
      <c r="X30" s="16" t="s">
        <v>295</v>
      </c>
      <c r="Y30" t="str">
        <f t="shared" si="4"/>
        <v>recreation and public bathing</v>
      </c>
      <c r="Z30" t="s">
        <v>79</v>
      </c>
      <c r="AA30" s="24" t="s">
        <v>79</v>
      </c>
      <c r="AB30" s="24" t="s">
        <v>79</v>
      </c>
      <c r="AC30" s="24" t="str">
        <f t="shared" si="16"/>
        <v/>
      </c>
      <c r="AD30" s="24"/>
      <c r="AF30" t="str">
        <f t="shared" si="5"/>
        <v/>
      </c>
      <c r="AG30" s="26" t="s">
        <v>81</v>
      </c>
      <c r="AH30" s="27" t="s">
        <v>82</v>
      </c>
      <c r="AI30" s="28" t="s">
        <v>82</v>
      </c>
      <c r="AJ30" s="29" t="s">
        <v>82</v>
      </c>
      <c r="AK30" s="30" t="s">
        <v>85</v>
      </c>
      <c r="AL30" s="31" t="s">
        <v>121</v>
      </c>
      <c r="AM30" s="32" t="s">
        <v>141</v>
      </c>
      <c r="AN30" s="33" t="s">
        <v>81</v>
      </c>
      <c r="AO30" s="28" t="s">
        <v>81</v>
      </c>
      <c r="AP30" s="39"/>
      <c r="AQ30">
        <v>0</v>
      </c>
      <c r="AR30">
        <v>0</v>
      </c>
      <c r="AS30">
        <v>0</v>
      </c>
      <c r="AT30">
        <v>0</v>
      </c>
      <c r="AU30">
        <v>0</v>
      </c>
      <c r="AV30">
        <v>0</v>
      </c>
      <c r="AW30">
        <v>0</v>
      </c>
      <c r="AX30">
        <v>0</v>
      </c>
      <c r="AZ30" t="s">
        <v>296</v>
      </c>
      <c r="BA30" t="s">
        <v>102</v>
      </c>
      <c r="BB30" t="s">
        <v>297</v>
      </c>
      <c r="BC30" t="s">
        <v>87</v>
      </c>
      <c r="BD30" t="s">
        <v>298</v>
      </c>
      <c r="BE30" t="s">
        <v>89</v>
      </c>
      <c r="BF30" t="s">
        <v>216</v>
      </c>
      <c r="BG30" t="str">
        <f t="shared" si="8"/>
        <v>CSLAP</v>
      </c>
      <c r="BH30" s="14" t="s">
        <v>102</v>
      </c>
      <c r="BJ30">
        <f t="shared" si="9"/>
        <v>0</v>
      </c>
      <c r="BK30">
        <f t="shared" si="10"/>
        <v>0</v>
      </c>
      <c r="BL30">
        <f t="shared" si="11"/>
        <v>0</v>
      </c>
      <c r="BM30" t="str">
        <f t="shared" si="12"/>
        <v>CSLAP</v>
      </c>
      <c r="BN30" t="str">
        <f t="shared" si="13"/>
        <v>no</v>
      </c>
      <c r="BO30">
        <v>0.76</v>
      </c>
    </row>
    <row r="31" spans="1:77" x14ac:dyDescent="0.3">
      <c r="A31" t="s">
        <v>1505</v>
      </c>
      <c r="B31" t="s">
        <v>1776</v>
      </c>
      <c r="C31" s="16">
        <v>57</v>
      </c>
      <c r="D31" s="16" t="s">
        <v>112</v>
      </c>
      <c r="E31" s="16" t="s">
        <v>108</v>
      </c>
      <c r="F31" s="16" t="s">
        <v>299</v>
      </c>
      <c r="G31" s="17">
        <f t="shared" si="6"/>
        <v>1894.3452600000001</v>
      </c>
      <c r="H31" s="17">
        <v>766.6</v>
      </c>
      <c r="I31" s="18">
        <f t="shared" si="14"/>
        <v>43244.25</v>
      </c>
      <c r="J31" s="18">
        <v>17500</v>
      </c>
      <c r="K31" s="19">
        <f t="shared" si="1"/>
        <v>22.828072006261415</v>
      </c>
      <c r="L31" s="19">
        <v>44</v>
      </c>
      <c r="M31" s="19">
        <v>13.4</v>
      </c>
      <c r="N31" s="20">
        <f t="shared" si="15"/>
        <v>33.13608</v>
      </c>
      <c r="O31" s="19">
        <v>10.1</v>
      </c>
      <c r="P31" s="21" t="str">
        <f t="shared" si="3"/>
        <v>no</v>
      </c>
      <c r="Q31" s="22">
        <v>0.90293411078717201</v>
      </c>
      <c r="R31" s="18" t="s">
        <v>2107</v>
      </c>
      <c r="S31" s="23">
        <v>42.815792219999999</v>
      </c>
      <c r="T31" s="23">
        <v>-75.006448930000005</v>
      </c>
      <c r="U31" s="18" t="s">
        <v>163</v>
      </c>
      <c r="V31" s="18" t="s">
        <v>96</v>
      </c>
      <c r="W31" t="str">
        <f t="shared" si="7"/>
        <v>yes</v>
      </c>
      <c r="X31" t="s">
        <v>300</v>
      </c>
      <c r="Y31" t="str">
        <f t="shared" si="4"/>
        <v>potable water, recreation, and public bathing</v>
      </c>
      <c r="Z31" t="s">
        <v>79</v>
      </c>
      <c r="AA31" s="40" t="s">
        <v>301</v>
      </c>
      <c r="AB31" s="40" t="s">
        <v>302</v>
      </c>
      <c r="AC31" s="24">
        <f t="shared" si="16"/>
        <v>0</v>
      </c>
      <c r="AD31" s="24"/>
      <c r="AE31" s="25">
        <v>2015</v>
      </c>
      <c r="AF31" t="str">
        <f t="shared" si="5"/>
        <v>no</v>
      </c>
      <c r="AG31" s="26" t="s">
        <v>82</v>
      </c>
      <c r="AH31" s="27" t="s">
        <v>82</v>
      </c>
      <c r="AI31" s="28" t="s">
        <v>257</v>
      </c>
      <c r="AJ31" s="29" t="s">
        <v>82</v>
      </c>
      <c r="AK31" s="30" t="s">
        <v>85</v>
      </c>
      <c r="AL31" s="31" t="s">
        <v>84</v>
      </c>
      <c r="AM31" s="32" t="s">
        <v>82</v>
      </c>
      <c r="AN31" s="33" t="s">
        <v>81</v>
      </c>
      <c r="AO31" s="28" t="s">
        <v>81</v>
      </c>
      <c r="AP31" s="39"/>
      <c r="AQ31">
        <v>0</v>
      </c>
      <c r="AR31">
        <v>0</v>
      </c>
      <c r="AS31">
        <v>0</v>
      </c>
      <c r="AT31">
        <v>1</v>
      </c>
      <c r="AU31">
        <v>2</v>
      </c>
      <c r="AV31">
        <v>0</v>
      </c>
      <c r="AW31">
        <v>0</v>
      </c>
      <c r="AX31">
        <v>0</v>
      </c>
      <c r="AZ31" t="s">
        <v>303</v>
      </c>
      <c r="BA31" t="s">
        <v>102</v>
      </c>
      <c r="BB31" t="s">
        <v>2108</v>
      </c>
      <c r="BD31" t="s">
        <v>114</v>
      </c>
      <c r="BF31" t="s">
        <v>115</v>
      </c>
      <c r="BG31" t="str">
        <f t="shared" si="8"/>
        <v>CSLAP</v>
      </c>
      <c r="BH31" s="14" t="str">
        <f>IF(RIGHT(CM31,4)="2011","yes","no")</f>
        <v>no</v>
      </c>
      <c r="BJ31">
        <f t="shared" si="9"/>
        <v>1</v>
      </c>
      <c r="BK31">
        <f t="shared" si="10"/>
        <v>1</v>
      </c>
      <c r="BL31">
        <f t="shared" si="11"/>
        <v>0</v>
      </c>
      <c r="BM31" t="str">
        <f t="shared" si="12"/>
        <v>CSLAP</v>
      </c>
      <c r="BN31" t="str">
        <f t="shared" si="13"/>
        <v>yes</v>
      </c>
      <c r="BO31">
        <v>0.49</v>
      </c>
    </row>
    <row r="32" spans="1:77" x14ac:dyDescent="0.3">
      <c r="A32" t="s">
        <v>1506</v>
      </c>
      <c r="B32" t="s">
        <v>1777</v>
      </c>
      <c r="C32" s="37">
        <v>252</v>
      </c>
      <c r="D32" s="37" t="s">
        <v>304</v>
      </c>
      <c r="E32" s="42" t="s">
        <v>228</v>
      </c>
      <c r="F32" t="s">
        <v>305</v>
      </c>
      <c r="G32" s="36">
        <v>668.7</v>
      </c>
      <c r="H32" s="36">
        <f>G32/2.4711</f>
        <v>270.60823115211855</v>
      </c>
      <c r="I32" s="37">
        <v>7936</v>
      </c>
      <c r="J32" s="37">
        <f>I32/2.4711</f>
        <v>3211.5252316782003</v>
      </c>
      <c r="K32" s="21">
        <f t="shared" si="1"/>
        <v>11.867803200239269</v>
      </c>
      <c r="L32" s="21">
        <f>3.28*M32</f>
        <v>83.311999999999983</v>
      </c>
      <c r="M32" s="21">
        <v>25.4</v>
      </c>
      <c r="N32" s="21">
        <f>3.28*O32</f>
        <v>53.791999999999994</v>
      </c>
      <c r="O32" s="21">
        <v>16.399999999999999</v>
      </c>
      <c r="P32" s="21" t="str">
        <f t="shared" si="3"/>
        <v>no</v>
      </c>
      <c r="Q32" s="43">
        <v>7.8336534773848401</v>
      </c>
      <c r="R32" s="37" t="s">
        <v>2109</v>
      </c>
      <c r="S32">
        <v>42.717975946999999</v>
      </c>
      <c r="T32">
        <v>-77.5690563215</v>
      </c>
      <c r="U32" t="s">
        <v>307</v>
      </c>
      <c r="V32" t="s">
        <v>78</v>
      </c>
      <c r="W32" t="str">
        <f t="shared" si="7"/>
        <v>no</v>
      </c>
      <c r="Y32" t="str">
        <f t="shared" si="4"/>
        <v>recreation</v>
      </c>
      <c r="AA32" t="s">
        <v>308</v>
      </c>
      <c r="AC32">
        <v>0</v>
      </c>
      <c r="AE32" s="25">
        <v>2019</v>
      </c>
      <c r="AF32" t="str">
        <f t="shared" si="5"/>
        <v>no</v>
      </c>
      <c r="AG32" t="s">
        <v>82</v>
      </c>
      <c r="AH32" t="s">
        <v>82</v>
      </c>
      <c r="AI32" t="s">
        <v>82</v>
      </c>
      <c r="AJ32" t="s">
        <v>82</v>
      </c>
      <c r="AK32" t="s">
        <v>156</v>
      </c>
      <c r="AL32" t="s">
        <v>156</v>
      </c>
      <c r="AM32" t="s">
        <v>141</v>
      </c>
      <c r="AN32" s="33">
        <v>43728</v>
      </c>
      <c r="AO32" s="33">
        <v>43728</v>
      </c>
      <c r="AP32" s="39"/>
      <c r="AQ32">
        <v>0</v>
      </c>
      <c r="AR32">
        <v>0</v>
      </c>
      <c r="AS32">
        <v>0</v>
      </c>
      <c r="AT32">
        <v>0</v>
      </c>
      <c r="AU32">
        <v>0</v>
      </c>
      <c r="AV32">
        <v>0</v>
      </c>
      <c r="AW32">
        <v>0</v>
      </c>
      <c r="AX32">
        <v>0</v>
      </c>
      <c r="AZ32" t="s">
        <v>309</v>
      </c>
      <c r="BA32" t="s">
        <v>102</v>
      </c>
      <c r="BB32" t="s">
        <v>2110</v>
      </c>
      <c r="BD32" t="s">
        <v>310</v>
      </c>
      <c r="BG32" t="str">
        <f t="shared" si="8"/>
        <v>CSLAP</v>
      </c>
      <c r="BH32" s="14" t="s">
        <v>102</v>
      </c>
      <c r="BJ32">
        <f t="shared" si="9"/>
        <v>0</v>
      </c>
      <c r="BK32">
        <f t="shared" si="10"/>
        <v>0</v>
      </c>
      <c r="BL32">
        <f t="shared" si="11"/>
        <v>0</v>
      </c>
      <c r="BM32" t="str">
        <f t="shared" si="12"/>
        <v>CSLAP</v>
      </c>
      <c r="BN32" t="e">
        <f>IF(LEFT(#REF!,13)="zebra mussels","yes","no")</f>
        <v>#REF!</v>
      </c>
      <c r="BO32">
        <v>0.28194056388112776</v>
      </c>
    </row>
    <row r="33" spans="1:77" x14ac:dyDescent="0.3">
      <c r="A33" t="s">
        <v>1507</v>
      </c>
      <c r="B33" t="s">
        <v>1778</v>
      </c>
      <c r="C33" s="37">
        <v>253.1</v>
      </c>
      <c r="D33" t="s">
        <v>311</v>
      </c>
      <c r="E33" s="42" t="s">
        <v>312</v>
      </c>
      <c r="F33" t="s">
        <v>313</v>
      </c>
      <c r="G33" s="36">
        <v>10528</v>
      </c>
      <c r="H33" s="36">
        <f>G33/2.4711</f>
        <v>4260.4508113795482</v>
      </c>
      <c r="I33" s="37">
        <v>119040</v>
      </c>
      <c r="J33" s="37">
        <f>I33/2.4711</f>
        <v>48172.878475173005</v>
      </c>
      <c r="K33" s="21">
        <f t="shared" si="1"/>
        <v>11.306990881458967</v>
      </c>
      <c r="L33" s="21">
        <f>3.28*M33</f>
        <v>273.88</v>
      </c>
      <c r="M33" s="21">
        <v>83.5</v>
      </c>
      <c r="N33" s="21">
        <f>3.28*O33</f>
        <v>127.26399999999998</v>
      </c>
      <c r="O33" s="21">
        <v>38.799999999999997</v>
      </c>
      <c r="P33" s="21" t="str">
        <f t="shared" si="3"/>
        <v>no</v>
      </c>
      <c r="Q33" s="43">
        <v>11.073636612021858</v>
      </c>
      <c r="R33" s="37" t="s">
        <v>2109</v>
      </c>
      <c r="S33">
        <v>42.821167000000003</v>
      </c>
      <c r="T33">
        <v>-77.276332999999994</v>
      </c>
      <c r="U33" t="s">
        <v>307</v>
      </c>
      <c r="V33" t="s">
        <v>314</v>
      </c>
      <c r="W33" t="str">
        <f t="shared" si="7"/>
        <v>no</v>
      </c>
      <c r="X33" t="s">
        <v>315</v>
      </c>
      <c r="Y33" t="str">
        <f t="shared" si="4"/>
        <v>recreation and public bathing</v>
      </c>
      <c r="AA33" t="s">
        <v>316</v>
      </c>
      <c r="AB33" t="s">
        <v>317</v>
      </c>
      <c r="AC33">
        <v>0</v>
      </c>
      <c r="AE33" s="25" t="s">
        <v>318</v>
      </c>
      <c r="AF33" t="str">
        <f t="shared" si="5"/>
        <v>yes</v>
      </c>
      <c r="AG33" t="s">
        <v>257</v>
      </c>
      <c r="AH33" t="s">
        <v>156</v>
      </c>
      <c r="AI33" t="s">
        <v>156</v>
      </c>
      <c r="AJ33" t="s">
        <v>156</v>
      </c>
      <c r="AK33" t="s">
        <v>156</v>
      </c>
      <c r="AL33" t="s">
        <v>156</v>
      </c>
      <c r="AM33" t="s">
        <v>156</v>
      </c>
      <c r="AN33" s="39">
        <v>43690</v>
      </c>
      <c r="AO33" s="44">
        <v>43766</v>
      </c>
      <c r="AP33" s="39"/>
      <c r="AQ33">
        <v>8</v>
      </c>
      <c r="AR33">
        <v>6</v>
      </c>
      <c r="AS33">
        <v>4</v>
      </c>
      <c r="AT33">
        <v>1</v>
      </c>
      <c r="AU33">
        <v>4</v>
      </c>
      <c r="AV33">
        <v>0</v>
      </c>
      <c r="AW33">
        <v>0</v>
      </c>
      <c r="AX33">
        <v>0</v>
      </c>
      <c r="AZ33" t="s">
        <v>319</v>
      </c>
      <c r="BA33" t="s">
        <v>102</v>
      </c>
      <c r="BB33" t="s">
        <v>2111</v>
      </c>
      <c r="BD33" t="s">
        <v>320</v>
      </c>
      <c r="BG33" t="s">
        <v>54</v>
      </c>
      <c r="BH33" s="14" t="s">
        <v>102</v>
      </c>
      <c r="BM33" t="s">
        <v>54</v>
      </c>
      <c r="BN33" t="s">
        <v>102</v>
      </c>
      <c r="BO33">
        <v>0.30988061976123954</v>
      </c>
      <c r="BP33">
        <v>2</v>
      </c>
      <c r="BS33" s="41">
        <f>29/1</f>
        <v>29</v>
      </c>
    </row>
    <row r="34" spans="1:77" x14ac:dyDescent="0.3">
      <c r="A34" t="s">
        <v>1507</v>
      </c>
      <c r="B34" t="s">
        <v>1779</v>
      </c>
      <c r="C34" s="37">
        <v>253.2</v>
      </c>
      <c r="D34" t="s">
        <v>321</v>
      </c>
      <c r="E34" s="42" t="s">
        <v>312</v>
      </c>
      <c r="F34" t="s">
        <v>313</v>
      </c>
      <c r="G34" s="36">
        <v>10528</v>
      </c>
      <c r="H34" s="36">
        <f>G34/2.4711</f>
        <v>4260.4508113795482</v>
      </c>
      <c r="I34" s="37">
        <v>119040</v>
      </c>
      <c r="J34" s="37">
        <f>I34/2.4711</f>
        <v>48172.878475173005</v>
      </c>
      <c r="K34" s="21">
        <f t="shared" si="1"/>
        <v>11.306990881458967</v>
      </c>
      <c r="L34" s="21">
        <f>3.28*M34</f>
        <v>273.88</v>
      </c>
      <c r="M34" s="21">
        <v>83.5</v>
      </c>
      <c r="N34" s="21">
        <f>3.28*O34</f>
        <v>127.26399999999998</v>
      </c>
      <c r="O34" s="21">
        <v>38.799999999999997</v>
      </c>
      <c r="P34" s="21" t="str">
        <f t="shared" si="3"/>
        <v>no</v>
      </c>
      <c r="Q34" s="43">
        <v>11.073636612021858</v>
      </c>
      <c r="R34" s="37" t="s">
        <v>2109</v>
      </c>
      <c r="S34">
        <v>42.718667000000003</v>
      </c>
      <c r="T34">
        <v>-77.3125</v>
      </c>
      <c r="U34" t="s">
        <v>307</v>
      </c>
      <c r="V34" t="s">
        <v>314</v>
      </c>
      <c r="W34" t="str">
        <f t="shared" si="7"/>
        <v>no</v>
      </c>
      <c r="X34" t="s">
        <v>315</v>
      </c>
      <c r="Y34" t="str">
        <f t="shared" si="4"/>
        <v>recreation and public bathing</v>
      </c>
      <c r="AA34" t="s">
        <v>316</v>
      </c>
      <c r="AB34" t="s">
        <v>317</v>
      </c>
      <c r="AC34">
        <v>0</v>
      </c>
      <c r="AE34" s="25" t="s">
        <v>318</v>
      </c>
      <c r="AF34" t="str">
        <f t="shared" si="5"/>
        <v>yes</v>
      </c>
      <c r="AG34" t="s">
        <v>257</v>
      </c>
      <c r="AH34" t="s">
        <v>156</v>
      </c>
      <c r="AI34" t="s">
        <v>156</v>
      </c>
      <c r="AJ34" t="s">
        <v>156</v>
      </c>
      <c r="AK34" t="s">
        <v>156</v>
      </c>
      <c r="AL34" t="s">
        <v>156</v>
      </c>
      <c r="AM34" t="s">
        <v>156</v>
      </c>
      <c r="AN34" s="39">
        <v>43690</v>
      </c>
      <c r="AO34" s="44">
        <v>43766</v>
      </c>
      <c r="AP34" s="39"/>
      <c r="AQ34">
        <v>8</v>
      </c>
      <c r="AR34">
        <v>6</v>
      </c>
      <c r="AS34">
        <v>4</v>
      </c>
      <c r="AT34">
        <v>1</v>
      </c>
      <c r="AU34">
        <v>4</v>
      </c>
      <c r="AV34">
        <v>0</v>
      </c>
      <c r="AW34">
        <v>0</v>
      </c>
      <c r="AX34">
        <v>0</v>
      </c>
      <c r="AZ34" t="s">
        <v>319</v>
      </c>
      <c r="BA34" t="s">
        <v>102</v>
      </c>
      <c r="BB34" t="s">
        <v>2111</v>
      </c>
      <c r="BD34" t="s">
        <v>320</v>
      </c>
      <c r="BG34" t="s">
        <v>54</v>
      </c>
      <c r="BH34" s="14" t="s">
        <v>102</v>
      </c>
      <c r="BM34" t="s">
        <v>54</v>
      </c>
      <c r="BN34" t="s">
        <v>102</v>
      </c>
      <c r="BO34">
        <v>0.30988061976123954</v>
      </c>
      <c r="BS34" s="41"/>
    </row>
    <row r="35" spans="1:77" x14ac:dyDescent="0.3">
      <c r="A35" t="s">
        <v>1508</v>
      </c>
      <c r="B35" t="s">
        <v>1780</v>
      </c>
      <c r="C35" s="16">
        <v>182</v>
      </c>
      <c r="D35" s="16" t="s">
        <v>322</v>
      </c>
      <c r="E35" s="16" t="s">
        <v>323</v>
      </c>
      <c r="F35" s="16" t="s">
        <v>324</v>
      </c>
      <c r="G35" s="17">
        <f t="shared" ref="G35:G61" si="17">H35*2.4711</f>
        <v>42814.278599999998</v>
      </c>
      <c r="H35" s="17">
        <v>17326</v>
      </c>
      <c r="I35" s="18">
        <f>IF(J35="","",J35*2.4711)</f>
        <v>502374.62999999995</v>
      </c>
      <c r="J35" s="18">
        <v>203300</v>
      </c>
      <c r="K35" s="19">
        <f t="shared" si="1"/>
        <v>11.733810458270806</v>
      </c>
      <c r="L35" s="19">
        <f>3.28*M35</f>
        <v>434.92799999999994</v>
      </c>
      <c r="M35" s="19">
        <v>132.6</v>
      </c>
      <c r="N35" s="20">
        <f>IF(O35="", "",O35*3.2808)</f>
        <v>178.80360000000002</v>
      </c>
      <c r="O35" s="19">
        <v>54.5</v>
      </c>
      <c r="P35" s="21" t="str">
        <f t="shared" si="3"/>
        <v>no</v>
      </c>
      <c r="Q35" s="22">
        <v>9.2893949827840636</v>
      </c>
      <c r="R35" s="18" t="s">
        <v>325</v>
      </c>
      <c r="S35" s="23">
        <v>42.629665000000003</v>
      </c>
      <c r="T35" s="23">
        <v>-76.671181000000004</v>
      </c>
      <c r="U35" s="18" t="s">
        <v>163</v>
      </c>
      <c r="V35" s="18" t="s">
        <v>78</v>
      </c>
      <c r="W35" t="str">
        <f t="shared" si="7"/>
        <v>yes</v>
      </c>
      <c r="X35" t="s">
        <v>326</v>
      </c>
      <c r="Y35" t="str">
        <f t="shared" si="4"/>
        <v>potable water, recreation, and public bathing</v>
      </c>
      <c r="Z35" t="s">
        <v>79</v>
      </c>
      <c r="AA35" s="45" t="s">
        <v>327</v>
      </c>
      <c r="AB35" s="40" t="s">
        <v>328</v>
      </c>
      <c r="AC35" s="24">
        <f>IF(AND(AA35="none reported",AB35="none reported"),"",0)</f>
        <v>0</v>
      </c>
      <c r="AD35" s="24"/>
      <c r="AE35" s="25" t="s">
        <v>329</v>
      </c>
      <c r="AF35" t="str">
        <f t="shared" si="5"/>
        <v>yes</v>
      </c>
      <c r="AG35" s="26" t="s">
        <v>257</v>
      </c>
      <c r="AH35" s="27" t="s">
        <v>257</v>
      </c>
      <c r="AI35" s="28" t="s">
        <v>141</v>
      </c>
      <c r="AJ35" s="29" t="s">
        <v>82</v>
      </c>
      <c r="AK35" s="30" t="s">
        <v>84</v>
      </c>
      <c r="AL35" s="31" t="s">
        <v>84</v>
      </c>
      <c r="AM35" s="32" t="s">
        <v>82</v>
      </c>
      <c r="AN35" s="39">
        <v>43653</v>
      </c>
      <c r="AO35" s="39">
        <v>43732</v>
      </c>
      <c r="AP35" s="39"/>
      <c r="AQ35">
        <v>12</v>
      </c>
      <c r="AR35">
        <v>10</v>
      </c>
      <c r="AS35">
        <v>8</v>
      </c>
      <c r="AT35">
        <v>3</v>
      </c>
      <c r="AU35">
        <v>0</v>
      </c>
      <c r="AV35">
        <v>2</v>
      </c>
      <c r="AW35">
        <v>0</v>
      </c>
      <c r="AX35">
        <v>0</v>
      </c>
      <c r="AZ35" t="s">
        <v>330</v>
      </c>
      <c r="BA35" t="s">
        <v>102</v>
      </c>
      <c r="BB35" t="s">
        <v>2116</v>
      </c>
      <c r="BD35" t="s">
        <v>320</v>
      </c>
      <c r="BF35" t="s">
        <v>229</v>
      </c>
      <c r="BG35" t="str">
        <f>IF(C35="","LCI","CSLAP")</f>
        <v>CSLAP</v>
      </c>
      <c r="BH35" s="14" t="str">
        <f>IF(RIGHT(CM35,4)="2011","yes","no")</f>
        <v>no</v>
      </c>
      <c r="BJ35">
        <f>IF(MAX(AT35:AX35)=0,0,IF(MAX(AT35:AX35)=1,1,LEN(AE35)-LEN(SUBSTITUTE(UPPER(AE35),",",""))+1))</f>
        <v>3</v>
      </c>
      <c r="BK35">
        <f>IF(BJ35&gt;1,2,IF(BJ35&gt;0,1,0))</f>
        <v>2</v>
      </c>
      <c r="BL35">
        <f>IF(BJ35&gt;2,3,IF(BJ35&gt;2,2,IF(BJ35&gt;1,1,0)))</f>
        <v>3</v>
      </c>
      <c r="BM35" t="str">
        <f>IF(C35="","LCI","CSLAP")</f>
        <v>CSLAP</v>
      </c>
      <c r="BN35" t="str">
        <f>IF(LEFT(AB35,13)="zebra mussels","yes","no")</f>
        <v>no</v>
      </c>
      <c r="BO35">
        <v>0.5</v>
      </c>
      <c r="BS35" s="41">
        <f>(18+0+17)/3</f>
        <v>11.666666666666666</v>
      </c>
    </row>
    <row r="36" spans="1:77" x14ac:dyDescent="0.3">
      <c r="A36" t="e">
        <v>#N/A</v>
      </c>
      <c r="B36" t="e">
        <v>#N/A</v>
      </c>
      <c r="C36" s="16" t="s">
        <v>331</v>
      </c>
      <c r="D36" s="16" t="s">
        <v>332</v>
      </c>
      <c r="E36" s="16" t="s">
        <v>323</v>
      </c>
      <c r="F36" s="16" t="s">
        <v>324</v>
      </c>
      <c r="G36" s="17">
        <f t="shared" si="17"/>
        <v>42814.278599999998</v>
      </c>
      <c r="H36" s="17">
        <v>17326</v>
      </c>
      <c r="I36" s="18">
        <f t="shared" ref="I36:I43" si="18">IF(J36="","",J36*2.4711)</f>
        <v>502374.62999999995</v>
      </c>
      <c r="J36" s="18">
        <v>203300</v>
      </c>
      <c r="K36" s="19">
        <f t="shared" si="1"/>
        <v>11.733810458270806</v>
      </c>
      <c r="L36" s="19">
        <f t="shared" ref="L36:L43" si="19">3.28*M36</f>
        <v>434.92799999999994</v>
      </c>
      <c r="M36" s="19">
        <v>132.6</v>
      </c>
      <c r="N36" s="20">
        <f t="shared" ref="N36:N50" si="20">IF(O36="", "",O36*3.2808)</f>
        <v>178.80360000000002</v>
      </c>
      <c r="O36" s="19">
        <v>54.5</v>
      </c>
      <c r="P36" s="21" t="str">
        <f t="shared" si="3"/>
        <v>no</v>
      </c>
      <c r="Q36" s="22">
        <v>9.2893949827840636</v>
      </c>
      <c r="R36" s="18" t="s">
        <v>333</v>
      </c>
      <c r="S36" s="23">
        <v>42.84</v>
      </c>
      <c r="T36" s="23">
        <v>-76.718000000000004</v>
      </c>
      <c r="U36" s="18" t="s">
        <v>163</v>
      </c>
      <c r="V36" s="18" t="s">
        <v>78</v>
      </c>
      <c r="W36" t="str">
        <f t="shared" si="7"/>
        <v>yes</v>
      </c>
      <c r="X36" t="s">
        <v>326</v>
      </c>
      <c r="Y36" t="str">
        <f t="shared" si="4"/>
        <v>potable water, recreation, and public bathing</v>
      </c>
      <c r="Z36" t="s">
        <v>79</v>
      </c>
      <c r="AA36" s="45" t="s">
        <v>327</v>
      </c>
      <c r="AB36" s="40" t="s">
        <v>328</v>
      </c>
      <c r="AC36" s="24">
        <f t="shared" ref="AC36:AC43" si="21">IF(AND(AA36="none reported",AB36="none reported"),"",0)</f>
        <v>0</v>
      </c>
      <c r="AD36" s="24"/>
      <c r="AE36" s="25" t="s">
        <v>329</v>
      </c>
      <c r="AF36" t="str">
        <f t="shared" si="5"/>
        <v>yes</v>
      </c>
      <c r="AG36" s="26" t="s">
        <v>257</v>
      </c>
      <c r="AH36" s="27" t="s">
        <v>257</v>
      </c>
      <c r="AI36" s="28" t="s">
        <v>141</v>
      </c>
      <c r="AJ36" s="29" t="s">
        <v>82</v>
      </c>
      <c r="AK36" s="30" t="s">
        <v>84</v>
      </c>
      <c r="AL36" s="31" t="s">
        <v>84</v>
      </c>
      <c r="AM36" s="32" t="s">
        <v>82</v>
      </c>
      <c r="AN36" s="39">
        <v>43653</v>
      </c>
      <c r="AO36" s="39">
        <v>43732</v>
      </c>
      <c r="AP36" s="39"/>
      <c r="AQ36">
        <v>12</v>
      </c>
      <c r="AR36">
        <v>10</v>
      </c>
      <c r="AS36">
        <v>8</v>
      </c>
      <c r="AT36">
        <v>3</v>
      </c>
      <c r="AU36">
        <v>0</v>
      </c>
      <c r="AV36">
        <v>2</v>
      </c>
      <c r="AW36">
        <v>0</v>
      </c>
      <c r="AX36">
        <v>0</v>
      </c>
      <c r="AZ36" t="s">
        <v>330</v>
      </c>
      <c r="BA36" t="s">
        <v>102</v>
      </c>
      <c r="BB36" t="s">
        <v>2116</v>
      </c>
      <c r="BD36" t="s">
        <v>320</v>
      </c>
      <c r="BF36" t="s">
        <v>229</v>
      </c>
      <c r="BG36" t="str">
        <f t="shared" ref="BG36:BG43" si="22">IF(C36="","LCI","CSLAP")</f>
        <v>CSLAP</v>
      </c>
      <c r="BH36" s="14" t="s">
        <v>99</v>
      </c>
      <c r="BJ36">
        <f t="shared" ref="BJ36:BJ43" si="23">IF(MAX(AT36:AX36)=0,0,IF(MAX(AT36:AX36)=1,1,LEN(AE36)-LEN(SUBSTITUTE(UPPER(AE36),",",""))+1))</f>
        <v>3</v>
      </c>
      <c r="BK36">
        <f t="shared" ref="BK36:BK43" si="24">IF(BJ36&gt;1,2,IF(BJ36&gt;0,1,0))</f>
        <v>2</v>
      </c>
      <c r="BL36">
        <f t="shared" ref="BL36:BL43" si="25">IF(BJ36&gt;2,3,IF(BJ36&gt;2,2,IF(BJ36&gt;1,1,0)))</f>
        <v>3</v>
      </c>
      <c r="BM36" t="str">
        <f t="shared" ref="BM36:BM43" si="26">IF(C36="","LCI","CSLAP")</f>
        <v>CSLAP</v>
      </c>
      <c r="BN36" t="str">
        <f t="shared" ref="BN36:BN43" si="27">IF(LEFT(AB36,13)="zebra mussels","yes","no")</f>
        <v>no</v>
      </c>
      <c r="BO36">
        <v>0.5</v>
      </c>
      <c r="BS36" s="41">
        <f t="shared" ref="BS36:BS43" si="28">(18+0+17)/3</f>
        <v>11.666666666666666</v>
      </c>
    </row>
    <row r="37" spans="1:77" x14ac:dyDescent="0.3">
      <c r="A37" t="e">
        <v>#N/A</v>
      </c>
      <c r="B37" t="e">
        <v>#N/A</v>
      </c>
      <c r="C37" s="16" t="s">
        <v>334</v>
      </c>
      <c r="D37" s="16" t="s">
        <v>335</v>
      </c>
      <c r="E37" s="16" t="s">
        <v>323</v>
      </c>
      <c r="F37" s="16" t="s">
        <v>324</v>
      </c>
      <c r="G37" s="17">
        <f t="shared" si="17"/>
        <v>42814.278599999998</v>
      </c>
      <c r="H37" s="17">
        <v>17326</v>
      </c>
      <c r="I37" s="18">
        <f t="shared" si="18"/>
        <v>502374.62999999995</v>
      </c>
      <c r="J37" s="18">
        <v>203300</v>
      </c>
      <c r="K37" s="19">
        <f t="shared" si="1"/>
        <v>11.733810458270806</v>
      </c>
      <c r="L37" s="19">
        <f t="shared" si="19"/>
        <v>434.92799999999994</v>
      </c>
      <c r="M37" s="19">
        <v>132.6</v>
      </c>
      <c r="N37" s="20">
        <f t="shared" si="20"/>
        <v>178.80360000000002</v>
      </c>
      <c r="O37" s="19">
        <v>54.5</v>
      </c>
      <c r="P37" s="21" t="str">
        <f t="shared" si="3"/>
        <v>no</v>
      </c>
      <c r="Q37" s="22">
        <v>9.2893949827840636</v>
      </c>
      <c r="R37" s="18" t="s">
        <v>333</v>
      </c>
      <c r="S37" s="23">
        <v>42.744</v>
      </c>
      <c r="T37" s="23">
        <v>-76.733999999999995</v>
      </c>
      <c r="U37" s="18" t="s">
        <v>163</v>
      </c>
      <c r="V37" s="18" t="s">
        <v>78</v>
      </c>
      <c r="W37" t="str">
        <f t="shared" si="7"/>
        <v>yes</v>
      </c>
      <c r="X37" t="s">
        <v>326</v>
      </c>
      <c r="Y37" t="str">
        <f t="shared" si="4"/>
        <v>potable water, recreation, and public bathing</v>
      </c>
      <c r="Z37" t="s">
        <v>79</v>
      </c>
      <c r="AA37" s="45" t="s">
        <v>327</v>
      </c>
      <c r="AB37" s="40" t="s">
        <v>328</v>
      </c>
      <c r="AC37" s="24">
        <f t="shared" si="21"/>
        <v>0</v>
      </c>
      <c r="AD37" s="24"/>
      <c r="AE37" s="25" t="s">
        <v>329</v>
      </c>
      <c r="AF37" t="str">
        <f t="shared" si="5"/>
        <v>yes</v>
      </c>
      <c r="AG37" s="26" t="s">
        <v>257</v>
      </c>
      <c r="AH37" s="27" t="s">
        <v>257</v>
      </c>
      <c r="AI37" s="28" t="s">
        <v>141</v>
      </c>
      <c r="AJ37" s="29" t="s">
        <v>82</v>
      </c>
      <c r="AK37" s="30" t="s">
        <v>84</v>
      </c>
      <c r="AL37" s="31" t="s">
        <v>84</v>
      </c>
      <c r="AM37" s="32" t="s">
        <v>82</v>
      </c>
      <c r="AN37" s="39">
        <v>43653</v>
      </c>
      <c r="AO37" s="39">
        <v>43732</v>
      </c>
      <c r="AP37" s="39"/>
      <c r="AQ37">
        <v>12</v>
      </c>
      <c r="AR37">
        <v>10</v>
      </c>
      <c r="AS37">
        <v>8</v>
      </c>
      <c r="AT37">
        <v>3</v>
      </c>
      <c r="AU37">
        <v>0</v>
      </c>
      <c r="AV37">
        <v>2</v>
      </c>
      <c r="AW37">
        <v>0</v>
      </c>
      <c r="AX37">
        <v>0</v>
      </c>
      <c r="AZ37" t="s">
        <v>330</v>
      </c>
      <c r="BA37" t="s">
        <v>102</v>
      </c>
      <c r="BB37" t="s">
        <v>2116</v>
      </c>
      <c r="BD37" t="s">
        <v>320</v>
      </c>
      <c r="BF37" t="s">
        <v>229</v>
      </c>
      <c r="BG37" t="str">
        <f t="shared" si="22"/>
        <v>CSLAP</v>
      </c>
      <c r="BH37" s="14" t="s">
        <v>99</v>
      </c>
      <c r="BJ37">
        <f t="shared" si="23"/>
        <v>3</v>
      </c>
      <c r="BK37">
        <f t="shared" si="24"/>
        <v>2</v>
      </c>
      <c r="BL37">
        <f t="shared" si="25"/>
        <v>3</v>
      </c>
      <c r="BM37" t="str">
        <f t="shared" si="26"/>
        <v>CSLAP</v>
      </c>
      <c r="BN37" t="str">
        <f t="shared" si="27"/>
        <v>no</v>
      </c>
      <c r="BO37">
        <v>0.5</v>
      </c>
      <c r="BS37" s="41">
        <f t="shared" si="28"/>
        <v>11.666666666666666</v>
      </c>
    </row>
    <row r="38" spans="1:77" x14ac:dyDescent="0.3">
      <c r="A38" t="s">
        <v>1508</v>
      </c>
      <c r="B38" t="s">
        <v>1781</v>
      </c>
      <c r="C38" s="16">
        <v>182.5</v>
      </c>
      <c r="D38" s="16" t="s">
        <v>336</v>
      </c>
      <c r="E38" s="16" t="s">
        <v>323</v>
      </c>
      <c r="F38" s="16" t="s">
        <v>324</v>
      </c>
      <c r="G38" s="17">
        <f t="shared" si="17"/>
        <v>42814.278599999998</v>
      </c>
      <c r="H38" s="17">
        <v>17326</v>
      </c>
      <c r="I38" s="18">
        <f t="shared" si="18"/>
        <v>502374.62999999995</v>
      </c>
      <c r="J38" s="18">
        <v>203300</v>
      </c>
      <c r="K38" s="19">
        <f t="shared" si="1"/>
        <v>11.733810458270806</v>
      </c>
      <c r="L38" s="19">
        <f t="shared" si="19"/>
        <v>434.92799999999994</v>
      </c>
      <c r="M38" s="19">
        <v>132.6</v>
      </c>
      <c r="N38" s="20">
        <f t="shared" si="20"/>
        <v>178.80360000000002</v>
      </c>
      <c r="O38" s="19">
        <v>54.5</v>
      </c>
      <c r="P38" s="21" t="str">
        <f t="shared" si="3"/>
        <v>no</v>
      </c>
      <c r="Q38" s="22">
        <v>9.2893949827840636</v>
      </c>
      <c r="R38" s="18" t="s">
        <v>2088</v>
      </c>
      <c r="S38" s="23">
        <v>42.918999999999997</v>
      </c>
      <c r="T38" s="23">
        <v>-76.739999999999995</v>
      </c>
      <c r="U38" s="18" t="s">
        <v>163</v>
      </c>
      <c r="V38" s="18" t="s">
        <v>78</v>
      </c>
      <c r="W38" t="str">
        <f t="shared" si="7"/>
        <v>yes</v>
      </c>
      <c r="X38" t="s">
        <v>326</v>
      </c>
      <c r="Y38" t="str">
        <f t="shared" si="4"/>
        <v>potable water, recreation, and public bathing</v>
      </c>
      <c r="Z38" t="s">
        <v>79</v>
      </c>
      <c r="AA38" s="45" t="s">
        <v>327</v>
      </c>
      <c r="AB38" s="40" t="s">
        <v>328</v>
      </c>
      <c r="AC38" s="24">
        <f t="shared" si="21"/>
        <v>0</v>
      </c>
      <c r="AD38" s="24"/>
      <c r="AE38" s="25" t="s">
        <v>329</v>
      </c>
      <c r="AF38" t="str">
        <f t="shared" si="5"/>
        <v>yes</v>
      </c>
      <c r="AG38" s="26" t="s">
        <v>257</v>
      </c>
      <c r="AH38" s="27" t="s">
        <v>257</v>
      </c>
      <c r="AI38" s="28" t="s">
        <v>141</v>
      </c>
      <c r="AJ38" s="29" t="s">
        <v>82</v>
      </c>
      <c r="AK38" s="30" t="s">
        <v>84</v>
      </c>
      <c r="AL38" s="31" t="s">
        <v>84</v>
      </c>
      <c r="AM38" s="32" t="s">
        <v>82</v>
      </c>
      <c r="AN38" s="39">
        <v>43653</v>
      </c>
      <c r="AO38" s="39">
        <v>43732</v>
      </c>
      <c r="AP38" s="39"/>
      <c r="AQ38">
        <v>12</v>
      </c>
      <c r="AR38">
        <v>10</v>
      </c>
      <c r="AS38">
        <v>8</v>
      </c>
      <c r="AT38">
        <v>3</v>
      </c>
      <c r="AU38">
        <v>0</v>
      </c>
      <c r="AV38">
        <v>2</v>
      </c>
      <c r="AW38">
        <v>0</v>
      </c>
      <c r="AX38">
        <v>0</v>
      </c>
      <c r="AZ38" t="s">
        <v>330</v>
      </c>
      <c r="BA38" t="s">
        <v>102</v>
      </c>
      <c r="BB38" t="s">
        <v>2116</v>
      </c>
      <c r="BD38" t="s">
        <v>320</v>
      </c>
      <c r="BF38" t="s">
        <v>229</v>
      </c>
      <c r="BG38" t="str">
        <f t="shared" si="22"/>
        <v>CSLAP</v>
      </c>
      <c r="BH38" s="14" t="s">
        <v>102</v>
      </c>
      <c r="BJ38">
        <f t="shared" si="23"/>
        <v>3</v>
      </c>
      <c r="BK38">
        <f t="shared" si="24"/>
        <v>2</v>
      </c>
      <c r="BL38">
        <f t="shared" si="25"/>
        <v>3</v>
      </c>
      <c r="BM38" t="str">
        <f t="shared" si="26"/>
        <v>CSLAP</v>
      </c>
      <c r="BN38" t="str">
        <f t="shared" si="27"/>
        <v>no</v>
      </c>
      <c r="BO38">
        <v>0.5</v>
      </c>
      <c r="BS38" s="41">
        <f t="shared" si="28"/>
        <v>11.666666666666666</v>
      </c>
    </row>
    <row r="39" spans="1:77" x14ac:dyDescent="0.3">
      <c r="A39" t="s">
        <v>1508</v>
      </c>
      <c r="B39" t="e">
        <v>#N/A</v>
      </c>
      <c r="C39" s="16" t="s">
        <v>337</v>
      </c>
      <c r="D39" s="16" t="s">
        <v>338</v>
      </c>
      <c r="E39" s="16" t="s">
        <v>323</v>
      </c>
      <c r="F39" s="16" t="s">
        <v>324</v>
      </c>
      <c r="G39" s="17">
        <f t="shared" si="17"/>
        <v>42814.278599999998</v>
      </c>
      <c r="H39" s="17">
        <v>17326</v>
      </c>
      <c r="I39" s="18">
        <f t="shared" si="18"/>
        <v>502374.62999999995</v>
      </c>
      <c r="J39" s="18">
        <v>203300</v>
      </c>
      <c r="K39" s="19">
        <f t="shared" si="1"/>
        <v>11.733810458270806</v>
      </c>
      <c r="L39" s="19">
        <f t="shared" si="19"/>
        <v>434.92799999999994</v>
      </c>
      <c r="M39" s="19">
        <v>132.6</v>
      </c>
      <c r="N39" s="20">
        <f t="shared" si="20"/>
        <v>178.80360000000002</v>
      </c>
      <c r="O39" s="19">
        <v>54.5</v>
      </c>
      <c r="P39" s="21" t="str">
        <f t="shared" si="3"/>
        <v>no</v>
      </c>
      <c r="Q39" s="22">
        <v>9.2893949827840636</v>
      </c>
      <c r="R39" s="18" t="s">
        <v>333</v>
      </c>
      <c r="S39" s="23">
        <v>42.497999999999998</v>
      </c>
      <c r="T39" s="23">
        <v>-76.528000000000006</v>
      </c>
      <c r="U39" s="18" t="s">
        <v>163</v>
      </c>
      <c r="V39" s="18" t="s">
        <v>78</v>
      </c>
      <c r="W39" t="str">
        <f t="shared" si="7"/>
        <v>yes</v>
      </c>
      <c r="X39" t="s">
        <v>326</v>
      </c>
      <c r="Y39" t="str">
        <f t="shared" si="4"/>
        <v>potable water, recreation, and public bathing</v>
      </c>
      <c r="Z39" t="s">
        <v>79</v>
      </c>
      <c r="AA39" s="45" t="s">
        <v>327</v>
      </c>
      <c r="AB39" s="40" t="s">
        <v>328</v>
      </c>
      <c r="AC39" s="24">
        <f t="shared" si="21"/>
        <v>0</v>
      </c>
      <c r="AD39" s="24"/>
      <c r="AE39" s="25" t="s">
        <v>329</v>
      </c>
      <c r="AF39" t="str">
        <f t="shared" si="5"/>
        <v>yes</v>
      </c>
      <c r="AG39" s="26" t="s">
        <v>257</v>
      </c>
      <c r="AH39" s="27" t="s">
        <v>257</v>
      </c>
      <c r="AI39" s="28" t="s">
        <v>141</v>
      </c>
      <c r="AJ39" s="29" t="s">
        <v>82</v>
      </c>
      <c r="AK39" s="30" t="s">
        <v>84</v>
      </c>
      <c r="AL39" s="31" t="s">
        <v>84</v>
      </c>
      <c r="AM39" s="32" t="s">
        <v>82</v>
      </c>
      <c r="AN39" s="39">
        <v>43653</v>
      </c>
      <c r="AO39" s="39">
        <v>43732</v>
      </c>
      <c r="AP39" s="39"/>
      <c r="AQ39">
        <v>12</v>
      </c>
      <c r="AR39">
        <v>10</v>
      </c>
      <c r="AS39">
        <v>8</v>
      </c>
      <c r="AT39">
        <v>3</v>
      </c>
      <c r="AU39">
        <v>0</v>
      </c>
      <c r="AV39">
        <v>2</v>
      </c>
      <c r="AW39">
        <v>0</v>
      </c>
      <c r="AX39">
        <v>0</v>
      </c>
      <c r="AZ39" t="s">
        <v>330</v>
      </c>
      <c r="BA39" t="s">
        <v>102</v>
      </c>
      <c r="BB39" t="s">
        <v>2116</v>
      </c>
      <c r="BD39" t="s">
        <v>320</v>
      </c>
      <c r="BF39" t="s">
        <v>229</v>
      </c>
      <c r="BG39" t="str">
        <f t="shared" si="22"/>
        <v>CSLAP</v>
      </c>
      <c r="BH39" s="14" t="s">
        <v>99</v>
      </c>
      <c r="BJ39">
        <f t="shared" si="23"/>
        <v>3</v>
      </c>
      <c r="BK39">
        <f t="shared" si="24"/>
        <v>2</v>
      </c>
      <c r="BL39">
        <f t="shared" si="25"/>
        <v>3</v>
      </c>
      <c r="BM39" t="str">
        <f t="shared" si="26"/>
        <v>CSLAP</v>
      </c>
      <c r="BN39" t="str">
        <f t="shared" si="27"/>
        <v>no</v>
      </c>
      <c r="BO39">
        <v>0.5</v>
      </c>
      <c r="BS39" s="41">
        <f t="shared" si="28"/>
        <v>11.666666666666666</v>
      </c>
    </row>
    <row r="40" spans="1:77" x14ac:dyDescent="0.3">
      <c r="A40" t="s">
        <v>1508</v>
      </c>
      <c r="B40" t="s">
        <v>1782</v>
      </c>
      <c r="C40" s="16">
        <v>182.2</v>
      </c>
      <c r="D40" s="16" t="s">
        <v>339</v>
      </c>
      <c r="E40" s="16" t="s">
        <v>323</v>
      </c>
      <c r="F40" s="16" t="s">
        <v>324</v>
      </c>
      <c r="G40" s="17">
        <f t="shared" si="17"/>
        <v>42814.278599999998</v>
      </c>
      <c r="H40" s="17">
        <v>17326</v>
      </c>
      <c r="I40" s="18">
        <f t="shared" si="18"/>
        <v>502374.62999999995</v>
      </c>
      <c r="J40" s="18">
        <v>203300</v>
      </c>
      <c r="K40" s="19">
        <f t="shared" si="1"/>
        <v>11.733810458270806</v>
      </c>
      <c r="L40" s="19">
        <f t="shared" si="19"/>
        <v>434.92799999999994</v>
      </c>
      <c r="M40" s="19">
        <v>132.6</v>
      </c>
      <c r="N40" s="20">
        <f t="shared" si="20"/>
        <v>178.80360000000002</v>
      </c>
      <c r="O40" s="19">
        <v>54.5</v>
      </c>
      <c r="P40" s="21" t="str">
        <f t="shared" si="3"/>
        <v>no</v>
      </c>
      <c r="Q40" s="22">
        <v>9.2893949827840636</v>
      </c>
      <c r="R40" s="18" t="s">
        <v>2114</v>
      </c>
      <c r="S40" s="23">
        <v>42.555166999999997</v>
      </c>
      <c r="T40" s="23">
        <v>-76.597499999999997</v>
      </c>
      <c r="U40" s="18" t="s">
        <v>163</v>
      </c>
      <c r="V40" s="18" t="s">
        <v>78</v>
      </c>
      <c r="W40" t="str">
        <f t="shared" si="7"/>
        <v>yes</v>
      </c>
      <c r="X40" t="s">
        <v>326</v>
      </c>
      <c r="Y40" t="str">
        <f t="shared" si="4"/>
        <v>potable water, recreation, and public bathing</v>
      </c>
      <c r="Z40" t="s">
        <v>79</v>
      </c>
      <c r="AA40" s="45" t="s">
        <v>327</v>
      </c>
      <c r="AB40" s="40" t="s">
        <v>328</v>
      </c>
      <c r="AC40" s="24">
        <f t="shared" si="21"/>
        <v>0</v>
      </c>
      <c r="AD40" s="24"/>
      <c r="AE40" s="25" t="s">
        <v>329</v>
      </c>
      <c r="AF40" t="str">
        <f t="shared" si="5"/>
        <v>yes</v>
      </c>
      <c r="AG40" s="26" t="s">
        <v>257</v>
      </c>
      <c r="AH40" s="27" t="s">
        <v>257</v>
      </c>
      <c r="AI40" s="28" t="s">
        <v>141</v>
      </c>
      <c r="AJ40" s="29" t="s">
        <v>82</v>
      </c>
      <c r="AK40" s="30" t="s">
        <v>84</v>
      </c>
      <c r="AL40" s="31" t="s">
        <v>84</v>
      </c>
      <c r="AM40" s="32" t="s">
        <v>82</v>
      </c>
      <c r="AN40" s="39">
        <v>43653</v>
      </c>
      <c r="AO40" s="39">
        <v>43732</v>
      </c>
      <c r="AP40" s="39"/>
      <c r="AQ40">
        <v>12</v>
      </c>
      <c r="AR40">
        <v>10</v>
      </c>
      <c r="AS40">
        <v>8</v>
      </c>
      <c r="AT40">
        <v>3</v>
      </c>
      <c r="AU40">
        <v>0</v>
      </c>
      <c r="AV40">
        <v>2</v>
      </c>
      <c r="AW40">
        <v>0</v>
      </c>
      <c r="AX40">
        <v>0</v>
      </c>
      <c r="AZ40" t="s">
        <v>330</v>
      </c>
      <c r="BA40" t="s">
        <v>102</v>
      </c>
      <c r="BB40" t="s">
        <v>2116</v>
      </c>
      <c r="BD40" t="s">
        <v>320</v>
      </c>
      <c r="BF40" t="s">
        <v>229</v>
      </c>
      <c r="BG40" t="str">
        <f t="shared" si="22"/>
        <v>CSLAP</v>
      </c>
      <c r="BH40" s="14" t="s">
        <v>102</v>
      </c>
      <c r="BJ40">
        <f t="shared" si="23"/>
        <v>3</v>
      </c>
      <c r="BK40">
        <f t="shared" si="24"/>
        <v>2</v>
      </c>
      <c r="BL40">
        <f t="shared" si="25"/>
        <v>3</v>
      </c>
      <c r="BM40" t="str">
        <f t="shared" si="26"/>
        <v>CSLAP</v>
      </c>
      <c r="BN40" t="str">
        <f t="shared" si="27"/>
        <v>no</v>
      </c>
      <c r="BO40">
        <v>0.5</v>
      </c>
      <c r="BS40" s="41">
        <f t="shared" si="28"/>
        <v>11.666666666666666</v>
      </c>
    </row>
    <row r="41" spans="1:77" x14ac:dyDescent="0.3">
      <c r="A41" t="s">
        <v>1508</v>
      </c>
      <c r="B41" t="s">
        <v>1783</v>
      </c>
      <c r="C41" s="16">
        <v>182.1</v>
      </c>
      <c r="D41" s="16" t="s">
        <v>340</v>
      </c>
      <c r="E41" s="16" t="s">
        <v>323</v>
      </c>
      <c r="F41" s="16" t="s">
        <v>324</v>
      </c>
      <c r="G41" s="17">
        <f t="shared" si="17"/>
        <v>42814.278599999998</v>
      </c>
      <c r="H41" s="17">
        <v>17326</v>
      </c>
      <c r="I41" s="18">
        <f t="shared" si="18"/>
        <v>502374.62999999995</v>
      </c>
      <c r="J41" s="18">
        <v>203300</v>
      </c>
      <c r="K41" s="19">
        <f t="shared" si="1"/>
        <v>11.733810458270806</v>
      </c>
      <c r="L41" s="19">
        <f t="shared" si="19"/>
        <v>434.92799999999994</v>
      </c>
      <c r="M41" s="19">
        <v>132.6</v>
      </c>
      <c r="N41" s="20">
        <f t="shared" si="20"/>
        <v>178.80360000000002</v>
      </c>
      <c r="O41" s="19">
        <v>54.5</v>
      </c>
      <c r="P41" s="21" t="str">
        <f t="shared" si="3"/>
        <v>no</v>
      </c>
      <c r="Q41" s="22">
        <v>9.2893949827840636</v>
      </c>
      <c r="R41" s="18" t="s">
        <v>2109</v>
      </c>
      <c r="S41" s="23">
        <v>42.817751000000001</v>
      </c>
      <c r="T41" s="23">
        <v>-76.725707999999997</v>
      </c>
      <c r="U41" s="18" t="s">
        <v>163</v>
      </c>
      <c r="V41" s="18" t="s">
        <v>78</v>
      </c>
      <c r="W41" t="str">
        <f t="shared" si="7"/>
        <v>yes</v>
      </c>
      <c r="X41" t="s">
        <v>326</v>
      </c>
      <c r="Y41" t="str">
        <f t="shared" si="4"/>
        <v>potable water, recreation, and public bathing</v>
      </c>
      <c r="Z41" t="s">
        <v>79</v>
      </c>
      <c r="AA41" s="45" t="s">
        <v>327</v>
      </c>
      <c r="AB41" s="40" t="s">
        <v>328</v>
      </c>
      <c r="AC41" s="24">
        <f t="shared" si="21"/>
        <v>0</v>
      </c>
      <c r="AD41" s="24"/>
      <c r="AE41" s="25" t="s">
        <v>329</v>
      </c>
      <c r="AF41" t="str">
        <f t="shared" si="5"/>
        <v>yes</v>
      </c>
      <c r="AG41" s="26" t="s">
        <v>257</v>
      </c>
      <c r="AH41" s="27" t="s">
        <v>257</v>
      </c>
      <c r="AI41" s="28" t="s">
        <v>141</v>
      </c>
      <c r="AJ41" s="29" t="s">
        <v>82</v>
      </c>
      <c r="AK41" s="30" t="s">
        <v>84</v>
      </c>
      <c r="AL41" s="31" t="s">
        <v>84</v>
      </c>
      <c r="AM41" s="32" t="s">
        <v>82</v>
      </c>
      <c r="AN41" s="39">
        <v>43653</v>
      </c>
      <c r="AO41" s="39">
        <v>43732</v>
      </c>
      <c r="AP41" s="39"/>
      <c r="AQ41">
        <v>12</v>
      </c>
      <c r="AR41">
        <v>10</v>
      </c>
      <c r="AS41">
        <v>8</v>
      </c>
      <c r="AT41">
        <v>3</v>
      </c>
      <c r="AU41">
        <v>0</v>
      </c>
      <c r="AV41">
        <v>2</v>
      </c>
      <c r="AW41">
        <v>0</v>
      </c>
      <c r="AX41">
        <v>0</v>
      </c>
      <c r="AZ41" t="s">
        <v>330</v>
      </c>
      <c r="BA41" t="s">
        <v>102</v>
      </c>
      <c r="BB41" t="s">
        <v>2116</v>
      </c>
      <c r="BD41" t="s">
        <v>320</v>
      </c>
      <c r="BF41" t="s">
        <v>229</v>
      </c>
      <c r="BG41" t="str">
        <f t="shared" si="22"/>
        <v>CSLAP</v>
      </c>
      <c r="BH41" s="14" t="s">
        <v>102</v>
      </c>
      <c r="BJ41">
        <f t="shared" si="23"/>
        <v>3</v>
      </c>
      <c r="BK41">
        <f t="shared" si="24"/>
        <v>2</v>
      </c>
      <c r="BL41">
        <f t="shared" si="25"/>
        <v>3</v>
      </c>
      <c r="BM41" t="str">
        <f t="shared" si="26"/>
        <v>CSLAP</v>
      </c>
      <c r="BN41" t="str">
        <f t="shared" si="27"/>
        <v>no</v>
      </c>
      <c r="BO41">
        <v>0.5</v>
      </c>
      <c r="BS41" s="41">
        <f t="shared" si="28"/>
        <v>11.666666666666666</v>
      </c>
    </row>
    <row r="42" spans="1:77" x14ac:dyDescent="0.3">
      <c r="A42" t="s">
        <v>1508</v>
      </c>
      <c r="B42" t="s">
        <v>1784</v>
      </c>
      <c r="C42" s="16">
        <v>182.3</v>
      </c>
      <c r="D42" s="16" t="s">
        <v>341</v>
      </c>
      <c r="E42" s="16" t="s">
        <v>323</v>
      </c>
      <c r="F42" s="16" t="s">
        <v>324</v>
      </c>
      <c r="G42" s="17">
        <f t="shared" si="17"/>
        <v>42814.278599999998</v>
      </c>
      <c r="H42" s="17">
        <v>17326</v>
      </c>
      <c r="I42" s="18">
        <f t="shared" si="18"/>
        <v>502374.62999999995</v>
      </c>
      <c r="J42" s="18">
        <v>203300</v>
      </c>
      <c r="K42" s="19">
        <f t="shared" si="1"/>
        <v>11.733810458270806</v>
      </c>
      <c r="L42" s="19">
        <f t="shared" si="19"/>
        <v>434.92799999999994</v>
      </c>
      <c r="M42" s="19">
        <v>132.6</v>
      </c>
      <c r="N42" s="20">
        <f t="shared" si="20"/>
        <v>178.80360000000002</v>
      </c>
      <c r="O42" s="19">
        <v>54.5</v>
      </c>
      <c r="P42" s="21" t="str">
        <f t="shared" si="3"/>
        <v>no</v>
      </c>
      <c r="Q42" s="22">
        <v>9.2893949827840636</v>
      </c>
      <c r="R42" s="18" t="s">
        <v>2088</v>
      </c>
      <c r="S42" s="23">
        <v>42.47</v>
      </c>
      <c r="T42" s="23">
        <v>-76.515000000000001</v>
      </c>
      <c r="U42" s="18" t="s">
        <v>163</v>
      </c>
      <c r="V42" s="18" t="s">
        <v>78</v>
      </c>
      <c r="W42" t="str">
        <f t="shared" si="7"/>
        <v>yes</v>
      </c>
      <c r="X42" t="s">
        <v>326</v>
      </c>
      <c r="Y42" t="str">
        <f t="shared" si="4"/>
        <v>potable water, recreation, and public bathing</v>
      </c>
      <c r="Z42" t="s">
        <v>79</v>
      </c>
      <c r="AA42" s="45" t="s">
        <v>327</v>
      </c>
      <c r="AB42" s="40" t="s">
        <v>328</v>
      </c>
      <c r="AC42" s="24">
        <f t="shared" si="21"/>
        <v>0</v>
      </c>
      <c r="AD42" s="24"/>
      <c r="AE42" s="25" t="s">
        <v>329</v>
      </c>
      <c r="AF42" t="str">
        <f t="shared" si="5"/>
        <v>yes</v>
      </c>
      <c r="AG42" s="26" t="s">
        <v>257</v>
      </c>
      <c r="AH42" s="27" t="s">
        <v>257</v>
      </c>
      <c r="AI42" s="28" t="s">
        <v>141</v>
      </c>
      <c r="AJ42" s="29" t="s">
        <v>82</v>
      </c>
      <c r="AK42" s="30" t="s">
        <v>84</v>
      </c>
      <c r="AL42" s="31" t="s">
        <v>84</v>
      </c>
      <c r="AM42" s="32" t="s">
        <v>82</v>
      </c>
      <c r="AN42" s="39">
        <v>43653</v>
      </c>
      <c r="AO42" s="39">
        <v>43732</v>
      </c>
      <c r="AP42" s="39"/>
      <c r="AQ42">
        <v>12</v>
      </c>
      <c r="AR42">
        <v>10</v>
      </c>
      <c r="AS42">
        <v>8</v>
      </c>
      <c r="AT42">
        <v>3</v>
      </c>
      <c r="AU42">
        <v>0</v>
      </c>
      <c r="AV42">
        <v>2</v>
      </c>
      <c r="AW42">
        <v>0</v>
      </c>
      <c r="AX42">
        <v>0</v>
      </c>
      <c r="AZ42" t="s">
        <v>330</v>
      </c>
      <c r="BA42" t="s">
        <v>102</v>
      </c>
      <c r="BB42" t="s">
        <v>2116</v>
      </c>
      <c r="BD42" t="s">
        <v>320</v>
      </c>
      <c r="BF42" t="s">
        <v>229</v>
      </c>
      <c r="BG42" t="str">
        <f t="shared" si="22"/>
        <v>CSLAP</v>
      </c>
      <c r="BH42" s="14" t="s">
        <v>102</v>
      </c>
      <c r="BJ42">
        <f t="shared" si="23"/>
        <v>3</v>
      </c>
      <c r="BK42">
        <f t="shared" si="24"/>
        <v>2</v>
      </c>
      <c r="BL42">
        <f t="shared" si="25"/>
        <v>3</v>
      </c>
      <c r="BM42" t="str">
        <f t="shared" si="26"/>
        <v>CSLAP</v>
      </c>
      <c r="BN42" t="str">
        <f t="shared" si="27"/>
        <v>no</v>
      </c>
      <c r="BO42">
        <v>0.5</v>
      </c>
      <c r="BS42" s="41">
        <f t="shared" si="28"/>
        <v>11.666666666666666</v>
      </c>
    </row>
    <row r="43" spans="1:77" x14ac:dyDescent="0.3">
      <c r="A43" t="s">
        <v>1508</v>
      </c>
      <c r="B43" t="s">
        <v>1785</v>
      </c>
      <c r="C43" s="16">
        <v>182.4</v>
      </c>
      <c r="D43" s="16" t="s">
        <v>342</v>
      </c>
      <c r="E43" s="16" t="s">
        <v>323</v>
      </c>
      <c r="F43" s="16" t="s">
        <v>324</v>
      </c>
      <c r="G43" s="17">
        <f t="shared" si="17"/>
        <v>42814.278599999998</v>
      </c>
      <c r="H43" s="17">
        <v>17326</v>
      </c>
      <c r="I43" s="18">
        <f t="shared" si="18"/>
        <v>502374.62999999995</v>
      </c>
      <c r="J43" s="18">
        <v>203300</v>
      </c>
      <c r="K43" s="19">
        <f t="shared" si="1"/>
        <v>11.733810458270806</v>
      </c>
      <c r="L43" s="19">
        <f t="shared" si="19"/>
        <v>434.92799999999994</v>
      </c>
      <c r="M43" s="19">
        <v>132.6</v>
      </c>
      <c r="N43" s="20">
        <f t="shared" si="20"/>
        <v>178.80360000000002</v>
      </c>
      <c r="O43" s="19">
        <v>54.5</v>
      </c>
      <c r="P43" s="21" t="str">
        <f t="shared" si="3"/>
        <v>no</v>
      </c>
      <c r="Q43" s="22">
        <v>9.2893949827840636</v>
      </c>
      <c r="R43" s="18" t="s">
        <v>2115</v>
      </c>
      <c r="S43" s="23">
        <v>42.713999999999999</v>
      </c>
      <c r="T43" s="23">
        <v>-76.73</v>
      </c>
      <c r="U43" s="18" t="s">
        <v>163</v>
      </c>
      <c r="V43" s="18" t="s">
        <v>78</v>
      </c>
      <c r="W43" t="str">
        <f t="shared" si="7"/>
        <v>yes</v>
      </c>
      <c r="X43" t="s">
        <v>326</v>
      </c>
      <c r="Y43" t="str">
        <f t="shared" si="4"/>
        <v>potable water, recreation, and public bathing</v>
      </c>
      <c r="Z43" t="s">
        <v>79</v>
      </c>
      <c r="AA43" s="45" t="s">
        <v>327</v>
      </c>
      <c r="AB43" s="40" t="s">
        <v>328</v>
      </c>
      <c r="AC43" s="24">
        <f t="shared" si="21"/>
        <v>0</v>
      </c>
      <c r="AD43" s="24"/>
      <c r="AE43" s="25" t="s">
        <v>329</v>
      </c>
      <c r="AF43" t="str">
        <f t="shared" si="5"/>
        <v>yes</v>
      </c>
      <c r="AG43" s="26" t="s">
        <v>257</v>
      </c>
      <c r="AH43" s="27" t="s">
        <v>257</v>
      </c>
      <c r="AI43" s="28" t="s">
        <v>141</v>
      </c>
      <c r="AJ43" s="29" t="s">
        <v>82</v>
      </c>
      <c r="AK43" s="30" t="s">
        <v>84</v>
      </c>
      <c r="AL43" s="31" t="s">
        <v>84</v>
      </c>
      <c r="AM43" s="32" t="s">
        <v>82</v>
      </c>
      <c r="AN43" s="39">
        <v>43653</v>
      </c>
      <c r="AO43" s="39">
        <v>43732</v>
      </c>
      <c r="AP43" s="39"/>
      <c r="AQ43">
        <v>12</v>
      </c>
      <c r="AR43">
        <v>10</v>
      </c>
      <c r="AS43">
        <v>8</v>
      </c>
      <c r="AT43">
        <v>3</v>
      </c>
      <c r="AU43">
        <v>0</v>
      </c>
      <c r="AV43">
        <v>2</v>
      </c>
      <c r="AW43">
        <v>0</v>
      </c>
      <c r="AX43">
        <v>0</v>
      </c>
      <c r="AZ43" t="s">
        <v>330</v>
      </c>
      <c r="BA43" t="s">
        <v>102</v>
      </c>
      <c r="BB43" t="s">
        <v>2116</v>
      </c>
      <c r="BD43" t="s">
        <v>320</v>
      </c>
      <c r="BF43" t="s">
        <v>229</v>
      </c>
      <c r="BG43" t="str">
        <f t="shared" si="22"/>
        <v>CSLAP</v>
      </c>
      <c r="BH43" s="14" t="s">
        <v>102</v>
      </c>
      <c r="BJ43">
        <f t="shared" si="23"/>
        <v>3</v>
      </c>
      <c r="BK43">
        <f t="shared" si="24"/>
        <v>2</v>
      </c>
      <c r="BL43">
        <f t="shared" si="25"/>
        <v>3</v>
      </c>
      <c r="BM43" t="str">
        <f t="shared" si="26"/>
        <v>CSLAP</v>
      </c>
      <c r="BN43" t="str">
        <f t="shared" si="27"/>
        <v>no</v>
      </c>
      <c r="BO43">
        <v>0.5</v>
      </c>
      <c r="BS43" s="41">
        <f t="shared" si="28"/>
        <v>11.666666666666666</v>
      </c>
    </row>
    <row r="44" spans="1:77" x14ac:dyDescent="0.3">
      <c r="A44" t="s">
        <v>1509</v>
      </c>
      <c r="B44" t="s">
        <v>1786</v>
      </c>
      <c r="C44" s="16">
        <v>41</v>
      </c>
      <c r="D44" s="16" t="s">
        <v>343</v>
      </c>
      <c r="E44" s="16" t="s">
        <v>243</v>
      </c>
      <c r="F44" s="16" t="s">
        <v>344</v>
      </c>
      <c r="G44" s="17">
        <f t="shared" si="17"/>
        <v>1184.15112</v>
      </c>
      <c r="H44" s="17">
        <v>479.2</v>
      </c>
      <c r="I44" s="18">
        <f>IF(J44="","",J44*2.4711)</f>
        <v>5510.5529999999999</v>
      </c>
      <c r="J44" s="18">
        <v>2230</v>
      </c>
      <c r="K44" s="19">
        <f t="shared" si="1"/>
        <v>4.6535893155258767</v>
      </c>
      <c r="L44" s="19">
        <v>45.931200000000004</v>
      </c>
      <c r="M44" s="19">
        <v>14</v>
      </c>
      <c r="N44" s="20">
        <f t="shared" si="20"/>
        <v>23.293679999999998</v>
      </c>
      <c r="O44" s="19">
        <v>7.1</v>
      </c>
      <c r="P44" s="21" t="str">
        <f t="shared" si="3"/>
        <v>no</v>
      </c>
      <c r="Q44" s="22">
        <v>3.8142600896860985</v>
      </c>
      <c r="R44" s="18" t="s">
        <v>2117</v>
      </c>
      <c r="S44" s="23">
        <v>42.949831719999999</v>
      </c>
      <c r="T44" s="23">
        <v>-75.87397824</v>
      </c>
      <c r="U44" s="18" t="s">
        <v>96</v>
      </c>
      <c r="V44" s="18" t="s">
        <v>96</v>
      </c>
      <c r="W44" t="str">
        <f t="shared" si="7"/>
        <v>yes</v>
      </c>
      <c r="X44" t="s">
        <v>345</v>
      </c>
      <c r="Y44" t="str">
        <f t="shared" si="4"/>
        <v>potable water, recreation, and public bathing</v>
      </c>
      <c r="Z44" t="s">
        <v>79</v>
      </c>
      <c r="AA44" s="45" t="s">
        <v>346</v>
      </c>
      <c r="AB44" s="40" t="s">
        <v>139</v>
      </c>
      <c r="AC44" s="24">
        <f>IF(AND(AA44="none reported",AB44="none reported"),"",0)</f>
        <v>0</v>
      </c>
      <c r="AD44" s="24"/>
      <c r="AE44" s="25" t="s">
        <v>347</v>
      </c>
      <c r="AF44" t="str">
        <f t="shared" si="5"/>
        <v>yes</v>
      </c>
      <c r="AG44" s="26" t="s">
        <v>82</v>
      </c>
      <c r="AH44" s="27" t="s">
        <v>83</v>
      </c>
      <c r="AI44" s="28" t="s">
        <v>83</v>
      </c>
      <c r="AJ44" s="29" t="s">
        <v>82</v>
      </c>
      <c r="AK44" s="30" t="s">
        <v>84</v>
      </c>
      <c r="AL44" s="31" t="s">
        <v>121</v>
      </c>
      <c r="AM44" s="32" t="s">
        <v>82</v>
      </c>
      <c r="AN44" s="39">
        <v>43711</v>
      </c>
      <c r="AO44" s="39">
        <v>43717</v>
      </c>
      <c r="AP44" s="39"/>
      <c r="AQ44">
        <v>8</v>
      </c>
      <c r="AR44">
        <v>5</v>
      </c>
      <c r="AS44">
        <v>0</v>
      </c>
      <c r="AT44">
        <v>1</v>
      </c>
      <c r="AU44">
        <v>2</v>
      </c>
      <c r="AV44">
        <v>3</v>
      </c>
      <c r="AW44">
        <v>3</v>
      </c>
      <c r="AX44">
        <v>3</v>
      </c>
      <c r="AY44" t="s">
        <v>348</v>
      </c>
      <c r="AZ44" t="s">
        <v>349</v>
      </c>
      <c r="BA44" t="s">
        <v>102</v>
      </c>
      <c r="BB44" t="s">
        <v>350</v>
      </c>
      <c r="BC44" t="s">
        <v>132</v>
      </c>
      <c r="BD44" t="s">
        <v>320</v>
      </c>
      <c r="BE44" t="s">
        <v>229</v>
      </c>
      <c r="BF44" t="s">
        <v>115</v>
      </c>
      <c r="BG44" t="str">
        <f>IF(C44="","LCI","CSLAP")</f>
        <v>CSLAP</v>
      </c>
      <c r="BH44" s="14" t="s">
        <v>102</v>
      </c>
      <c r="BI44">
        <v>4</v>
      </c>
      <c r="BJ44">
        <f>IF(MAX(AT44:AX44)=0,0,IF(MAX(AT44:AX44)=1,1,LEN(AE44)-LEN(SUBSTITUTE(UPPER(AE44),",",""))+1))</f>
        <v>5</v>
      </c>
      <c r="BK44">
        <f>IF(BJ44&gt;1,2,IF(BJ44&gt;0,1,0))</f>
        <v>2</v>
      </c>
      <c r="BL44">
        <f>IF(BJ44&gt;2,3,IF(BJ44&gt;2,2,IF(BJ44&gt;1,1,0)))</f>
        <v>3</v>
      </c>
      <c r="BM44" t="str">
        <f>IF(C44="","LCI","CSLAP")</f>
        <v>CSLAP</v>
      </c>
      <c r="BN44" t="str">
        <f>IF(LEFT(AB44,13)="zebra mussels","yes","no")</f>
        <v>yes</v>
      </c>
      <c r="BO44">
        <v>0.4</v>
      </c>
      <c r="BS44" s="41">
        <f>(2+0+19)/3</f>
        <v>7</v>
      </c>
      <c r="BV44" t="s">
        <v>348</v>
      </c>
      <c r="BY44" t="s">
        <v>351</v>
      </c>
    </row>
    <row r="45" spans="1:77" x14ac:dyDescent="0.3">
      <c r="A45" t="s">
        <v>1510</v>
      </c>
      <c r="B45" t="s">
        <v>1787</v>
      </c>
      <c r="C45" s="16">
        <v>64</v>
      </c>
      <c r="D45" s="16" t="s">
        <v>352</v>
      </c>
      <c r="E45" s="16" t="s">
        <v>262</v>
      </c>
      <c r="F45" s="16" t="s">
        <v>353</v>
      </c>
      <c r="G45" s="17">
        <f t="shared" si="17"/>
        <v>134.42783999999997</v>
      </c>
      <c r="H45" s="17">
        <v>54.4</v>
      </c>
      <c r="I45" s="18">
        <f>IF(J45="","",J45*2.4711)</f>
        <v>3726.4187999999999</v>
      </c>
      <c r="J45" s="18">
        <v>1508</v>
      </c>
      <c r="K45" s="19">
        <f t="shared" si="1"/>
        <v>27.72058823529412</v>
      </c>
      <c r="L45" s="19" t="s">
        <v>110</v>
      </c>
      <c r="M45" s="19"/>
      <c r="N45" s="20">
        <f t="shared" si="20"/>
        <v>16.73208</v>
      </c>
      <c r="O45" s="19">
        <v>5.0999999999999996</v>
      </c>
      <c r="P45" s="21" t="str">
        <f t="shared" si="3"/>
        <v>no</v>
      </c>
      <c r="Q45" s="22">
        <v>0.23255813953488372</v>
      </c>
      <c r="R45" s="18" t="s">
        <v>354</v>
      </c>
      <c r="S45" s="23">
        <v>43.758560000000003</v>
      </c>
      <c r="T45" s="23">
        <v>-75.305629999999994</v>
      </c>
      <c r="U45" s="18" t="s">
        <v>96</v>
      </c>
      <c r="V45" s="18" t="s">
        <v>96</v>
      </c>
      <c r="W45" t="str">
        <f t="shared" si="7"/>
        <v>yes</v>
      </c>
      <c r="Y45" t="str">
        <f t="shared" si="4"/>
        <v>potable water and recreation</v>
      </c>
      <c r="Z45" t="s">
        <v>79</v>
      </c>
      <c r="AA45" s="40" t="s">
        <v>79</v>
      </c>
      <c r="AB45" s="40" t="s">
        <v>79</v>
      </c>
      <c r="AC45" s="35">
        <v>11.460370794855775</v>
      </c>
      <c r="AD45" s="35" t="s">
        <v>264</v>
      </c>
      <c r="AF45" t="str">
        <f t="shared" si="5"/>
        <v/>
      </c>
      <c r="AG45" s="26" t="s">
        <v>156</v>
      </c>
      <c r="AH45" s="26" t="s">
        <v>156</v>
      </c>
      <c r="AI45" s="26" t="s">
        <v>156</v>
      </c>
      <c r="AJ45" s="26" t="s">
        <v>156</v>
      </c>
      <c r="AK45" s="26" t="s">
        <v>156</v>
      </c>
      <c r="AL45" s="26" t="s">
        <v>156</v>
      </c>
      <c r="AM45" s="26" t="s">
        <v>156</v>
      </c>
      <c r="AN45" s="33" t="s">
        <v>81</v>
      </c>
      <c r="AO45" s="26" t="s">
        <v>81</v>
      </c>
      <c r="AP45" s="39"/>
      <c r="AQ45">
        <v>0</v>
      </c>
      <c r="AR45">
        <v>0</v>
      </c>
      <c r="AS45">
        <v>0</v>
      </c>
      <c r="AT45">
        <v>0</v>
      </c>
      <c r="AU45">
        <v>0</v>
      </c>
      <c r="AV45">
        <v>0</v>
      </c>
      <c r="AW45">
        <v>0</v>
      </c>
      <c r="AX45">
        <v>0</v>
      </c>
      <c r="BD45" t="s">
        <v>267</v>
      </c>
      <c r="BE45" t="s">
        <v>216</v>
      </c>
      <c r="BF45" t="s">
        <v>216</v>
      </c>
      <c r="BG45" t="str">
        <f t="shared" ref="BG45:BG76" si="29">IF(C45="","LCI","CSLAP")</f>
        <v>CSLAP</v>
      </c>
      <c r="BH45" s="14" t="str">
        <f>IF(RIGHT(CM45,4)="2011","yes","no")</f>
        <v>no</v>
      </c>
      <c r="BJ45">
        <f t="shared" ref="BJ45:BJ83" si="30">IF(MAX(AT45:AX45)=0,0,IF(MAX(AT45:AX45)=1,1,LEN(AE45)-LEN(SUBSTITUTE(UPPER(AE45),",",""))+1))</f>
        <v>0</v>
      </c>
      <c r="BK45">
        <f t="shared" ref="BK45:BK83" si="31">IF(BJ45&gt;1,2,IF(BJ45&gt;0,1,0))</f>
        <v>0</v>
      </c>
      <c r="BL45">
        <f t="shared" ref="BL45:BL83" si="32">IF(BJ45&gt;2,3,IF(BJ45&gt;2,2,IF(BJ45&gt;1,1,0)))</f>
        <v>0</v>
      </c>
      <c r="BM45" t="str">
        <f t="shared" ref="BM45:BM83" si="33">IF(C45="","LCI","CSLAP")</f>
        <v>CSLAP</v>
      </c>
      <c r="BN45" t="str">
        <f t="shared" ref="BN45:BN83" si="34">IF(LEFT(AB45,13)="zebra mussels","yes","no")</f>
        <v>no</v>
      </c>
      <c r="BO45">
        <v>0.79110875331564978</v>
      </c>
    </row>
    <row r="46" spans="1:77" x14ac:dyDescent="0.3">
      <c r="A46" t="s">
        <v>1511</v>
      </c>
      <c r="B46" t="s">
        <v>1788</v>
      </c>
      <c r="C46" s="16">
        <v>33</v>
      </c>
      <c r="D46" s="16" t="s">
        <v>355</v>
      </c>
      <c r="E46" s="16" t="s">
        <v>356</v>
      </c>
      <c r="F46" s="16" t="s">
        <v>357</v>
      </c>
      <c r="G46" s="17">
        <f t="shared" si="17"/>
        <v>13427.463179999999</v>
      </c>
      <c r="H46" s="17">
        <v>5433.8</v>
      </c>
      <c r="I46" s="18">
        <f>IF(J46="","",J46*2.4711)</f>
        <v>115400.37</v>
      </c>
      <c r="J46" s="18">
        <v>46700</v>
      </c>
      <c r="K46" s="19">
        <f t="shared" si="1"/>
        <v>8.5943538591777386</v>
      </c>
      <c r="L46" s="19">
        <v>43.634640000000005</v>
      </c>
      <c r="M46" s="19">
        <v>13.3</v>
      </c>
      <c r="N46" s="20">
        <f t="shared" si="20"/>
        <v>25.590240000000001</v>
      </c>
      <c r="O46" s="19">
        <v>7.8</v>
      </c>
      <c r="P46" s="21" t="str">
        <f t="shared" si="3"/>
        <v>no</v>
      </c>
      <c r="Q46" s="22">
        <v>0.6907834710743801</v>
      </c>
      <c r="R46" s="18" t="s">
        <v>2083</v>
      </c>
      <c r="S46" s="23">
        <v>42.123269000000001</v>
      </c>
      <c r="T46" s="23">
        <v>-79.363881000000006</v>
      </c>
      <c r="U46" s="18" t="s">
        <v>96</v>
      </c>
      <c r="V46" s="18"/>
      <c r="W46" t="str">
        <f t="shared" si="7"/>
        <v>yes</v>
      </c>
      <c r="X46" t="s">
        <v>358</v>
      </c>
      <c r="Y46" t="str">
        <f t="shared" si="4"/>
        <v>potable water, recreation, and public bathing</v>
      </c>
      <c r="Z46" t="s">
        <v>79</v>
      </c>
      <c r="AA46" s="40" t="s">
        <v>359</v>
      </c>
      <c r="AB46" s="40" t="s">
        <v>360</v>
      </c>
      <c r="AC46" s="24">
        <f>IF(AND(AA46="none reported",AB46="none reported"),"",0)</f>
        <v>0</v>
      </c>
      <c r="AD46" s="24"/>
      <c r="AE46" s="25" t="s">
        <v>211</v>
      </c>
      <c r="AF46" t="str">
        <f t="shared" si="5"/>
        <v>yes</v>
      </c>
      <c r="AG46" s="26" t="s">
        <v>141</v>
      </c>
      <c r="AH46" s="27" t="s">
        <v>141</v>
      </c>
      <c r="AI46" s="28" t="s">
        <v>141</v>
      </c>
      <c r="AJ46" s="29" t="s">
        <v>83</v>
      </c>
      <c r="AK46" s="30" t="s">
        <v>84</v>
      </c>
      <c r="AL46" s="31" t="s">
        <v>84</v>
      </c>
      <c r="AM46" s="32" t="s">
        <v>156</v>
      </c>
      <c r="AN46" s="39">
        <v>43647</v>
      </c>
      <c r="AO46" s="39">
        <v>43759</v>
      </c>
      <c r="AP46" s="39"/>
      <c r="AQ46">
        <v>18</v>
      </c>
      <c r="AR46">
        <v>15</v>
      </c>
      <c r="AS46">
        <v>15</v>
      </c>
      <c r="AT46">
        <v>12</v>
      </c>
      <c r="AU46">
        <v>8</v>
      </c>
      <c r="AV46">
        <v>11</v>
      </c>
      <c r="AW46">
        <v>11</v>
      </c>
      <c r="AX46">
        <v>9</v>
      </c>
      <c r="AY46" t="s">
        <v>361</v>
      </c>
      <c r="AZ46" t="s">
        <v>362</v>
      </c>
      <c r="BA46" t="s">
        <v>102</v>
      </c>
      <c r="BB46" t="s">
        <v>363</v>
      </c>
      <c r="BC46" t="s">
        <v>226</v>
      </c>
      <c r="BD46" t="s">
        <v>364</v>
      </c>
      <c r="BE46" t="s">
        <v>365</v>
      </c>
      <c r="BF46" t="s">
        <v>365</v>
      </c>
      <c r="BG46" t="str">
        <f t="shared" si="29"/>
        <v>CSLAP</v>
      </c>
      <c r="BH46" s="14" t="s">
        <v>102</v>
      </c>
      <c r="BJ46">
        <f t="shared" si="30"/>
        <v>7</v>
      </c>
      <c r="BK46">
        <f t="shared" si="31"/>
        <v>2</v>
      </c>
      <c r="BL46">
        <f t="shared" si="32"/>
        <v>3</v>
      </c>
      <c r="BM46" t="str">
        <f t="shared" si="33"/>
        <v>CSLAP</v>
      </c>
      <c r="BN46" t="str">
        <f t="shared" si="34"/>
        <v>yes</v>
      </c>
      <c r="BO46">
        <v>1.3138307863604066</v>
      </c>
      <c r="BS46" s="41">
        <f>(13+0+15)/3</f>
        <v>9.3333333333333339</v>
      </c>
      <c r="BV46" t="s">
        <v>187</v>
      </c>
    </row>
    <row r="47" spans="1:77" x14ac:dyDescent="0.3">
      <c r="A47" t="s">
        <v>1511</v>
      </c>
      <c r="B47" t="s">
        <v>2119</v>
      </c>
      <c r="C47" s="46">
        <v>33.1</v>
      </c>
      <c r="D47" s="47" t="s">
        <v>366</v>
      </c>
      <c r="E47" s="47" t="s">
        <v>356</v>
      </c>
      <c r="F47" s="47" t="s">
        <v>367</v>
      </c>
      <c r="G47" s="17">
        <f t="shared" si="17"/>
        <v>13163.9</v>
      </c>
      <c r="H47" s="36">
        <v>5327.1417587309297</v>
      </c>
      <c r="I47" s="18">
        <v>115840</v>
      </c>
      <c r="J47" s="48">
        <f>I47/2.4711</f>
        <v>46877.908623689858</v>
      </c>
      <c r="K47" s="19">
        <f t="shared" si="1"/>
        <v>8.7998237604357374</v>
      </c>
      <c r="L47" s="19">
        <f>3.28*M47</f>
        <v>24.927999999999997</v>
      </c>
      <c r="M47" s="19">
        <v>7.6</v>
      </c>
      <c r="N47" s="20">
        <f t="shared" si="20"/>
        <v>11.154720000000001</v>
      </c>
      <c r="O47" s="19">
        <v>3.4</v>
      </c>
      <c r="P47" s="21" t="str">
        <f t="shared" si="3"/>
        <v>no</v>
      </c>
      <c r="Q47" s="22">
        <v>0.6907834710743801</v>
      </c>
      <c r="R47" s="18" t="s">
        <v>2118</v>
      </c>
      <c r="S47" s="23">
        <v>42.112043</v>
      </c>
      <c r="T47" s="23">
        <v>-79.270098000000004</v>
      </c>
      <c r="U47" s="49" t="s">
        <v>96</v>
      </c>
      <c r="V47" s="49"/>
      <c r="W47" t="str">
        <f t="shared" si="7"/>
        <v>yes</v>
      </c>
      <c r="X47" t="s">
        <v>358</v>
      </c>
      <c r="Y47" t="str">
        <f t="shared" si="4"/>
        <v>potable water, recreation, and public bathing</v>
      </c>
      <c r="Z47" t="s">
        <v>79</v>
      </c>
      <c r="AA47" s="40" t="s">
        <v>359</v>
      </c>
      <c r="AB47" s="40" t="s">
        <v>360</v>
      </c>
      <c r="AC47" s="24">
        <f>IF(AND(AA47="none reported",AB47="none reported"),"",0)</f>
        <v>0</v>
      </c>
      <c r="AD47" s="24"/>
      <c r="AE47" s="25" t="s">
        <v>211</v>
      </c>
      <c r="AF47" t="str">
        <f t="shared" si="5"/>
        <v>yes</v>
      </c>
      <c r="AG47" s="26" t="s">
        <v>141</v>
      </c>
      <c r="AH47" s="50" t="s">
        <v>141</v>
      </c>
      <c r="AI47" s="51" t="s">
        <v>141</v>
      </c>
      <c r="AJ47" s="16" t="s">
        <v>83</v>
      </c>
      <c r="AK47" s="16" t="s">
        <v>84</v>
      </c>
      <c r="AL47" s="52" t="s">
        <v>84</v>
      </c>
      <c r="AM47" s="53" t="s">
        <v>156</v>
      </c>
      <c r="AN47" s="39">
        <v>43647</v>
      </c>
      <c r="AO47" s="39">
        <v>43759</v>
      </c>
      <c r="AP47" s="39"/>
      <c r="AQ47">
        <v>18</v>
      </c>
      <c r="AR47">
        <v>15</v>
      </c>
      <c r="AS47">
        <v>15</v>
      </c>
      <c r="AT47">
        <v>12</v>
      </c>
      <c r="AU47">
        <v>8</v>
      </c>
      <c r="AV47">
        <v>11</v>
      </c>
      <c r="AW47">
        <v>11</v>
      </c>
      <c r="AX47">
        <v>9</v>
      </c>
      <c r="AY47" t="s">
        <v>361</v>
      </c>
      <c r="AZ47" t="s">
        <v>362</v>
      </c>
      <c r="BA47" t="s">
        <v>102</v>
      </c>
      <c r="BB47" t="s">
        <v>368</v>
      </c>
      <c r="BC47" t="s">
        <v>226</v>
      </c>
      <c r="BD47" t="s">
        <v>364</v>
      </c>
      <c r="BE47" t="s">
        <v>365</v>
      </c>
      <c r="BF47" t="s">
        <v>365</v>
      </c>
      <c r="BG47" t="str">
        <f t="shared" si="29"/>
        <v>CSLAP</v>
      </c>
      <c r="BH47" s="14" t="s">
        <v>102</v>
      </c>
      <c r="BJ47">
        <f t="shared" si="30"/>
        <v>7</v>
      </c>
      <c r="BK47">
        <f t="shared" si="31"/>
        <v>2</v>
      </c>
      <c r="BL47">
        <f t="shared" si="32"/>
        <v>3</v>
      </c>
      <c r="BM47" t="str">
        <f t="shared" si="33"/>
        <v>CSLAP</v>
      </c>
      <c r="BN47" t="str">
        <f t="shared" si="34"/>
        <v>yes</v>
      </c>
      <c r="BO47">
        <v>1.3138307863604066</v>
      </c>
      <c r="BS47" s="41">
        <f>(8+0+10)/3</f>
        <v>6</v>
      </c>
      <c r="BV47" t="s">
        <v>187</v>
      </c>
    </row>
    <row r="48" spans="1:77" x14ac:dyDescent="0.3">
      <c r="A48" t="s">
        <v>1512</v>
      </c>
      <c r="B48" t="s">
        <v>1789</v>
      </c>
      <c r="C48" s="16">
        <v>168</v>
      </c>
      <c r="D48" s="16" t="s">
        <v>369</v>
      </c>
      <c r="E48" s="16" t="s">
        <v>370</v>
      </c>
      <c r="F48" s="16" t="s">
        <v>371</v>
      </c>
      <c r="G48" s="17">
        <f t="shared" si="17"/>
        <v>121.57812</v>
      </c>
      <c r="H48" s="17">
        <v>49.2</v>
      </c>
      <c r="I48" s="18">
        <f>IF(J48="","",J48*2.4711)</f>
        <v>445.90011059999995</v>
      </c>
      <c r="J48" s="18">
        <v>180.446</v>
      </c>
      <c r="K48" s="19">
        <f t="shared" si="1"/>
        <v>3.6676016260162601</v>
      </c>
      <c r="L48" s="19">
        <v>30.18336</v>
      </c>
      <c r="M48" s="19">
        <v>9.1999999999999993</v>
      </c>
      <c r="N48" s="20">
        <f t="shared" si="20"/>
        <v>14.1861792</v>
      </c>
      <c r="O48" s="19">
        <v>4.3239999999999998</v>
      </c>
      <c r="P48" s="21" t="str">
        <f t="shared" si="3"/>
        <v>no</v>
      </c>
      <c r="Q48" s="22">
        <v>2.4060655152188675</v>
      </c>
      <c r="R48" s="18" t="s">
        <v>2120</v>
      </c>
      <c r="S48" s="23">
        <v>42.582523011900001</v>
      </c>
      <c r="T48" s="23">
        <v>-75.441344353700003</v>
      </c>
      <c r="U48" s="18" t="s">
        <v>96</v>
      </c>
      <c r="V48" s="18" t="s">
        <v>96</v>
      </c>
      <c r="W48" t="str">
        <f t="shared" si="7"/>
        <v>yes</v>
      </c>
      <c r="Y48" t="str">
        <f t="shared" si="4"/>
        <v>potable water and recreation</v>
      </c>
      <c r="Z48" t="s">
        <v>79</v>
      </c>
      <c r="AA48" s="40" t="s">
        <v>120</v>
      </c>
      <c r="AB48" s="40" t="s">
        <v>79</v>
      </c>
      <c r="AC48" s="24">
        <f>IF(AND(AA48="none reported",AB48="none reported"),"",0)</f>
        <v>0</v>
      </c>
      <c r="AD48" s="24"/>
      <c r="AF48" t="str">
        <f t="shared" si="5"/>
        <v/>
      </c>
      <c r="AG48" s="26" t="s">
        <v>82</v>
      </c>
      <c r="AH48" s="27" t="s">
        <v>82</v>
      </c>
      <c r="AI48" s="28" t="s">
        <v>82</v>
      </c>
      <c r="AJ48" s="29" t="s">
        <v>82</v>
      </c>
      <c r="AK48" s="30" t="s">
        <v>85</v>
      </c>
      <c r="AL48" s="31" t="s">
        <v>85</v>
      </c>
      <c r="AM48" s="32" t="s">
        <v>82</v>
      </c>
      <c r="AN48" s="33" t="s">
        <v>81</v>
      </c>
      <c r="AO48" s="32" t="s">
        <v>81</v>
      </c>
      <c r="AP48" s="39"/>
      <c r="AQ48">
        <v>0</v>
      </c>
      <c r="AR48">
        <v>0</v>
      </c>
      <c r="AS48">
        <v>0</v>
      </c>
      <c r="AT48">
        <v>0</v>
      </c>
      <c r="AU48">
        <v>0</v>
      </c>
      <c r="AV48">
        <v>0</v>
      </c>
      <c r="AW48">
        <v>1</v>
      </c>
      <c r="AX48">
        <v>0</v>
      </c>
      <c r="AZ48" t="s">
        <v>372</v>
      </c>
      <c r="BA48" t="s">
        <v>102</v>
      </c>
      <c r="BB48" t="s">
        <v>373</v>
      </c>
      <c r="BC48" t="s">
        <v>132</v>
      </c>
      <c r="BD48" t="s">
        <v>114</v>
      </c>
      <c r="BE48" t="s">
        <v>247</v>
      </c>
      <c r="BF48" t="s">
        <v>115</v>
      </c>
      <c r="BG48" t="str">
        <f t="shared" si="29"/>
        <v>CSLAP</v>
      </c>
      <c r="BH48" s="14" t="s">
        <v>102</v>
      </c>
      <c r="BI48">
        <v>5</v>
      </c>
      <c r="BJ48">
        <f t="shared" si="30"/>
        <v>1</v>
      </c>
      <c r="BK48">
        <f t="shared" si="31"/>
        <v>1</v>
      </c>
      <c r="BL48">
        <f t="shared" si="32"/>
        <v>0</v>
      </c>
      <c r="BM48" t="str">
        <f t="shared" si="33"/>
        <v>CSLAP</v>
      </c>
      <c r="BN48" t="str">
        <f t="shared" si="34"/>
        <v>no</v>
      </c>
      <c r="BO48">
        <v>0.49</v>
      </c>
    </row>
    <row r="49" spans="1:77" x14ac:dyDescent="0.3">
      <c r="A49" t="s">
        <v>1513</v>
      </c>
      <c r="B49" t="s">
        <v>1790</v>
      </c>
      <c r="C49" s="16">
        <v>226</v>
      </c>
      <c r="D49" s="16" t="s">
        <v>374</v>
      </c>
      <c r="E49" s="16" t="s">
        <v>147</v>
      </c>
      <c r="F49" s="16" t="s">
        <v>154</v>
      </c>
      <c r="G49" s="17">
        <f t="shared" si="17"/>
        <v>44.726910000000004</v>
      </c>
      <c r="H49" s="17">
        <v>18.100000000000001</v>
      </c>
      <c r="I49" s="18">
        <f>IF(J49="","",J49*2.4711)</f>
        <v>300.13360323886639</v>
      </c>
      <c r="J49" s="18">
        <v>121.4574898785425</v>
      </c>
      <c r="K49" s="19">
        <f t="shared" si="1"/>
        <v>6.7103585568255522</v>
      </c>
      <c r="L49" s="19">
        <f>3.28*M49</f>
        <v>52.48</v>
      </c>
      <c r="M49" s="19">
        <v>16</v>
      </c>
      <c r="N49" s="20">
        <f t="shared" si="20"/>
        <v>23.129640000000002</v>
      </c>
      <c r="O49" s="19">
        <v>7.05</v>
      </c>
      <c r="P49" s="21" t="str">
        <f t="shared" si="3"/>
        <v>no</v>
      </c>
      <c r="Q49" s="22">
        <v>1.7510241666666668</v>
      </c>
      <c r="R49" s="18" t="s">
        <v>2096</v>
      </c>
      <c r="S49" s="23">
        <v>41.441745319100001</v>
      </c>
      <c r="T49" s="23">
        <v>-73.743496376699994</v>
      </c>
      <c r="U49" s="18" t="s">
        <v>77</v>
      </c>
      <c r="V49" s="18" t="s">
        <v>96</v>
      </c>
      <c r="W49" t="str">
        <f t="shared" si="7"/>
        <v>no</v>
      </c>
      <c r="X49" t="s">
        <v>375</v>
      </c>
      <c r="Y49" t="str">
        <f t="shared" si="4"/>
        <v>recreation and public bathing</v>
      </c>
      <c r="Z49" t="s">
        <v>79</v>
      </c>
      <c r="AA49" s="24" t="s">
        <v>79</v>
      </c>
      <c r="AB49" s="24" t="s">
        <v>79</v>
      </c>
      <c r="AC49" s="35">
        <v>2.0104510639958968</v>
      </c>
      <c r="AD49" s="35" t="s">
        <v>155</v>
      </c>
      <c r="AF49" t="str">
        <f t="shared" si="5"/>
        <v/>
      </c>
      <c r="AG49" s="16" t="s">
        <v>81</v>
      </c>
      <c r="AH49" s="16" t="s">
        <v>156</v>
      </c>
      <c r="AI49" s="16" t="s">
        <v>156</v>
      </c>
      <c r="AJ49" s="16" t="s">
        <v>156</v>
      </c>
      <c r="AK49" s="16" t="s">
        <v>156</v>
      </c>
      <c r="AL49" s="16" t="s">
        <v>156</v>
      </c>
      <c r="AM49" s="16" t="s">
        <v>156</v>
      </c>
      <c r="AN49" s="33" t="s">
        <v>81</v>
      </c>
      <c r="AO49" s="16" t="s">
        <v>81</v>
      </c>
      <c r="AP49" s="39"/>
      <c r="AQ49">
        <v>1</v>
      </c>
      <c r="AR49">
        <v>1</v>
      </c>
      <c r="AS49">
        <v>1</v>
      </c>
      <c r="AT49">
        <v>0</v>
      </c>
      <c r="AU49">
        <v>0</v>
      </c>
      <c r="AV49">
        <v>0</v>
      </c>
      <c r="AW49">
        <v>0</v>
      </c>
      <c r="AX49">
        <v>0</v>
      </c>
      <c r="AY49" t="s">
        <v>376</v>
      </c>
      <c r="AZ49" t="s">
        <v>158</v>
      </c>
      <c r="BA49" t="s">
        <v>102</v>
      </c>
      <c r="BB49" t="s">
        <v>2121</v>
      </c>
      <c r="BC49" t="s">
        <v>103</v>
      </c>
      <c r="BD49" t="s">
        <v>152</v>
      </c>
      <c r="BE49" t="s">
        <v>159</v>
      </c>
      <c r="BF49" t="s">
        <v>160</v>
      </c>
      <c r="BG49" t="str">
        <f t="shared" si="29"/>
        <v>CSLAP</v>
      </c>
      <c r="BH49" s="14" t="s">
        <v>102</v>
      </c>
      <c r="BJ49">
        <f t="shared" si="30"/>
        <v>0</v>
      </c>
      <c r="BK49">
        <f t="shared" si="31"/>
        <v>0</v>
      </c>
      <c r="BL49">
        <f t="shared" si="32"/>
        <v>0</v>
      </c>
      <c r="BM49" t="str">
        <f t="shared" si="33"/>
        <v>CSLAP</v>
      </c>
      <c r="BN49" t="str">
        <f t="shared" si="34"/>
        <v>no</v>
      </c>
      <c r="BO49">
        <v>0.6</v>
      </c>
      <c r="BV49" t="s">
        <v>376</v>
      </c>
    </row>
    <row r="50" spans="1:77" x14ac:dyDescent="0.3">
      <c r="A50" t="s">
        <v>1514</v>
      </c>
      <c r="B50" t="s">
        <v>2058</v>
      </c>
      <c r="C50" s="16">
        <f>[1]CSLAPLakes!A50</f>
        <v>22.1</v>
      </c>
      <c r="D50" s="16" t="str">
        <f>[1]CSLAPLakes!B50</f>
        <v>Conesus Lake - S1</v>
      </c>
      <c r="E50" s="16" t="s">
        <v>377</v>
      </c>
      <c r="F50" s="16" t="s">
        <v>378</v>
      </c>
      <c r="G50" s="17">
        <f t="shared" si="17"/>
        <v>3180.7999199999999</v>
      </c>
      <c r="H50" s="17">
        <v>1287.2</v>
      </c>
      <c r="I50" s="18">
        <f>IF(J50="","",J50*2.4711)</f>
        <v>26811.434999999998</v>
      </c>
      <c r="J50" s="18">
        <v>10850</v>
      </c>
      <c r="K50" s="19">
        <f t="shared" si="1"/>
        <v>8.4291485394655066</v>
      </c>
      <c r="L50" s="19">
        <f>3.28*M50</f>
        <v>59.04</v>
      </c>
      <c r="M50" s="19">
        <v>18</v>
      </c>
      <c r="N50" s="20">
        <f t="shared" si="20"/>
        <v>37.729199999999999</v>
      </c>
      <c r="O50" s="19">
        <v>11.5</v>
      </c>
      <c r="P50" s="21" t="str">
        <f t="shared" si="3"/>
        <v>no</v>
      </c>
      <c r="Q50" s="22">
        <v>3.3</v>
      </c>
      <c r="R50" s="18" t="s">
        <v>2109</v>
      </c>
      <c r="S50" s="23">
        <v>42.812015500000001</v>
      </c>
      <c r="T50" s="23">
        <v>-77.712402299999994</v>
      </c>
      <c r="U50" s="18" t="s">
        <v>379</v>
      </c>
      <c r="V50" s="18" t="s">
        <v>96</v>
      </c>
      <c r="W50" t="str">
        <f t="shared" si="7"/>
        <v>yes</v>
      </c>
      <c r="X50" t="s">
        <v>380</v>
      </c>
      <c r="Y50" t="str">
        <f t="shared" si="4"/>
        <v>potable water, recreation, and public bathing</v>
      </c>
      <c r="Z50" t="s">
        <v>79</v>
      </c>
      <c r="AA50" s="40" t="s">
        <v>209</v>
      </c>
      <c r="AB50" s="40" t="s">
        <v>381</v>
      </c>
      <c r="AC50" s="24">
        <f>IF(AND(AA50="none reported",AB50="none reported"),"",0)</f>
        <v>0</v>
      </c>
      <c r="AD50" s="24"/>
      <c r="AE50" s="25" t="s">
        <v>382</v>
      </c>
      <c r="AF50" t="str">
        <f t="shared" si="5"/>
        <v>yes</v>
      </c>
      <c r="AG50" s="26" t="s">
        <v>83</v>
      </c>
      <c r="AH50" s="27" t="s">
        <v>141</v>
      </c>
      <c r="AI50" s="28" t="s">
        <v>141</v>
      </c>
      <c r="AJ50" s="29" t="s">
        <v>83</v>
      </c>
      <c r="AK50" s="30" t="s">
        <v>121</v>
      </c>
      <c r="AL50" s="31" t="s">
        <v>84</v>
      </c>
      <c r="AM50" s="32" t="s">
        <v>82</v>
      </c>
      <c r="AN50" s="39">
        <v>43643</v>
      </c>
      <c r="AO50" s="39">
        <v>43759</v>
      </c>
      <c r="AP50" s="39"/>
      <c r="AQ50">
        <v>9</v>
      </c>
      <c r="AR50">
        <v>6</v>
      </c>
      <c r="AS50">
        <v>3</v>
      </c>
      <c r="AT50">
        <v>4</v>
      </c>
      <c r="AU50">
        <v>2</v>
      </c>
      <c r="AV50">
        <v>4</v>
      </c>
      <c r="AW50">
        <v>0</v>
      </c>
      <c r="AX50">
        <v>0</v>
      </c>
      <c r="AZ50" t="s">
        <v>383</v>
      </c>
      <c r="BA50" t="s">
        <v>102</v>
      </c>
      <c r="BB50" t="s">
        <v>384</v>
      </c>
      <c r="BD50" t="s">
        <v>310</v>
      </c>
      <c r="BE50" t="s">
        <v>229</v>
      </c>
      <c r="BF50" t="s">
        <v>229</v>
      </c>
      <c r="BG50" t="str">
        <f t="shared" si="29"/>
        <v>CSLAP</v>
      </c>
      <c r="BH50" s="14" t="s">
        <v>102</v>
      </c>
      <c r="BJ50">
        <f t="shared" si="30"/>
        <v>4</v>
      </c>
      <c r="BK50">
        <f t="shared" si="31"/>
        <v>2</v>
      </c>
      <c r="BL50">
        <f t="shared" si="32"/>
        <v>3</v>
      </c>
      <c r="BM50" t="str">
        <f t="shared" si="33"/>
        <v>CSLAP</v>
      </c>
      <c r="BN50" t="str">
        <f t="shared" si="34"/>
        <v>yes</v>
      </c>
      <c r="BO50">
        <v>0.41342829213796961</v>
      </c>
      <c r="BS50" s="41">
        <f>(5+0+8)/3</f>
        <v>4.333333333333333</v>
      </c>
    </row>
    <row r="51" spans="1:77" x14ac:dyDescent="0.3">
      <c r="A51" t="s">
        <v>1514</v>
      </c>
      <c r="B51" t="s">
        <v>2059</v>
      </c>
      <c r="C51" s="16">
        <f>[1]CSLAPLakes!A51</f>
        <v>22.2</v>
      </c>
      <c r="D51" s="16" t="str">
        <f>[1]CSLAPLakes!B51</f>
        <v>Conesus Lake - S2</v>
      </c>
      <c r="E51" s="16" t="s">
        <v>377</v>
      </c>
      <c r="F51" s="16" t="s">
        <v>378</v>
      </c>
      <c r="G51" s="17">
        <f>H51*2.4711</f>
        <v>3180.7999199999999</v>
      </c>
      <c r="H51" s="17">
        <v>1287.2</v>
      </c>
      <c r="I51" s="18">
        <f>IF(J51="","",J51*2.4711)</f>
        <v>26811.434999999998</v>
      </c>
      <c r="J51" s="18">
        <v>10850</v>
      </c>
      <c r="K51" s="19">
        <f>J51/H51</f>
        <v>8.4291485394655066</v>
      </c>
      <c r="L51" s="19">
        <f>3.28*M51</f>
        <v>59.04</v>
      </c>
      <c r="M51" s="19">
        <v>18</v>
      </c>
      <c r="N51" s="20">
        <f>IF(O51="", "",O51*3.2808)</f>
        <v>37.729199999999999</v>
      </c>
      <c r="O51" s="19">
        <v>11.5</v>
      </c>
      <c r="P51" s="21" t="str">
        <f>IF(O51=(M51*0.46),"yes","no")</f>
        <v>no</v>
      </c>
      <c r="Q51" s="22">
        <v>3.3</v>
      </c>
      <c r="R51" s="18" t="s">
        <v>2123</v>
      </c>
      <c r="S51" s="23">
        <v>42.754196</v>
      </c>
      <c r="T51" s="23">
        <v>-77.719196999999994</v>
      </c>
      <c r="U51" s="18" t="s">
        <v>379</v>
      </c>
      <c r="V51" s="18" t="s">
        <v>96</v>
      </c>
      <c r="W51" t="str">
        <f>IF(OR(U51="A",U51="AA",U51="AAspec",U51="A(T)",U51="AA(T)"),"yes","no")</f>
        <v>yes</v>
      </c>
      <c r="X51" t="s">
        <v>380</v>
      </c>
      <c r="Y51" t="str">
        <f>IF(W51="yes",IF(X51="","potable water and recreation","potable water, recreation, and public bathing"),IF(X51="","recreation","recreation and public bathing"))</f>
        <v>potable water, recreation, and public bathing</v>
      </c>
      <c r="Z51" t="s">
        <v>79</v>
      </c>
      <c r="AA51" s="40" t="s">
        <v>209</v>
      </c>
      <c r="AB51" s="40" t="s">
        <v>381</v>
      </c>
      <c r="AC51" s="24">
        <f>IF(AND(AA51="none reported",AB51="none reported"),"",0)</f>
        <v>0</v>
      </c>
      <c r="AD51" s="24"/>
      <c r="AE51" s="25" t="s">
        <v>382</v>
      </c>
      <c r="AF51" t="str">
        <f>IF(AE51="","",IF(IFERROR(SEARCH(",",AE51,1)&gt;1,0),"yes","no"))</f>
        <v>yes</v>
      </c>
      <c r="AG51" s="26" t="s">
        <v>83</v>
      </c>
      <c r="AH51" s="27" t="s">
        <v>141</v>
      </c>
      <c r="AI51" s="28" t="s">
        <v>141</v>
      </c>
      <c r="AJ51" s="29" t="s">
        <v>83</v>
      </c>
      <c r="AK51" s="30" t="s">
        <v>121</v>
      </c>
      <c r="AL51" s="31" t="s">
        <v>84</v>
      </c>
      <c r="AM51" s="32" t="s">
        <v>82</v>
      </c>
      <c r="AN51" s="39">
        <v>43643</v>
      </c>
      <c r="AO51" s="39">
        <v>43759</v>
      </c>
      <c r="AP51" s="39"/>
      <c r="AQ51">
        <v>9</v>
      </c>
      <c r="AR51">
        <v>6</v>
      </c>
      <c r="AS51">
        <v>3</v>
      </c>
      <c r="AT51">
        <v>4</v>
      </c>
      <c r="AU51">
        <v>2</v>
      </c>
      <c r="AV51">
        <v>4</v>
      </c>
      <c r="AW51">
        <v>0</v>
      </c>
      <c r="AX51">
        <v>0</v>
      </c>
      <c r="AZ51" t="s">
        <v>383</v>
      </c>
      <c r="BA51" t="s">
        <v>102</v>
      </c>
      <c r="BB51" t="s">
        <v>384</v>
      </c>
      <c r="BD51" t="s">
        <v>310</v>
      </c>
      <c r="BE51" t="s">
        <v>229</v>
      </c>
      <c r="BF51" t="s">
        <v>229</v>
      </c>
      <c r="BG51" t="str">
        <f>IF(C51="","LCI","CSLAP")</f>
        <v>CSLAP</v>
      </c>
      <c r="BH51" s="14" t="s">
        <v>102</v>
      </c>
      <c r="BJ51">
        <f>IF(MAX(AT51:AX51)=0,0,IF(MAX(AT51:AX51)=1,1,LEN(AE51)-LEN(SUBSTITUTE(UPPER(AE51),",",""))+1))</f>
        <v>4</v>
      </c>
      <c r="BK51">
        <f>IF(BJ51&gt;1,2,IF(BJ51&gt;0,1,0))</f>
        <v>2</v>
      </c>
      <c r="BL51">
        <f>IF(BJ51&gt;2,3,IF(BJ51&gt;2,2,IF(BJ51&gt;1,1,0)))</f>
        <v>3</v>
      </c>
      <c r="BM51" t="str">
        <f>IF(C51="","LCI","CSLAP")</f>
        <v>CSLAP</v>
      </c>
      <c r="BN51" t="str">
        <f>IF(LEFT(AB51,13)="zebra mussels","yes","no")</f>
        <v>yes</v>
      </c>
      <c r="BO51">
        <v>0.41342829213796961</v>
      </c>
      <c r="BS51" s="41">
        <f>(5+0+8)/3</f>
        <v>4.333333333333333</v>
      </c>
    </row>
    <row r="52" spans="1:77" x14ac:dyDescent="0.3">
      <c r="A52" t="s">
        <v>1517</v>
      </c>
      <c r="B52" t="s">
        <v>1791</v>
      </c>
      <c r="C52" s="16">
        <v>5</v>
      </c>
      <c r="D52" s="16" t="s">
        <v>385</v>
      </c>
      <c r="E52" s="16" t="s">
        <v>386</v>
      </c>
      <c r="F52" s="16" t="s">
        <v>387</v>
      </c>
      <c r="G52" s="17">
        <f t="shared" si="17"/>
        <v>416.13324</v>
      </c>
      <c r="H52" s="17">
        <v>168.4</v>
      </c>
      <c r="I52" s="18">
        <f t="shared" ref="I52:I61" si="35">IF(J52="","",J52*2.4711)</f>
        <v>31630.079999999998</v>
      </c>
      <c r="J52" s="18">
        <v>12800</v>
      </c>
      <c r="K52" s="19">
        <f t="shared" si="1"/>
        <v>76.009501187648453</v>
      </c>
      <c r="L52" s="19">
        <v>34</v>
      </c>
      <c r="M52" s="19">
        <v>10.4</v>
      </c>
      <c r="N52" s="20">
        <v>16</v>
      </c>
      <c r="O52" s="19">
        <v>4.9000000000000004</v>
      </c>
      <c r="P52" s="21" t="str">
        <f t="shared" si="3"/>
        <v>no</v>
      </c>
      <c r="Q52" s="22">
        <v>0.12893125000000003</v>
      </c>
      <c r="R52" s="18" t="s">
        <v>388</v>
      </c>
      <c r="S52" s="23">
        <v>42.144062140000003</v>
      </c>
      <c r="T52" s="23">
        <v>-73.595547100000005</v>
      </c>
      <c r="U52" s="18" t="s">
        <v>77</v>
      </c>
      <c r="V52" s="18" t="s">
        <v>77</v>
      </c>
      <c r="W52" t="str">
        <f t="shared" si="7"/>
        <v>no</v>
      </c>
      <c r="Y52" t="str">
        <f t="shared" si="4"/>
        <v>recreation</v>
      </c>
      <c r="Z52" t="s">
        <v>79</v>
      </c>
      <c r="AA52" s="40" t="s">
        <v>389</v>
      </c>
      <c r="AB52" s="40" t="s">
        <v>390</v>
      </c>
      <c r="AC52" s="24">
        <f>IF(AND(AA52="none reported",AB52="none reported"),"",0)</f>
        <v>0</v>
      </c>
      <c r="AD52" s="24"/>
      <c r="AE52" s="25">
        <v>2014</v>
      </c>
      <c r="AF52" t="str">
        <f t="shared" si="5"/>
        <v>no</v>
      </c>
      <c r="AG52" s="26" t="s">
        <v>81</v>
      </c>
      <c r="AH52" s="27" t="s">
        <v>83</v>
      </c>
      <c r="AI52" s="28" t="s">
        <v>141</v>
      </c>
      <c r="AJ52" s="29" t="s">
        <v>83</v>
      </c>
      <c r="AK52" s="30" t="s">
        <v>84</v>
      </c>
      <c r="AL52" s="31" t="s">
        <v>84</v>
      </c>
      <c r="AM52" s="32" t="s">
        <v>82</v>
      </c>
      <c r="AN52" s="33" t="s">
        <v>81</v>
      </c>
      <c r="AO52" s="32" t="s">
        <v>81</v>
      </c>
      <c r="AP52" s="39"/>
      <c r="AQ52">
        <v>0</v>
      </c>
      <c r="AR52">
        <v>0</v>
      </c>
      <c r="AS52">
        <v>0</v>
      </c>
      <c r="AT52">
        <v>0</v>
      </c>
      <c r="AU52">
        <v>0</v>
      </c>
      <c r="AV52">
        <v>3</v>
      </c>
      <c r="AW52">
        <v>0</v>
      </c>
      <c r="AX52">
        <v>1</v>
      </c>
      <c r="AZ52" t="s">
        <v>391</v>
      </c>
      <c r="BD52" t="s">
        <v>152</v>
      </c>
      <c r="BF52" t="s">
        <v>106</v>
      </c>
      <c r="BG52" t="str">
        <f t="shared" si="29"/>
        <v>CSLAP</v>
      </c>
      <c r="BH52" s="14" t="str">
        <f>IF(RIGHT(CM52,4)="2011","yes","no")</f>
        <v>no</v>
      </c>
      <c r="BJ52">
        <f t="shared" si="30"/>
        <v>1</v>
      </c>
      <c r="BK52">
        <f t="shared" si="31"/>
        <v>1</v>
      </c>
      <c r="BL52">
        <f t="shared" si="32"/>
        <v>0</v>
      </c>
      <c r="BM52" t="str">
        <f t="shared" si="33"/>
        <v>CSLAP</v>
      </c>
      <c r="BN52" t="str">
        <f t="shared" si="34"/>
        <v>no</v>
      </c>
      <c r="BO52">
        <v>0.5</v>
      </c>
      <c r="BP52" s="1"/>
      <c r="BQ52" s="1"/>
      <c r="BR52" s="1"/>
      <c r="BS52" s="1"/>
      <c r="BU52" t="s">
        <v>392</v>
      </c>
      <c r="BW52" t="s">
        <v>393</v>
      </c>
      <c r="BY52" t="s">
        <v>394</v>
      </c>
    </row>
    <row r="53" spans="1:77" x14ac:dyDescent="0.3">
      <c r="A53" t="s">
        <v>1518</v>
      </c>
      <c r="B53" t="s">
        <v>1792</v>
      </c>
      <c r="C53" s="16">
        <v>96</v>
      </c>
      <c r="D53" s="16" t="s">
        <v>395</v>
      </c>
      <c r="E53" s="16" t="s">
        <v>396</v>
      </c>
      <c r="F53" s="16" t="s">
        <v>397</v>
      </c>
      <c r="G53" s="17">
        <f t="shared" si="17"/>
        <v>659.28948000000003</v>
      </c>
      <c r="H53" s="17">
        <v>266.8</v>
      </c>
      <c r="I53" s="18">
        <f t="shared" si="35"/>
        <v>7561.5659999999998</v>
      </c>
      <c r="J53" s="18">
        <v>3060</v>
      </c>
      <c r="K53" s="19">
        <f t="shared" si="1"/>
        <v>11.469265367316341</v>
      </c>
      <c r="L53" s="19">
        <v>24.606000000000002</v>
      </c>
      <c r="M53" s="19">
        <v>7.5</v>
      </c>
      <c r="N53" s="20">
        <f t="shared" ref="N53:N61" si="36">IF(O53="", "",O53*3.2808)</f>
        <v>12.138960000000001</v>
      </c>
      <c r="O53" s="19">
        <v>3.7</v>
      </c>
      <c r="P53" s="21" t="str">
        <f t="shared" si="3"/>
        <v>no</v>
      </c>
      <c r="Q53" s="22">
        <v>0.6907834710743801</v>
      </c>
      <c r="R53" s="18" t="s">
        <v>2124</v>
      </c>
      <c r="S53" s="23">
        <v>43.205795160000001</v>
      </c>
      <c r="T53" s="23">
        <v>-73.423194069999994</v>
      </c>
      <c r="U53" s="18" t="s">
        <v>96</v>
      </c>
      <c r="V53" s="18" t="s">
        <v>96</v>
      </c>
      <c r="W53" t="str">
        <f t="shared" si="7"/>
        <v>yes</v>
      </c>
      <c r="Y53" t="str">
        <f t="shared" si="4"/>
        <v>potable water and recreation</v>
      </c>
      <c r="Z53" t="s">
        <v>79</v>
      </c>
      <c r="AA53" s="45" t="s">
        <v>398</v>
      </c>
      <c r="AB53" s="40" t="s">
        <v>139</v>
      </c>
      <c r="AC53" s="24">
        <f>IF(AND(AA53="none reported",AB53="none reported"),"",0)</f>
        <v>0</v>
      </c>
      <c r="AD53" s="24"/>
      <c r="AE53" s="25" t="s">
        <v>284</v>
      </c>
      <c r="AF53" t="str">
        <f t="shared" si="5"/>
        <v>yes</v>
      </c>
      <c r="AG53" s="26" t="s">
        <v>82</v>
      </c>
      <c r="AH53" s="27" t="s">
        <v>83</v>
      </c>
      <c r="AI53" s="28" t="s">
        <v>141</v>
      </c>
      <c r="AJ53" s="29" t="s">
        <v>83</v>
      </c>
      <c r="AK53" s="30" t="s">
        <v>121</v>
      </c>
      <c r="AL53" s="31" t="s">
        <v>121</v>
      </c>
      <c r="AM53" s="32" t="s">
        <v>82</v>
      </c>
      <c r="AN53" s="39">
        <v>43717</v>
      </c>
      <c r="AO53" s="39">
        <v>43717</v>
      </c>
      <c r="AP53" s="39"/>
      <c r="AQ53">
        <v>6</v>
      </c>
      <c r="AR53">
        <v>3</v>
      </c>
      <c r="AS53">
        <v>1</v>
      </c>
      <c r="AT53">
        <v>0</v>
      </c>
      <c r="AU53">
        <v>1</v>
      </c>
      <c r="AV53">
        <v>3</v>
      </c>
      <c r="AW53">
        <v>5</v>
      </c>
      <c r="AX53">
        <v>0</v>
      </c>
      <c r="AY53" t="s">
        <v>399</v>
      </c>
      <c r="AZ53" t="s">
        <v>400</v>
      </c>
      <c r="BA53" t="s">
        <v>102</v>
      </c>
      <c r="BB53" t="s">
        <v>2125</v>
      </c>
      <c r="BC53" t="s">
        <v>132</v>
      </c>
      <c r="BD53" t="s">
        <v>88</v>
      </c>
      <c r="BE53" t="s">
        <v>89</v>
      </c>
      <c r="BF53" t="s">
        <v>143</v>
      </c>
      <c r="BG53" t="str">
        <f t="shared" si="29"/>
        <v>CSLAP</v>
      </c>
      <c r="BH53" s="14" t="s">
        <v>102</v>
      </c>
      <c r="BJ53">
        <f t="shared" si="30"/>
        <v>3</v>
      </c>
      <c r="BK53">
        <f t="shared" si="31"/>
        <v>2</v>
      </c>
      <c r="BL53">
        <f t="shared" si="32"/>
        <v>3</v>
      </c>
      <c r="BM53" t="str">
        <f t="shared" si="33"/>
        <v>CSLAP</v>
      </c>
      <c r="BN53" t="str">
        <f t="shared" si="34"/>
        <v>yes</v>
      </c>
      <c r="BO53">
        <v>0.4670078551355587</v>
      </c>
      <c r="BV53" t="s">
        <v>399</v>
      </c>
    </row>
    <row r="54" spans="1:77" x14ac:dyDescent="0.3">
      <c r="A54" t="s">
        <v>1519</v>
      </c>
      <c r="B54" t="s">
        <v>1793</v>
      </c>
      <c r="C54" s="16">
        <v>37</v>
      </c>
      <c r="D54" s="16" t="s">
        <v>401</v>
      </c>
      <c r="E54" s="16" t="s">
        <v>243</v>
      </c>
      <c r="F54" s="16" t="s">
        <v>74</v>
      </c>
      <c r="G54" s="17">
        <f t="shared" si="17"/>
        <v>25.699439999999999</v>
      </c>
      <c r="H54" s="17">
        <v>10.4</v>
      </c>
      <c r="I54" s="18">
        <f t="shared" si="35"/>
        <v>124.54343999999999</v>
      </c>
      <c r="J54" s="18">
        <v>50.4</v>
      </c>
      <c r="K54" s="19">
        <f t="shared" si="1"/>
        <v>4.8461538461538458</v>
      </c>
      <c r="L54" s="19">
        <v>32.808</v>
      </c>
      <c r="M54" s="19">
        <v>10</v>
      </c>
      <c r="N54" s="20">
        <f t="shared" si="36"/>
        <v>12.138960000000001</v>
      </c>
      <c r="O54" s="19">
        <v>3.7</v>
      </c>
      <c r="P54" s="21" t="str">
        <f t="shared" si="3"/>
        <v>no</v>
      </c>
      <c r="Q54" s="22">
        <v>1.9087301587301588</v>
      </c>
      <c r="R54" s="18" t="s">
        <v>2126</v>
      </c>
      <c r="S54" s="23">
        <v>42.76052</v>
      </c>
      <c r="T54" s="23">
        <v>-75.557850000000002</v>
      </c>
      <c r="U54" s="18" t="s">
        <v>78</v>
      </c>
      <c r="V54" s="18"/>
      <c r="W54" t="str">
        <f t="shared" si="7"/>
        <v>no</v>
      </c>
      <c r="X54" t="s">
        <v>402</v>
      </c>
      <c r="Y54" t="str">
        <f t="shared" si="4"/>
        <v>recreation and public bathing</v>
      </c>
      <c r="Z54" t="s">
        <v>79</v>
      </c>
      <c r="AA54" s="24" t="s">
        <v>79</v>
      </c>
      <c r="AB54" s="24" t="s">
        <v>139</v>
      </c>
      <c r="AC54" s="24">
        <f>IF(AND(AA54="none reported",AB54="none reported"),"",0)</f>
        <v>0</v>
      </c>
      <c r="AD54" s="24"/>
      <c r="AE54" s="25" t="s">
        <v>403</v>
      </c>
      <c r="AF54" t="str">
        <f t="shared" si="5"/>
        <v>yes</v>
      </c>
      <c r="AG54" s="26" t="s">
        <v>81</v>
      </c>
      <c r="AH54" s="27" t="s">
        <v>81</v>
      </c>
      <c r="AI54" s="28" t="s">
        <v>82</v>
      </c>
      <c r="AJ54" s="29" t="s">
        <v>82</v>
      </c>
      <c r="AK54" s="30" t="s">
        <v>85</v>
      </c>
      <c r="AL54" s="31" t="s">
        <v>85</v>
      </c>
      <c r="AM54" s="32" t="s">
        <v>82</v>
      </c>
      <c r="AN54" s="39">
        <v>43628</v>
      </c>
      <c r="AO54" s="39">
        <v>43724</v>
      </c>
      <c r="AP54" s="39"/>
      <c r="AQ54">
        <v>10</v>
      </c>
      <c r="AR54">
        <v>6</v>
      </c>
      <c r="AS54">
        <v>3</v>
      </c>
      <c r="AT54">
        <v>5</v>
      </c>
      <c r="AU54">
        <v>3</v>
      </c>
      <c r="AV54">
        <v>7</v>
      </c>
      <c r="AW54">
        <v>9</v>
      </c>
      <c r="AX54">
        <v>7</v>
      </c>
      <c r="AY54" t="s">
        <v>404</v>
      </c>
      <c r="AZ54" t="s">
        <v>405</v>
      </c>
      <c r="BA54" t="s">
        <v>102</v>
      </c>
      <c r="BB54" t="s">
        <v>2127</v>
      </c>
      <c r="BC54" t="s">
        <v>132</v>
      </c>
      <c r="BD54" t="s">
        <v>114</v>
      </c>
      <c r="BE54" t="s">
        <v>247</v>
      </c>
      <c r="BF54" t="s">
        <v>115</v>
      </c>
      <c r="BG54" t="str">
        <f t="shared" si="29"/>
        <v>CSLAP</v>
      </c>
      <c r="BH54" s="14" t="s">
        <v>99</v>
      </c>
      <c r="BI54">
        <v>5</v>
      </c>
      <c r="BJ54">
        <f t="shared" si="30"/>
        <v>7</v>
      </c>
      <c r="BK54">
        <f t="shared" si="31"/>
        <v>2</v>
      </c>
      <c r="BL54">
        <f t="shared" si="32"/>
        <v>3</v>
      </c>
      <c r="BM54" t="str">
        <f t="shared" si="33"/>
        <v>CSLAP</v>
      </c>
      <c r="BN54" t="str">
        <f t="shared" si="34"/>
        <v>yes</v>
      </c>
      <c r="BO54">
        <v>0.4</v>
      </c>
      <c r="BV54" t="s">
        <v>406</v>
      </c>
    </row>
    <row r="55" spans="1:77" x14ac:dyDescent="0.3">
      <c r="A55" t="s">
        <v>1520</v>
      </c>
      <c r="B55" t="s">
        <v>1794</v>
      </c>
      <c r="C55" s="16">
        <v>198</v>
      </c>
      <c r="D55" s="16" t="s">
        <v>407</v>
      </c>
      <c r="E55" s="16" t="s">
        <v>183</v>
      </c>
      <c r="F55" s="16" t="s">
        <v>408</v>
      </c>
      <c r="G55" s="17">
        <f t="shared" si="17"/>
        <v>4.6950899999999995</v>
      </c>
      <c r="H55" s="17">
        <v>1.9</v>
      </c>
      <c r="I55" s="18">
        <f t="shared" si="35"/>
        <v>8448.6908999999996</v>
      </c>
      <c r="J55" s="18">
        <v>3419</v>
      </c>
      <c r="K55" s="19">
        <f t="shared" si="1"/>
        <v>1799.4736842105265</v>
      </c>
      <c r="L55" s="19">
        <v>11.482800000000001</v>
      </c>
      <c r="M55" s="19">
        <v>3.5</v>
      </c>
      <c r="N55" s="20">
        <f t="shared" si="36"/>
        <v>5.396916</v>
      </c>
      <c r="O55" s="19">
        <v>1.645</v>
      </c>
      <c r="P55" s="21" t="str">
        <f t="shared" si="3"/>
        <v>no</v>
      </c>
      <c r="Q55" s="22">
        <v>1.4986166983923012E-3</v>
      </c>
      <c r="R55" s="18">
        <v>2004</v>
      </c>
      <c r="S55" s="23">
        <v>41.072257100000002</v>
      </c>
      <c r="T55" s="23">
        <v>-73.757681680000005</v>
      </c>
      <c r="U55" s="18" t="s">
        <v>77</v>
      </c>
      <c r="V55" s="18"/>
      <c r="W55" t="str">
        <f t="shared" si="7"/>
        <v>no</v>
      </c>
      <c r="Y55" t="str">
        <f t="shared" si="4"/>
        <v>recreation</v>
      </c>
      <c r="Z55" t="s">
        <v>79</v>
      </c>
      <c r="AA55" s="40" t="s">
        <v>79</v>
      </c>
      <c r="AB55" s="40" t="s">
        <v>79</v>
      </c>
      <c r="AC55" s="35">
        <v>8.9203707114875375</v>
      </c>
      <c r="AD55" s="35" t="s">
        <v>182</v>
      </c>
      <c r="AF55" t="str">
        <f t="shared" si="5"/>
        <v/>
      </c>
      <c r="AG55" s="26" t="s">
        <v>81</v>
      </c>
      <c r="AH55" s="27" t="s">
        <v>156</v>
      </c>
      <c r="AI55" s="28" t="s">
        <v>156</v>
      </c>
      <c r="AJ55" s="29" t="s">
        <v>156</v>
      </c>
      <c r="AK55" s="30" t="s">
        <v>156</v>
      </c>
      <c r="AL55" s="31" t="s">
        <v>156</v>
      </c>
      <c r="AM55" s="32" t="s">
        <v>156</v>
      </c>
      <c r="AN55" s="33" t="s">
        <v>81</v>
      </c>
      <c r="AO55" s="32" t="s">
        <v>81</v>
      </c>
      <c r="AP55" s="39"/>
      <c r="AQ55">
        <v>0</v>
      </c>
      <c r="AR55">
        <v>0</v>
      </c>
      <c r="AS55">
        <v>0</v>
      </c>
      <c r="AT55">
        <v>0</v>
      </c>
      <c r="AU55">
        <v>0</v>
      </c>
      <c r="AV55">
        <v>0</v>
      </c>
      <c r="AW55">
        <v>0</v>
      </c>
      <c r="AX55">
        <v>0</v>
      </c>
      <c r="BD55" t="s">
        <v>202</v>
      </c>
      <c r="BE55" t="s">
        <v>203</v>
      </c>
      <c r="BF55" t="s">
        <v>160</v>
      </c>
      <c r="BG55" t="str">
        <f t="shared" si="29"/>
        <v>CSLAP</v>
      </c>
      <c r="BH55" s="14" t="str">
        <f>IF(RIGHT(CM55,4)="2011","yes","no")</f>
        <v>no</v>
      </c>
      <c r="BJ55">
        <f t="shared" si="30"/>
        <v>0</v>
      </c>
      <c r="BK55">
        <f t="shared" si="31"/>
        <v>0</v>
      </c>
      <c r="BL55">
        <f t="shared" si="32"/>
        <v>0</v>
      </c>
      <c r="BM55" t="str">
        <f t="shared" si="33"/>
        <v>CSLAP</v>
      </c>
      <c r="BN55" t="str">
        <f t="shared" si="34"/>
        <v>no</v>
      </c>
      <c r="BO55">
        <v>0.61</v>
      </c>
    </row>
    <row r="56" spans="1:77" x14ac:dyDescent="0.3">
      <c r="A56" t="s">
        <v>1522</v>
      </c>
      <c r="B56" t="s">
        <v>1795</v>
      </c>
      <c r="C56" s="16">
        <v>17</v>
      </c>
      <c r="D56" s="16" t="s">
        <v>409</v>
      </c>
      <c r="E56" s="16" t="s">
        <v>410</v>
      </c>
      <c r="F56" s="16" t="s">
        <v>411</v>
      </c>
      <c r="G56" s="17">
        <f t="shared" si="17"/>
        <v>115.15326</v>
      </c>
      <c r="H56" s="17">
        <v>46.6</v>
      </c>
      <c r="I56" s="18">
        <f t="shared" si="35"/>
        <v>2231.4032999999999</v>
      </c>
      <c r="J56" s="18">
        <v>903</v>
      </c>
      <c r="K56" s="19">
        <f t="shared" si="1"/>
        <v>19.377682403433475</v>
      </c>
      <c r="L56" s="19">
        <f>3.28*M56</f>
        <v>67.567999999999998</v>
      </c>
      <c r="M56" s="19">
        <v>20.6</v>
      </c>
      <c r="N56" s="20">
        <f t="shared" si="36"/>
        <v>16.075920000000004</v>
      </c>
      <c r="O56" s="19">
        <v>4.9000000000000004</v>
      </c>
      <c r="P56" s="21" t="str">
        <f t="shared" si="3"/>
        <v>no</v>
      </c>
      <c r="Q56" s="22">
        <v>0.39811572093023262</v>
      </c>
      <c r="R56" s="18" t="s">
        <v>2128</v>
      </c>
      <c r="S56" s="23">
        <v>42.787410000000001</v>
      </c>
      <c r="T56" s="23">
        <v>-76.149780000000007</v>
      </c>
      <c r="U56" s="18" t="s">
        <v>77</v>
      </c>
      <c r="V56" s="18"/>
      <c r="W56" t="str">
        <f t="shared" si="7"/>
        <v>no</v>
      </c>
      <c r="Y56" t="str">
        <f t="shared" si="4"/>
        <v>recreation</v>
      </c>
      <c r="Z56" t="s">
        <v>79</v>
      </c>
      <c r="AA56" s="24" t="s">
        <v>120</v>
      </c>
      <c r="AB56" s="24" t="s">
        <v>79</v>
      </c>
      <c r="AC56" s="24">
        <f>IF(AND(AA56="none reported",AB56="none reported"),"",0)</f>
        <v>0</v>
      </c>
      <c r="AD56" s="24"/>
      <c r="AF56" t="str">
        <f t="shared" si="5"/>
        <v/>
      </c>
      <c r="AG56" s="26" t="s">
        <v>81</v>
      </c>
      <c r="AH56" s="27" t="s">
        <v>82</v>
      </c>
      <c r="AI56" s="28" t="s">
        <v>82</v>
      </c>
      <c r="AJ56" s="29" t="s">
        <v>82</v>
      </c>
      <c r="AK56" s="30" t="s">
        <v>85</v>
      </c>
      <c r="AL56" s="31" t="s">
        <v>85</v>
      </c>
      <c r="AM56" s="32" t="s">
        <v>82</v>
      </c>
      <c r="AN56" s="33" t="s">
        <v>81</v>
      </c>
      <c r="AO56" s="32" t="s">
        <v>81</v>
      </c>
      <c r="AP56" s="39"/>
      <c r="AQ56">
        <v>0</v>
      </c>
      <c r="AR56">
        <v>0</v>
      </c>
      <c r="AS56">
        <v>0</v>
      </c>
      <c r="AT56">
        <v>0</v>
      </c>
      <c r="AU56">
        <v>0</v>
      </c>
      <c r="AV56">
        <v>0</v>
      </c>
      <c r="AW56">
        <v>0</v>
      </c>
      <c r="AX56">
        <v>0</v>
      </c>
      <c r="AZ56" t="s">
        <v>412</v>
      </c>
      <c r="BA56" t="s">
        <v>102</v>
      </c>
      <c r="BB56" t="s">
        <v>413</v>
      </c>
      <c r="BC56" t="s">
        <v>132</v>
      </c>
      <c r="BD56" t="s">
        <v>114</v>
      </c>
      <c r="BE56" t="s">
        <v>247</v>
      </c>
      <c r="BF56" t="s">
        <v>115</v>
      </c>
      <c r="BG56" t="str">
        <f t="shared" si="29"/>
        <v>CSLAP</v>
      </c>
      <c r="BH56" s="14" t="s">
        <v>99</v>
      </c>
      <c r="BJ56">
        <f t="shared" si="30"/>
        <v>0</v>
      </c>
      <c r="BK56">
        <f t="shared" si="31"/>
        <v>0</v>
      </c>
      <c r="BL56">
        <f t="shared" si="32"/>
        <v>0</v>
      </c>
      <c r="BM56" t="str">
        <f t="shared" si="33"/>
        <v>CSLAP</v>
      </c>
      <c r="BN56" t="str">
        <f t="shared" si="34"/>
        <v>no</v>
      </c>
      <c r="BO56">
        <v>0.63516260162601623</v>
      </c>
      <c r="BY56" t="s">
        <v>414</v>
      </c>
    </row>
    <row r="57" spans="1:77" x14ac:dyDescent="0.3">
      <c r="A57" t="s">
        <v>1523</v>
      </c>
      <c r="B57" t="s">
        <v>1796</v>
      </c>
      <c r="C57" s="16">
        <v>42</v>
      </c>
      <c r="D57" s="16" t="s">
        <v>415</v>
      </c>
      <c r="E57" s="16" t="s">
        <v>416</v>
      </c>
      <c r="F57" s="16" t="s">
        <v>417</v>
      </c>
      <c r="G57" s="17">
        <f t="shared" si="17"/>
        <v>2086.3497299999999</v>
      </c>
      <c r="H57" s="17">
        <v>844.3</v>
      </c>
      <c r="I57" s="18">
        <f t="shared" si="35"/>
        <v>13591.05</v>
      </c>
      <c r="J57" s="18">
        <v>5500</v>
      </c>
      <c r="K57" s="19">
        <f t="shared" si="1"/>
        <v>6.5142721781357338</v>
      </c>
      <c r="L57" s="19">
        <v>44.946959999999997</v>
      </c>
      <c r="M57" s="19">
        <v>13.7</v>
      </c>
      <c r="N57" s="20">
        <f t="shared" si="36"/>
        <v>25.918320000000001</v>
      </c>
      <c r="O57" s="19">
        <v>7.9</v>
      </c>
      <c r="P57" s="21" t="str">
        <f t="shared" si="3"/>
        <v>no</v>
      </c>
      <c r="Q57" s="22">
        <v>3</v>
      </c>
      <c r="R57" s="18" t="s">
        <v>418</v>
      </c>
      <c r="S57" s="23">
        <v>43.124746719999997</v>
      </c>
      <c r="T57" s="23">
        <v>-76.480600910000007</v>
      </c>
      <c r="U57" s="18" t="s">
        <v>77</v>
      </c>
      <c r="V57" s="18"/>
      <c r="W57" t="str">
        <f t="shared" si="7"/>
        <v>no</v>
      </c>
      <c r="X57" t="s">
        <v>419</v>
      </c>
      <c r="Y57" t="str">
        <f t="shared" si="4"/>
        <v>recreation and public bathing</v>
      </c>
      <c r="Z57" t="s">
        <v>79</v>
      </c>
      <c r="AA57" s="40" t="s">
        <v>420</v>
      </c>
      <c r="AB57" s="40" t="s">
        <v>421</v>
      </c>
      <c r="AC57" s="24">
        <f>IF(AND(AA57="none reported",AB57="none reported"),"",0)</f>
        <v>0</v>
      </c>
      <c r="AD57" s="24"/>
      <c r="AF57" t="str">
        <f t="shared" si="5"/>
        <v/>
      </c>
      <c r="AG57" s="26" t="s">
        <v>81</v>
      </c>
      <c r="AH57" s="27" t="s">
        <v>83</v>
      </c>
      <c r="AI57" s="28" t="s">
        <v>83</v>
      </c>
      <c r="AJ57" s="29" t="s">
        <v>83</v>
      </c>
      <c r="AK57" s="30" t="s">
        <v>85</v>
      </c>
      <c r="AL57" s="31" t="s">
        <v>85</v>
      </c>
      <c r="AM57" s="32" t="s">
        <v>82</v>
      </c>
      <c r="AN57" s="33" t="s">
        <v>81</v>
      </c>
      <c r="AO57" s="32" t="s">
        <v>81</v>
      </c>
      <c r="AP57" s="39"/>
      <c r="AQ57">
        <v>0</v>
      </c>
      <c r="AR57">
        <v>0</v>
      </c>
      <c r="AS57">
        <v>0</v>
      </c>
      <c r="AT57">
        <v>0</v>
      </c>
      <c r="AU57">
        <v>0</v>
      </c>
      <c r="AV57">
        <v>0</v>
      </c>
      <c r="AW57">
        <v>0</v>
      </c>
      <c r="AX57">
        <v>0</v>
      </c>
      <c r="BA57" t="s">
        <v>102</v>
      </c>
      <c r="BC57" t="s">
        <v>132</v>
      </c>
      <c r="BD57" t="s">
        <v>320</v>
      </c>
      <c r="BE57" t="s">
        <v>229</v>
      </c>
      <c r="BF57" t="s">
        <v>229</v>
      </c>
      <c r="BG57" t="str">
        <f t="shared" si="29"/>
        <v>CSLAP</v>
      </c>
      <c r="BH57" s="14" t="str">
        <f>IF(RIGHT(CM57,4)="2011","yes","no")</f>
        <v>no</v>
      </c>
      <c r="BJ57">
        <f t="shared" si="30"/>
        <v>0</v>
      </c>
      <c r="BK57">
        <f t="shared" si="31"/>
        <v>0</v>
      </c>
      <c r="BL57">
        <f t="shared" si="32"/>
        <v>0</v>
      </c>
      <c r="BM57" t="str">
        <f t="shared" si="33"/>
        <v>CSLAP</v>
      </c>
      <c r="BN57" t="str">
        <f t="shared" si="34"/>
        <v>yes</v>
      </c>
      <c r="BO57">
        <v>0.40424060606060608</v>
      </c>
      <c r="BW57" t="s">
        <v>422</v>
      </c>
    </row>
    <row r="58" spans="1:77" x14ac:dyDescent="0.3">
      <c r="A58" t="s">
        <v>1797</v>
      </c>
      <c r="B58" t="s">
        <v>1798</v>
      </c>
      <c r="C58" s="16">
        <v>123</v>
      </c>
      <c r="D58" s="16" t="s">
        <v>423</v>
      </c>
      <c r="E58" s="16" t="s">
        <v>424</v>
      </c>
      <c r="F58" s="16" t="s">
        <v>425</v>
      </c>
      <c r="G58" s="17">
        <f t="shared" si="17"/>
        <v>32.124299999999998</v>
      </c>
      <c r="H58" s="17">
        <v>13</v>
      </c>
      <c r="I58" s="18">
        <f t="shared" si="35"/>
        <v>187.80359999999999</v>
      </c>
      <c r="J58" s="18">
        <v>76</v>
      </c>
      <c r="K58" s="19">
        <f t="shared" si="1"/>
        <v>5.8461538461538458</v>
      </c>
      <c r="L58" s="19">
        <v>44.9</v>
      </c>
      <c r="M58" s="19">
        <v>13.7</v>
      </c>
      <c r="N58" s="20">
        <f t="shared" si="36"/>
        <v>20.340960000000003</v>
      </c>
      <c r="O58" s="19">
        <v>6.2</v>
      </c>
      <c r="P58" s="21" t="str">
        <f t="shared" si="3"/>
        <v>no</v>
      </c>
      <c r="Q58" s="22">
        <v>0.6907834710743801</v>
      </c>
      <c r="R58" s="18" t="s">
        <v>251</v>
      </c>
      <c r="S58" s="23">
        <v>41.87283</v>
      </c>
      <c r="T58" s="23">
        <v>-75.027060000000006</v>
      </c>
      <c r="U58" s="18" t="s">
        <v>426</v>
      </c>
      <c r="V58" s="18" t="s">
        <v>96</v>
      </c>
      <c r="W58" t="str">
        <f t="shared" si="7"/>
        <v>no</v>
      </c>
      <c r="Y58" t="str">
        <f t="shared" si="4"/>
        <v>recreation</v>
      </c>
      <c r="Z58" t="s">
        <v>79</v>
      </c>
      <c r="AA58" s="40" t="s">
        <v>79</v>
      </c>
      <c r="AB58" s="40" t="s">
        <v>79</v>
      </c>
      <c r="AC58" s="35">
        <v>10.722167784677138</v>
      </c>
      <c r="AD58" s="35" t="s">
        <v>98</v>
      </c>
      <c r="AF58" t="str">
        <f t="shared" si="5"/>
        <v/>
      </c>
      <c r="AG58" s="26" t="s">
        <v>81</v>
      </c>
      <c r="AH58" s="27" t="s">
        <v>83</v>
      </c>
      <c r="AI58" s="27" t="s">
        <v>141</v>
      </c>
      <c r="AJ58" s="27" t="s">
        <v>82</v>
      </c>
      <c r="AK58" s="27" t="s">
        <v>121</v>
      </c>
      <c r="AL58" s="27" t="s">
        <v>85</v>
      </c>
      <c r="AM58" s="27" t="s">
        <v>82</v>
      </c>
      <c r="AN58" s="33" t="s">
        <v>81</v>
      </c>
      <c r="AO58" s="32" t="s">
        <v>81</v>
      </c>
      <c r="AP58" s="39"/>
      <c r="AQ58">
        <v>0</v>
      </c>
      <c r="AR58">
        <v>0</v>
      </c>
      <c r="AS58">
        <v>0</v>
      </c>
      <c r="AT58">
        <v>0</v>
      </c>
      <c r="AU58">
        <v>0</v>
      </c>
      <c r="AV58">
        <v>0</v>
      </c>
      <c r="AW58">
        <v>0</v>
      </c>
      <c r="AX58">
        <v>0</v>
      </c>
      <c r="BD58" t="s">
        <v>104</v>
      </c>
      <c r="BE58" t="s">
        <v>105</v>
      </c>
      <c r="BF58" t="s">
        <v>115</v>
      </c>
      <c r="BG58" t="str">
        <f t="shared" si="29"/>
        <v>CSLAP</v>
      </c>
      <c r="BH58" s="14" t="str">
        <f>IF(RIGHT(CM58,4)="2011","yes","no")</f>
        <v>no</v>
      </c>
      <c r="BJ58">
        <f t="shared" si="30"/>
        <v>0</v>
      </c>
      <c r="BK58">
        <f t="shared" si="31"/>
        <v>0</v>
      </c>
      <c r="BL58">
        <f t="shared" si="32"/>
        <v>0</v>
      </c>
      <c r="BM58" t="str">
        <f t="shared" si="33"/>
        <v>CSLAP</v>
      </c>
      <c r="BN58" t="str">
        <f t="shared" si="34"/>
        <v>no</v>
      </c>
      <c r="BO58">
        <v>1.5352514357936651</v>
      </c>
    </row>
    <row r="59" spans="1:77" x14ac:dyDescent="0.3">
      <c r="A59" t="s">
        <v>1526</v>
      </c>
      <c r="B59" t="s">
        <v>1799</v>
      </c>
      <c r="C59" s="16">
        <v>23</v>
      </c>
      <c r="D59" s="16" t="s">
        <v>427</v>
      </c>
      <c r="E59" s="16" t="s">
        <v>428</v>
      </c>
      <c r="F59" s="16" t="s">
        <v>429</v>
      </c>
      <c r="G59" s="17">
        <f t="shared" si="17"/>
        <v>454.43529000000001</v>
      </c>
      <c r="H59" s="17">
        <v>183.9</v>
      </c>
      <c r="I59" s="18">
        <f t="shared" si="35"/>
        <v>16324.086599999999</v>
      </c>
      <c r="J59" s="18">
        <v>6606</v>
      </c>
      <c r="K59" s="19">
        <f t="shared" si="1"/>
        <v>35.921696574225123</v>
      </c>
      <c r="L59" s="19">
        <v>48.883920000000003</v>
      </c>
      <c r="M59" s="19">
        <v>14.9</v>
      </c>
      <c r="N59" s="20">
        <f t="shared" si="36"/>
        <v>17.06016</v>
      </c>
      <c r="O59" s="19">
        <v>5.2</v>
      </c>
      <c r="P59" s="21" t="str">
        <f t="shared" si="3"/>
        <v>no</v>
      </c>
      <c r="Q59" s="22">
        <v>0.32558436745815494</v>
      </c>
      <c r="R59" s="18" t="s">
        <v>2129</v>
      </c>
      <c r="S59" s="23">
        <v>42.250569200000001</v>
      </c>
      <c r="T59" s="23">
        <v>-78.292418299999994</v>
      </c>
      <c r="U59" s="18" t="s">
        <v>77</v>
      </c>
      <c r="V59" s="18" t="s">
        <v>78</v>
      </c>
      <c r="W59" t="str">
        <f t="shared" si="7"/>
        <v>no</v>
      </c>
      <c r="Y59" t="str">
        <f t="shared" si="4"/>
        <v>recreation</v>
      </c>
      <c r="Z59" t="s">
        <v>79</v>
      </c>
      <c r="AA59" s="40" t="s">
        <v>430</v>
      </c>
      <c r="AB59" s="40" t="s">
        <v>431</v>
      </c>
      <c r="AC59" s="24">
        <f>IF(AND(AA59="none reported",AB59="none reported"),"",0)</f>
        <v>0</v>
      </c>
      <c r="AD59" s="24"/>
      <c r="AE59" s="25" t="s">
        <v>432</v>
      </c>
      <c r="AF59" t="str">
        <f t="shared" si="5"/>
        <v>yes</v>
      </c>
      <c r="AG59" s="26" t="s">
        <v>81</v>
      </c>
      <c r="AH59" s="27" t="s">
        <v>83</v>
      </c>
      <c r="AI59" s="28" t="s">
        <v>83</v>
      </c>
      <c r="AJ59" s="29" t="s">
        <v>257</v>
      </c>
      <c r="AK59" s="30" t="s">
        <v>156</v>
      </c>
      <c r="AL59" s="31" t="s">
        <v>156</v>
      </c>
      <c r="AM59" s="32" t="s">
        <v>82</v>
      </c>
      <c r="AN59" s="33">
        <v>43711</v>
      </c>
      <c r="AO59" s="33">
        <v>43725</v>
      </c>
      <c r="AP59" s="39"/>
      <c r="AQ59">
        <v>0</v>
      </c>
      <c r="AR59">
        <v>0</v>
      </c>
      <c r="AS59">
        <v>0</v>
      </c>
      <c r="AT59">
        <v>0</v>
      </c>
      <c r="AU59">
        <v>1</v>
      </c>
      <c r="AV59">
        <v>0</v>
      </c>
      <c r="AW59">
        <v>0</v>
      </c>
      <c r="AX59">
        <v>0</v>
      </c>
      <c r="AY59" t="s">
        <v>102</v>
      </c>
      <c r="AZ59" t="s">
        <v>433</v>
      </c>
      <c r="BA59" t="s">
        <v>102</v>
      </c>
      <c r="BB59" t="s">
        <v>434</v>
      </c>
      <c r="BC59" t="s">
        <v>226</v>
      </c>
      <c r="BD59" t="s">
        <v>364</v>
      </c>
      <c r="BE59" t="s">
        <v>365</v>
      </c>
      <c r="BF59" t="s">
        <v>435</v>
      </c>
      <c r="BG59" t="str">
        <f t="shared" si="29"/>
        <v>CSLAP</v>
      </c>
      <c r="BH59" s="14" t="s">
        <v>102</v>
      </c>
      <c r="BJ59">
        <f t="shared" si="30"/>
        <v>1</v>
      </c>
      <c r="BK59">
        <f t="shared" si="31"/>
        <v>1</v>
      </c>
      <c r="BL59">
        <f t="shared" si="32"/>
        <v>0</v>
      </c>
      <c r="BM59" t="str">
        <f t="shared" si="33"/>
        <v>CSLAP</v>
      </c>
      <c r="BN59" t="str">
        <f t="shared" si="34"/>
        <v>no</v>
      </c>
      <c r="BO59">
        <v>0.44461382113821141</v>
      </c>
    </row>
    <row r="60" spans="1:77" x14ac:dyDescent="0.3">
      <c r="A60" t="s">
        <v>1527</v>
      </c>
      <c r="B60" t="s">
        <v>1800</v>
      </c>
      <c r="C60" s="16">
        <v>242</v>
      </c>
      <c r="D60" s="16" t="s">
        <v>436</v>
      </c>
      <c r="E60" s="16" t="s">
        <v>437</v>
      </c>
      <c r="F60" s="16" t="s">
        <v>438</v>
      </c>
      <c r="G60" s="17">
        <f t="shared" si="17"/>
        <v>38.302049999999994</v>
      </c>
      <c r="H60" s="17">
        <v>15.5</v>
      </c>
      <c r="I60" s="18">
        <f t="shared" si="35"/>
        <v>555.99749999999995</v>
      </c>
      <c r="J60" s="18">
        <v>225</v>
      </c>
      <c r="K60" s="19">
        <f t="shared" si="1"/>
        <v>14.516129032258064</v>
      </c>
      <c r="L60" s="19">
        <v>15.419760000000002</v>
      </c>
      <c r="M60" s="19">
        <v>4.7</v>
      </c>
      <c r="N60" s="20">
        <f t="shared" si="36"/>
        <v>7.2177600000000011</v>
      </c>
      <c r="O60" s="19">
        <v>2.2000000000000002</v>
      </c>
      <c r="P60" s="21" t="str">
        <f t="shared" si="3"/>
        <v>no</v>
      </c>
      <c r="Q60" s="22">
        <v>0.37888888888888889</v>
      </c>
      <c r="R60" s="18" t="s">
        <v>439</v>
      </c>
      <c r="S60" s="23">
        <v>42.447797524099997</v>
      </c>
      <c r="T60" s="23">
        <v>-76.0033527298</v>
      </c>
      <c r="U60" s="16" t="s">
        <v>78</v>
      </c>
      <c r="V60" s="16" t="s">
        <v>96</v>
      </c>
      <c r="W60" t="str">
        <f t="shared" si="7"/>
        <v>no</v>
      </c>
      <c r="Y60" t="str">
        <f t="shared" si="4"/>
        <v>recreation</v>
      </c>
      <c r="Z60" t="s">
        <v>79</v>
      </c>
      <c r="AA60" s="24" t="s">
        <v>79</v>
      </c>
      <c r="AB60" s="24" t="s">
        <v>79</v>
      </c>
      <c r="AC60" s="35">
        <v>6.7663171035410308</v>
      </c>
      <c r="AD60" s="35" t="s">
        <v>440</v>
      </c>
      <c r="AE60" s="25" t="s">
        <v>170</v>
      </c>
      <c r="AF60" t="str">
        <f t="shared" si="5"/>
        <v>yes</v>
      </c>
      <c r="AG60" s="26" t="s">
        <v>81</v>
      </c>
      <c r="AH60" s="27" t="s">
        <v>81</v>
      </c>
      <c r="AI60" s="28" t="s">
        <v>156</v>
      </c>
      <c r="AJ60" s="29" t="s">
        <v>156</v>
      </c>
      <c r="AK60" s="30" t="s">
        <v>156</v>
      </c>
      <c r="AL60" s="31" t="s">
        <v>156</v>
      </c>
      <c r="AM60" s="32" t="s">
        <v>156</v>
      </c>
      <c r="AN60" s="33" t="s">
        <v>81</v>
      </c>
      <c r="AO60" s="32" t="s">
        <v>81</v>
      </c>
      <c r="AP60" s="39"/>
      <c r="AQ60">
        <v>9</v>
      </c>
      <c r="AR60">
        <v>4</v>
      </c>
      <c r="AS60">
        <v>7</v>
      </c>
      <c r="AT60">
        <v>12</v>
      </c>
      <c r="AU60">
        <v>9</v>
      </c>
      <c r="AV60">
        <v>9</v>
      </c>
      <c r="AW60">
        <v>13</v>
      </c>
      <c r="AX60">
        <v>0</v>
      </c>
      <c r="AZ60" t="s">
        <v>441</v>
      </c>
      <c r="BA60" t="s">
        <v>102</v>
      </c>
      <c r="BC60" t="s">
        <v>132</v>
      </c>
      <c r="BD60" t="s">
        <v>114</v>
      </c>
      <c r="BE60" t="s">
        <v>247</v>
      </c>
      <c r="BF60" t="s">
        <v>115</v>
      </c>
      <c r="BG60" t="str">
        <f t="shared" si="29"/>
        <v>CSLAP</v>
      </c>
      <c r="BH60" s="14" t="s">
        <v>102</v>
      </c>
      <c r="BJ60">
        <f t="shared" si="30"/>
        <v>5</v>
      </c>
      <c r="BK60">
        <f t="shared" si="31"/>
        <v>2</v>
      </c>
      <c r="BL60">
        <f t="shared" si="32"/>
        <v>3</v>
      </c>
      <c r="BM60" t="str">
        <f t="shared" si="33"/>
        <v>CSLAP</v>
      </c>
      <c r="BN60" t="str">
        <f t="shared" si="34"/>
        <v>no</v>
      </c>
      <c r="BO60">
        <v>0.4</v>
      </c>
    </row>
    <row r="61" spans="1:77" x14ac:dyDescent="0.3">
      <c r="A61" t="s">
        <v>1528</v>
      </c>
      <c r="B61" t="s">
        <v>1801</v>
      </c>
      <c r="C61" s="16">
        <v>195</v>
      </c>
      <c r="D61" s="16" t="s">
        <v>442</v>
      </c>
      <c r="E61" s="16" t="s">
        <v>176</v>
      </c>
      <c r="F61" s="16" t="s">
        <v>443</v>
      </c>
      <c r="G61" s="17">
        <f t="shared" si="17"/>
        <v>32.124299999999998</v>
      </c>
      <c r="H61" s="17">
        <v>13</v>
      </c>
      <c r="I61" s="18">
        <f t="shared" si="35"/>
        <v>560.19836999999995</v>
      </c>
      <c r="J61" s="18">
        <v>226.7</v>
      </c>
      <c r="K61" s="19">
        <f t="shared" si="1"/>
        <v>17.438461538461539</v>
      </c>
      <c r="L61" s="19">
        <v>10.170480000000001</v>
      </c>
      <c r="M61" s="19">
        <v>3.1</v>
      </c>
      <c r="N61" s="20">
        <f t="shared" si="36"/>
        <v>4.7801255999999999</v>
      </c>
      <c r="O61" s="19">
        <v>1.4569999999999999</v>
      </c>
      <c r="P61" s="21" t="str">
        <f t="shared" si="3"/>
        <v>no</v>
      </c>
      <c r="Q61" s="22">
        <v>0.23208596774984072</v>
      </c>
      <c r="R61" s="18" t="s">
        <v>2130</v>
      </c>
      <c r="S61" s="23">
        <v>42.059808760300001</v>
      </c>
      <c r="T61" s="23">
        <v>-75.553602278699998</v>
      </c>
      <c r="U61" s="18" t="s">
        <v>77</v>
      </c>
      <c r="V61" s="18" t="s">
        <v>96</v>
      </c>
      <c r="W61" t="str">
        <f t="shared" si="7"/>
        <v>no</v>
      </c>
      <c r="Y61" t="str">
        <f t="shared" si="4"/>
        <v>recreation</v>
      </c>
      <c r="Z61" t="s">
        <v>79</v>
      </c>
      <c r="AA61" s="24" t="s">
        <v>270</v>
      </c>
      <c r="AB61" s="24" t="s">
        <v>79</v>
      </c>
      <c r="AC61" s="24">
        <f>IF(AND(AA61="none reported",AB61="none reported"),"",0)</f>
        <v>0</v>
      </c>
      <c r="AD61" s="24"/>
      <c r="AE61" s="25">
        <v>2019</v>
      </c>
      <c r="AF61" t="str">
        <f t="shared" si="5"/>
        <v>no</v>
      </c>
      <c r="AG61" s="26" t="s">
        <v>81</v>
      </c>
      <c r="AH61" s="27" t="s">
        <v>156</v>
      </c>
      <c r="AI61" s="27" t="s">
        <v>141</v>
      </c>
      <c r="AJ61" s="27" t="s">
        <v>156</v>
      </c>
      <c r="AK61" s="27" t="s">
        <v>156</v>
      </c>
      <c r="AL61" s="27" t="s">
        <v>156</v>
      </c>
      <c r="AM61" s="27" t="s">
        <v>156</v>
      </c>
      <c r="AN61" s="33">
        <v>43706</v>
      </c>
      <c r="AO61" s="33">
        <v>43723</v>
      </c>
      <c r="AP61" s="39"/>
      <c r="AQ61">
        <v>0</v>
      </c>
      <c r="AR61">
        <v>0</v>
      </c>
      <c r="AS61">
        <v>0</v>
      </c>
      <c r="AT61">
        <v>0</v>
      </c>
      <c r="AU61">
        <v>0</v>
      </c>
      <c r="AV61">
        <v>0</v>
      </c>
      <c r="AW61">
        <v>0</v>
      </c>
      <c r="AX61">
        <v>0</v>
      </c>
      <c r="AY61" t="s">
        <v>444</v>
      </c>
      <c r="AZ61" t="s">
        <v>445</v>
      </c>
      <c r="BA61" t="s">
        <v>102</v>
      </c>
      <c r="BB61" t="s">
        <v>446</v>
      </c>
      <c r="BC61" t="s">
        <v>132</v>
      </c>
      <c r="BD61" t="s">
        <v>104</v>
      </c>
      <c r="BE61" t="s">
        <v>105</v>
      </c>
      <c r="BF61" t="s">
        <v>115</v>
      </c>
      <c r="BG61" t="str">
        <f t="shared" si="29"/>
        <v>CSLAP</v>
      </c>
      <c r="BH61" s="14" t="s">
        <v>102</v>
      </c>
      <c r="BJ61">
        <f t="shared" si="30"/>
        <v>0</v>
      </c>
      <c r="BK61">
        <f t="shared" si="31"/>
        <v>0</v>
      </c>
      <c r="BL61">
        <f t="shared" si="32"/>
        <v>0</v>
      </c>
      <c r="BM61" t="str">
        <f t="shared" si="33"/>
        <v>CSLAP</v>
      </c>
      <c r="BN61" t="str">
        <f t="shared" si="34"/>
        <v>no</v>
      </c>
      <c r="BO61">
        <v>0.36</v>
      </c>
      <c r="BV61" t="s">
        <v>444</v>
      </c>
    </row>
    <row r="62" spans="1:77" ht="13.5" customHeight="1" x14ac:dyDescent="0.3">
      <c r="A62" t="s">
        <v>1529</v>
      </c>
      <c r="B62" t="s">
        <v>1802</v>
      </c>
      <c r="C62">
        <v>170.1</v>
      </c>
      <c r="D62" s="37" t="s">
        <v>447</v>
      </c>
      <c r="E62" s="42" t="s">
        <v>448</v>
      </c>
      <c r="F62" t="s">
        <v>449</v>
      </c>
      <c r="G62" s="36">
        <v>364.8</v>
      </c>
      <c r="H62" s="36">
        <v>147.62932000000001</v>
      </c>
      <c r="I62" s="37">
        <v>17708.560099999999</v>
      </c>
      <c r="J62" s="37">
        <v>7166.4</v>
      </c>
      <c r="K62" s="54">
        <f t="shared" si="1"/>
        <v>48.543202664619734</v>
      </c>
      <c r="L62" s="21">
        <v>12.139099999999999</v>
      </c>
      <c r="M62" s="21">
        <v>3.7</v>
      </c>
      <c r="N62" s="34">
        <v>3.6089199999999999</v>
      </c>
      <c r="O62" s="21">
        <v>1.1000000000000001</v>
      </c>
      <c r="Q62" s="43">
        <v>0.04</v>
      </c>
      <c r="R62" s="55" t="s">
        <v>2131</v>
      </c>
      <c r="S62">
        <v>44.653300000000002</v>
      </c>
      <c r="T62">
        <v>-74.306100000000001</v>
      </c>
      <c r="U62" t="s">
        <v>450</v>
      </c>
      <c r="W62" t="s">
        <v>99</v>
      </c>
      <c r="Y62" t="s">
        <v>451</v>
      </c>
      <c r="Z62" t="s">
        <v>79</v>
      </c>
      <c r="AA62" t="s">
        <v>120</v>
      </c>
      <c r="AB62" t="s">
        <v>79</v>
      </c>
      <c r="AC62">
        <v>0</v>
      </c>
      <c r="AG62" s="56" t="s">
        <v>81</v>
      </c>
      <c r="AH62" s="57" t="s">
        <v>81</v>
      </c>
      <c r="AI62" s="57" t="s">
        <v>156</v>
      </c>
      <c r="AJ62" s="57" t="s">
        <v>156</v>
      </c>
      <c r="AK62" s="57" t="s">
        <v>156</v>
      </c>
      <c r="AL62" s="57" t="s">
        <v>156</v>
      </c>
      <c r="AM62" s="57" t="s">
        <v>156</v>
      </c>
      <c r="AN62" s="58" t="s">
        <v>81</v>
      </c>
      <c r="AO62" s="58" t="s">
        <v>81</v>
      </c>
      <c r="AP62" s="59">
        <v>0</v>
      </c>
      <c r="AQ62" s="59">
        <v>0</v>
      </c>
      <c r="AR62" s="59">
        <v>0</v>
      </c>
      <c r="AS62" s="59">
        <v>0</v>
      </c>
      <c r="AT62" s="59">
        <v>0</v>
      </c>
      <c r="AU62" s="59">
        <v>0</v>
      </c>
      <c r="AV62" s="59">
        <v>0</v>
      </c>
      <c r="AW62" s="59">
        <v>0</v>
      </c>
      <c r="AX62"/>
      <c r="AZ62" s="60" t="s">
        <v>452</v>
      </c>
      <c r="BA62" s="60" t="s">
        <v>102</v>
      </c>
      <c r="BB62" s="60" t="s">
        <v>2132</v>
      </c>
      <c r="BC62" s="60" t="s">
        <v>215</v>
      </c>
      <c r="BD62" s="60" t="s">
        <v>216</v>
      </c>
      <c r="BE62" s="60" t="s">
        <v>89</v>
      </c>
      <c r="BF62" s="60" t="str">
        <f t="shared" ref="BF62" si="37">IF(C62="","LCI","CSLAP")</f>
        <v>CSLAP</v>
      </c>
      <c r="BG62" s="60" t="s">
        <v>102</v>
      </c>
      <c r="BI62">
        <v>0</v>
      </c>
      <c r="BJ62">
        <v>0</v>
      </c>
      <c r="BK62">
        <v>0</v>
      </c>
      <c r="BL62" t="s">
        <v>54</v>
      </c>
      <c r="BM62" t="s">
        <v>99</v>
      </c>
    </row>
    <row r="63" spans="1:77" x14ac:dyDescent="0.3">
      <c r="A63" t="s">
        <v>1530</v>
      </c>
      <c r="B63" t="s">
        <v>1803</v>
      </c>
      <c r="C63" s="16">
        <v>80</v>
      </c>
      <c r="D63" s="16" t="s">
        <v>454</v>
      </c>
      <c r="E63" s="16" t="s">
        <v>455</v>
      </c>
      <c r="F63" s="16" t="s">
        <v>456</v>
      </c>
      <c r="G63" s="17">
        <f t="shared" ref="G63:G79" si="38">H63*2.4711</f>
        <v>2483.2083899999998</v>
      </c>
      <c r="H63" s="17">
        <v>1004.9</v>
      </c>
      <c r="I63" s="18">
        <f t="shared" ref="I63:I77" si="39">IF(J63="","",J63*2.4711)</f>
        <v>94717.262999999992</v>
      </c>
      <c r="J63" s="18">
        <v>38330</v>
      </c>
      <c r="K63" s="19">
        <f t="shared" si="1"/>
        <v>38.143098815802567</v>
      </c>
      <c r="L63" s="19" t="s">
        <v>110</v>
      </c>
      <c r="M63" s="19"/>
      <c r="N63" s="20">
        <f>IF(O63="", "",O63*3.2808)</f>
        <v>22.309440000000002</v>
      </c>
      <c r="O63" s="19">
        <v>6.8</v>
      </c>
      <c r="P63" s="21" t="str">
        <f t="shared" si="3"/>
        <v>no</v>
      </c>
      <c r="Q63" s="22">
        <v>0.69078347107437998</v>
      </c>
      <c r="R63" s="18" t="s">
        <v>457</v>
      </c>
      <c r="S63" s="23">
        <v>43.292230000000004</v>
      </c>
      <c r="T63" s="23">
        <v>-75.429550000000006</v>
      </c>
      <c r="U63" s="18" t="s">
        <v>458</v>
      </c>
      <c r="V63" s="18" t="s">
        <v>78</v>
      </c>
      <c r="W63" t="str">
        <f t="shared" si="7"/>
        <v>yes</v>
      </c>
      <c r="X63" t="s">
        <v>459</v>
      </c>
      <c r="Y63" t="str">
        <f t="shared" si="4"/>
        <v>potable water, recreation, and public bathing</v>
      </c>
      <c r="Z63" t="s">
        <v>79</v>
      </c>
      <c r="AA63" s="40" t="s">
        <v>120</v>
      </c>
      <c r="AB63" s="40" t="s">
        <v>460</v>
      </c>
      <c r="AC63" s="24">
        <f>IF(AND(AA63="none reported",AB63="none reported"),"",0)</f>
        <v>0</v>
      </c>
      <c r="AD63" s="24"/>
      <c r="AF63" t="str">
        <f t="shared" si="5"/>
        <v/>
      </c>
      <c r="AG63" s="26" t="s">
        <v>82</v>
      </c>
      <c r="AH63" s="27" t="s">
        <v>82</v>
      </c>
      <c r="AI63" s="28" t="s">
        <v>141</v>
      </c>
      <c r="AJ63" s="29" t="s">
        <v>82</v>
      </c>
      <c r="AK63" s="30" t="s">
        <v>85</v>
      </c>
      <c r="AL63" s="31" t="s">
        <v>121</v>
      </c>
      <c r="AM63" s="32" t="s">
        <v>82</v>
      </c>
      <c r="AN63" s="33" t="s">
        <v>81</v>
      </c>
      <c r="AO63" s="32" t="s">
        <v>81</v>
      </c>
      <c r="AP63" s="39"/>
      <c r="AQ63">
        <v>0</v>
      </c>
      <c r="AR63">
        <v>0</v>
      </c>
      <c r="AS63">
        <v>0</v>
      </c>
      <c r="AT63">
        <v>0</v>
      </c>
      <c r="AU63">
        <v>0</v>
      </c>
      <c r="AV63">
        <v>0</v>
      </c>
      <c r="AW63">
        <v>0</v>
      </c>
      <c r="AX63">
        <v>0</v>
      </c>
      <c r="BD63" t="s">
        <v>298</v>
      </c>
      <c r="BF63" t="s">
        <v>115</v>
      </c>
      <c r="BG63" t="str">
        <f t="shared" si="29"/>
        <v>CSLAP</v>
      </c>
      <c r="BH63" s="14" t="str">
        <f>IF(RIGHT(CM63,4)="2011","yes","no")</f>
        <v>no</v>
      </c>
      <c r="BJ63">
        <f t="shared" si="30"/>
        <v>0</v>
      </c>
      <c r="BK63">
        <f t="shared" si="31"/>
        <v>0</v>
      </c>
      <c r="BL63">
        <f t="shared" si="32"/>
        <v>0</v>
      </c>
      <c r="BM63" t="str">
        <f t="shared" si="33"/>
        <v>CSLAP</v>
      </c>
      <c r="BN63" t="str">
        <f t="shared" si="34"/>
        <v>no</v>
      </c>
      <c r="BO63">
        <v>0.25807801064610486</v>
      </c>
    </row>
    <row r="64" spans="1:77" x14ac:dyDescent="0.3">
      <c r="A64" t="s">
        <v>1531</v>
      </c>
      <c r="B64" t="s">
        <v>1804</v>
      </c>
      <c r="C64" s="16">
        <v>40</v>
      </c>
      <c r="D64" s="16" t="s">
        <v>461</v>
      </c>
      <c r="E64" s="16" t="s">
        <v>243</v>
      </c>
      <c r="F64" s="16" t="s">
        <v>462</v>
      </c>
      <c r="G64" s="17">
        <f t="shared" si="38"/>
        <v>556.73883000000001</v>
      </c>
      <c r="H64" s="17">
        <v>225.3</v>
      </c>
      <c r="I64" s="18">
        <f t="shared" si="39"/>
        <v>2498.2820999999999</v>
      </c>
      <c r="J64" s="18">
        <v>1011</v>
      </c>
      <c r="K64" s="19">
        <f t="shared" si="1"/>
        <v>4.4873501997336884</v>
      </c>
      <c r="L64" s="19">
        <v>52.492800000000003</v>
      </c>
      <c r="M64" s="19">
        <v>16</v>
      </c>
      <c r="N64" s="20">
        <f>IF(O64="", "",O64*3.2808)</f>
        <v>23.621760000000002</v>
      </c>
      <c r="O64" s="19">
        <v>7.2</v>
      </c>
      <c r="P64" s="21" t="str">
        <f t="shared" si="3"/>
        <v>no</v>
      </c>
      <c r="Q64" s="22">
        <v>4.0112759643916913</v>
      </c>
      <c r="R64" s="18" t="s">
        <v>2134</v>
      </c>
      <c r="S64" s="23">
        <v>42.814190000000004</v>
      </c>
      <c r="T64" s="23">
        <v>-75.892560000000003</v>
      </c>
      <c r="U64" s="18" t="s">
        <v>77</v>
      </c>
      <c r="V64" s="18"/>
      <c r="W64" t="str">
        <f t="shared" si="7"/>
        <v>no</v>
      </c>
      <c r="X64" t="s">
        <v>463</v>
      </c>
      <c r="Y64" t="str">
        <f t="shared" si="4"/>
        <v>recreation and public bathing</v>
      </c>
      <c r="Z64" t="s">
        <v>79</v>
      </c>
      <c r="AA64" s="24" t="s">
        <v>464</v>
      </c>
      <c r="AB64" s="24" t="s">
        <v>465</v>
      </c>
      <c r="AC64" s="24">
        <f>IF(AND(AA64="none reported",AB64="none reported"),"",0)</f>
        <v>0</v>
      </c>
      <c r="AD64" s="24"/>
      <c r="AE64" s="25">
        <v>2019</v>
      </c>
      <c r="AF64" t="str">
        <f t="shared" si="5"/>
        <v>no</v>
      </c>
      <c r="AG64" s="26" t="s">
        <v>81</v>
      </c>
      <c r="AH64" s="27" t="s">
        <v>82</v>
      </c>
      <c r="AI64" s="28" t="s">
        <v>83</v>
      </c>
      <c r="AJ64" s="29" t="s">
        <v>82</v>
      </c>
      <c r="AK64" s="30" t="s">
        <v>85</v>
      </c>
      <c r="AL64" s="31" t="s">
        <v>84</v>
      </c>
      <c r="AM64" s="32" t="s">
        <v>82</v>
      </c>
      <c r="AN64" s="39">
        <v>43703</v>
      </c>
      <c r="AO64" s="39">
        <v>43703</v>
      </c>
      <c r="AP64" s="39"/>
      <c r="AQ64">
        <v>4</v>
      </c>
      <c r="AR64">
        <v>3</v>
      </c>
      <c r="AS64">
        <v>2</v>
      </c>
      <c r="AT64">
        <v>0</v>
      </c>
      <c r="AU64">
        <v>0</v>
      </c>
      <c r="AV64">
        <v>0</v>
      </c>
      <c r="AW64">
        <v>0</v>
      </c>
      <c r="AX64">
        <v>0</v>
      </c>
      <c r="AY64" t="s">
        <v>466</v>
      </c>
      <c r="AZ64" t="s">
        <v>467</v>
      </c>
      <c r="BA64" t="s">
        <v>102</v>
      </c>
      <c r="BB64" t="s">
        <v>468</v>
      </c>
      <c r="BC64" t="s">
        <v>132</v>
      </c>
      <c r="BD64" t="s">
        <v>320</v>
      </c>
      <c r="BE64" t="s">
        <v>247</v>
      </c>
      <c r="BF64" t="s">
        <v>115</v>
      </c>
      <c r="BG64" t="str">
        <f t="shared" si="29"/>
        <v>CSLAP</v>
      </c>
      <c r="BH64" s="14" t="s">
        <v>102</v>
      </c>
      <c r="BJ64">
        <f t="shared" si="30"/>
        <v>0</v>
      </c>
      <c r="BK64">
        <f t="shared" si="31"/>
        <v>0</v>
      </c>
      <c r="BL64">
        <f t="shared" si="32"/>
        <v>0</v>
      </c>
      <c r="BM64" t="str">
        <f t="shared" si="33"/>
        <v>CSLAP</v>
      </c>
      <c r="BN64" t="str">
        <f t="shared" si="34"/>
        <v>yes</v>
      </c>
      <c r="BO64">
        <v>0.4</v>
      </c>
      <c r="BV64" t="s">
        <v>466</v>
      </c>
      <c r="BY64" t="s">
        <v>469</v>
      </c>
    </row>
    <row r="65" spans="1:77" x14ac:dyDescent="0.3">
      <c r="A65" t="s">
        <v>1533</v>
      </c>
      <c r="B65" t="s">
        <v>1805</v>
      </c>
      <c r="C65" s="16">
        <v>66</v>
      </c>
      <c r="D65" s="16" t="s">
        <v>470</v>
      </c>
      <c r="E65" s="16" t="s">
        <v>471</v>
      </c>
      <c r="F65" s="16" t="s">
        <v>472</v>
      </c>
      <c r="G65" s="17">
        <v>117</v>
      </c>
      <c r="H65" s="17">
        <v>47</v>
      </c>
      <c r="I65" s="18">
        <f t="shared" si="39"/>
        <v>322.72565999999995</v>
      </c>
      <c r="J65" s="18">
        <v>130.6</v>
      </c>
      <c r="K65" s="19">
        <f t="shared" si="1"/>
        <v>2.7787234042553188</v>
      </c>
      <c r="L65" s="19">
        <v>16.73208</v>
      </c>
      <c r="M65" s="19">
        <v>5.0999999999999996</v>
      </c>
      <c r="N65" s="20">
        <f>IF(O65="", "",O65*3.2808)</f>
        <v>7.5458400000000001</v>
      </c>
      <c r="O65" s="19">
        <v>2.2999999999999998</v>
      </c>
      <c r="P65" s="21" t="str">
        <f t="shared" si="3"/>
        <v>no</v>
      </c>
      <c r="Q65" s="22">
        <v>0.45056049004594179</v>
      </c>
      <c r="R65" s="18" t="s">
        <v>2135</v>
      </c>
      <c r="S65" s="23">
        <v>42.749461029999999</v>
      </c>
      <c r="T65" s="23">
        <v>-74.112320089999997</v>
      </c>
      <c r="U65" s="18" t="s">
        <v>77</v>
      </c>
      <c r="V65" s="18" t="s">
        <v>96</v>
      </c>
      <c r="W65" t="str">
        <f t="shared" si="7"/>
        <v>no</v>
      </c>
      <c r="Y65" t="str">
        <f t="shared" si="4"/>
        <v>recreation</v>
      </c>
      <c r="Z65" t="s">
        <v>79</v>
      </c>
      <c r="AA65" s="24" t="s">
        <v>473</v>
      </c>
      <c r="AB65" s="24" t="s">
        <v>79</v>
      </c>
      <c r="AC65" s="24">
        <f>IF(AND(AA65="none reported",AB65="none reported"),"",0)</f>
        <v>0</v>
      </c>
      <c r="AD65" s="24"/>
      <c r="AE65" s="25" t="s">
        <v>474</v>
      </c>
      <c r="AF65" t="str">
        <f t="shared" si="5"/>
        <v>yes</v>
      </c>
      <c r="AG65" s="26" t="s">
        <v>81</v>
      </c>
      <c r="AH65" s="27" t="s">
        <v>83</v>
      </c>
      <c r="AI65" s="28" t="s">
        <v>141</v>
      </c>
      <c r="AJ65" s="29" t="s">
        <v>83</v>
      </c>
      <c r="AK65" s="30" t="s">
        <v>84</v>
      </c>
      <c r="AL65" s="31" t="s">
        <v>84</v>
      </c>
      <c r="AM65" s="32" t="s">
        <v>82</v>
      </c>
      <c r="AN65" s="39">
        <v>43631</v>
      </c>
      <c r="AO65" s="39">
        <v>43631</v>
      </c>
      <c r="AP65" s="39"/>
      <c r="AQ65">
        <v>11</v>
      </c>
      <c r="AR65">
        <v>4</v>
      </c>
      <c r="AS65">
        <v>1</v>
      </c>
      <c r="AT65">
        <v>0</v>
      </c>
      <c r="AU65">
        <v>3</v>
      </c>
      <c r="AV65">
        <v>3</v>
      </c>
      <c r="AW65">
        <v>0</v>
      </c>
      <c r="AX65">
        <v>0</v>
      </c>
      <c r="AZ65" t="s">
        <v>475</v>
      </c>
      <c r="BA65" t="s">
        <v>102</v>
      </c>
      <c r="BB65" t="s">
        <v>2136</v>
      </c>
      <c r="BC65" t="s">
        <v>132</v>
      </c>
      <c r="BD65" t="s">
        <v>152</v>
      </c>
      <c r="BE65" t="s">
        <v>196</v>
      </c>
      <c r="BF65" t="s">
        <v>143</v>
      </c>
      <c r="BG65" t="str">
        <f t="shared" si="29"/>
        <v>CSLAP</v>
      </c>
      <c r="BH65" s="14" t="s">
        <v>102</v>
      </c>
      <c r="BJ65">
        <f t="shared" si="30"/>
        <v>3</v>
      </c>
      <c r="BK65">
        <f t="shared" si="31"/>
        <v>2</v>
      </c>
      <c r="BL65">
        <f t="shared" si="32"/>
        <v>3</v>
      </c>
      <c r="BM65" t="str">
        <f t="shared" si="33"/>
        <v>CSLAP</v>
      </c>
      <c r="BN65" t="str">
        <f t="shared" si="34"/>
        <v>no</v>
      </c>
      <c r="BO65">
        <v>0.50813008130081305</v>
      </c>
      <c r="BY65" t="s">
        <v>476</v>
      </c>
    </row>
    <row r="66" spans="1:77" x14ac:dyDescent="0.3">
      <c r="A66" t="s">
        <v>1534</v>
      </c>
      <c r="B66" t="s">
        <v>1806</v>
      </c>
      <c r="C66" s="16">
        <v>44</v>
      </c>
      <c r="D66" s="16" t="s">
        <v>477</v>
      </c>
      <c r="E66" s="16" t="s">
        <v>416</v>
      </c>
      <c r="F66" s="16" t="s">
        <v>478</v>
      </c>
      <c r="G66" s="17">
        <f t="shared" si="38"/>
        <v>198.42932999999999</v>
      </c>
      <c r="H66" s="17">
        <v>80.3</v>
      </c>
      <c r="I66" s="18">
        <f t="shared" si="39"/>
        <v>569.58854999999994</v>
      </c>
      <c r="J66" s="18">
        <v>230.5</v>
      </c>
      <c r="K66" s="19">
        <f t="shared" ref="K66:K129" si="40">J66/H66</f>
        <v>2.8704856787048567</v>
      </c>
      <c r="L66" s="19">
        <v>21.325200000000002</v>
      </c>
      <c r="M66" s="19">
        <v>6.5</v>
      </c>
      <c r="N66" s="20">
        <f>IF(O66="", "",O66*3.2808)</f>
        <v>7.5458400000000001</v>
      </c>
      <c r="O66" s="19">
        <v>2.2999999999999998</v>
      </c>
      <c r="P66" s="21" t="str">
        <f t="shared" ref="P66:P129" si="41">IF(O66=(M66*0.46),"yes","no")</f>
        <v>no</v>
      </c>
      <c r="Q66" s="22">
        <v>1.4016675632682569</v>
      </c>
      <c r="R66" s="18" t="s">
        <v>2137</v>
      </c>
      <c r="S66" s="23">
        <v>43.14787364</v>
      </c>
      <c r="T66" s="23">
        <v>-76.689580759999998</v>
      </c>
      <c r="U66" s="18" t="s">
        <v>78</v>
      </c>
      <c r="V66" s="18"/>
      <c r="W66" t="str">
        <f t="shared" si="7"/>
        <v>no</v>
      </c>
      <c r="Y66" t="str">
        <f t="shared" ref="Y66:Y97" si="42">IF(W66="yes",IF(X66="","potable water and recreation","potable water, recreation, and public bathing"),IF(X66="","recreation","recreation and public bathing"))</f>
        <v>recreation</v>
      </c>
      <c r="Z66" t="s">
        <v>79</v>
      </c>
      <c r="AA66" s="24" t="s">
        <v>120</v>
      </c>
      <c r="AB66" s="24" t="s">
        <v>210</v>
      </c>
      <c r="AC66" s="24">
        <f>IF(AND(AA66="none reported",AB66="none reported"),"",0)</f>
        <v>0</v>
      </c>
      <c r="AD66" s="24"/>
      <c r="AF66" t="str">
        <f t="shared" ref="AF66:AF129" si="43">IF(AE66="","",IF(IFERROR(SEARCH(",",AE66,1)&gt;1,0),"yes","no"))</f>
        <v/>
      </c>
      <c r="AG66" s="26" t="s">
        <v>81</v>
      </c>
      <c r="AH66" s="27" t="s">
        <v>81</v>
      </c>
      <c r="AI66" s="28" t="s">
        <v>83</v>
      </c>
      <c r="AJ66" s="29" t="s">
        <v>82</v>
      </c>
      <c r="AK66" s="30" t="s">
        <v>84</v>
      </c>
      <c r="AL66" s="31" t="s">
        <v>85</v>
      </c>
      <c r="AM66" s="32" t="s">
        <v>82</v>
      </c>
      <c r="AN66" s="33" t="s">
        <v>81</v>
      </c>
      <c r="AO66" s="32" t="s">
        <v>81</v>
      </c>
      <c r="AP66" s="39"/>
      <c r="AQ66">
        <v>0</v>
      </c>
      <c r="AR66">
        <v>0</v>
      </c>
      <c r="AS66">
        <v>0</v>
      </c>
      <c r="AT66">
        <v>0</v>
      </c>
      <c r="AU66">
        <v>0</v>
      </c>
      <c r="AV66">
        <v>0</v>
      </c>
      <c r="AW66">
        <v>0</v>
      </c>
      <c r="AX66">
        <v>0</v>
      </c>
      <c r="AY66" t="s">
        <v>479</v>
      </c>
      <c r="AZ66" t="s">
        <v>480</v>
      </c>
      <c r="BA66" t="s">
        <v>102</v>
      </c>
      <c r="BB66" t="s">
        <v>2138</v>
      </c>
      <c r="BC66" t="s">
        <v>226</v>
      </c>
      <c r="BD66" t="s">
        <v>320</v>
      </c>
      <c r="BE66" t="s">
        <v>229</v>
      </c>
      <c r="BF66" t="s">
        <v>229</v>
      </c>
      <c r="BG66" t="str">
        <f t="shared" si="29"/>
        <v>CSLAP</v>
      </c>
      <c r="BH66" s="14" t="str">
        <f>IF(RIGHT(CM66,4)="2011","yes","no")</f>
        <v>no</v>
      </c>
      <c r="BJ66">
        <f t="shared" si="30"/>
        <v>0</v>
      </c>
      <c r="BK66">
        <f t="shared" si="31"/>
        <v>0</v>
      </c>
      <c r="BL66">
        <f t="shared" si="32"/>
        <v>0</v>
      </c>
      <c r="BM66" t="str">
        <f t="shared" si="33"/>
        <v>CSLAP</v>
      </c>
      <c r="BN66" t="str">
        <f t="shared" si="34"/>
        <v>yes</v>
      </c>
      <c r="BO66">
        <v>0.57164634146341464</v>
      </c>
      <c r="BV66" t="s">
        <v>479</v>
      </c>
    </row>
    <row r="67" spans="1:77" x14ac:dyDescent="0.3">
      <c r="A67" t="s">
        <v>1535</v>
      </c>
      <c r="B67" t="s">
        <v>1807</v>
      </c>
      <c r="C67" s="16">
        <v>15</v>
      </c>
      <c r="D67" s="16" t="s">
        <v>481</v>
      </c>
      <c r="E67" s="16" t="s">
        <v>205</v>
      </c>
      <c r="F67" s="16" t="s">
        <v>482</v>
      </c>
      <c r="G67" s="17">
        <f t="shared" si="38"/>
        <v>153.70241999999999</v>
      </c>
      <c r="H67" s="17">
        <v>62.2</v>
      </c>
      <c r="I67" s="18">
        <f t="shared" si="39"/>
        <v>890.83154999999999</v>
      </c>
      <c r="J67" s="18">
        <v>360.5</v>
      </c>
      <c r="K67" s="19">
        <f t="shared" si="40"/>
        <v>5.795819935691318</v>
      </c>
      <c r="L67" s="19" t="s">
        <v>110</v>
      </c>
      <c r="M67" s="19"/>
      <c r="N67" s="17">
        <f>IF(O67="", "",O67*3.2808)</f>
        <v>20.997120000000002</v>
      </c>
      <c r="O67" s="19">
        <v>6.4</v>
      </c>
      <c r="Q67" s="22">
        <v>1.7253814147018032</v>
      </c>
      <c r="R67" s="18" t="s">
        <v>483</v>
      </c>
      <c r="S67" s="23">
        <v>44.17928706</v>
      </c>
      <c r="T67" s="23">
        <v>-74.60919088</v>
      </c>
      <c r="U67" s="18" t="s">
        <v>458</v>
      </c>
      <c r="V67" s="18"/>
      <c r="W67" t="str">
        <f t="shared" ref="W67:W130" si="44">IF(OR(U67="A",U67="AA",U67="AAspec",U67="A(T)",U67="AA(T)"),"yes","no")</f>
        <v>yes</v>
      </c>
      <c r="Y67" t="str">
        <f t="shared" si="42"/>
        <v>potable water and recreation</v>
      </c>
      <c r="Z67" t="s">
        <v>79</v>
      </c>
      <c r="AA67" s="40" t="s">
        <v>79</v>
      </c>
      <c r="AB67" s="40" t="s">
        <v>79</v>
      </c>
      <c r="AC67" s="35">
        <v>14.966809466647236</v>
      </c>
      <c r="AD67" s="35" t="s">
        <v>484</v>
      </c>
      <c r="AE67" s="25">
        <v>2019</v>
      </c>
      <c r="AF67" s="61" t="s">
        <v>99</v>
      </c>
      <c r="AG67" s="26" t="s">
        <v>82</v>
      </c>
      <c r="AH67" s="27" t="s">
        <v>82</v>
      </c>
      <c r="AI67" s="28" t="s">
        <v>82</v>
      </c>
      <c r="AJ67" s="29" t="s">
        <v>257</v>
      </c>
      <c r="AK67" s="30" t="s">
        <v>85</v>
      </c>
      <c r="AL67" s="31" t="s">
        <v>85</v>
      </c>
      <c r="AM67" s="32" t="s">
        <v>82</v>
      </c>
      <c r="AP67" s="39"/>
      <c r="AQ67">
        <v>0</v>
      </c>
      <c r="AR67">
        <v>0</v>
      </c>
      <c r="AS67">
        <v>0</v>
      </c>
      <c r="AT67">
        <v>0</v>
      </c>
      <c r="AU67">
        <v>0</v>
      </c>
      <c r="AV67">
        <v>0</v>
      </c>
      <c r="AW67">
        <v>0</v>
      </c>
      <c r="AX67">
        <v>0</v>
      </c>
      <c r="AY67" s="62"/>
      <c r="AZ67" t="s">
        <v>485</v>
      </c>
      <c r="BD67" t="s">
        <v>267</v>
      </c>
      <c r="BG67" t="s">
        <v>54</v>
      </c>
      <c r="BH67" s="14" t="str">
        <f>IF(RIGHT(CM67,4)="2011","yes","no")</f>
        <v>no</v>
      </c>
      <c r="BM67" t="s">
        <v>54</v>
      </c>
      <c r="BN67" t="s">
        <v>99</v>
      </c>
      <c r="BO67">
        <v>0.64</v>
      </c>
    </row>
    <row r="68" spans="1:77" x14ac:dyDescent="0.3">
      <c r="A68" t="s">
        <v>1536</v>
      </c>
      <c r="B68" t="s">
        <v>1808</v>
      </c>
      <c r="C68" s="16">
        <v>169</v>
      </c>
      <c r="D68" s="16" t="s">
        <v>486</v>
      </c>
      <c r="E68" s="16" t="s">
        <v>117</v>
      </c>
      <c r="F68" s="16" t="s">
        <v>487</v>
      </c>
      <c r="G68" s="17">
        <f t="shared" si="38"/>
        <v>422.31099</v>
      </c>
      <c r="H68" s="17">
        <v>170.9</v>
      </c>
      <c r="I68" s="18">
        <f t="shared" si="39"/>
        <v>2462.4511499999999</v>
      </c>
      <c r="J68" s="18">
        <v>996.5</v>
      </c>
      <c r="K68" s="19">
        <f t="shared" si="40"/>
        <v>5.8308952603861908</v>
      </c>
      <c r="L68" s="19">
        <v>42</v>
      </c>
      <c r="M68" s="19">
        <v>12.8</v>
      </c>
      <c r="N68" s="17">
        <v>19</v>
      </c>
      <c r="O68" s="19">
        <v>5.8</v>
      </c>
      <c r="Q68" s="22">
        <v>1.8183542680897837</v>
      </c>
      <c r="R68" s="18" t="s">
        <v>2139</v>
      </c>
      <c r="S68" s="23">
        <v>43.880331230000003</v>
      </c>
      <c r="T68" s="23">
        <v>-73.586265448600003</v>
      </c>
      <c r="U68" s="18" t="s">
        <v>77</v>
      </c>
      <c r="V68" s="18" t="s">
        <v>96</v>
      </c>
      <c r="W68" t="str">
        <f t="shared" si="44"/>
        <v>no</v>
      </c>
      <c r="Y68" t="str">
        <f t="shared" si="42"/>
        <v>recreation</v>
      </c>
      <c r="Z68" t="s">
        <v>79</v>
      </c>
      <c r="AA68" s="24" t="s">
        <v>488</v>
      </c>
      <c r="AB68" s="24" t="s">
        <v>79</v>
      </c>
      <c r="AC68" s="24">
        <f>IF(AND(AA68="none reported",AB68="none reported"),"",0)</f>
        <v>0</v>
      </c>
      <c r="AD68" s="24"/>
      <c r="AE68" s="25">
        <v>2019</v>
      </c>
      <c r="AF68" s="61" t="s">
        <v>99</v>
      </c>
      <c r="AG68" s="26" t="s">
        <v>81</v>
      </c>
      <c r="AH68" s="27" t="s">
        <v>82</v>
      </c>
      <c r="AI68" s="28" t="s">
        <v>83</v>
      </c>
      <c r="AJ68" s="29" t="s">
        <v>82</v>
      </c>
      <c r="AK68" s="30" t="s">
        <v>85</v>
      </c>
      <c r="AL68" s="31" t="s">
        <v>84</v>
      </c>
      <c r="AM68" s="32" t="s">
        <v>82</v>
      </c>
      <c r="AN68" s="33">
        <v>43666</v>
      </c>
      <c r="AO68" s="33">
        <v>43666</v>
      </c>
      <c r="AP68" s="39"/>
      <c r="AQ68">
        <v>0</v>
      </c>
      <c r="AR68">
        <v>0</v>
      </c>
      <c r="AS68">
        <v>0</v>
      </c>
      <c r="AT68">
        <v>0</v>
      </c>
      <c r="AU68">
        <v>0</v>
      </c>
      <c r="AV68">
        <v>0</v>
      </c>
      <c r="AW68">
        <v>0</v>
      </c>
      <c r="AX68">
        <v>0</v>
      </c>
      <c r="AY68" s="25" t="s">
        <v>489</v>
      </c>
      <c r="AZ68" s="63" t="s">
        <v>490</v>
      </c>
      <c r="BA68" s="63" t="s">
        <v>102</v>
      </c>
      <c r="BB68" t="s">
        <v>491</v>
      </c>
      <c r="BD68" t="s">
        <v>88</v>
      </c>
      <c r="BG68" t="s">
        <v>54</v>
      </c>
      <c r="BH68" s="14" t="s">
        <v>102</v>
      </c>
      <c r="BM68" t="s">
        <v>54</v>
      </c>
      <c r="BN68" t="s">
        <v>99</v>
      </c>
      <c r="BO68">
        <v>0.50977901955803917</v>
      </c>
      <c r="BV68" s="25" t="s">
        <v>489</v>
      </c>
    </row>
    <row r="69" spans="1:77" x14ac:dyDescent="0.3">
      <c r="A69" t="s">
        <v>1537</v>
      </c>
      <c r="B69" t="s">
        <v>1809</v>
      </c>
      <c r="C69" s="16">
        <v>215</v>
      </c>
      <c r="D69" s="16" t="s">
        <v>492</v>
      </c>
      <c r="E69" s="16" t="s">
        <v>448</v>
      </c>
      <c r="F69" s="16" t="s">
        <v>449</v>
      </c>
      <c r="G69" s="17">
        <f t="shared" si="38"/>
        <v>38.302049999999994</v>
      </c>
      <c r="H69" s="17">
        <v>15.5</v>
      </c>
      <c r="I69" s="18">
        <f t="shared" si="39"/>
        <v>325.44386999999995</v>
      </c>
      <c r="J69" s="18">
        <v>131.69999999999999</v>
      </c>
      <c r="K69" s="19">
        <f t="shared" si="40"/>
        <v>8.4967741935483865</v>
      </c>
      <c r="L69" s="19">
        <v>5.5773600000000005</v>
      </c>
      <c r="M69" s="19">
        <v>1.7</v>
      </c>
      <c r="N69" s="17">
        <f t="shared" ref="N69:N77" si="45">IF(O69="", "",O69*3.2808)</f>
        <v>1.3123200000000002</v>
      </c>
      <c r="O69" s="19">
        <v>0.4</v>
      </c>
      <c r="Q69" s="22">
        <v>7.3557327258921792E-2</v>
      </c>
      <c r="R69" s="18" t="s">
        <v>2140</v>
      </c>
      <c r="S69" s="23">
        <v>44.669155344399996</v>
      </c>
      <c r="T69" s="23">
        <v>-74.274282025000005</v>
      </c>
      <c r="U69" s="18" t="s">
        <v>78</v>
      </c>
      <c r="V69" s="18"/>
      <c r="W69" t="str">
        <f t="shared" si="44"/>
        <v>no</v>
      </c>
      <c r="Y69" t="str">
        <f t="shared" si="42"/>
        <v>recreation</v>
      </c>
      <c r="Z69" t="s">
        <v>79</v>
      </c>
      <c r="AA69" s="24" t="s">
        <v>79</v>
      </c>
      <c r="AB69" s="24" t="s">
        <v>79</v>
      </c>
      <c r="AC69" s="35">
        <v>0.79083582966026011</v>
      </c>
      <c r="AD69" s="35" t="s">
        <v>493</v>
      </c>
      <c r="AE69" s="25" t="s">
        <v>494</v>
      </c>
      <c r="AF69" s="61" t="s">
        <v>102</v>
      </c>
      <c r="AG69" s="26" t="s">
        <v>81</v>
      </c>
      <c r="AH69" s="27" t="s">
        <v>81</v>
      </c>
      <c r="AI69" s="28" t="s">
        <v>82</v>
      </c>
      <c r="AJ69" s="29" t="s">
        <v>82</v>
      </c>
      <c r="AK69" s="30" t="s">
        <v>85</v>
      </c>
      <c r="AL69" s="31" t="s">
        <v>85</v>
      </c>
      <c r="AM69" s="32" t="s">
        <v>82</v>
      </c>
      <c r="AN69" s="39">
        <v>43612</v>
      </c>
      <c r="AO69" s="39">
        <v>43708</v>
      </c>
      <c r="AP69" s="39"/>
      <c r="AQ69">
        <v>8</v>
      </c>
      <c r="AR69">
        <v>3</v>
      </c>
      <c r="AS69">
        <v>4</v>
      </c>
      <c r="AT69">
        <v>2</v>
      </c>
      <c r="AU69">
        <v>0</v>
      </c>
      <c r="AV69">
        <v>0</v>
      </c>
      <c r="AW69">
        <v>0</v>
      </c>
      <c r="AX69">
        <v>1</v>
      </c>
      <c r="AY69" s="62"/>
      <c r="AZ69" s="63" t="s">
        <v>495</v>
      </c>
      <c r="BA69" s="63" t="s">
        <v>102</v>
      </c>
      <c r="BB69" t="s">
        <v>496</v>
      </c>
      <c r="BD69" t="s">
        <v>124</v>
      </c>
      <c r="BG69" t="s">
        <v>54</v>
      </c>
      <c r="BH69" s="14" t="s">
        <v>99</v>
      </c>
      <c r="BM69" t="s">
        <v>54</v>
      </c>
      <c r="BN69" t="s">
        <v>99</v>
      </c>
      <c r="BO69">
        <v>0.64</v>
      </c>
    </row>
    <row r="70" spans="1:77" x14ac:dyDescent="0.3">
      <c r="A70" t="s">
        <v>1538</v>
      </c>
      <c r="B70" t="s">
        <v>1810</v>
      </c>
      <c r="C70" s="16">
        <v>67</v>
      </c>
      <c r="D70" s="16" t="s">
        <v>497</v>
      </c>
      <c r="E70" s="16" t="s">
        <v>293</v>
      </c>
      <c r="F70" s="16" t="s">
        <v>294</v>
      </c>
      <c r="G70" s="17">
        <f t="shared" si="38"/>
        <v>345.70688999999999</v>
      </c>
      <c r="H70" s="17">
        <v>139.9</v>
      </c>
      <c r="I70" s="18">
        <f t="shared" si="39"/>
        <v>741.32999999999993</v>
      </c>
      <c r="J70" s="18">
        <v>300</v>
      </c>
      <c r="K70" s="19">
        <f t="shared" si="40"/>
        <v>2.1443888491779841</v>
      </c>
      <c r="L70" s="19">
        <v>48</v>
      </c>
      <c r="M70" s="19">
        <v>14</v>
      </c>
      <c r="N70" s="17">
        <f t="shared" si="45"/>
        <v>12.795120000000001</v>
      </c>
      <c r="O70" s="19">
        <v>3.9</v>
      </c>
      <c r="Q70" s="22">
        <v>2.3861344</v>
      </c>
      <c r="R70" s="18" t="s">
        <v>2141</v>
      </c>
      <c r="S70" s="23">
        <v>43.127726420000002</v>
      </c>
      <c r="T70" s="23">
        <v>-74.484092799999999</v>
      </c>
      <c r="U70" s="18" t="s">
        <v>77</v>
      </c>
      <c r="V70" s="18" t="s">
        <v>498</v>
      </c>
      <c r="W70" t="str">
        <f t="shared" si="44"/>
        <v>no</v>
      </c>
      <c r="Y70" t="str">
        <f t="shared" si="42"/>
        <v>recreation</v>
      </c>
      <c r="Z70" t="s">
        <v>79</v>
      </c>
      <c r="AA70" s="24" t="s">
        <v>120</v>
      </c>
      <c r="AB70" s="24" t="s">
        <v>79</v>
      </c>
      <c r="AC70" s="24">
        <f>IF(AND(AA70="none reported",AB70="none reported"),"",0)</f>
        <v>0</v>
      </c>
      <c r="AD70" s="24"/>
      <c r="AE70" s="25">
        <v>2019</v>
      </c>
      <c r="AF70" s="61" t="s">
        <v>99</v>
      </c>
      <c r="AG70" s="26" t="s">
        <v>81</v>
      </c>
      <c r="AH70" s="27" t="s">
        <v>82</v>
      </c>
      <c r="AI70" s="28" t="s">
        <v>82</v>
      </c>
      <c r="AJ70" s="29" t="s">
        <v>82</v>
      </c>
      <c r="AK70" s="30" t="s">
        <v>85</v>
      </c>
      <c r="AL70" s="31" t="s">
        <v>85</v>
      </c>
      <c r="AM70" s="32" t="s">
        <v>82</v>
      </c>
      <c r="AP70" s="39"/>
      <c r="AS70">
        <v>0</v>
      </c>
      <c r="AT70">
        <v>0</v>
      </c>
      <c r="AU70">
        <v>1</v>
      </c>
      <c r="AV70">
        <v>1</v>
      </c>
      <c r="AW70">
        <v>0</v>
      </c>
      <c r="AX70">
        <v>0</v>
      </c>
      <c r="AY70" s="62"/>
      <c r="AZ70" s="63" t="s">
        <v>499</v>
      </c>
      <c r="BA70" s="63" t="s">
        <v>102</v>
      </c>
      <c r="BB70" t="s">
        <v>500</v>
      </c>
      <c r="BD70" t="s">
        <v>298</v>
      </c>
      <c r="BG70" t="s">
        <v>54</v>
      </c>
      <c r="BH70" s="14" t="s">
        <v>102</v>
      </c>
      <c r="BM70" t="s">
        <v>54</v>
      </c>
      <c r="BN70" t="s">
        <v>99</v>
      </c>
      <c r="BO70">
        <v>0.76219512195121952</v>
      </c>
      <c r="BY70" t="s">
        <v>501</v>
      </c>
    </row>
    <row r="71" spans="1:77" x14ac:dyDescent="0.3">
      <c r="A71" t="s">
        <v>1539</v>
      </c>
      <c r="B71" t="s">
        <v>1811</v>
      </c>
      <c r="C71" s="16">
        <v>39</v>
      </c>
      <c r="D71" s="16" t="s">
        <v>502</v>
      </c>
      <c r="E71" s="16" t="s">
        <v>243</v>
      </c>
      <c r="F71" s="16" t="s">
        <v>503</v>
      </c>
      <c r="G71" s="17">
        <f t="shared" si="38"/>
        <v>268.85567999999995</v>
      </c>
      <c r="H71" s="17">
        <v>108.8</v>
      </c>
      <c r="I71" s="18">
        <f t="shared" si="39"/>
        <v>4457.8643999999995</v>
      </c>
      <c r="J71" s="18">
        <v>1804</v>
      </c>
      <c r="K71" s="19">
        <f t="shared" si="40"/>
        <v>16.580882352941178</v>
      </c>
      <c r="L71" s="19">
        <f>3.28*M71</f>
        <v>42.64</v>
      </c>
      <c r="M71" s="19">
        <v>13</v>
      </c>
      <c r="N71" s="20">
        <f t="shared" si="45"/>
        <v>20.340960000000003</v>
      </c>
      <c r="O71" s="19">
        <v>6.2</v>
      </c>
      <c r="P71" s="21" t="str">
        <f t="shared" si="41"/>
        <v>no</v>
      </c>
      <c r="Q71" s="22">
        <v>0.93481152993348104</v>
      </c>
      <c r="R71" s="18" t="s">
        <v>2142</v>
      </c>
      <c r="S71" s="23">
        <v>42.860509999999998</v>
      </c>
      <c r="T71" s="23">
        <v>-75.699100000000001</v>
      </c>
      <c r="U71" s="18" t="s">
        <v>77</v>
      </c>
      <c r="V71" s="18" t="s">
        <v>78</v>
      </c>
      <c r="W71" t="str">
        <f t="shared" si="44"/>
        <v>no</v>
      </c>
      <c r="Y71" t="str">
        <f t="shared" si="42"/>
        <v>recreation</v>
      </c>
      <c r="Z71" t="s">
        <v>79</v>
      </c>
      <c r="AA71" s="40" t="s">
        <v>504</v>
      </c>
      <c r="AB71" s="40" t="s">
        <v>139</v>
      </c>
      <c r="AC71" s="24">
        <f>IF(AND(AA71="none reported",AB71="none reported"),"",0)</f>
        <v>0</v>
      </c>
      <c r="AD71" s="24"/>
      <c r="AF71" t="s">
        <v>99</v>
      </c>
      <c r="AG71" s="26" t="s">
        <v>81</v>
      </c>
      <c r="AH71" s="27" t="s">
        <v>82</v>
      </c>
      <c r="AI71" s="28" t="s">
        <v>82</v>
      </c>
      <c r="AJ71" s="29" t="s">
        <v>82</v>
      </c>
      <c r="AK71" s="30" t="s">
        <v>85</v>
      </c>
      <c r="AL71" s="31" t="s">
        <v>85</v>
      </c>
      <c r="AM71" s="32" t="s">
        <v>82</v>
      </c>
      <c r="AN71" s="33" t="s">
        <v>81</v>
      </c>
      <c r="AO71" s="32" t="s">
        <v>81</v>
      </c>
      <c r="AP71" s="39"/>
      <c r="AQ71">
        <v>0</v>
      </c>
      <c r="AR71">
        <v>0</v>
      </c>
      <c r="AS71">
        <v>0</v>
      </c>
      <c r="AT71">
        <v>0</v>
      </c>
      <c r="AU71">
        <v>0</v>
      </c>
      <c r="AV71">
        <v>0</v>
      </c>
      <c r="AW71">
        <v>0</v>
      </c>
      <c r="AX71">
        <v>0</v>
      </c>
      <c r="AY71" t="s">
        <v>505</v>
      </c>
      <c r="AZ71" t="s">
        <v>506</v>
      </c>
      <c r="BA71" t="s">
        <v>102</v>
      </c>
      <c r="BB71" t="s">
        <v>2143</v>
      </c>
      <c r="BC71" t="s">
        <v>132</v>
      </c>
      <c r="BD71" t="s">
        <v>114</v>
      </c>
      <c r="BE71" t="s">
        <v>247</v>
      </c>
      <c r="BF71" t="s">
        <v>115</v>
      </c>
      <c r="BG71" t="str">
        <f t="shared" si="29"/>
        <v>CSLAP</v>
      </c>
      <c r="BH71" s="14" t="s">
        <v>102</v>
      </c>
      <c r="BJ71">
        <f t="shared" si="30"/>
        <v>0</v>
      </c>
      <c r="BK71">
        <f t="shared" si="31"/>
        <v>0</v>
      </c>
      <c r="BL71">
        <f t="shared" si="32"/>
        <v>0</v>
      </c>
      <c r="BM71" t="str">
        <f t="shared" si="33"/>
        <v>CSLAP</v>
      </c>
      <c r="BN71" t="str">
        <f t="shared" si="34"/>
        <v>yes</v>
      </c>
      <c r="BO71">
        <v>0.4</v>
      </c>
      <c r="BY71" t="s">
        <v>507</v>
      </c>
    </row>
    <row r="72" spans="1:77" x14ac:dyDescent="0.3">
      <c r="A72" t="s">
        <v>1541</v>
      </c>
      <c r="B72" t="s">
        <v>1812</v>
      </c>
      <c r="C72" s="16">
        <v>81</v>
      </c>
      <c r="D72" s="16" t="s">
        <v>508</v>
      </c>
      <c r="E72" s="16" t="s">
        <v>370</v>
      </c>
      <c r="F72" s="16" t="s">
        <v>509</v>
      </c>
      <c r="G72" s="17">
        <f t="shared" si="38"/>
        <v>64.00148999999999</v>
      </c>
      <c r="H72" s="17">
        <v>25.9</v>
      </c>
      <c r="I72" s="18">
        <f t="shared" si="39"/>
        <v>673.37474999999995</v>
      </c>
      <c r="J72" s="18">
        <v>272.5</v>
      </c>
      <c r="K72" s="19">
        <f t="shared" si="40"/>
        <v>10.521235521235521</v>
      </c>
      <c r="L72" s="19">
        <v>30.18336</v>
      </c>
      <c r="M72" s="19">
        <v>9.1999999999999993</v>
      </c>
      <c r="N72" s="20">
        <f t="shared" si="45"/>
        <v>15.74784</v>
      </c>
      <c r="O72" s="19">
        <v>4.8</v>
      </c>
      <c r="P72" s="21" t="str">
        <f t="shared" si="41"/>
        <v>no</v>
      </c>
      <c r="Q72" s="22">
        <v>1.026104366972477</v>
      </c>
      <c r="R72" s="18" t="s">
        <v>510</v>
      </c>
      <c r="S72" s="23">
        <v>42.385530000000003</v>
      </c>
      <c r="T72" s="23">
        <v>-75.850679999999997</v>
      </c>
      <c r="U72" s="18" t="s">
        <v>78</v>
      </c>
      <c r="V72" s="18" t="s">
        <v>96</v>
      </c>
      <c r="W72" t="str">
        <f t="shared" si="44"/>
        <v>no</v>
      </c>
      <c r="Y72" t="str">
        <f t="shared" si="42"/>
        <v>recreation</v>
      </c>
      <c r="Z72" t="s">
        <v>79</v>
      </c>
      <c r="AA72" s="24" t="s">
        <v>79</v>
      </c>
      <c r="AB72" s="24" t="s">
        <v>79</v>
      </c>
      <c r="AC72" s="35">
        <v>2.3978141054133406</v>
      </c>
      <c r="AD72" s="35" t="s">
        <v>130</v>
      </c>
      <c r="AE72" s="25">
        <v>2013</v>
      </c>
      <c r="AF72" t="str">
        <f t="shared" si="43"/>
        <v>no</v>
      </c>
      <c r="AG72" s="26" t="s">
        <v>81</v>
      </c>
      <c r="AH72" s="27" t="s">
        <v>81</v>
      </c>
      <c r="AI72" s="28" t="s">
        <v>82</v>
      </c>
      <c r="AJ72" s="29" t="s">
        <v>82</v>
      </c>
      <c r="AK72" s="30" t="s">
        <v>85</v>
      </c>
      <c r="AL72" s="31" t="s">
        <v>85</v>
      </c>
      <c r="AM72" s="32" t="s">
        <v>82</v>
      </c>
      <c r="AN72" s="33" t="s">
        <v>81</v>
      </c>
      <c r="AO72" s="32" t="s">
        <v>81</v>
      </c>
      <c r="AP72" s="39"/>
      <c r="AQ72">
        <v>0</v>
      </c>
      <c r="AR72">
        <v>0</v>
      </c>
      <c r="AS72">
        <v>0</v>
      </c>
      <c r="AT72">
        <v>0</v>
      </c>
      <c r="AU72">
        <v>0</v>
      </c>
      <c r="AV72">
        <v>0</v>
      </c>
      <c r="AW72">
        <v>3</v>
      </c>
      <c r="AX72">
        <v>0</v>
      </c>
      <c r="AZ72" t="s">
        <v>511</v>
      </c>
      <c r="BA72" t="s">
        <v>102</v>
      </c>
      <c r="BC72" t="s">
        <v>132</v>
      </c>
      <c r="BD72" t="s">
        <v>114</v>
      </c>
      <c r="BE72" t="s">
        <v>247</v>
      </c>
      <c r="BF72" t="s">
        <v>115</v>
      </c>
      <c r="BG72" t="str">
        <f t="shared" si="29"/>
        <v>CSLAP</v>
      </c>
      <c r="BH72" s="14" t="s">
        <v>102</v>
      </c>
      <c r="BJ72">
        <f t="shared" si="30"/>
        <v>1</v>
      </c>
      <c r="BK72">
        <f t="shared" si="31"/>
        <v>1</v>
      </c>
      <c r="BL72">
        <f t="shared" si="32"/>
        <v>0</v>
      </c>
      <c r="BM72" t="str">
        <f t="shared" si="33"/>
        <v>CSLAP</v>
      </c>
      <c r="BN72" t="str">
        <f t="shared" si="34"/>
        <v>no</v>
      </c>
      <c r="BO72">
        <v>0.44461382113821141</v>
      </c>
    </row>
    <row r="73" spans="1:77" x14ac:dyDescent="0.3">
      <c r="A73" t="s">
        <v>1542</v>
      </c>
      <c r="B73" t="s">
        <v>1813</v>
      </c>
      <c r="C73" s="16">
        <v>124</v>
      </c>
      <c r="D73" s="16" t="s">
        <v>512</v>
      </c>
      <c r="E73" s="16" t="s">
        <v>262</v>
      </c>
      <c r="F73" s="16" t="s">
        <v>513</v>
      </c>
      <c r="G73" s="17">
        <f t="shared" si="38"/>
        <v>339.28203000000002</v>
      </c>
      <c r="H73" s="17">
        <v>137.30000000000001</v>
      </c>
      <c r="I73" s="18">
        <f t="shared" si="39"/>
        <v>159558.927</v>
      </c>
      <c r="J73" s="18">
        <v>64570</v>
      </c>
      <c r="K73" s="19">
        <f t="shared" si="40"/>
        <v>470.28404952658406</v>
      </c>
      <c r="L73" s="19">
        <v>16.075920000000004</v>
      </c>
      <c r="M73" s="19">
        <v>4.9000000000000004</v>
      </c>
      <c r="N73" s="20">
        <f t="shared" si="45"/>
        <v>14.435520000000002</v>
      </c>
      <c r="O73" s="19">
        <v>4.4000000000000004</v>
      </c>
      <c r="P73" s="21" t="str">
        <f t="shared" si="41"/>
        <v>no</v>
      </c>
      <c r="Q73" s="22">
        <v>0.01</v>
      </c>
      <c r="R73" s="18" t="s">
        <v>514</v>
      </c>
      <c r="S73" s="23">
        <v>43.92165</v>
      </c>
      <c r="T73" s="23">
        <v>-75.262420000000006</v>
      </c>
      <c r="U73" s="18" t="s">
        <v>450</v>
      </c>
      <c r="V73" s="18" t="s">
        <v>96</v>
      </c>
      <c r="W73" t="str">
        <f t="shared" si="44"/>
        <v>no</v>
      </c>
      <c r="Y73" t="str">
        <f t="shared" si="42"/>
        <v>recreation</v>
      </c>
      <c r="Z73" t="s">
        <v>79</v>
      </c>
      <c r="AA73" s="24" t="s">
        <v>79</v>
      </c>
      <c r="AB73" s="24" t="s">
        <v>515</v>
      </c>
      <c r="AC73" s="24">
        <f>IF(AND(AA73="none reported",AB73="none reported"),"",0)</f>
        <v>0</v>
      </c>
      <c r="AD73" s="24"/>
      <c r="AF73" t="str">
        <f t="shared" si="43"/>
        <v/>
      </c>
      <c r="AG73" s="26" t="s">
        <v>81</v>
      </c>
      <c r="AH73" s="27" t="s">
        <v>81</v>
      </c>
      <c r="AI73" s="27" t="s">
        <v>82</v>
      </c>
      <c r="AJ73" s="29" t="s">
        <v>83</v>
      </c>
      <c r="AK73" s="30" t="s">
        <v>85</v>
      </c>
      <c r="AL73" s="31" t="s">
        <v>85</v>
      </c>
      <c r="AM73" s="32" t="s">
        <v>141</v>
      </c>
      <c r="AN73" s="33" t="s">
        <v>81</v>
      </c>
      <c r="AO73" s="32" t="s">
        <v>81</v>
      </c>
      <c r="AP73" s="39"/>
      <c r="AQ73">
        <v>0</v>
      </c>
      <c r="AR73">
        <v>0</v>
      </c>
      <c r="AS73">
        <v>0</v>
      </c>
      <c r="AT73">
        <v>0</v>
      </c>
      <c r="AU73">
        <v>0</v>
      </c>
      <c r="AV73">
        <v>0</v>
      </c>
      <c r="AW73">
        <v>0</v>
      </c>
      <c r="AX73">
        <v>0</v>
      </c>
      <c r="AY73" t="s">
        <v>516</v>
      </c>
      <c r="AZ73" s="16" t="s">
        <v>517</v>
      </c>
      <c r="BA73" s="16" t="s">
        <v>102</v>
      </c>
      <c r="BD73" t="s">
        <v>267</v>
      </c>
      <c r="BE73" t="s">
        <v>216</v>
      </c>
      <c r="BF73" t="s">
        <v>216</v>
      </c>
      <c r="BG73" t="str">
        <f t="shared" si="29"/>
        <v>CSLAP</v>
      </c>
      <c r="BH73" s="14" t="s">
        <v>102</v>
      </c>
      <c r="BJ73">
        <f t="shared" si="30"/>
        <v>0</v>
      </c>
      <c r="BK73">
        <f t="shared" si="31"/>
        <v>0</v>
      </c>
      <c r="BL73">
        <f t="shared" si="32"/>
        <v>0</v>
      </c>
      <c r="BM73" t="str">
        <f t="shared" si="33"/>
        <v>CSLAP</v>
      </c>
      <c r="BN73" t="str">
        <f t="shared" si="34"/>
        <v>no</v>
      </c>
      <c r="BO73">
        <v>0.9356047700170359</v>
      </c>
      <c r="BV73" t="s">
        <v>516</v>
      </c>
    </row>
    <row r="74" spans="1:77" x14ac:dyDescent="0.3">
      <c r="A74" t="s">
        <v>1543</v>
      </c>
      <c r="B74" t="s">
        <v>1814</v>
      </c>
      <c r="C74" s="16">
        <v>131</v>
      </c>
      <c r="D74" s="16" t="s">
        <v>518</v>
      </c>
      <c r="E74" s="16" t="s">
        <v>136</v>
      </c>
      <c r="F74" s="16" t="s">
        <v>519</v>
      </c>
      <c r="G74" s="17">
        <f t="shared" si="38"/>
        <v>96.125789999999995</v>
      </c>
      <c r="H74" s="17">
        <v>38.9</v>
      </c>
      <c r="I74" s="18">
        <f t="shared" si="39"/>
        <v>1013.151</v>
      </c>
      <c r="J74" s="18">
        <v>410</v>
      </c>
      <c r="K74" s="19">
        <f t="shared" si="40"/>
        <v>10.539845758354756</v>
      </c>
      <c r="L74" s="19">
        <f>3.28*M74</f>
        <v>41.984000000000002</v>
      </c>
      <c r="M74" s="19">
        <v>12.8</v>
      </c>
      <c r="N74" s="20">
        <f t="shared" si="45"/>
        <v>13.77936</v>
      </c>
      <c r="O74" s="19">
        <v>4.2</v>
      </c>
      <c r="P74" s="21" t="str">
        <f t="shared" si="41"/>
        <v>no</v>
      </c>
      <c r="Q74" s="22">
        <v>0.69078347107438021</v>
      </c>
      <c r="R74" s="18" t="s">
        <v>520</v>
      </c>
      <c r="S74" s="23">
        <v>43.266223859999997</v>
      </c>
      <c r="T74" s="23">
        <v>-73.928509980000001</v>
      </c>
      <c r="U74" s="18" t="s">
        <v>77</v>
      </c>
      <c r="V74" s="18"/>
      <c r="W74" t="str">
        <f t="shared" si="44"/>
        <v>no</v>
      </c>
      <c r="Y74" t="str">
        <f t="shared" si="42"/>
        <v>recreation</v>
      </c>
      <c r="Z74" t="s">
        <v>79</v>
      </c>
      <c r="AA74" s="40" t="s">
        <v>521</v>
      </c>
      <c r="AB74" s="40" t="s">
        <v>79</v>
      </c>
      <c r="AC74" s="24">
        <f>IF(AND(AA74="none reported",AB74="none reported"),"",0)</f>
        <v>0</v>
      </c>
      <c r="AD74" s="24"/>
      <c r="AF74" t="str">
        <f t="shared" si="43"/>
        <v/>
      </c>
      <c r="AG74" s="26" t="s">
        <v>81</v>
      </c>
      <c r="AH74" s="27" t="s">
        <v>82</v>
      </c>
      <c r="AI74" s="28" t="s">
        <v>82</v>
      </c>
      <c r="AJ74" s="29" t="s">
        <v>82</v>
      </c>
      <c r="AK74" s="30" t="s">
        <v>85</v>
      </c>
      <c r="AL74" s="31" t="s">
        <v>85</v>
      </c>
      <c r="AM74" s="32" t="s">
        <v>82</v>
      </c>
      <c r="AN74" s="33" t="s">
        <v>81</v>
      </c>
      <c r="AO74" s="32" t="s">
        <v>81</v>
      </c>
      <c r="AP74" s="39"/>
      <c r="AQ74">
        <v>0</v>
      </c>
      <c r="AR74">
        <v>0</v>
      </c>
      <c r="AS74">
        <v>0</v>
      </c>
      <c r="AT74">
        <v>0</v>
      </c>
      <c r="AU74">
        <v>0</v>
      </c>
      <c r="AV74">
        <v>0</v>
      </c>
      <c r="AW74">
        <v>0</v>
      </c>
      <c r="AX74">
        <v>0</v>
      </c>
      <c r="AZ74" t="s">
        <v>522</v>
      </c>
      <c r="BA74" t="s">
        <v>102</v>
      </c>
      <c r="BB74" t="s">
        <v>523</v>
      </c>
      <c r="BC74" t="s">
        <v>87</v>
      </c>
      <c r="BD74" t="s">
        <v>88</v>
      </c>
      <c r="BE74" t="s">
        <v>89</v>
      </c>
      <c r="BF74" t="s">
        <v>89</v>
      </c>
      <c r="BG74" t="str">
        <f t="shared" si="29"/>
        <v>CSLAP</v>
      </c>
      <c r="BH74" s="14" t="s">
        <v>102</v>
      </c>
      <c r="BJ74">
        <f t="shared" si="30"/>
        <v>0</v>
      </c>
      <c r="BK74">
        <f t="shared" si="31"/>
        <v>0</v>
      </c>
      <c r="BL74">
        <f t="shared" si="32"/>
        <v>0</v>
      </c>
      <c r="BM74" t="str">
        <f t="shared" si="33"/>
        <v>CSLAP</v>
      </c>
      <c r="BN74" t="str">
        <f t="shared" si="34"/>
        <v>no</v>
      </c>
      <c r="BO74">
        <v>0.57686354923674998</v>
      </c>
    </row>
    <row r="75" spans="1:77" x14ac:dyDescent="0.3">
      <c r="A75" t="s">
        <v>1544</v>
      </c>
      <c r="B75" t="s">
        <v>1815</v>
      </c>
      <c r="C75" s="16">
        <v>24</v>
      </c>
      <c r="D75" s="16" t="s">
        <v>524</v>
      </c>
      <c r="E75" s="16" t="s">
        <v>356</v>
      </c>
      <c r="F75" s="16" t="s">
        <v>524</v>
      </c>
      <c r="G75" s="17">
        <f t="shared" si="38"/>
        <v>307.15772999999996</v>
      </c>
      <c r="H75" s="17">
        <v>124.3</v>
      </c>
      <c r="I75" s="18">
        <f t="shared" si="39"/>
        <v>3064.1639999999998</v>
      </c>
      <c r="J75" s="18">
        <v>1240</v>
      </c>
      <c r="K75" s="19">
        <f t="shared" si="40"/>
        <v>9.9758648431214798</v>
      </c>
      <c r="L75" s="19">
        <v>38.385359999999999</v>
      </c>
      <c r="M75" s="19">
        <v>11.7</v>
      </c>
      <c r="N75" s="20">
        <f t="shared" si="45"/>
        <v>10.826639999999999</v>
      </c>
      <c r="O75" s="19">
        <v>3.3</v>
      </c>
      <c r="P75" s="21" t="str">
        <f t="shared" si="41"/>
        <v>no</v>
      </c>
      <c r="Q75" s="22">
        <v>0.47256912442396304</v>
      </c>
      <c r="R75" s="18" t="s">
        <v>2144</v>
      </c>
      <c r="S75" s="23">
        <v>42.106041449999999</v>
      </c>
      <c r="T75" s="23">
        <v>-79.726156309999993</v>
      </c>
      <c r="U75" s="18" t="s">
        <v>77</v>
      </c>
      <c r="V75" s="18" t="s">
        <v>96</v>
      </c>
      <c r="W75" t="str">
        <f t="shared" si="44"/>
        <v>no</v>
      </c>
      <c r="X75" t="s">
        <v>525</v>
      </c>
      <c r="Y75" t="str">
        <f t="shared" si="42"/>
        <v>recreation and public bathing</v>
      </c>
      <c r="Z75" t="s">
        <v>79</v>
      </c>
      <c r="AA75" s="24" t="s">
        <v>120</v>
      </c>
      <c r="AB75" s="24" t="s">
        <v>79</v>
      </c>
      <c r="AC75" s="24">
        <f>IF(AND(AA75="none reported",AB75="none reported"),"",0)</f>
        <v>0</v>
      </c>
      <c r="AD75" s="24"/>
      <c r="AE75" s="25" t="s">
        <v>432</v>
      </c>
      <c r="AF75" t="str">
        <f t="shared" si="43"/>
        <v>yes</v>
      </c>
      <c r="AG75" s="26" t="s">
        <v>81</v>
      </c>
      <c r="AH75" s="27" t="s">
        <v>83</v>
      </c>
      <c r="AI75" s="28" t="s">
        <v>141</v>
      </c>
      <c r="AJ75" s="29" t="s">
        <v>82</v>
      </c>
      <c r="AK75" s="30" t="s">
        <v>121</v>
      </c>
      <c r="AL75" s="31" t="s">
        <v>84</v>
      </c>
      <c r="AM75" s="32" t="s">
        <v>156</v>
      </c>
      <c r="AN75" s="39">
        <v>43664</v>
      </c>
      <c r="AO75" s="39">
        <v>43723</v>
      </c>
      <c r="AP75" s="39"/>
      <c r="AQ75">
        <v>8</v>
      </c>
      <c r="AR75">
        <v>4</v>
      </c>
      <c r="AS75">
        <v>4</v>
      </c>
      <c r="AT75">
        <v>1</v>
      </c>
      <c r="AU75">
        <v>7</v>
      </c>
      <c r="AV75">
        <v>0</v>
      </c>
      <c r="AW75">
        <v>0</v>
      </c>
      <c r="AX75">
        <v>0</v>
      </c>
      <c r="AZ75" t="s">
        <v>526</v>
      </c>
      <c r="BA75" t="s">
        <v>102</v>
      </c>
      <c r="BB75" t="s">
        <v>527</v>
      </c>
      <c r="BC75" t="s">
        <v>226</v>
      </c>
      <c r="BD75" t="s">
        <v>364</v>
      </c>
      <c r="BE75" t="s">
        <v>365</v>
      </c>
      <c r="BF75" t="s">
        <v>435</v>
      </c>
      <c r="BG75" t="str">
        <f t="shared" si="29"/>
        <v>CSLAP</v>
      </c>
      <c r="BH75" s="14" t="s">
        <v>99</v>
      </c>
      <c r="BJ75">
        <f t="shared" si="30"/>
        <v>2</v>
      </c>
      <c r="BK75">
        <f t="shared" si="31"/>
        <v>2</v>
      </c>
      <c r="BL75">
        <f t="shared" si="32"/>
        <v>1</v>
      </c>
      <c r="BM75" t="str">
        <f t="shared" si="33"/>
        <v>CSLAP</v>
      </c>
      <c r="BN75" t="str">
        <f t="shared" si="34"/>
        <v>no</v>
      </c>
      <c r="BO75">
        <v>0.7</v>
      </c>
      <c r="BS75" s="41">
        <f>10/1</f>
        <v>10</v>
      </c>
      <c r="BV75" t="s">
        <v>528</v>
      </c>
      <c r="BY75" t="s">
        <v>529</v>
      </c>
    </row>
    <row r="76" spans="1:77" x14ac:dyDescent="0.3">
      <c r="A76" t="s">
        <v>1545</v>
      </c>
      <c r="B76" t="s">
        <v>1816</v>
      </c>
      <c r="C76" s="16">
        <v>183</v>
      </c>
      <c r="D76" s="16" t="s">
        <v>530</v>
      </c>
      <c r="E76" s="16" t="s">
        <v>127</v>
      </c>
      <c r="F76" s="16" t="s">
        <v>128</v>
      </c>
      <c r="G76" s="17">
        <f t="shared" si="38"/>
        <v>19.274579999999997</v>
      </c>
      <c r="H76" s="17">
        <v>7.8</v>
      </c>
      <c r="I76" s="18">
        <f t="shared" si="39"/>
        <v>208.94880269999999</v>
      </c>
      <c r="J76" s="18">
        <v>84.557000000000002</v>
      </c>
      <c r="K76" s="19">
        <f t="shared" si="40"/>
        <v>10.840641025641027</v>
      </c>
      <c r="L76" s="19">
        <v>15.419760000000002</v>
      </c>
      <c r="M76" s="19">
        <v>4.7</v>
      </c>
      <c r="N76" s="20">
        <f t="shared" si="45"/>
        <v>7.2472872000000006</v>
      </c>
      <c r="O76" s="19">
        <v>2.2090000000000001</v>
      </c>
      <c r="P76" s="21" t="str">
        <f t="shared" si="41"/>
        <v>no</v>
      </c>
      <c r="Q76" s="22">
        <v>0.40754047565547502</v>
      </c>
      <c r="R76" s="18" t="s">
        <v>2145</v>
      </c>
      <c r="S76" s="23">
        <v>42.731975304700001</v>
      </c>
      <c r="T76" s="23">
        <v>-73.461034036599997</v>
      </c>
      <c r="U76" s="18" t="s">
        <v>96</v>
      </c>
      <c r="V76" s="18" t="s">
        <v>96</v>
      </c>
      <c r="W76" t="str">
        <f t="shared" si="44"/>
        <v>yes</v>
      </c>
      <c r="X76" t="s">
        <v>531</v>
      </c>
      <c r="Y76" t="str">
        <f t="shared" si="42"/>
        <v>potable water, recreation, and public bathing</v>
      </c>
      <c r="Z76" t="s">
        <v>79</v>
      </c>
      <c r="AA76" s="24" t="s">
        <v>79</v>
      </c>
      <c r="AB76" s="24" t="s">
        <v>79</v>
      </c>
      <c r="AC76" s="35">
        <v>4.0137422133924305</v>
      </c>
      <c r="AD76" s="35" t="s">
        <v>130</v>
      </c>
      <c r="AF76" t="str">
        <f t="shared" si="43"/>
        <v/>
      </c>
      <c r="AG76" s="26" t="s">
        <v>82</v>
      </c>
      <c r="AH76" s="27" t="s">
        <v>82</v>
      </c>
      <c r="AI76" s="28" t="s">
        <v>82</v>
      </c>
      <c r="AJ76" s="29" t="s">
        <v>82</v>
      </c>
      <c r="AK76" s="30" t="s">
        <v>85</v>
      </c>
      <c r="AL76" s="31" t="s">
        <v>85</v>
      </c>
      <c r="AM76" s="32" t="s">
        <v>82</v>
      </c>
      <c r="AN76" s="33" t="s">
        <v>81</v>
      </c>
      <c r="AO76" s="32" t="s">
        <v>81</v>
      </c>
      <c r="AP76" s="39"/>
      <c r="AQ76">
        <v>0</v>
      </c>
      <c r="AR76">
        <v>0</v>
      </c>
      <c r="AS76">
        <v>0</v>
      </c>
      <c r="AT76">
        <v>0</v>
      </c>
      <c r="AU76">
        <v>0</v>
      </c>
      <c r="AV76">
        <v>0</v>
      </c>
      <c r="AW76">
        <v>0</v>
      </c>
      <c r="AX76">
        <v>0</v>
      </c>
      <c r="AZ76" t="s">
        <v>532</v>
      </c>
      <c r="BA76" t="s">
        <v>102</v>
      </c>
      <c r="BB76" t="s">
        <v>533</v>
      </c>
      <c r="BC76" t="s">
        <v>132</v>
      </c>
      <c r="BD76" t="s">
        <v>152</v>
      </c>
      <c r="BE76" t="s">
        <v>196</v>
      </c>
      <c r="BF76" t="s">
        <v>133</v>
      </c>
      <c r="BG76" t="str">
        <f t="shared" si="29"/>
        <v>CSLAP</v>
      </c>
      <c r="BH76" s="14" t="s">
        <v>102</v>
      </c>
      <c r="BJ76">
        <f t="shared" si="30"/>
        <v>0</v>
      </c>
      <c r="BK76">
        <f t="shared" si="31"/>
        <v>0</v>
      </c>
      <c r="BL76">
        <f t="shared" si="32"/>
        <v>0</v>
      </c>
      <c r="BM76" t="str">
        <f t="shared" si="33"/>
        <v>CSLAP</v>
      </c>
      <c r="BN76" t="str">
        <f t="shared" si="34"/>
        <v>no</v>
      </c>
      <c r="BO76">
        <v>0.5</v>
      </c>
    </row>
    <row r="77" spans="1:77" x14ac:dyDescent="0.3">
      <c r="A77" t="s">
        <v>1546</v>
      </c>
      <c r="B77" t="s">
        <v>1817</v>
      </c>
      <c r="C77" s="16">
        <v>177</v>
      </c>
      <c r="D77" s="16" t="s">
        <v>534</v>
      </c>
      <c r="E77" s="16" t="s">
        <v>254</v>
      </c>
      <c r="F77" s="16" t="s">
        <v>535</v>
      </c>
      <c r="G77" s="17">
        <f>H77*2.4711</f>
        <v>44.726910000000004</v>
      </c>
      <c r="H77" s="17">
        <v>18.100000000000001</v>
      </c>
      <c r="I77" s="18">
        <f t="shared" si="39"/>
        <v>760.6787129999999</v>
      </c>
      <c r="J77" s="18">
        <v>307.83</v>
      </c>
      <c r="K77" s="19">
        <f>J77/H77</f>
        <v>17.007182320441988</v>
      </c>
      <c r="L77" s="19">
        <v>10.826639999999999</v>
      </c>
      <c r="M77" s="19">
        <v>3.3</v>
      </c>
      <c r="N77" s="20">
        <f t="shared" si="45"/>
        <v>5.0885208000000004</v>
      </c>
      <c r="O77" s="19">
        <v>1.5509999999999999</v>
      </c>
      <c r="P77" s="21" t="str">
        <f>IF(O77=(M77*0.46),"yes","no")</f>
        <v>no</v>
      </c>
      <c r="Q77" s="22">
        <v>0.18239352889581914</v>
      </c>
      <c r="R77" s="18" t="s">
        <v>2146</v>
      </c>
      <c r="S77" s="23">
        <v>43.367215999999999</v>
      </c>
      <c r="T77" s="23">
        <v>-73.790681000000006</v>
      </c>
      <c r="U77" s="18" t="s">
        <v>77</v>
      </c>
      <c r="V77" s="18" t="s">
        <v>77</v>
      </c>
      <c r="W77" t="str">
        <f>IF(OR(U77="A",U77="AA",U77="AAspec",U77="A(T)",U77="AA(T)"),"yes","no")</f>
        <v>no</v>
      </c>
      <c r="X77" t="s">
        <v>536</v>
      </c>
      <c r="Y77" t="str">
        <f>IF(W77="yes",IF(X77="","potable water and recreation","potable water, recreation, and public bathing"),IF(X77="","recreation","recreation and public bathing"))</f>
        <v>recreation and public bathing</v>
      </c>
      <c r="Z77" t="s">
        <v>79</v>
      </c>
      <c r="AA77" s="24" t="s">
        <v>79</v>
      </c>
      <c r="AB77" s="24" t="s">
        <v>79</v>
      </c>
      <c r="AC77" s="35">
        <v>3.7184208788665276</v>
      </c>
      <c r="AD77" s="35" t="s">
        <v>535</v>
      </c>
      <c r="AF77" t="str">
        <f>IF(AE77="","",IF(IFERROR(SEARCH(",",AE77,1)&gt;1,0),"yes","no"))</f>
        <v/>
      </c>
      <c r="AG77" s="26" t="s">
        <v>82</v>
      </c>
      <c r="AH77" s="27" t="s">
        <v>82</v>
      </c>
      <c r="AI77" s="28" t="s">
        <v>82</v>
      </c>
      <c r="AJ77" s="29" t="s">
        <v>82</v>
      </c>
      <c r="AK77" s="30" t="s">
        <v>85</v>
      </c>
      <c r="AL77" s="31" t="s">
        <v>85</v>
      </c>
      <c r="AM77" s="32" t="s">
        <v>82</v>
      </c>
      <c r="AN77" s="33" t="s">
        <v>81</v>
      </c>
      <c r="AO77" s="32" t="s">
        <v>81</v>
      </c>
      <c r="AP77" s="39"/>
      <c r="AQ77">
        <v>0</v>
      </c>
      <c r="AR77">
        <v>0</v>
      </c>
      <c r="AS77">
        <v>0</v>
      </c>
      <c r="AT77">
        <v>0</v>
      </c>
      <c r="AU77">
        <v>0</v>
      </c>
      <c r="AV77">
        <v>0</v>
      </c>
      <c r="AW77">
        <v>0</v>
      </c>
      <c r="AX77">
        <v>0</v>
      </c>
      <c r="AY77" t="s">
        <v>537</v>
      </c>
      <c r="AZ77" t="s">
        <v>538</v>
      </c>
      <c r="BA77" t="s">
        <v>102</v>
      </c>
      <c r="BB77" t="s">
        <v>539</v>
      </c>
      <c r="BC77" t="s">
        <v>87</v>
      </c>
      <c r="BD77" t="s">
        <v>88</v>
      </c>
      <c r="BE77" t="s">
        <v>89</v>
      </c>
      <c r="BF77" t="s">
        <v>89</v>
      </c>
      <c r="BG77" t="str">
        <f>IF(C77="","LCI","CSLAP")</f>
        <v>CSLAP</v>
      </c>
      <c r="BH77" s="14" t="s">
        <v>102</v>
      </c>
      <c r="BJ77">
        <f>IF(MAX(AT77:AX77)=0,0,IF(MAX(AT77:AX77)=1,1,LEN(AE77)-LEN(SUBSTITUTE(UPPER(AE77),",",""))+1))</f>
        <v>0</v>
      </c>
      <c r="BK77">
        <f>IF(BJ77&gt;1,2,IF(BJ77&gt;0,1,0))</f>
        <v>0</v>
      </c>
      <c r="BL77">
        <f>IF(BJ77&gt;2,3,IF(BJ77&gt;2,2,IF(BJ77&gt;1,1,0)))</f>
        <v>0</v>
      </c>
      <c r="BM77" t="str">
        <f>IF(C77="","LCI","CSLAP")</f>
        <v>CSLAP</v>
      </c>
      <c r="BN77" t="str">
        <f>IF(LEFT(AB77,13)="zebra mussels","yes","no")</f>
        <v>no</v>
      </c>
      <c r="BO77">
        <v>0.5</v>
      </c>
    </row>
    <row r="78" spans="1:77" s="16" customFormat="1" x14ac:dyDescent="0.3">
      <c r="A78" t="s">
        <v>1818</v>
      </c>
      <c r="B78" t="s">
        <v>1819</v>
      </c>
      <c r="C78" s="16">
        <v>258</v>
      </c>
      <c r="D78" s="16" t="s">
        <v>540</v>
      </c>
      <c r="E78" s="16" t="s">
        <v>198</v>
      </c>
      <c r="F78" s="16" t="s">
        <v>541</v>
      </c>
      <c r="G78" s="17">
        <f t="shared" si="38"/>
        <v>14.102567699999998</v>
      </c>
      <c r="H78" s="17">
        <v>5.7069999999999999</v>
      </c>
      <c r="I78" s="18"/>
      <c r="J78" s="18"/>
      <c r="K78" s="19"/>
      <c r="L78" s="19">
        <f>3.28*M78</f>
        <v>45.919999999999995</v>
      </c>
      <c r="M78" s="19">
        <v>14</v>
      </c>
      <c r="N78" s="20"/>
      <c r="O78" s="19"/>
      <c r="P78" s="19" t="str">
        <f t="shared" si="41"/>
        <v>no</v>
      </c>
      <c r="Q78" s="22">
        <v>1.0006794520547946</v>
      </c>
      <c r="R78" s="18" t="s">
        <v>2088</v>
      </c>
      <c r="S78" s="38">
        <v>41.057106373800003</v>
      </c>
      <c r="T78" s="38">
        <v>-72.336327137300003</v>
      </c>
      <c r="U78" s="64" t="s">
        <v>78</v>
      </c>
      <c r="W78" t="str">
        <f t="shared" si="44"/>
        <v>no</v>
      </c>
      <c r="Y78" t="str">
        <f t="shared" si="42"/>
        <v>recreation</v>
      </c>
      <c r="AA78" s="16" t="s">
        <v>79</v>
      </c>
      <c r="AC78" s="24"/>
      <c r="AD78" s="24"/>
      <c r="AE78" s="64">
        <v>2019</v>
      </c>
      <c r="AF78" s="16" t="s">
        <v>99</v>
      </c>
      <c r="AN78" s="39">
        <v>43632</v>
      </c>
      <c r="AO78" s="39">
        <v>43730</v>
      </c>
      <c r="AP78" s="39"/>
      <c r="AQ78">
        <v>5</v>
      </c>
      <c r="AR78">
        <v>3</v>
      </c>
      <c r="AZ78" s="16" t="s">
        <v>542</v>
      </c>
      <c r="BA78" s="16" t="s">
        <v>102</v>
      </c>
      <c r="BB78" s="16" t="s">
        <v>2147</v>
      </c>
      <c r="BD78" s="16" t="s">
        <v>202</v>
      </c>
      <c r="BG78" s="16" t="s">
        <v>54</v>
      </c>
      <c r="BH78" s="14" t="s">
        <v>102</v>
      </c>
      <c r="BM78" s="16" t="s">
        <v>54</v>
      </c>
      <c r="BN78" s="16" t="s">
        <v>99</v>
      </c>
      <c r="BO78" s="16">
        <v>0.5</v>
      </c>
    </row>
    <row r="79" spans="1:77" x14ac:dyDescent="0.3">
      <c r="A79" t="s">
        <v>1547</v>
      </c>
      <c r="B79" t="s">
        <v>1820</v>
      </c>
      <c r="C79" s="16">
        <v>82</v>
      </c>
      <c r="D79" s="16" t="s">
        <v>543</v>
      </c>
      <c r="E79" s="16" t="s">
        <v>254</v>
      </c>
      <c r="F79" s="16" t="s">
        <v>544</v>
      </c>
      <c r="G79" s="17">
        <f t="shared" si="38"/>
        <v>454.43529000000001</v>
      </c>
      <c r="H79" s="17">
        <v>183.9</v>
      </c>
      <c r="I79" s="18">
        <f>IF(J79="","",J79*2.4711)</f>
        <v>3558.384</v>
      </c>
      <c r="J79" s="18">
        <v>1440</v>
      </c>
      <c r="K79" s="19">
        <f t="shared" si="40"/>
        <v>7.8303425774877651</v>
      </c>
      <c r="L79" s="19">
        <v>30</v>
      </c>
      <c r="M79" s="19">
        <v>8.9</v>
      </c>
      <c r="N79" s="20">
        <f>IF(O79="", "",O79*3.2808)</f>
        <v>13.77936</v>
      </c>
      <c r="O79" s="19">
        <v>4.2</v>
      </c>
      <c r="P79" s="21" t="str">
        <f t="shared" si="41"/>
        <v>no</v>
      </c>
      <c r="Q79" s="22">
        <v>0.69078347107438021</v>
      </c>
      <c r="R79" s="18" t="s">
        <v>2148</v>
      </c>
      <c r="S79" s="23">
        <v>43.625897950000002</v>
      </c>
      <c r="T79" s="23">
        <v>-73.844614640000003</v>
      </c>
      <c r="U79" s="18" t="s">
        <v>255</v>
      </c>
      <c r="V79" s="18" t="s">
        <v>77</v>
      </c>
      <c r="W79" t="str">
        <f t="shared" si="44"/>
        <v>yes</v>
      </c>
      <c r="X79" t="s">
        <v>545</v>
      </c>
      <c r="Y79" t="str">
        <f t="shared" si="42"/>
        <v>potable water, recreation, and public bathing</v>
      </c>
      <c r="Z79" t="s">
        <v>79</v>
      </c>
      <c r="AA79" s="24" t="s">
        <v>79</v>
      </c>
      <c r="AB79" s="24" t="s">
        <v>80</v>
      </c>
      <c r="AC79" s="24">
        <f>IF(AND(AA79="none reported",AB79="none reported"),"",0)</f>
        <v>0</v>
      </c>
      <c r="AD79" s="24"/>
      <c r="AF79" t="str">
        <f t="shared" si="43"/>
        <v/>
      </c>
      <c r="AG79" s="26" t="s">
        <v>82</v>
      </c>
      <c r="AH79" s="27" t="s">
        <v>82</v>
      </c>
      <c r="AI79" s="28" t="s">
        <v>82</v>
      </c>
      <c r="AJ79" s="29" t="s">
        <v>82</v>
      </c>
      <c r="AK79" s="30" t="s">
        <v>85</v>
      </c>
      <c r="AL79" s="31" t="s">
        <v>85</v>
      </c>
      <c r="AM79" s="32" t="s">
        <v>82</v>
      </c>
      <c r="AN79" s="33" t="s">
        <v>81</v>
      </c>
      <c r="AO79" s="32" t="s">
        <v>81</v>
      </c>
      <c r="AP79" s="39"/>
      <c r="AQ79">
        <v>0</v>
      </c>
      <c r="AR79">
        <v>0</v>
      </c>
      <c r="AS79">
        <v>0</v>
      </c>
      <c r="AT79">
        <v>0</v>
      </c>
      <c r="AU79">
        <v>1</v>
      </c>
      <c r="AV79">
        <v>0</v>
      </c>
      <c r="AW79">
        <v>0</v>
      </c>
      <c r="AX79">
        <v>0</v>
      </c>
      <c r="AZ79" t="s">
        <v>546</v>
      </c>
      <c r="BA79" t="s">
        <v>102</v>
      </c>
      <c r="BB79" t="s">
        <v>547</v>
      </c>
      <c r="BC79" t="s">
        <v>87</v>
      </c>
      <c r="BD79" t="s">
        <v>88</v>
      </c>
      <c r="BE79" t="s">
        <v>89</v>
      </c>
      <c r="BF79" t="s">
        <v>89</v>
      </c>
      <c r="BG79" t="str">
        <f>IF(C79="","LCI","CSLAP")</f>
        <v>CSLAP</v>
      </c>
      <c r="BH79" s="14" t="s">
        <v>102</v>
      </c>
      <c r="BJ79">
        <f t="shared" si="30"/>
        <v>1</v>
      </c>
      <c r="BK79">
        <f t="shared" si="31"/>
        <v>1</v>
      </c>
      <c r="BL79">
        <f t="shared" si="32"/>
        <v>0</v>
      </c>
      <c r="BM79" t="str">
        <f t="shared" si="33"/>
        <v>CSLAP</v>
      </c>
      <c r="BN79" t="str">
        <f t="shared" si="34"/>
        <v>no</v>
      </c>
      <c r="BO79">
        <v>0.77647341382643753</v>
      </c>
    </row>
    <row r="80" spans="1:77" x14ac:dyDescent="0.3">
      <c r="A80" t="s">
        <v>1548</v>
      </c>
      <c r="B80" t="s">
        <v>1821</v>
      </c>
      <c r="C80" s="16">
        <v>13</v>
      </c>
      <c r="D80" s="16" t="s">
        <v>548</v>
      </c>
      <c r="E80" s="16" t="s">
        <v>549</v>
      </c>
      <c r="F80" s="16" t="s">
        <v>550</v>
      </c>
      <c r="G80" s="17">
        <f>H80*2.4711</f>
        <v>262.43081999999998</v>
      </c>
      <c r="H80" s="17">
        <v>106.2</v>
      </c>
      <c r="I80" s="18">
        <f>IF(J80="","",J80*2.4711)</f>
        <v>27849.296999999999</v>
      </c>
      <c r="J80" s="18">
        <v>11270</v>
      </c>
      <c r="K80" s="19">
        <f>J80/H80</f>
        <v>106.12052730696799</v>
      </c>
      <c r="L80" s="19">
        <v>85</v>
      </c>
      <c r="M80" s="19">
        <v>25.9</v>
      </c>
      <c r="N80" s="20">
        <v>51.2</v>
      </c>
      <c r="O80" s="19">
        <v>15.6</v>
      </c>
      <c r="P80" s="21" t="str">
        <f>IF(O80=(M80*0.46),"yes","no")</f>
        <v>no</v>
      </c>
      <c r="Q80" s="22">
        <v>0.36750665483584738</v>
      </c>
      <c r="R80" s="18" t="s">
        <v>2244</v>
      </c>
      <c r="S80" s="23">
        <v>43.721209999999999</v>
      </c>
      <c r="T80" s="23">
        <v>-74.911510000000007</v>
      </c>
      <c r="U80" s="18" t="s">
        <v>96</v>
      </c>
      <c r="V80" s="18"/>
      <c r="W80" t="str">
        <f t="shared" si="44"/>
        <v>yes</v>
      </c>
      <c r="Y80" t="str">
        <f t="shared" si="42"/>
        <v>potable water and recreation</v>
      </c>
      <c r="Z80" t="s">
        <v>79</v>
      </c>
      <c r="AA80" s="24" t="s">
        <v>551</v>
      </c>
      <c r="AB80" s="24" t="s">
        <v>79</v>
      </c>
      <c r="AC80" s="24">
        <f>IF(AND(AA80="none reported",AB80="none reported"),"",0)</f>
        <v>0</v>
      </c>
      <c r="AD80" s="24"/>
      <c r="AF80" t="str">
        <f>IF(AE80="","",IF(IFERROR(SEARCH(",",AE80,1)&gt;1,0),"yes","no"))</f>
        <v/>
      </c>
      <c r="AG80" s="26" t="s">
        <v>82</v>
      </c>
      <c r="AH80" s="26" t="s">
        <v>82</v>
      </c>
      <c r="AI80" s="26" t="s">
        <v>82</v>
      </c>
      <c r="AJ80" s="26" t="s">
        <v>82</v>
      </c>
      <c r="AK80" s="30" t="s">
        <v>85</v>
      </c>
      <c r="AL80" s="30" t="s">
        <v>85</v>
      </c>
      <c r="AM80" s="32" t="s">
        <v>141</v>
      </c>
      <c r="AN80" s="33" t="s">
        <v>81</v>
      </c>
      <c r="AO80" s="32" t="s">
        <v>81</v>
      </c>
      <c r="AP80" s="39"/>
      <c r="AQ80">
        <v>0</v>
      </c>
      <c r="AR80">
        <v>0</v>
      </c>
      <c r="AS80">
        <v>0</v>
      </c>
      <c r="AT80">
        <v>0</v>
      </c>
      <c r="AU80">
        <v>0</v>
      </c>
      <c r="AV80">
        <v>0</v>
      </c>
      <c r="AW80">
        <v>0</v>
      </c>
      <c r="AX80">
        <v>0</v>
      </c>
      <c r="AZ80" t="s">
        <v>552</v>
      </c>
      <c r="BA80" t="s">
        <v>102</v>
      </c>
      <c r="BB80" t="s">
        <v>553</v>
      </c>
      <c r="BD80" t="s">
        <v>267</v>
      </c>
      <c r="BE80" t="s">
        <v>216</v>
      </c>
      <c r="BF80" t="s">
        <v>216</v>
      </c>
      <c r="BG80" t="str">
        <f>IF(C80="","LCI","CSLAP")</f>
        <v>CSLAP</v>
      </c>
      <c r="BH80" s="14" t="s">
        <v>99</v>
      </c>
      <c r="BJ80">
        <f>IF(MAX(AT80:AX80)=0,0,IF(MAX(AT80:AX80)=1,1,LEN(AE80)-LEN(SUBSTITUTE(UPPER(AE80),",",""))+1))</f>
        <v>0</v>
      </c>
      <c r="BK80">
        <f>IF(BJ80&gt;1,2,IF(BJ80&gt;0,1,0))</f>
        <v>0</v>
      </c>
      <c r="BL80">
        <f>IF(BJ80&gt;2,3,IF(BJ80&gt;2,2,IF(BJ80&gt;1,1,0)))</f>
        <v>0</v>
      </c>
      <c r="BM80" t="str">
        <f>IF(C80="","LCI","CSLAP")</f>
        <v>CSLAP</v>
      </c>
      <c r="BN80" t="str">
        <f>IF(LEFT(AB80,13)="zebra mussels","yes","no")</f>
        <v>no</v>
      </c>
      <c r="BO80">
        <v>0.4</v>
      </c>
    </row>
    <row r="81" spans="1:77" x14ac:dyDescent="0.3">
      <c r="A81" t="s">
        <v>1549</v>
      </c>
      <c r="B81" t="s">
        <v>1822</v>
      </c>
      <c r="C81" s="16">
        <v>68</v>
      </c>
      <c r="D81" s="16" t="s">
        <v>554</v>
      </c>
      <c r="E81" s="16" t="s">
        <v>136</v>
      </c>
      <c r="F81" s="16" t="s">
        <v>555</v>
      </c>
      <c r="G81" s="17">
        <f>H81*2.4711</f>
        <v>518.43678</v>
      </c>
      <c r="H81" s="17">
        <v>209.8</v>
      </c>
      <c r="I81" s="18">
        <f>IF(J81="","",J81*2.4711)</f>
        <v>5910.8711999999996</v>
      </c>
      <c r="J81" s="18">
        <v>2392</v>
      </c>
      <c r="K81" s="19">
        <f t="shared" si="40"/>
        <v>11.401334604385129</v>
      </c>
      <c r="L81" s="19">
        <v>20.669039999999999</v>
      </c>
      <c r="M81" s="19">
        <v>6.3</v>
      </c>
      <c r="N81" s="20">
        <f>IF(O81="", "",O81*3.2808)</f>
        <v>8.5300799999999999</v>
      </c>
      <c r="O81" s="19">
        <v>2.6</v>
      </c>
      <c r="P81" s="21" t="str">
        <f t="shared" si="41"/>
        <v>no</v>
      </c>
      <c r="Q81" s="22">
        <v>0.44878956521739133</v>
      </c>
      <c r="R81" s="18" t="s">
        <v>2149</v>
      </c>
      <c r="S81" s="23">
        <v>43.030632109999999</v>
      </c>
      <c r="T81" s="23">
        <v>-74.075397780000003</v>
      </c>
      <c r="U81" s="18" t="s">
        <v>77</v>
      </c>
      <c r="V81" s="18" t="s">
        <v>77</v>
      </c>
      <c r="W81" t="str">
        <f t="shared" si="44"/>
        <v>no</v>
      </c>
      <c r="Y81" t="str">
        <f t="shared" si="42"/>
        <v>recreation</v>
      </c>
      <c r="Z81" t="s">
        <v>79</v>
      </c>
      <c r="AA81" s="24" t="s">
        <v>556</v>
      </c>
      <c r="AB81" s="24" t="s">
        <v>79</v>
      </c>
      <c r="AC81" s="24">
        <f>IF(AND(AA81="none reported",AB81="none reported"),"",0)</f>
        <v>0</v>
      </c>
      <c r="AD81" s="24"/>
      <c r="AF81" t="str">
        <f t="shared" si="43"/>
        <v/>
      </c>
      <c r="AG81" s="26" t="s">
        <v>81</v>
      </c>
      <c r="AH81" s="27" t="s">
        <v>82</v>
      </c>
      <c r="AI81" s="28" t="s">
        <v>82</v>
      </c>
      <c r="AJ81" s="29" t="s">
        <v>82</v>
      </c>
      <c r="AK81" s="30" t="s">
        <v>85</v>
      </c>
      <c r="AL81" s="31" t="s">
        <v>85</v>
      </c>
      <c r="AM81" s="32" t="s">
        <v>82</v>
      </c>
      <c r="AN81" s="33" t="s">
        <v>81</v>
      </c>
      <c r="AO81" s="32" t="s">
        <v>81</v>
      </c>
      <c r="AP81" s="39"/>
      <c r="AQ81">
        <v>0</v>
      </c>
      <c r="AR81">
        <v>0</v>
      </c>
      <c r="AS81">
        <v>0</v>
      </c>
      <c r="AT81">
        <v>0</v>
      </c>
      <c r="AU81">
        <v>0</v>
      </c>
      <c r="AV81">
        <v>0</v>
      </c>
      <c r="AW81">
        <v>0</v>
      </c>
      <c r="AX81">
        <v>0</v>
      </c>
      <c r="AY81" t="s">
        <v>557</v>
      </c>
      <c r="AZ81" t="s">
        <v>558</v>
      </c>
      <c r="BA81" t="s">
        <v>102</v>
      </c>
      <c r="BB81" t="s">
        <v>559</v>
      </c>
      <c r="BC81" t="s">
        <v>132</v>
      </c>
      <c r="BD81" t="s">
        <v>298</v>
      </c>
      <c r="BE81" t="s">
        <v>196</v>
      </c>
      <c r="BF81" t="s">
        <v>143</v>
      </c>
      <c r="BG81" t="str">
        <f>IF(C81="","LCI","CSLAP")</f>
        <v>CSLAP</v>
      </c>
      <c r="BH81" s="14" t="s">
        <v>102</v>
      </c>
      <c r="BJ81">
        <f t="shared" si="30"/>
        <v>0</v>
      </c>
      <c r="BK81">
        <f t="shared" si="31"/>
        <v>0</v>
      </c>
      <c r="BL81">
        <f t="shared" si="32"/>
        <v>0</v>
      </c>
      <c r="BM81" t="str">
        <f t="shared" si="33"/>
        <v>CSLAP</v>
      </c>
      <c r="BN81" t="str">
        <f t="shared" si="34"/>
        <v>no</v>
      </c>
      <c r="BO81">
        <v>0.50813008130081305</v>
      </c>
      <c r="BV81" t="s">
        <v>557</v>
      </c>
    </row>
    <row r="82" spans="1:77" x14ac:dyDescent="0.3">
      <c r="A82" t="s">
        <v>1550</v>
      </c>
      <c r="B82" t="s">
        <v>1823</v>
      </c>
      <c r="C82" s="16">
        <v>56</v>
      </c>
      <c r="D82" s="16" t="s">
        <v>560</v>
      </c>
      <c r="E82" s="16" t="s">
        <v>254</v>
      </c>
      <c r="F82" s="16" t="s">
        <v>561</v>
      </c>
      <c r="G82" s="17">
        <f>H82*2.4711</f>
        <v>313.58258999999998</v>
      </c>
      <c r="H82" s="17">
        <v>126.9</v>
      </c>
      <c r="I82" s="18">
        <f>IF(J82="","",J82*2.4711)</f>
        <v>2293.4279099999999</v>
      </c>
      <c r="J82" s="18">
        <v>928.1</v>
      </c>
      <c r="K82" s="19">
        <f t="shared" si="40"/>
        <v>7.3136327817178879</v>
      </c>
      <c r="L82" s="19" t="s">
        <v>110</v>
      </c>
      <c r="M82" s="19"/>
      <c r="N82" s="20">
        <f>IF(O82="", "",O82*3.2808)</f>
        <v>12.795120000000001</v>
      </c>
      <c r="O82" s="19">
        <v>3.9</v>
      </c>
      <c r="P82" s="21" t="str">
        <f t="shared" si="41"/>
        <v>no</v>
      </c>
      <c r="Q82" s="22">
        <v>1.0494374313112811</v>
      </c>
      <c r="R82" s="18" t="s">
        <v>562</v>
      </c>
      <c r="S82" s="23">
        <v>43.525353680000002</v>
      </c>
      <c r="T82" s="23">
        <v>-74.022611269999999</v>
      </c>
      <c r="U82" s="18" t="s">
        <v>96</v>
      </c>
      <c r="V82" s="18" t="s">
        <v>78</v>
      </c>
      <c r="W82" t="str">
        <f t="shared" si="44"/>
        <v>yes</v>
      </c>
      <c r="X82" t="s">
        <v>563</v>
      </c>
      <c r="Y82" t="str">
        <f t="shared" si="42"/>
        <v>potable water, recreation, and public bathing</v>
      </c>
      <c r="Z82" t="s">
        <v>79</v>
      </c>
      <c r="AA82" s="40" t="s">
        <v>79</v>
      </c>
      <c r="AB82" s="40" t="s">
        <v>79</v>
      </c>
      <c r="AC82" s="35">
        <v>11.31003348457565</v>
      </c>
      <c r="AD82" s="35" t="s">
        <v>543</v>
      </c>
      <c r="AF82" t="str">
        <f t="shared" si="43"/>
        <v/>
      </c>
      <c r="AG82" s="26" t="s">
        <v>82</v>
      </c>
      <c r="AH82" s="27" t="s">
        <v>82</v>
      </c>
      <c r="AI82" s="28" t="s">
        <v>82</v>
      </c>
      <c r="AJ82" s="29" t="s">
        <v>82</v>
      </c>
      <c r="AK82" s="30" t="s">
        <v>85</v>
      </c>
      <c r="AL82" s="31" t="s">
        <v>85</v>
      </c>
      <c r="AM82" s="32" t="s">
        <v>82</v>
      </c>
      <c r="AN82" s="33" t="s">
        <v>81</v>
      </c>
      <c r="AO82" s="32" t="s">
        <v>81</v>
      </c>
      <c r="AP82" s="39"/>
      <c r="AQ82">
        <v>0</v>
      </c>
      <c r="AR82">
        <v>0</v>
      </c>
      <c r="AS82">
        <v>0</v>
      </c>
      <c r="AT82">
        <v>0</v>
      </c>
      <c r="AU82">
        <v>0</v>
      </c>
      <c r="AV82">
        <v>0</v>
      </c>
      <c r="AW82">
        <v>0</v>
      </c>
      <c r="AX82">
        <v>0</v>
      </c>
      <c r="AZ82" t="s">
        <v>564</v>
      </c>
      <c r="BD82" t="s">
        <v>88</v>
      </c>
      <c r="BE82" t="s">
        <v>89</v>
      </c>
      <c r="BF82" t="s">
        <v>89</v>
      </c>
      <c r="BG82" t="str">
        <f>IF(C82="","LCI","CSLAP")</f>
        <v>CSLAP</v>
      </c>
      <c r="BH82" s="14" t="str">
        <f>IF(RIGHT(CM82,4)="2011","yes","no")</f>
        <v>no</v>
      </c>
      <c r="BJ82">
        <f t="shared" si="30"/>
        <v>0</v>
      </c>
      <c r="BK82">
        <f t="shared" si="31"/>
        <v>0</v>
      </c>
      <c r="BL82">
        <f t="shared" si="32"/>
        <v>0</v>
      </c>
      <c r="BM82" t="str">
        <f t="shared" si="33"/>
        <v>CSLAP</v>
      </c>
      <c r="BN82" t="str">
        <f t="shared" si="34"/>
        <v>no</v>
      </c>
      <c r="BO82">
        <v>0.50813008130081305</v>
      </c>
      <c r="BW82" t="s">
        <v>565</v>
      </c>
    </row>
    <row r="83" spans="1:77" x14ac:dyDescent="0.3">
      <c r="A83" t="s">
        <v>1551</v>
      </c>
      <c r="B83" t="s">
        <v>1824</v>
      </c>
      <c r="C83" s="16">
        <v>69</v>
      </c>
      <c r="D83" s="16" t="s">
        <v>566</v>
      </c>
      <c r="E83" s="16" t="s">
        <v>370</v>
      </c>
      <c r="F83" s="16" t="s">
        <v>567</v>
      </c>
      <c r="G83" s="17">
        <f>H83*2.4711</f>
        <v>102.30353999999998</v>
      </c>
      <c r="H83" s="17">
        <v>41.4</v>
      </c>
      <c r="I83" s="18">
        <f>IF(J83="","",J83*2.4711)</f>
        <v>3224.7855</v>
      </c>
      <c r="J83" s="18">
        <v>1305</v>
      </c>
      <c r="K83" s="19">
        <f t="shared" si="40"/>
        <v>31.521739130434785</v>
      </c>
      <c r="L83" s="19">
        <v>60.038640000000008</v>
      </c>
      <c r="M83" s="19">
        <v>18.3</v>
      </c>
      <c r="N83" s="20">
        <f>IF(O83="", "",O83*3.2808)</f>
        <v>27.886800000000001</v>
      </c>
      <c r="O83" s="19">
        <v>8.5</v>
      </c>
      <c r="P83" s="21" t="str">
        <f t="shared" si="41"/>
        <v>no</v>
      </c>
      <c r="Q83" s="22">
        <v>0.67413793103448272</v>
      </c>
      <c r="R83" s="18" t="s">
        <v>2150</v>
      </c>
      <c r="S83" s="23">
        <v>42.516449999999999</v>
      </c>
      <c r="T83" s="23">
        <v>-75.774910000000006</v>
      </c>
      <c r="U83" s="18" t="s">
        <v>77</v>
      </c>
      <c r="V83" s="18"/>
      <c r="W83" t="str">
        <f t="shared" si="44"/>
        <v>no</v>
      </c>
      <c r="Y83" t="str">
        <f t="shared" si="42"/>
        <v>recreation</v>
      </c>
      <c r="Z83" t="s">
        <v>79</v>
      </c>
      <c r="AA83" s="24" t="s">
        <v>79</v>
      </c>
      <c r="AB83" s="24" t="s">
        <v>79</v>
      </c>
      <c r="AC83" s="35">
        <v>2.3526777184793088</v>
      </c>
      <c r="AD83" s="35" t="s">
        <v>568</v>
      </c>
      <c r="AF83" t="str">
        <f t="shared" si="43"/>
        <v/>
      </c>
      <c r="AG83" s="26" t="s">
        <v>81</v>
      </c>
      <c r="AH83" s="27" t="s">
        <v>82</v>
      </c>
      <c r="AI83" s="28" t="s">
        <v>82</v>
      </c>
      <c r="AJ83" s="29" t="s">
        <v>82</v>
      </c>
      <c r="AK83" s="30" t="s">
        <v>85</v>
      </c>
      <c r="AL83" s="31" t="s">
        <v>85</v>
      </c>
      <c r="AM83" s="32" t="s">
        <v>82</v>
      </c>
      <c r="AN83" s="33" t="s">
        <v>81</v>
      </c>
      <c r="AO83" s="32" t="s">
        <v>81</v>
      </c>
      <c r="AP83" s="39"/>
      <c r="AQ83">
        <v>0</v>
      </c>
      <c r="AR83">
        <v>0</v>
      </c>
      <c r="AS83">
        <v>0</v>
      </c>
      <c r="AT83">
        <v>0</v>
      </c>
      <c r="AU83">
        <v>0</v>
      </c>
      <c r="AV83">
        <v>0</v>
      </c>
      <c r="AW83">
        <v>0</v>
      </c>
      <c r="AX83">
        <v>0</v>
      </c>
      <c r="AZ83" t="s">
        <v>569</v>
      </c>
      <c r="BA83" t="s">
        <v>102</v>
      </c>
      <c r="BB83" t="s">
        <v>2151</v>
      </c>
      <c r="BC83" t="s">
        <v>132</v>
      </c>
      <c r="BD83" t="s">
        <v>114</v>
      </c>
      <c r="BE83" t="s">
        <v>247</v>
      </c>
      <c r="BF83" t="s">
        <v>115</v>
      </c>
      <c r="BG83" t="str">
        <f>IF(C83="","LCI","CSLAP")</f>
        <v>CSLAP</v>
      </c>
      <c r="BH83" s="14" t="s">
        <v>102</v>
      </c>
      <c r="BJ83">
        <f t="shared" si="30"/>
        <v>0</v>
      </c>
      <c r="BK83">
        <f t="shared" si="31"/>
        <v>0</v>
      </c>
      <c r="BL83">
        <f t="shared" si="32"/>
        <v>0</v>
      </c>
      <c r="BM83" t="str">
        <f t="shared" si="33"/>
        <v>CSLAP</v>
      </c>
      <c r="BN83" t="str">
        <f t="shared" si="34"/>
        <v>no</v>
      </c>
      <c r="BO83">
        <v>0.4</v>
      </c>
    </row>
    <row r="84" spans="1:77" x14ac:dyDescent="0.3">
      <c r="A84" t="s">
        <v>1552</v>
      </c>
      <c r="B84" t="s">
        <v>1825</v>
      </c>
      <c r="C84" s="37">
        <v>247</v>
      </c>
      <c r="D84" s="37" t="s">
        <v>570</v>
      </c>
      <c r="E84" s="42" t="s">
        <v>127</v>
      </c>
      <c r="F84" t="s">
        <v>192</v>
      </c>
      <c r="G84" s="36">
        <v>124.8</v>
      </c>
      <c r="H84" s="36">
        <f>G84/2.4711</f>
        <v>50.503824207842662</v>
      </c>
      <c r="I84" s="37">
        <v>2777.6</v>
      </c>
      <c r="J84" s="37">
        <f>I84/2.4711</f>
        <v>1124.0338310873701</v>
      </c>
      <c r="K84" s="21">
        <f t="shared" si="40"/>
        <v>22.256410256410259</v>
      </c>
      <c r="L84" s="21">
        <f>3.28*M84</f>
        <v>69.864000000000004</v>
      </c>
      <c r="M84" s="21">
        <v>21.3</v>
      </c>
      <c r="N84" s="65">
        <f>3.28*O84</f>
        <v>29.52</v>
      </c>
      <c r="O84" s="21">
        <v>9</v>
      </c>
      <c r="P84" s="21" t="str">
        <f t="shared" si="41"/>
        <v>no</v>
      </c>
      <c r="Q84" s="43">
        <v>0.89440208667736742</v>
      </c>
      <c r="R84" s="37" t="s">
        <v>306</v>
      </c>
      <c r="S84">
        <v>42.622026913399999</v>
      </c>
      <c r="T84">
        <v>-73.5302329469</v>
      </c>
      <c r="U84" t="s">
        <v>95</v>
      </c>
      <c r="V84" t="s">
        <v>77</v>
      </c>
      <c r="W84" t="str">
        <f t="shared" si="44"/>
        <v>no</v>
      </c>
      <c r="Y84" t="str">
        <f t="shared" si="42"/>
        <v>recreation</v>
      </c>
      <c r="AA84" t="s">
        <v>571</v>
      </c>
      <c r="AB84" t="s">
        <v>572</v>
      </c>
      <c r="AC84">
        <v>0</v>
      </c>
      <c r="AF84" t="str">
        <f t="shared" si="43"/>
        <v/>
      </c>
      <c r="AG84" t="s">
        <v>81</v>
      </c>
      <c r="AH84" t="s">
        <v>156</v>
      </c>
      <c r="AI84" t="s">
        <v>83</v>
      </c>
      <c r="AJ84" t="s">
        <v>156</v>
      </c>
      <c r="AK84" t="s">
        <v>156</v>
      </c>
      <c r="AL84" t="s">
        <v>156</v>
      </c>
      <c r="AM84" t="s">
        <v>156</v>
      </c>
      <c r="AN84" s="33" t="s">
        <v>81</v>
      </c>
      <c r="AO84" s="32" t="s">
        <v>81</v>
      </c>
      <c r="AP84" s="39"/>
      <c r="AQ84">
        <v>0</v>
      </c>
      <c r="AR84">
        <v>0</v>
      </c>
      <c r="AS84">
        <v>0</v>
      </c>
      <c r="AT84">
        <v>0</v>
      </c>
      <c r="AU84">
        <v>0</v>
      </c>
      <c r="AV84">
        <v>0</v>
      </c>
      <c r="AW84">
        <v>0</v>
      </c>
      <c r="AX84">
        <v>0</v>
      </c>
      <c r="AZ84" t="s">
        <v>573</v>
      </c>
      <c r="BA84" t="s">
        <v>102</v>
      </c>
      <c r="BB84" t="s">
        <v>574</v>
      </c>
      <c r="BD84" t="s">
        <v>152</v>
      </c>
      <c r="BG84" t="s">
        <v>54</v>
      </c>
      <c r="BH84" s="14" t="s">
        <v>102</v>
      </c>
      <c r="BM84" t="s">
        <v>54</v>
      </c>
      <c r="BN84" t="s">
        <v>99</v>
      </c>
      <c r="BO84">
        <v>0.45212090424180851</v>
      </c>
    </row>
    <row r="85" spans="1:77" x14ac:dyDescent="0.3">
      <c r="A85" t="s">
        <v>1553</v>
      </c>
      <c r="B85" t="s">
        <v>1826</v>
      </c>
      <c r="C85" s="16">
        <v>8</v>
      </c>
      <c r="D85" s="16" t="s">
        <v>575</v>
      </c>
      <c r="E85" s="16" t="s">
        <v>254</v>
      </c>
      <c r="F85" s="16" t="s">
        <v>576</v>
      </c>
      <c r="G85" s="17">
        <f t="shared" ref="G85:G114" si="46">H85*2.4711</f>
        <v>320.00745000000001</v>
      </c>
      <c r="H85" s="17">
        <v>129.5</v>
      </c>
      <c r="I85" s="18">
        <f t="shared" ref="I85:I94" si="47">IF(J85="","",J85*2.4711)</f>
        <v>7339.1669999999995</v>
      </c>
      <c r="J85" s="18">
        <v>2970</v>
      </c>
      <c r="K85" s="19">
        <f t="shared" si="40"/>
        <v>22.934362934362934</v>
      </c>
      <c r="L85" s="19">
        <v>50</v>
      </c>
      <c r="M85" s="19">
        <v>15</v>
      </c>
      <c r="N85" s="20">
        <f t="shared" ref="N85:N94" si="48">IF(O85="", "",O85*3.2808)</f>
        <v>18.372479999999999</v>
      </c>
      <c r="O85" s="19">
        <v>5.6</v>
      </c>
      <c r="P85" s="21" t="str">
        <f t="shared" si="41"/>
        <v>no</v>
      </c>
      <c r="Q85" s="22">
        <v>0.48835016835016831</v>
      </c>
      <c r="R85" s="18" t="s">
        <v>2155</v>
      </c>
      <c r="S85" s="23">
        <v>43.364449999999998</v>
      </c>
      <c r="T85" s="23">
        <v>-73.67313</v>
      </c>
      <c r="U85" s="18" t="s">
        <v>95</v>
      </c>
      <c r="V85" s="18" t="s">
        <v>96</v>
      </c>
      <c r="W85" t="str">
        <f t="shared" si="44"/>
        <v>no</v>
      </c>
      <c r="X85" t="s">
        <v>577</v>
      </c>
      <c r="Y85" t="str">
        <f t="shared" si="42"/>
        <v>recreation and public bathing</v>
      </c>
      <c r="Z85" t="s">
        <v>79</v>
      </c>
      <c r="AA85" s="24" t="s">
        <v>578</v>
      </c>
      <c r="AB85" s="24" t="s">
        <v>139</v>
      </c>
      <c r="AC85" s="24">
        <f>IF(AND(AA85="none reported",AB85="none reported"),"",0)</f>
        <v>0</v>
      </c>
      <c r="AD85" s="24"/>
      <c r="AF85" t="str">
        <f t="shared" si="43"/>
        <v/>
      </c>
      <c r="AG85" s="26" t="s">
        <v>81</v>
      </c>
      <c r="AH85" s="27" t="s">
        <v>82</v>
      </c>
      <c r="AI85" s="28" t="s">
        <v>82</v>
      </c>
      <c r="AJ85" s="29" t="s">
        <v>82</v>
      </c>
      <c r="AK85" s="30" t="s">
        <v>85</v>
      </c>
      <c r="AL85" s="31" t="s">
        <v>85</v>
      </c>
      <c r="AM85" s="32" t="s">
        <v>82</v>
      </c>
      <c r="AN85" s="33" t="s">
        <v>81</v>
      </c>
      <c r="AO85" s="32" t="s">
        <v>81</v>
      </c>
      <c r="AP85" s="39"/>
      <c r="AQ85">
        <v>0</v>
      </c>
      <c r="AR85">
        <v>0</v>
      </c>
      <c r="AS85">
        <v>1</v>
      </c>
      <c r="AT85">
        <v>0</v>
      </c>
      <c r="AU85">
        <v>0</v>
      </c>
      <c r="AV85">
        <v>0</v>
      </c>
      <c r="AW85">
        <v>0</v>
      </c>
      <c r="AX85">
        <v>0</v>
      </c>
      <c r="AY85" t="s">
        <v>579</v>
      </c>
      <c r="AZ85" t="s">
        <v>580</v>
      </c>
      <c r="BA85" t="s">
        <v>102</v>
      </c>
      <c r="BB85" t="s">
        <v>2156</v>
      </c>
      <c r="BC85" t="s">
        <v>87</v>
      </c>
      <c r="BD85" t="s">
        <v>124</v>
      </c>
      <c r="BE85" t="s">
        <v>89</v>
      </c>
      <c r="BF85" t="s">
        <v>89</v>
      </c>
      <c r="BG85" t="str">
        <f>IF(C85="","LCI","CSLAP")</f>
        <v>CSLAP</v>
      </c>
      <c r="BH85" s="14" t="s">
        <v>102</v>
      </c>
      <c r="BJ85">
        <f>IF(MAX(AT85:AX85)=0,0,IF(MAX(AT85:AX85)=1,1,LEN(AE85)-LEN(SUBSTITUTE(UPPER(AE85),",",""))+1))</f>
        <v>0</v>
      </c>
      <c r="BK85">
        <f>IF(BJ85&gt;1,2,IF(BJ85&gt;0,1,0))</f>
        <v>0</v>
      </c>
      <c r="BL85">
        <f>IF(BJ85&gt;2,3,IF(BJ85&gt;2,2,IF(BJ85&gt;1,1,0)))</f>
        <v>0</v>
      </c>
      <c r="BM85" t="str">
        <f>IF(C85="","LCI","CSLAP")</f>
        <v>CSLAP</v>
      </c>
      <c r="BN85" t="str">
        <f>IF(LEFT(AB85,13)="zebra mussels","yes","no")</f>
        <v>yes</v>
      </c>
      <c r="BO85">
        <v>0.5</v>
      </c>
      <c r="BV85" t="s">
        <v>581</v>
      </c>
      <c r="BY85" t="s">
        <v>582</v>
      </c>
    </row>
    <row r="86" spans="1:77" x14ac:dyDescent="0.3">
      <c r="A86" t="s">
        <v>1554</v>
      </c>
      <c r="B86" t="s">
        <v>1827</v>
      </c>
      <c r="C86" s="16">
        <v>9</v>
      </c>
      <c r="D86" s="16" t="s">
        <v>583</v>
      </c>
      <c r="E86" s="16" t="s">
        <v>117</v>
      </c>
      <c r="F86" s="16" t="s">
        <v>584</v>
      </c>
      <c r="G86" s="17">
        <f t="shared" si="46"/>
        <v>339.28203000000002</v>
      </c>
      <c r="H86" s="17">
        <v>137.30000000000001</v>
      </c>
      <c r="I86" s="18">
        <f t="shared" si="47"/>
        <v>16267.2513</v>
      </c>
      <c r="J86" s="18">
        <v>6583</v>
      </c>
      <c r="K86" s="19">
        <f t="shared" si="40"/>
        <v>47.946103423160956</v>
      </c>
      <c r="L86" s="19">
        <v>15.419760000000002</v>
      </c>
      <c r="M86" s="19">
        <v>4.7</v>
      </c>
      <c r="N86" s="20">
        <f t="shared" si="48"/>
        <v>6.2335200000000004</v>
      </c>
      <c r="O86" s="19">
        <v>1.9</v>
      </c>
      <c r="P86" s="21" t="str">
        <f t="shared" si="41"/>
        <v>no</v>
      </c>
      <c r="Q86" s="22">
        <v>5.5705405698661052E-2</v>
      </c>
      <c r="R86" s="18" t="s">
        <v>585</v>
      </c>
      <c r="S86" s="23">
        <v>43.917070000000002</v>
      </c>
      <c r="T86" s="23">
        <v>-74.21611</v>
      </c>
      <c r="U86" s="18" t="s">
        <v>450</v>
      </c>
      <c r="V86" s="18" t="s">
        <v>96</v>
      </c>
      <c r="W86" t="str">
        <f t="shared" si="44"/>
        <v>no</v>
      </c>
      <c r="Y86" t="str">
        <f t="shared" si="42"/>
        <v>recreation</v>
      </c>
      <c r="Z86" t="s">
        <v>79</v>
      </c>
      <c r="AA86" s="24" t="s">
        <v>185</v>
      </c>
      <c r="AB86" s="24" t="s">
        <v>79</v>
      </c>
      <c r="AC86" s="24">
        <f>IF(AND(AA86="none reported",AB86="none reported"),"",0)</f>
        <v>0</v>
      </c>
      <c r="AD86" s="24"/>
      <c r="AF86" t="str">
        <f t="shared" si="43"/>
        <v/>
      </c>
      <c r="AG86" s="26" t="s">
        <v>81</v>
      </c>
      <c r="AH86" s="27" t="s">
        <v>81</v>
      </c>
      <c r="AI86" s="28" t="s">
        <v>82</v>
      </c>
      <c r="AJ86" s="29" t="s">
        <v>82</v>
      </c>
      <c r="AK86" s="30" t="s">
        <v>85</v>
      </c>
      <c r="AL86" s="31" t="s">
        <v>85</v>
      </c>
      <c r="AM86" s="32" t="s">
        <v>82</v>
      </c>
      <c r="AN86" s="33" t="s">
        <v>81</v>
      </c>
      <c r="AO86" s="32" t="s">
        <v>81</v>
      </c>
      <c r="AP86" s="39"/>
      <c r="AQ86">
        <v>0</v>
      </c>
      <c r="AR86">
        <v>0</v>
      </c>
      <c r="AS86">
        <v>0</v>
      </c>
      <c r="AT86">
        <v>0</v>
      </c>
      <c r="AU86">
        <v>0</v>
      </c>
      <c r="AV86">
        <v>0</v>
      </c>
      <c r="AW86">
        <v>0</v>
      </c>
      <c r="AX86">
        <v>0</v>
      </c>
      <c r="AZ86" s="16" t="s">
        <v>586</v>
      </c>
      <c r="BA86" t="s">
        <v>102</v>
      </c>
      <c r="BB86" t="s">
        <v>587</v>
      </c>
      <c r="BC86" t="s">
        <v>87</v>
      </c>
      <c r="BD86" t="s">
        <v>88</v>
      </c>
      <c r="BE86" t="s">
        <v>89</v>
      </c>
      <c r="BF86" t="s">
        <v>89</v>
      </c>
      <c r="BG86" t="str">
        <f t="shared" ref="BG86:BG94" si="49">IF(C86="","LCI","CSLAP")</f>
        <v>CSLAP</v>
      </c>
      <c r="BH86" s="14" t="s">
        <v>102</v>
      </c>
      <c r="BJ86">
        <f t="shared" ref="BJ86:BJ94" si="50">IF(MAX(AT86:AX86)=0,0,IF(MAX(AT86:AX86)=1,1,LEN(AE86)-LEN(SUBSTITUTE(UPPER(AE86),",",""))+1))</f>
        <v>0</v>
      </c>
      <c r="BK86">
        <f t="shared" ref="BK86:BK94" si="51">IF(BJ86&gt;1,2,IF(BJ86&gt;0,1,0))</f>
        <v>0</v>
      </c>
      <c r="BL86">
        <f t="shared" ref="BL86:BL94" si="52">IF(BJ86&gt;2,3,IF(BJ86&gt;2,2,IF(BJ86&gt;1,1,0)))</f>
        <v>0</v>
      </c>
      <c r="BM86" t="str">
        <f t="shared" ref="BM86:BM94" si="53">IF(C86="","LCI","CSLAP")</f>
        <v>CSLAP</v>
      </c>
      <c r="BN86" t="str">
        <f t="shared" ref="BN86:BN94" si="54">IF(LEFT(AB86,13)="zebra mussels","yes","no")</f>
        <v>no</v>
      </c>
      <c r="BO86">
        <v>0.71138211382113825</v>
      </c>
    </row>
    <row r="87" spans="1:77" x14ac:dyDescent="0.3">
      <c r="A87" t="s">
        <v>1555</v>
      </c>
      <c r="B87" t="s">
        <v>1828</v>
      </c>
      <c r="C87" s="16">
        <v>35</v>
      </c>
      <c r="D87" s="16" t="s">
        <v>588</v>
      </c>
      <c r="E87" s="16" t="s">
        <v>243</v>
      </c>
      <c r="F87" s="16" t="s">
        <v>589</v>
      </c>
      <c r="G87" s="17">
        <f t="shared" si="46"/>
        <v>19.274579999999997</v>
      </c>
      <c r="H87" s="17">
        <v>7.8</v>
      </c>
      <c r="I87" s="18">
        <f t="shared" si="47"/>
        <v>340.02335999999997</v>
      </c>
      <c r="J87" s="18">
        <v>137.6</v>
      </c>
      <c r="K87" s="19">
        <f t="shared" si="40"/>
        <v>17.641025641025642</v>
      </c>
      <c r="L87" s="19" t="s">
        <v>110</v>
      </c>
      <c r="M87" s="19"/>
      <c r="N87" s="20">
        <f t="shared" si="48"/>
        <v>9.1862399999999997</v>
      </c>
      <c r="O87" s="19">
        <v>2.8</v>
      </c>
      <c r="P87" s="21" t="str">
        <f t="shared" si="41"/>
        <v>no</v>
      </c>
      <c r="Q87" s="22">
        <v>0.32392026578073091</v>
      </c>
      <c r="R87" s="18" t="s">
        <v>590</v>
      </c>
      <c r="S87" s="23">
        <v>42.859529430000002</v>
      </c>
      <c r="T87" s="23">
        <v>-75.352019170000005</v>
      </c>
      <c r="U87" s="18" t="s">
        <v>77</v>
      </c>
      <c r="V87" s="18" t="s">
        <v>96</v>
      </c>
      <c r="W87" t="str">
        <f t="shared" si="44"/>
        <v>no</v>
      </c>
      <c r="Y87" t="str">
        <f t="shared" si="42"/>
        <v>recreation</v>
      </c>
      <c r="Z87" t="s">
        <v>79</v>
      </c>
      <c r="AA87" s="40" t="s">
        <v>120</v>
      </c>
      <c r="AB87" s="40" t="s">
        <v>79</v>
      </c>
      <c r="AC87" s="24">
        <f>IF(AND(AA87="none reported",AB87="none reported"),"",0)</f>
        <v>0</v>
      </c>
      <c r="AD87" s="24"/>
      <c r="AF87" t="str">
        <f t="shared" si="43"/>
        <v/>
      </c>
      <c r="AG87" s="26" t="s">
        <v>81</v>
      </c>
      <c r="AH87" s="27" t="s">
        <v>82</v>
      </c>
      <c r="AI87" s="28" t="s">
        <v>83</v>
      </c>
      <c r="AJ87" s="29" t="s">
        <v>82</v>
      </c>
      <c r="AK87" s="30" t="s">
        <v>84</v>
      </c>
      <c r="AL87" s="31" t="s">
        <v>84</v>
      </c>
      <c r="AM87" s="32" t="s">
        <v>82</v>
      </c>
      <c r="AN87" s="33" t="s">
        <v>81</v>
      </c>
      <c r="AO87" s="32" t="s">
        <v>81</v>
      </c>
      <c r="AP87" s="39"/>
      <c r="AQ87">
        <v>0</v>
      </c>
      <c r="AR87">
        <v>0</v>
      </c>
      <c r="AS87">
        <v>0</v>
      </c>
      <c r="AT87">
        <v>0</v>
      </c>
      <c r="AU87">
        <v>0</v>
      </c>
      <c r="AV87">
        <v>0</v>
      </c>
      <c r="AW87">
        <v>0</v>
      </c>
      <c r="AX87">
        <v>0</v>
      </c>
      <c r="BD87" t="s">
        <v>114</v>
      </c>
      <c r="BF87" t="s">
        <v>115</v>
      </c>
      <c r="BG87" t="str">
        <f t="shared" si="49"/>
        <v>CSLAP</v>
      </c>
      <c r="BH87" s="14" t="str">
        <f>IF(RIGHT(CM87,4)="2011","yes","no")</f>
        <v>no</v>
      </c>
      <c r="BJ87">
        <f t="shared" si="50"/>
        <v>0</v>
      </c>
      <c r="BK87">
        <f t="shared" si="51"/>
        <v>0</v>
      </c>
      <c r="BL87">
        <f t="shared" si="52"/>
        <v>0</v>
      </c>
      <c r="BM87" t="str">
        <f t="shared" si="53"/>
        <v>CSLAP</v>
      </c>
      <c r="BN87" t="str">
        <f t="shared" si="54"/>
        <v>no</v>
      </c>
      <c r="BO87">
        <v>0.49</v>
      </c>
      <c r="BY87" t="s">
        <v>591</v>
      </c>
    </row>
    <row r="88" spans="1:77" x14ac:dyDescent="0.3">
      <c r="A88" t="s">
        <v>1556</v>
      </c>
      <c r="B88" t="s">
        <v>1829</v>
      </c>
      <c r="C88" s="16">
        <v>185</v>
      </c>
      <c r="D88" s="16" t="s">
        <v>592</v>
      </c>
      <c r="E88" s="16" t="s">
        <v>593</v>
      </c>
      <c r="F88" s="16" t="s">
        <v>594</v>
      </c>
      <c r="G88" s="17">
        <f t="shared" si="46"/>
        <v>4.9421999999999997</v>
      </c>
      <c r="H88" s="17">
        <v>2</v>
      </c>
      <c r="I88" s="18">
        <f t="shared" si="47"/>
        <v>321.24299999999999</v>
      </c>
      <c r="J88" s="18">
        <v>130</v>
      </c>
      <c r="K88" s="19">
        <f t="shared" si="40"/>
        <v>65</v>
      </c>
      <c r="L88" s="19" t="s">
        <v>110</v>
      </c>
      <c r="M88" s="19"/>
      <c r="N88" s="20">
        <f t="shared" si="48"/>
        <v>2.9527200000000002</v>
      </c>
      <c r="O88" s="19">
        <v>0.9</v>
      </c>
      <c r="P88" s="21" t="str">
        <f t="shared" si="41"/>
        <v>no</v>
      </c>
      <c r="Q88" s="22">
        <v>2.387267904509284E-2</v>
      </c>
      <c r="R88" s="18" t="s">
        <v>595</v>
      </c>
      <c r="S88" s="23">
        <v>41.523888999999997</v>
      </c>
      <c r="T88" s="23">
        <v>-73.644919000000002</v>
      </c>
      <c r="U88" s="18" t="s">
        <v>77</v>
      </c>
      <c r="V88" s="18"/>
      <c r="W88" t="str">
        <f t="shared" si="44"/>
        <v>no</v>
      </c>
      <c r="Y88" t="str">
        <f t="shared" si="42"/>
        <v>recreation</v>
      </c>
      <c r="Z88" t="s">
        <v>79</v>
      </c>
      <c r="AA88" s="40" t="s">
        <v>120</v>
      </c>
      <c r="AB88" s="40" t="s">
        <v>79</v>
      </c>
      <c r="AC88" s="24">
        <f>IF(AND(AA88="none reported",AB88="none reported"),"",0)</f>
        <v>0</v>
      </c>
      <c r="AD88" s="24"/>
      <c r="AF88" t="str">
        <f t="shared" si="43"/>
        <v/>
      </c>
      <c r="AG88" s="26" t="s">
        <v>81</v>
      </c>
      <c r="AH88" s="27" t="s">
        <v>156</v>
      </c>
      <c r="AI88" s="28" t="s">
        <v>156</v>
      </c>
      <c r="AJ88" s="29" t="s">
        <v>156</v>
      </c>
      <c r="AK88" s="30" t="s">
        <v>156</v>
      </c>
      <c r="AL88" s="31" t="s">
        <v>156</v>
      </c>
      <c r="AM88" s="32" t="s">
        <v>156</v>
      </c>
      <c r="AN88" s="33" t="s">
        <v>81</v>
      </c>
      <c r="AO88" s="32" t="s">
        <v>81</v>
      </c>
      <c r="AP88" s="39"/>
      <c r="AQ88">
        <v>0</v>
      </c>
      <c r="AR88">
        <v>0</v>
      </c>
      <c r="AS88">
        <v>0</v>
      </c>
      <c r="AT88">
        <v>0</v>
      </c>
      <c r="AU88">
        <v>0</v>
      </c>
      <c r="AV88">
        <v>0</v>
      </c>
      <c r="AW88">
        <v>0</v>
      </c>
      <c r="AX88">
        <v>0</v>
      </c>
      <c r="BD88" t="s">
        <v>152</v>
      </c>
      <c r="BF88" t="s">
        <v>133</v>
      </c>
      <c r="BG88" t="str">
        <f t="shared" si="49"/>
        <v>CSLAP</v>
      </c>
      <c r="BH88" s="14" t="str">
        <f>IF(RIGHT(CM88,4)="2011","yes","no")</f>
        <v>no</v>
      </c>
      <c r="BJ88">
        <f t="shared" si="50"/>
        <v>0</v>
      </c>
      <c r="BK88">
        <f t="shared" si="51"/>
        <v>0</v>
      </c>
      <c r="BL88">
        <f t="shared" si="52"/>
        <v>0</v>
      </c>
      <c r="BM88" t="str">
        <f t="shared" si="53"/>
        <v>CSLAP</v>
      </c>
      <c r="BN88" t="str">
        <f t="shared" si="54"/>
        <v>no</v>
      </c>
      <c r="BO88">
        <v>0.57999999999999996</v>
      </c>
      <c r="BY88" t="s">
        <v>596</v>
      </c>
    </row>
    <row r="89" spans="1:77" x14ac:dyDescent="0.3">
      <c r="A89" t="s">
        <v>1557</v>
      </c>
      <c r="B89" t="s">
        <v>1830</v>
      </c>
      <c r="C89" s="16">
        <v>196</v>
      </c>
      <c r="D89" s="16" t="s">
        <v>597</v>
      </c>
      <c r="E89" s="16" t="s">
        <v>205</v>
      </c>
      <c r="F89" s="16" t="s">
        <v>598</v>
      </c>
      <c r="G89" s="17">
        <f t="shared" si="46"/>
        <v>320.00745000000001</v>
      </c>
      <c r="H89" s="17">
        <v>129.5</v>
      </c>
      <c r="I89" s="18">
        <f t="shared" si="47"/>
        <v>2360.6418299999996</v>
      </c>
      <c r="J89" s="18">
        <v>955.3</v>
      </c>
      <c r="K89" s="19">
        <f t="shared" si="40"/>
        <v>7.3768339768339768</v>
      </c>
      <c r="L89" s="19">
        <v>50.524320000000003</v>
      </c>
      <c r="M89" s="19">
        <v>15.4</v>
      </c>
      <c r="N89" s="20">
        <f t="shared" si="48"/>
        <v>23.746430400000001</v>
      </c>
      <c r="O89" s="19">
        <v>7.2379999999999995</v>
      </c>
      <c r="P89" s="21" t="str">
        <f t="shared" si="41"/>
        <v>no</v>
      </c>
      <c r="Q89" s="22">
        <v>2.1470016063784194</v>
      </c>
      <c r="R89" s="18" t="s">
        <v>599</v>
      </c>
      <c r="S89" s="23">
        <v>44.334426399999998</v>
      </c>
      <c r="T89" s="23">
        <v>-75.714942699999995</v>
      </c>
      <c r="U89" s="18" t="s">
        <v>78</v>
      </c>
      <c r="V89" s="18"/>
      <c r="W89" t="str">
        <f t="shared" si="44"/>
        <v>no</v>
      </c>
      <c r="Y89" t="str">
        <f t="shared" si="42"/>
        <v>recreation</v>
      </c>
      <c r="Z89" t="s">
        <v>79</v>
      </c>
      <c r="AA89" s="24" t="s">
        <v>79</v>
      </c>
      <c r="AB89" s="24" t="s">
        <v>79</v>
      </c>
      <c r="AC89" s="35">
        <v>1.4379293627573797</v>
      </c>
      <c r="AD89" s="35" t="s">
        <v>240</v>
      </c>
      <c r="AE89" s="25">
        <v>2013</v>
      </c>
      <c r="AF89" t="str">
        <f t="shared" si="43"/>
        <v>no</v>
      </c>
      <c r="AG89" s="26" t="s">
        <v>81</v>
      </c>
      <c r="AH89" s="27" t="s">
        <v>81</v>
      </c>
      <c r="AI89" s="28" t="s">
        <v>83</v>
      </c>
      <c r="AJ89" s="29" t="s">
        <v>83</v>
      </c>
      <c r="AK89" s="30" t="s">
        <v>85</v>
      </c>
      <c r="AL89" s="31" t="s">
        <v>85</v>
      </c>
      <c r="AM89" s="32" t="s">
        <v>82</v>
      </c>
      <c r="AN89" s="33" t="s">
        <v>81</v>
      </c>
      <c r="AO89" s="32" t="s">
        <v>81</v>
      </c>
      <c r="AP89" s="39"/>
      <c r="AQ89">
        <v>0</v>
      </c>
      <c r="AR89">
        <v>0</v>
      </c>
      <c r="AS89">
        <v>0</v>
      </c>
      <c r="AT89">
        <v>0</v>
      </c>
      <c r="AU89">
        <v>0</v>
      </c>
      <c r="AV89">
        <v>1</v>
      </c>
      <c r="AW89">
        <v>4</v>
      </c>
      <c r="AX89">
        <v>0</v>
      </c>
      <c r="AZ89" t="s">
        <v>600</v>
      </c>
      <c r="BA89" t="s">
        <v>102</v>
      </c>
      <c r="BB89" t="s">
        <v>601</v>
      </c>
      <c r="BC89" t="s">
        <v>87</v>
      </c>
      <c r="BD89" t="s">
        <v>215</v>
      </c>
      <c r="BE89" t="s">
        <v>216</v>
      </c>
      <c r="BF89" t="s">
        <v>216</v>
      </c>
      <c r="BG89" t="str">
        <f t="shared" si="49"/>
        <v>CSLAP</v>
      </c>
      <c r="BH89" s="14" t="s">
        <v>102</v>
      </c>
      <c r="BJ89">
        <f t="shared" si="50"/>
        <v>1</v>
      </c>
      <c r="BK89">
        <f t="shared" si="51"/>
        <v>1</v>
      </c>
      <c r="BL89">
        <f t="shared" si="52"/>
        <v>0</v>
      </c>
      <c r="BM89" t="str">
        <f t="shared" si="53"/>
        <v>CSLAP</v>
      </c>
      <c r="BN89" t="str">
        <f t="shared" si="54"/>
        <v>no</v>
      </c>
      <c r="BO89">
        <v>0.45700000000000002</v>
      </c>
    </row>
    <row r="90" spans="1:77" ht="15" customHeight="1" x14ac:dyDescent="0.3">
      <c r="A90" t="s">
        <v>1558</v>
      </c>
      <c r="B90" t="s">
        <v>1831</v>
      </c>
      <c r="C90" s="16">
        <v>194</v>
      </c>
      <c r="D90" s="16" t="s">
        <v>602</v>
      </c>
      <c r="E90" s="16" t="s">
        <v>370</v>
      </c>
      <c r="F90" s="16" t="s">
        <v>603</v>
      </c>
      <c r="G90" s="17">
        <f t="shared" si="46"/>
        <v>70.426349999999999</v>
      </c>
      <c r="H90" s="17">
        <v>28.5</v>
      </c>
      <c r="I90" s="18">
        <f t="shared" si="47"/>
        <v>526.34429999999998</v>
      </c>
      <c r="J90" s="18">
        <v>213</v>
      </c>
      <c r="K90" s="19">
        <f t="shared" si="40"/>
        <v>7.4736842105263159</v>
      </c>
      <c r="L90" s="19">
        <v>62.3352</v>
      </c>
      <c r="M90" s="19">
        <v>19</v>
      </c>
      <c r="N90" s="20">
        <f t="shared" si="48"/>
        <v>29.297544000000002</v>
      </c>
      <c r="O90" s="19">
        <v>8.93</v>
      </c>
      <c r="P90" s="21" t="str">
        <f t="shared" si="41"/>
        <v>no</v>
      </c>
      <c r="Q90" s="22">
        <v>2.4384880712848518</v>
      </c>
      <c r="R90" s="18" t="s">
        <v>2158</v>
      </c>
      <c r="S90" s="23">
        <v>42.413048920000001</v>
      </c>
      <c r="T90" s="23">
        <v>-75.499395669999998</v>
      </c>
      <c r="U90" s="18" t="s">
        <v>379</v>
      </c>
      <c r="V90" s="18" t="s">
        <v>78</v>
      </c>
      <c r="W90" t="str">
        <f t="shared" si="44"/>
        <v>yes</v>
      </c>
      <c r="X90" t="s">
        <v>602</v>
      </c>
      <c r="Y90" t="str">
        <f t="shared" si="42"/>
        <v>potable water, recreation, and public bathing</v>
      </c>
      <c r="Z90" t="s">
        <v>79</v>
      </c>
      <c r="AA90" s="40" t="s">
        <v>120</v>
      </c>
      <c r="AB90" s="40" t="s">
        <v>79</v>
      </c>
      <c r="AC90" s="24">
        <f>IF(AND(AA90="none reported",AB90="none reported"),"",0)</f>
        <v>0</v>
      </c>
      <c r="AD90" s="24"/>
      <c r="AF90" t="str">
        <f t="shared" si="43"/>
        <v/>
      </c>
      <c r="AG90" s="26" t="s">
        <v>257</v>
      </c>
      <c r="AH90" s="27" t="s">
        <v>82</v>
      </c>
      <c r="AI90" s="28" t="s">
        <v>82</v>
      </c>
      <c r="AJ90" s="29" t="s">
        <v>82</v>
      </c>
      <c r="AK90" s="30" t="s">
        <v>85</v>
      </c>
      <c r="AL90" s="31" t="s">
        <v>85</v>
      </c>
      <c r="AM90" s="32" t="s">
        <v>82</v>
      </c>
      <c r="AN90" s="33" t="s">
        <v>81</v>
      </c>
      <c r="AO90" s="32" t="s">
        <v>81</v>
      </c>
      <c r="AP90" s="39"/>
      <c r="AQ90">
        <v>0</v>
      </c>
      <c r="AR90">
        <v>0</v>
      </c>
      <c r="AS90">
        <v>0</v>
      </c>
      <c r="AT90">
        <v>1</v>
      </c>
      <c r="AU90">
        <v>0</v>
      </c>
      <c r="AV90">
        <v>0</v>
      </c>
      <c r="AW90">
        <v>0</v>
      </c>
      <c r="AX90">
        <v>0</v>
      </c>
      <c r="AZ90" t="s">
        <v>604</v>
      </c>
      <c r="BA90" t="s">
        <v>102</v>
      </c>
      <c r="BB90" t="s">
        <v>605</v>
      </c>
      <c r="BC90" t="s">
        <v>132</v>
      </c>
      <c r="BD90" t="s">
        <v>114</v>
      </c>
      <c r="BE90" t="s">
        <v>247</v>
      </c>
      <c r="BF90" t="s">
        <v>115</v>
      </c>
      <c r="BG90" t="str">
        <f t="shared" si="49"/>
        <v>CSLAP</v>
      </c>
      <c r="BH90" s="14" t="s">
        <v>102</v>
      </c>
      <c r="BJ90">
        <f t="shared" si="50"/>
        <v>1</v>
      </c>
      <c r="BK90">
        <f t="shared" si="51"/>
        <v>1</v>
      </c>
      <c r="BL90">
        <f t="shared" si="52"/>
        <v>0</v>
      </c>
      <c r="BM90" t="str">
        <f t="shared" si="53"/>
        <v>CSLAP</v>
      </c>
      <c r="BN90" t="str">
        <f t="shared" si="54"/>
        <v>no</v>
      </c>
      <c r="BO90">
        <v>0.49</v>
      </c>
      <c r="BY90" t="s">
        <v>606</v>
      </c>
    </row>
    <row r="91" spans="1:77" ht="15" customHeight="1" x14ac:dyDescent="0.3">
      <c r="A91" t="s">
        <v>1559</v>
      </c>
      <c r="B91" t="s">
        <v>1832</v>
      </c>
      <c r="C91" s="16">
        <v>111</v>
      </c>
      <c r="D91" s="16" t="s">
        <v>607</v>
      </c>
      <c r="E91" s="16" t="s">
        <v>448</v>
      </c>
      <c r="F91" s="16" t="s">
        <v>608</v>
      </c>
      <c r="G91" s="17">
        <f t="shared" si="46"/>
        <v>281.7054</v>
      </c>
      <c r="H91" s="17">
        <v>114</v>
      </c>
      <c r="I91" s="18">
        <f t="shared" si="47"/>
        <v>1734.7121999999999</v>
      </c>
      <c r="J91" s="18">
        <v>702</v>
      </c>
      <c r="K91" s="19">
        <f t="shared" si="40"/>
        <v>6.1578947368421053</v>
      </c>
      <c r="L91" s="19" t="s">
        <v>110</v>
      </c>
      <c r="M91" s="19"/>
      <c r="N91" s="20">
        <f t="shared" si="48"/>
        <v>33.46416</v>
      </c>
      <c r="O91" s="19">
        <v>10.199999999999999</v>
      </c>
      <c r="P91" s="21" t="str">
        <f t="shared" si="41"/>
        <v>no</v>
      </c>
      <c r="Q91" s="22">
        <v>2.5881410256410255</v>
      </c>
      <c r="R91" s="18" t="s">
        <v>609</v>
      </c>
      <c r="S91" s="23">
        <v>44.210149999999999</v>
      </c>
      <c r="T91" s="23">
        <v>-74.527929999999998</v>
      </c>
      <c r="U91" s="18" t="s">
        <v>78</v>
      </c>
      <c r="V91" s="18"/>
      <c r="W91" t="str">
        <f t="shared" si="44"/>
        <v>no</v>
      </c>
      <c r="Y91" t="str">
        <f t="shared" si="42"/>
        <v>recreation</v>
      </c>
      <c r="Z91" t="s">
        <v>79</v>
      </c>
      <c r="AA91" s="40" t="s">
        <v>79</v>
      </c>
      <c r="AB91" s="40" t="s">
        <v>79</v>
      </c>
      <c r="AC91" s="35">
        <v>10.415275366989517</v>
      </c>
      <c r="AD91" s="35" t="s">
        <v>484</v>
      </c>
      <c r="AF91" t="str">
        <f t="shared" si="43"/>
        <v/>
      </c>
      <c r="AG91" s="26" t="s">
        <v>81</v>
      </c>
      <c r="AH91" s="27" t="s">
        <v>81</v>
      </c>
      <c r="AI91" s="28" t="s">
        <v>82</v>
      </c>
      <c r="AJ91" s="29" t="s">
        <v>82</v>
      </c>
      <c r="AK91" s="30" t="s">
        <v>85</v>
      </c>
      <c r="AL91" s="31" t="s">
        <v>85</v>
      </c>
      <c r="AM91" s="32" t="s">
        <v>82</v>
      </c>
      <c r="AN91" s="33" t="s">
        <v>81</v>
      </c>
      <c r="AO91" s="32" t="s">
        <v>81</v>
      </c>
      <c r="AP91" s="39"/>
      <c r="AQ91">
        <v>0</v>
      </c>
      <c r="AR91">
        <v>0</v>
      </c>
      <c r="AS91">
        <v>0</v>
      </c>
      <c r="AT91">
        <v>0</v>
      </c>
      <c r="AU91">
        <v>0</v>
      </c>
      <c r="AV91">
        <v>0</v>
      </c>
      <c r="AW91">
        <v>0</v>
      </c>
      <c r="AX91">
        <v>0</v>
      </c>
      <c r="BD91" t="s">
        <v>215</v>
      </c>
      <c r="BE91" t="s">
        <v>216</v>
      </c>
      <c r="BF91" t="s">
        <v>216</v>
      </c>
      <c r="BG91" t="str">
        <f t="shared" si="49"/>
        <v>CSLAP</v>
      </c>
      <c r="BH91" s="14" t="str">
        <f>IF(RIGHT(CM91,4)="2011","yes","no")</f>
        <v>no</v>
      </c>
      <c r="BJ91">
        <f t="shared" si="50"/>
        <v>0</v>
      </c>
      <c r="BK91">
        <f t="shared" si="51"/>
        <v>0</v>
      </c>
      <c r="BL91">
        <f t="shared" si="52"/>
        <v>0</v>
      </c>
      <c r="BM91" t="str">
        <f t="shared" si="53"/>
        <v>CSLAP</v>
      </c>
      <c r="BN91" t="str">
        <f t="shared" si="54"/>
        <v>no</v>
      </c>
      <c r="BO91">
        <v>0.64</v>
      </c>
    </row>
    <row r="92" spans="1:77" ht="15" customHeight="1" x14ac:dyDescent="0.3">
      <c r="A92" t="s">
        <v>1560</v>
      </c>
      <c r="B92" t="s">
        <v>1833</v>
      </c>
      <c r="C92" s="16">
        <v>126</v>
      </c>
      <c r="D92" s="16" t="s">
        <v>610</v>
      </c>
      <c r="E92" s="16" t="s">
        <v>396</v>
      </c>
      <c r="F92" s="16" t="s">
        <v>611</v>
      </c>
      <c r="G92" s="17">
        <f t="shared" si="46"/>
        <v>275.28053999999997</v>
      </c>
      <c r="H92" s="17">
        <v>111.4</v>
      </c>
      <c r="I92" s="18">
        <f t="shared" si="47"/>
        <v>5605.6903499999999</v>
      </c>
      <c r="J92" s="18">
        <v>2268.5</v>
      </c>
      <c r="K92" s="19">
        <f t="shared" si="40"/>
        <v>20.363554757630162</v>
      </c>
      <c r="L92" s="19">
        <f>3.28*M92</f>
        <v>38.375999999999998</v>
      </c>
      <c r="M92" s="19">
        <v>11.7</v>
      </c>
      <c r="N92" s="20">
        <f t="shared" si="48"/>
        <v>16.404</v>
      </c>
      <c r="O92" s="19">
        <v>5</v>
      </c>
      <c r="P92" s="21" t="str">
        <f t="shared" si="41"/>
        <v>no</v>
      </c>
      <c r="Q92" s="22">
        <v>0.47619047619047616</v>
      </c>
      <c r="R92" s="18" t="s">
        <v>2160</v>
      </c>
      <c r="S92" s="23">
        <v>43.423699999999997</v>
      </c>
      <c r="T92" s="23">
        <v>-73.572569999999999</v>
      </c>
      <c r="U92" s="18" t="s">
        <v>163</v>
      </c>
      <c r="V92" s="18" t="s">
        <v>78</v>
      </c>
      <c r="W92" t="str">
        <f t="shared" si="44"/>
        <v>yes</v>
      </c>
      <c r="X92" t="s">
        <v>612</v>
      </c>
      <c r="Y92" t="str">
        <f t="shared" si="42"/>
        <v>potable water, recreation, and public bathing</v>
      </c>
      <c r="Z92" t="s">
        <v>79</v>
      </c>
      <c r="AA92" s="24" t="s">
        <v>613</v>
      </c>
      <c r="AB92" s="24" t="s">
        <v>79</v>
      </c>
      <c r="AC92" s="24">
        <f>IF(AND(AA92="none reported",AB92="none reported"),"",0)</f>
        <v>0</v>
      </c>
      <c r="AD92" s="24"/>
      <c r="AF92" t="str">
        <f t="shared" si="43"/>
        <v/>
      </c>
      <c r="AG92" s="26" t="s">
        <v>82</v>
      </c>
      <c r="AH92" s="27" t="s">
        <v>82</v>
      </c>
      <c r="AI92" s="28" t="s">
        <v>82</v>
      </c>
      <c r="AJ92" s="29" t="s">
        <v>82</v>
      </c>
      <c r="AK92" s="30" t="s">
        <v>85</v>
      </c>
      <c r="AL92" s="31" t="s">
        <v>121</v>
      </c>
      <c r="AM92" s="32" t="s">
        <v>82</v>
      </c>
      <c r="AN92" s="33" t="s">
        <v>81</v>
      </c>
      <c r="AO92" s="32" t="s">
        <v>81</v>
      </c>
      <c r="AP92" s="39"/>
      <c r="AQ92">
        <v>0</v>
      </c>
      <c r="AR92">
        <v>0</v>
      </c>
      <c r="AS92">
        <v>1</v>
      </c>
      <c r="AT92">
        <v>0</v>
      </c>
      <c r="AU92">
        <v>0</v>
      </c>
      <c r="AV92">
        <v>0</v>
      </c>
      <c r="AW92">
        <v>0</v>
      </c>
      <c r="AX92">
        <v>0</v>
      </c>
      <c r="AY92" t="s">
        <v>614</v>
      </c>
      <c r="AZ92" t="s">
        <v>615</v>
      </c>
      <c r="BA92" t="s">
        <v>102</v>
      </c>
      <c r="BB92" t="s">
        <v>2161</v>
      </c>
      <c r="BC92" t="s">
        <v>616</v>
      </c>
      <c r="BD92" t="s">
        <v>124</v>
      </c>
      <c r="BE92" t="s">
        <v>89</v>
      </c>
      <c r="BF92" t="s">
        <v>89</v>
      </c>
      <c r="BG92" t="str">
        <f t="shared" si="49"/>
        <v>CSLAP</v>
      </c>
      <c r="BH92" s="14" t="s">
        <v>102</v>
      </c>
      <c r="BJ92">
        <f t="shared" si="50"/>
        <v>0</v>
      </c>
      <c r="BK92">
        <f t="shared" si="51"/>
        <v>0</v>
      </c>
      <c r="BL92">
        <f t="shared" si="52"/>
        <v>0</v>
      </c>
      <c r="BM92" t="str">
        <f t="shared" si="53"/>
        <v>CSLAP</v>
      </c>
      <c r="BN92" t="str">
        <f t="shared" si="54"/>
        <v>no</v>
      </c>
      <c r="BO92">
        <v>0.51562706634339872</v>
      </c>
      <c r="BV92" t="s">
        <v>614</v>
      </c>
    </row>
    <row r="93" spans="1:77" ht="15" customHeight="1" x14ac:dyDescent="0.3">
      <c r="A93" t="s">
        <v>1561</v>
      </c>
      <c r="B93" t="s">
        <v>1834</v>
      </c>
      <c r="C93" s="16">
        <v>36</v>
      </c>
      <c r="D93" s="16" t="s">
        <v>617</v>
      </c>
      <c r="E93" s="16" t="s">
        <v>243</v>
      </c>
      <c r="F93" s="16" t="s">
        <v>244</v>
      </c>
      <c r="G93" s="17">
        <f t="shared" si="46"/>
        <v>134.42783999999997</v>
      </c>
      <c r="H93" s="17">
        <v>54.4</v>
      </c>
      <c r="I93" s="18">
        <f t="shared" si="47"/>
        <v>875.01651000000004</v>
      </c>
      <c r="J93" s="18">
        <v>354.1</v>
      </c>
      <c r="K93" s="19">
        <f t="shared" si="40"/>
        <v>6.5091911764705888</v>
      </c>
      <c r="L93" s="19">
        <f>3.28*M93</f>
        <v>61.335999999999991</v>
      </c>
      <c r="M93" s="19">
        <v>18.7</v>
      </c>
      <c r="N93" s="20">
        <f t="shared" si="48"/>
        <v>21.653279999999999</v>
      </c>
      <c r="O93" s="19">
        <v>6.6</v>
      </c>
      <c r="P93" s="21" t="str">
        <f t="shared" si="41"/>
        <v>no</v>
      </c>
      <c r="Q93" s="22">
        <v>2.5348771533465118</v>
      </c>
      <c r="R93" s="18" t="s">
        <v>2162</v>
      </c>
      <c r="S93" s="23">
        <v>42.83468044</v>
      </c>
      <c r="T93" s="23">
        <v>-75.677869319999999</v>
      </c>
      <c r="U93" s="18" t="s">
        <v>77</v>
      </c>
      <c r="V93" s="18" t="s">
        <v>96</v>
      </c>
      <c r="W93" t="str">
        <f t="shared" si="44"/>
        <v>no</v>
      </c>
      <c r="X93" t="s">
        <v>618</v>
      </c>
      <c r="Y93" t="str">
        <f t="shared" si="42"/>
        <v>recreation and public bathing</v>
      </c>
      <c r="Z93" t="s">
        <v>79</v>
      </c>
      <c r="AA93" s="24" t="s">
        <v>209</v>
      </c>
      <c r="AB93" s="24" t="s">
        <v>139</v>
      </c>
      <c r="AC93" s="24">
        <f>IF(AND(AA93="none reported",AB93="none reported"),"",0)</f>
        <v>0</v>
      </c>
      <c r="AD93" s="24"/>
      <c r="AE93" s="25" t="s">
        <v>619</v>
      </c>
      <c r="AF93" t="str">
        <f t="shared" si="43"/>
        <v>yes</v>
      </c>
      <c r="AG93" s="26" t="s">
        <v>81</v>
      </c>
      <c r="AH93" s="27" t="s">
        <v>82</v>
      </c>
      <c r="AI93" s="28" t="s">
        <v>82</v>
      </c>
      <c r="AJ93" s="29" t="s">
        <v>82</v>
      </c>
      <c r="AK93" s="30" t="s">
        <v>85</v>
      </c>
      <c r="AL93" s="31" t="s">
        <v>85</v>
      </c>
      <c r="AM93" s="32" t="s">
        <v>82</v>
      </c>
      <c r="AN93" s="39">
        <v>43746</v>
      </c>
      <c r="AO93" s="39">
        <v>43766</v>
      </c>
      <c r="AP93" s="39"/>
      <c r="AQ93">
        <v>4</v>
      </c>
      <c r="AR93">
        <v>1</v>
      </c>
      <c r="AS93">
        <v>0</v>
      </c>
      <c r="AT93">
        <v>0</v>
      </c>
      <c r="AU93">
        <v>0</v>
      </c>
      <c r="AV93">
        <v>1</v>
      </c>
      <c r="AW93">
        <v>0</v>
      </c>
      <c r="AX93">
        <v>3</v>
      </c>
      <c r="AY93" t="s">
        <v>212</v>
      </c>
      <c r="AZ93" t="s">
        <v>246</v>
      </c>
      <c r="BA93" t="s">
        <v>102</v>
      </c>
      <c r="BB93" t="s">
        <v>620</v>
      </c>
      <c r="BC93" t="s">
        <v>132</v>
      </c>
      <c r="BD93" t="s">
        <v>114</v>
      </c>
      <c r="BE93" t="s">
        <v>247</v>
      </c>
      <c r="BF93" t="s">
        <v>115</v>
      </c>
      <c r="BG93" t="str">
        <f t="shared" si="49"/>
        <v>CSLAP</v>
      </c>
      <c r="BH93" s="14" t="s">
        <v>102</v>
      </c>
      <c r="BJ93">
        <f t="shared" si="50"/>
        <v>2</v>
      </c>
      <c r="BK93">
        <f t="shared" si="51"/>
        <v>2</v>
      </c>
      <c r="BL93">
        <f t="shared" si="52"/>
        <v>1</v>
      </c>
      <c r="BM93" t="str">
        <f t="shared" si="53"/>
        <v>CSLAP</v>
      </c>
      <c r="BN93" t="str">
        <f t="shared" si="54"/>
        <v>yes</v>
      </c>
      <c r="BO93">
        <v>0.4</v>
      </c>
    </row>
    <row r="94" spans="1:77" ht="15" customHeight="1" x14ac:dyDescent="0.3">
      <c r="A94" t="s">
        <v>1562</v>
      </c>
      <c r="B94" t="s">
        <v>1835</v>
      </c>
      <c r="C94" s="16">
        <v>70</v>
      </c>
      <c r="D94" s="16" t="s">
        <v>621</v>
      </c>
      <c r="E94" s="16" t="s">
        <v>396</v>
      </c>
      <c r="F94" s="16" t="s">
        <v>622</v>
      </c>
      <c r="G94" s="17">
        <f t="shared" si="46"/>
        <v>115.15326</v>
      </c>
      <c r="H94" s="17">
        <v>46.6</v>
      </c>
      <c r="I94" s="18">
        <f t="shared" si="47"/>
        <v>642.48599999999999</v>
      </c>
      <c r="J94" s="18">
        <v>260</v>
      </c>
      <c r="K94" s="19">
        <f t="shared" si="40"/>
        <v>5.5793991416309012</v>
      </c>
      <c r="L94" s="19" t="s">
        <v>110</v>
      </c>
      <c r="M94" s="19"/>
      <c r="N94" s="20">
        <f t="shared" si="48"/>
        <v>27.886800000000001</v>
      </c>
      <c r="O94" s="19">
        <v>8.5</v>
      </c>
      <c r="P94" s="21" t="str">
        <f t="shared" si="41"/>
        <v>no</v>
      </c>
      <c r="Q94" s="22">
        <v>0.69078347107438021</v>
      </c>
      <c r="R94" s="18" t="s">
        <v>623</v>
      </c>
      <c r="S94" s="23">
        <v>43.106949380000003</v>
      </c>
      <c r="T94" s="23">
        <v>-73.382794970000006</v>
      </c>
      <c r="U94" s="18" t="s">
        <v>77</v>
      </c>
      <c r="V94" s="18" t="s">
        <v>96</v>
      </c>
      <c r="W94" t="str">
        <f t="shared" si="44"/>
        <v>no</v>
      </c>
      <c r="Y94" t="str">
        <f t="shared" si="42"/>
        <v>recreation</v>
      </c>
      <c r="Z94" t="s">
        <v>79</v>
      </c>
      <c r="AA94" s="24" t="s">
        <v>209</v>
      </c>
      <c r="AB94" s="24" t="s">
        <v>139</v>
      </c>
      <c r="AC94" s="24">
        <f>IF(AND(AA94="none reported",AB94="none reported"),"",0)</f>
        <v>0</v>
      </c>
      <c r="AD94" s="24"/>
      <c r="AF94" t="str">
        <f t="shared" si="43"/>
        <v/>
      </c>
      <c r="AG94" s="26" t="s">
        <v>81</v>
      </c>
      <c r="AH94" s="27" t="s">
        <v>156</v>
      </c>
      <c r="AI94" s="28" t="s">
        <v>156</v>
      </c>
      <c r="AJ94" s="29" t="s">
        <v>156</v>
      </c>
      <c r="AK94" s="30" t="s">
        <v>156</v>
      </c>
      <c r="AL94" s="31" t="s">
        <v>156</v>
      </c>
      <c r="AM94" s="32" t="s">
        <v>156</v>
      </c>
      <c r="AN94" s="33" t="s">
        <v>81</v>
      </c>
      <c r="AO94" s="32" t="s">
        <v>81</v>
      </c>
      <c r="AP94" s="39"/>
      <c r="AQ94">
        <v>0</v>
      </c>
      <c r="AR94">
        <v>0</v>
      </c>
      <c r="AS94">
        <v>0</v>
      </c>
      <c r="AT94">
        <v>0</v>
      </c>
      <c r="AU94">
        <v>0</v>
      </c>
      <c r="AV94">
        <v>0</v>
      </c>
      <c r="AW94">
        <v>0</v>
      </c>
      <c r="AX94">
        <v>0</v>
      </c>
      <c r="BD94" t="s">
        <v>88</v>
      </c>
      <c r="BE94" t="s">
        <v>89</v>
      </c>
      <c r="BF94" t="s">
        <v>143</v>
      </c>
      <c r="BG94" t="str">
        <f t="shared" si="49"/>
        <v>CSLAP</v>
      </c>
      <c r="BH94" s="14" t="str">
        <f>IF(RIGHT(CM94,4)="2011","yes","no")</f>
        <v>no</v>
      </c>
      <c r="BJ94">
        <f t="shared" si="50"/>
        <v>0</v>
      </c>
      <c r="BK94">
        <f t="shared" si="51"/>
        <v>0</v>
      </c>
      <c r="BL94">
        <f t="shared" si="52"/>
        <v>0</v>
      </c>
      <c r="BM94" t="str">
        <f t="shared" si="53"/>
        <v>CSLAP</v>
      </c>
      <c r="BN94" t="str">
        <f t="shared" si="54"/>
        <v>yes</v>
      </c>
      <c r="BO94">
        <v>2.2054111052948162</v>
      </c>
    </row>
    <row r="95" spans="1:77" x14ac:dyDescent="0.3">
      <c r="A95" t="s">
        <v>1563</v>
      </c>
      <c r="B95" t="s">
        <v>1836</v>
      </c>
      <c r="C95" s="37">
        <v>254.1</v>
      </c>
      <c r="D95" s="37" t="s">
        <v>624</v>
      </c>
      <c r="E95" s="42" t="s">
        <v>625</v>
      </c>
      <c r="F95" t="s">
        <v>626</v>
      </c>
      <c r="G95" s="36">
        <f t="shared" si="46"/>
        <v>1622.6989164933773</v>
      </c>
      <c r="H95" s="36">
        <v>656.67067965415299</v>
      </c>
      <c r="I95">
        <v>27456</v>
      </c>
      <c r="J95" s="37">
        <f>I95/2.4711</f>
        <v>11110.841325725387</v>
      </c>
      <c r="K95" s="21">
        <f t="shared" si="40"/>
        <v>16.919959532192156</v>
      </c>
      <c r="L95" s="21">
        <f>3.28*M95</f>
        <v>90.199999999999989</v>
      </c>
      <c r="M95" s="21">
        <v>27.5</v>
      </c>
      <c r="N95" s="21">
        <f>3.28*O95</f>
        <v>44.607999999999997</v>
      </c>
      <c r="O95" s="21">
        <v>13.6</v>
      </c>
      <c r="P95" s="21" t="str">
        <f t="shared" si="41"/>
        <v>no</v>
      </c>
      <c r="Q95" s="43">
        <v>2.850900265177378</v>
      </c>
      <c r="R95" s="37" t="s">
        <v>2109</v>
      </c>
      <c r="S95">
        <v>42.772989000000003</v>
      </c>
      <c r="T95">
        <v>-77.614710000000002</v>
      </c>
      <c r="U95" t="s">
        <v>163</v>
      </c>
      <c r="V95" t="s">
        <v>78</v>
      </c>
      <c r="W95" t="str">
        <f t="shared" si="44"/>
        <v>yes</v>
      </c>
      <c r="Y95" t="str">
        <f t="shared" si="42"/>
        <v>potable water and recreation</v>
      </c>
      <c r="AA95" t="s">
        <v>308</v>
      </c>
      <c r="AB95" t="s">
        <v>627</v>
      </c>
      <c r="AC95">
        <v>0</v>
      </c>
      <c r="AE95" s="25">
        <v>2019</v>
      </c>
      <c r="AF95" t="str">
        <f t="shared" si="43"/>
        <v>no</v>
      </c>
      <c r="AG95" t="s">
        <v>82</v>
      </c>
      <c r="AH95" t="s">
        <v>82</v>
      </c>
      <c r="AI95" t="s">
        <v>82</v>
      </c>
      <c r="AJ95" t="s">
        <v>82</v>
      </c>
      <c r="AK95" t="s">
        <v>85</v>
      </c>
      <c r="AL95" t="s">
        <v>85</v>
      </c>
      <c r="AM95" t="s">
        <v>82</v>
      </c>
      <c r="AN95" s="33">
        <v>43665</v>
      </c>
      <c r="AO95" s="33">
        <v>43698</v>
      </c>
      <c r="AP95" s="39"/>
      <c r="AQ95">
        <v>0</v>
      </c>
      <c r="AR95">
        <v>0</v>
      </c>
      <c r="AS95">
        <v>0</v>
      </c>
      <c r="AT95">
        <v>0</v>
      </c>
      <c r="AU95">
        <v>0</v>
      </c>
      <c r="AV95">
        <v>0</v>
      </c>
      <c r="AW95">
        <v>0</v>
      </c>
      <c r="AX95">
        <v>0</v>
      </c>
      <c r="AZ95" t="s">
        <v>309</v>
      </c>
      <c r="BA95" t="s">
        <v>102</v>
      </c>
      <c r="BB95" t="s">
        <v>2163</v>
      </c>
      <c r="BD95" t="s">
        <v>310</v>
      </c>
      <c r="BG95" t="s">
        <v>54</v>
      </c>
      <c r="BH95" s="14" t="s">
        <v>102</v>
      </c>
      <c r="BM95" t="s">
        <v>54</v>
      </c>
      <c r="BN95" t="s">
        <v>102</v>
      </c>
      <c r="BO95">
        <v>0.28194056388112776</v>
      </c>
    </row>
    <row r="96" spans="1:77" x14ac:dyDescent="0.3">
      <c r="A96" t="s">
        <v>1563</v>
      </c>
      <c r="B96" t="s">
        <v>1837</v>
      </c>
      <c r="C96" s="37">
        <v>254.2</v>
      </c>
      <c r="D96" s="37" t="s">
        <v>628</v>
      </c>
      <c r="E96" s="42" t="s">
        <v>625</v>
      </c>
      <c r="F96" t="s">
        <v>626</v>
      </c>
      <c r="G96" s="36">
        <f t="shared" si="46"/>
        <v>1622.6989164933773</v>
      </c>
      <c r="H96" s="36">
        <v>656.67067965415299</v>
      </c>
      <c r="I96">
        <v>27456</v>
      </c>
      <c r="J96" s="37">
        <f t="shared" ref="J96:J97" si="55">I96/2.4711</f>
        <v>11110.841325725387</v>
      </c>
      <c r="K96" s="21">
        <f t="shared" si="40"/>
        <v>16.919959532192156</v>
      </c>
      <c r="L96" s="21">
        <f t="shared" ref="L96:L97" si="56">3.28*M96</f>
        <v>90.199999999999989</v>
      </c>
      <c r="M96" s="21">
        <v>27.5</v>
      </c>
      <c r="N96" s="21">
        <f t="shared" ref="N96:N97" si="57">3.28*O96</f>
        <v>44.607999999999997</v>
      </c>
      <c r="O96" s="21">
        <v>13.6</v>
      </c>
      <c r="P96" s="21" t="str">
        <f t="shared" si="41"/>
        <v>no</v>
      </c>
      <c r="Q96" s="43">
        <v>2.850900265177378</v>
      </c>
      <c r="R96" s="37" t="s">
        <v>2109</v>
      </c>
      <c r="S96">
        <v>42.719932</v>
      </c>
      <c r="T96">
        <v>-77.610552999999996</v>
      </c>
      <c r="U96" t="s">
        <v>163</v>
      </c>
      <c r="V96" t="s">
        <v>78</v>
      </c>
      <c r="W96" t="str">
        <f t="shared" si="44"/>
        <v>yes</v>
      </c>
      <c r="Y96" t="str">
        <f t="shared" si="42"/>
        <v>potable water and recreation</v>
      </c>
      <c r="AA96" t="s">
        <v>308</v>
      </c>
      <c r="AB96" t="s">
        <v>627</v>
      </c>
      <c r="AC96">
        <v>0</v>
      </c>
      <c r="AE96" s="25">
        <v>2019</v>
      </c>
      <c r="AF96" t="str">
        <f t="shared" si="43"/>
        <v>no</v>
      </c>
      <c r="AG96" t="s">
        <v>82</v>
      </c>
      <c r="AH96" t="s">
        <v>82</v>
      </c>
      <c r="AI96" t="s">
        <v>82</v>
      </c>
      <c r="AJ96" t="s">
        <v>82</v>
      </c>
      <c r="AK96" t="s">
        <v>85</v>
      </c>
      <c r="AL96" t="s">
        <v>85</v>
      </c>
      <c r="AM96" t="s">
        <v>82</v>
      </c>
      <c r="AN96" s="33">
        <v>43665</v>
      </c>
      <c r="AO96" s="33">
        <v>43698</v>
      </c>
      <c r="AP96" s="39"/>
      <c r="AQ96">
        <v>0</v>
      </c>
      <c r="AR96">
        <v>0</v>
      </c>
      <c r="AS96">
        <v>0</v>
      </c>
      <c r="AT96">
        <v>0</v>
      </c>
      <c r="AU96">
        <v>0</v>
      </c>
      <c r="AV96">
        <v>0</v>
      </c>
      <c r="AW96">
        <v>0</v>
      </c>
      <c r="AX96">
        <v>0</v>
      </c>
      <c r="AZ96" t="s">
        <v>309</v>
      </c>
      <c r="BA96" t="s">
        <v>102</v>
      </c>
      <c r="BB96" t="s">
        <v>2163</v>
      </c>
      <c r="BD96" t="s">
        <v>310</v>
      </c>
      <c r="BG96" t="s">
        <v>54</v>
      </c>
      <c r="BH96" s="14" t="s">
        <v>102</v>
      </c>
      <c r="BM96" t="s">
        <v>54</v>
      </c>
      <c r="BN96" t="s">
        <v>102</v>
      </c>
      <c r="BO96">
        <v>0.28194056388112776</v>
      </c>
    </row>
    <row r="97" spans="1:77" x14ac:dyDescent="0.3">
      <c r="A97" t="s">
        <v>1563</v>
      </c>
      <c r="B97" t="s">
        <v>1838</v>
      </c>
      <c r="C97" s="37">
        <v>254.3</v>
      </c>
      <c r="D97" s="37" t="s">
        <v>629</v>
      </c>
      <c r="E97" s="42" t="s">
        <v>625</v>
      </c>
      <c r="F97" t="s">
        <v>626</v>
      </c>
      <c r="G97" s="36">
        <f t="shared" si="46"/>
        <v>1622.6989164933773</v>
      </c>
      <c r="H97" s="36">
        <v>656.67067965415299</v>
      </c>
      <c r="I97">
        <v>27456</v>
      </c>
      <c r="J97" s="37">
        <f t="shared" si="55"/>
        <v>11110.841325725387</v>
      </c>
      <c r="K97" s="21">
        <f t="shared" si="40"/>
        <v>16.919959532192156</v>
      </c>
      <c r="L97" s="21">
        <f t="shared" si="56"/>
        <v>90.199999999999989</v>
      </c>
      <c r="M97" s="21">
        <v>27.5</v>
      </c>
      <c r="N97" s="21">
        <f t="shared" si="57"/>
        <v>44.607999999999997</v>
      </c>
      <c r="O97" s="21">
        <v>13.6</v>
      </c>
      <c r="P97" s="21" t="str">
        <f t="shared" si="41"/>
        <v>no</v>
      </c>
      <c r="Q97" s="43">
        <v>2.850900265177378</v>
      </c>
      <c r="R97" s="37" t="s">
        <v>2109</v>
      </c>
      <c r="S97">
        <v>42.682239000000003</v>
      </c>
      <c r="T97">
        <v>-77.600173999999996</v>
      </c>
      <c r="U97" t="s">
        <v>163</v>
      </c>
      <c r="V97" t="s">
        <v>78</v>
      </c>
      <c r="W97" t="str">
        <f t="shared" si="44"/>
        <v>yes</v>
      </c>
      <c r="Y97" t="str">
        <f t="shared" si="42"/>
        <v>potable water and recreation</v>
      </c>
      <c r="AA97" t="s">
        <v>308</v>
      </c>
      <c r="AB97" t="s">
        <v>627</v>
      </c>
      <c r="AC97">
        <v>0</v>
      </c>
      <c r="AE97" s="25">
        <v>2019</v>
      </c>
      <c r="AF97" t="str">
        <f t="shared" si="43"/>
        <v>no</v>
      </c>
      <c r="AG97" t="s">
        <v>82</v>
      </c>
      <c r="AH97" t="s">
        <v>82</v>
      </c>
      <c r="AI97" t="s">
        <v>82</v>
      </c>
      <c r="AJ97" t="s">
        <v>82</v>
      </c>
      <c r="AK97" t="s">
        <v>85</v>
      </c>
      <c r="AL97" t="s">
        <v>85</v>
      </c>
      <c r="AM97" t="s">
        <v>82</v>
      </c>
      <c r="AN97" s="33">
        <v>43665</v>
      </c>
      <c r="AO97" s="33">
        <v>43698</v>
      </c>
      <c r="AP97" s="39"/>
      <c r="AQ97">
        <v>0</v>
      </c>
      <c r="AR97">
        <v>0</v>
      </c>
      <c r="AS97">
        <v>0</v>
      </c>
      <c r="AT97">
        <v>0</v>
      </c>
      <c r="AU97">
        <v>0</v>
      </c>
      <c r="AV97">
        <v>0</v>
      </c>
      <c r="AW97">
        <v>0</v>
      </c>
      <c r="AX97">
        <v>0</v>
      </c>
      <c r="AZ97" t="s">
        <v>309</v>
      </c>
      <c r="BA97" t="s">
        <v>102</v>
      </c>
      <c r="BB97" t="s">
        <v>2163</v>
      </c>
      <c r="BD97" t="s">
        <v>310</v>
      </c>
      <c r="BG97" t="s">
        <v>54</v>
      </c>
      <c r="BH97" s="14" t="s">
        <v>102</v>
      </c>
      <c r="BM97" t="s">
        <v>54</v>
      </c>
      <c r="BN97" t="s">
        <v>102</v>
      </c>
      <c r="BO97">
        <v>0.28194056388112776</v>
      </c>
    </row>
    <row r="98" spans="1:77" x14ac:dyDescent="0.3">
      <c r="A98" t="s">
        <v>1564</v>
      </c>
      <c r="B98" t="s">
        <v>1839</v>
      </c>
      <c r="C98" s="16">
        <v>189</v>
      </c>
      <c r="D98" s="16" t="s">
        <v>630</v>
      </c>
      <c r="E98" s="16" t="s">
        <v>165</v>
      </c>
      <c r="F98" s="16" t="s">
        <v>631</v>
      </c>
      <c r="G98" s="17">
        <f t="shared" si="46"/>
        <v>96.125789999999995</v>
      </c>
      <c r="H98" s="17">
        <v>38.9</v>
      </c>
      <c r="I98" s="18">
        <f t="shared" ref="I98:I114" si="58">IF(J98="","",J98*2.4711)</f>
        <v>480.87605999999994</v>
      </c>
      <c r="J98" s="18">
        <v>194.6</v>
      </c>
      <c r="K98" s="19">
        <f t="shared" si="40"/>
        <v>5.002570694087404</v>
      </c>
      <c r="L98" s="19">
        <v>19.028639999999999</v>
      </c>
      <c r="M98" s="19">
        <v>5.8</v>
      </c>
      <c r="N98" s="20">
        <f t="shared" ref="N98:N103" si="59">IF(O98="", "",O98*3.2808)</f>
        <v>15.419760000000002</v>
      </c>
      <c r="O98" s="19">
        <v>4.7</v>
      </c>
      <c r="P98" s="21" t="str">
        <f t="shared" si="41"/>
        <v>no</v>
      </c>
      <c r="Q98" s="22">
        <v>1.5401917342004618</v>
      </c>
      <c r="R98" s="18" t="s">
        <v>632</v>
      </c>
      <c r="S98" s="23">
        <v>41.529867904900001</v>
      </c>
      <c r="T98" s="23">
        <v>-74.849339591000003</v>
      </c>
      <c r="U98" s="18" t="s">
        <v>379</v>
      </c>
      <c r="V98" s="18" t="s">
        <v>77</v>
      </c>
      <c r="W98" t="str">
        <f t="shared" si="44"/>
        <v>yes</v>
      </c>
      <c r="Y98" t="s">
        <v>633</v>
      </c>
      <c r="Z98" t="s">
        <v>79</v>
      </c>
      <c r="AA98" s="40" t="s">
        <v>79</v>
      </c>
      <c r="AB98" s="40" t="s">
        <v>79</v>
      </c>
      <c r="AC98" s="35">
        <v>6.7157890354119898</v>
      </c>
      <c r="AD98" s="35" t="s">
        <v>634</v>
      </c>
      <c r="AF98" t="str">
        <f t="shared" si="43"/>
        <v/>
      </c>
      <c r="AG98" s="26" t="s">
        <v>257</v>
      </c>
      <c r="AH98" s="27" t="s">
        <v>82</v>
      </c>
      <c r="AI98" s="28" t="s">
        <v>82</v>
      </c>
      <c r="AJ98" s="29" t="s">
        <v>82</v>
      </c>
      <c r="AK98" s="30" t="s">
        <v>85</v>
      </c>
      <c r="AL98" s="31" t="s">
        <v>85</v>
      </c>
      <c r="AM98" s="32" t="s">
        <v>82</v>
      </c>
      <c r="AN98" s="33" t="s">
        <v>81</v>
      </c>
      <c r="AO98" s="32" t="s">
        <v>81</v>
      </c>
      <c r="AP98" s="39"/>
      <c r="AQ98">
        <v>0</v>
      </c>
      <c r="AR98">
        <v>0</v>
      </c>
      <c r="AS98">
        <v>0</v>
      </c>
      <c r="AT98">
        <v>0</v>
      </c>
      <c r="AU98">
        <v>0</v>
      </c>
      <c r="AV98">
        <v>0</v>
      </c>
      <c r="AW98">
        <v>0</v>
      </c>
      <c r="AX98">
        <v>0</v>
      </c>
      <c r="AZ98" t="s">
        <v>635</v>
      </c>
      <c r="BA98" t="s">
        <v>102</v>
      </c>
      <c r="BD98" t="s">
        <v>104</v>
      </c>
      <c r="BE98" t="s">
        <v>105</v>
      </c>
      <c r="BF98" t="s">
        <v>160</v>
      </c>
      <c r="BG98" t="str">
        <f t="shared" ref="BG98:BG114" si="60">IF(C98="","LCI","CSLAP")</f>
        <v>CSLAP</v>
      </c>
      <c r="BH98" s="14" t="str">
        <f>IF(RIGHT(CM98,4)="2011","yes","no")</f>
        <v>no</v>
      </c>
      <c r="BJ98">
        <f t="shared" ref="BJ98:BJ113" si="61">IF(MAX(AT98:AX98)=0,0,IF(MAX(AT98:AX98)=1,1,LEN(AE98)-LEN(SUBSTITUTE(UPPER(AE98),",",""))+1))</f>
        <v>0</v>
      </c>
      <c r="BK98">
        <f t="shared" ref="BK98:BK113" si="62">IF(BJ98&gt;1,2,IF(BJ98&gt;0,1,0))</f>
        <v>0</v>
      </c>
      <c r="BL98">
        <f t="shared" ref="BL98:BL113" si="63">IF(BJ98&gt;2,3,IF(BJ98&gt;2,2,IF(BJ98&gt;1,1,0)))</f>
        <v>0</v>
      </c>
      <c r="BM98" t="str">
        <f t="shared" ref="BM98:BM113" si="64">IF(C98="","LCI","CSLAP")</f>
        <v>CSLAP</v>
      </c>
      <c r="BN98" t="str">
        <f t="shared" ref="BN98:BN113" si="65">IF(LEFT(AB98,13)="zebra mussels","yes","no")</f>
        <v>no</v>
      </c>
      <c r="BO98">
        <v>0.61</v>
      </c>
      <c r="BY98" t="s">
        <v>636</v>
      </c>
    </row>
    <row r="99" spans="1:77" x14ac:dyDescent="0.3">
      <c r="A99" t="s">
        <v>1565</v>
      </c>
      <c r="B99" t="s">
        <v>1840</v>
      </c>
      <c r="C99" s="16">
        <v>112</v>
      </c>
      <c r="D99" s="16" t="s">
        <v>637</v>
      </c>
      <c r="E99" s="16" t="s">
        <v>593</v>
      </c>
      <c r="F99" s="16" t="s">
        <v>638</v>
      </c>
      <c r="G99" s="17">
        <f t="shared" si="46"/>
        <v>25.699439999999999</v>
      </c>
      <c r="H99" s="17">
        <v>10.4</v>
      </c>
      <c r="I99" s="18">
        <f t="shared" si="58"/>
        <v>138.38159999999999</v>
      </c>
      <c r="J99" s="18">
        <v>56</v>
      </c>
      <c r="K99" s="19">
        <f t="shared" si="40"/>
        <v>5.3846153846153841</v>
      </c>
      <c r="L99" s="19" t="s">
        <v>110</v>
      </c>
      <c r="M99" s="19"/>
      <c r="N99" s="20">
        <f t="shared" si="59"/>
        <v>1.6404000000000001</v>
      </c>
      <c r="O99" s="19">
        <v>0.5</v>
      </c>
      <c r="P99" s="21" t="str">
        <f t="shared" si="41"/>
        <v>no</v>
      </c>
      <c r="Q99" s="22">
        <v>0.18274285714285715</v>
      </c>
      <c r="R99" s="18" t="s">
        <v>639</v>
      </c>
      <c r="S99" s="23">
        <v>41.617640000000002</v>
      </c>
      <c r="T99" s="23">
        <v>-73.797380000000004</v>
      </c>
      <c r="U99" s="18" t="s">
        <v>77</v>
      </c>
      <c r="V99" s="18" t="s">
        <v>77</v>
      </c>
      <c r="W99" t="str">
        <f t="shared" si="44"/>
        <v>no</v>
      </c>
      <c r="Y99" t="str">
        <f>IF(W99="yes",IF(X99="","potable water and recreation","potable water, recreation, and public bathing"),IF(X99="","recreation","recreation and public bathing"))</f>
        <v>recreation</v>
      </c>
      <c r="Z99" t="s">
        <v>79</v>
      </c>
      <c r="AA99" s="40" t="s">
        <v>79</v>
      </c>
      <c r="AB99" s="40" t="s">
        <v>79</v>
      </c>
      <c r="AC99" s="35">
        <v>6.2283284845433302</v>
      </c>
      <c r="AD99" s="35" t="s">
        <v>640</v>
      </c>
      <c r="AF99" t="str">
        <f t="shared" si="43"/>
        <v/>
      </c>
      <c r="AG99" s="26" t="s">
        <v>81</v>
      </c>
      <c r="AH99" s="27" t="s">
        <v>83</v>
      </c>
      <c r="AI99" s="28" t="s">
        <v>141</v>
      </c>
      <c r="AJ99" s="29" t="s">
        <v>83</v>
      </c>
      <c r="AK99" s="30" t="s">
        <v>121</v>
      </c>
      <c r="AL99" s="31" t="s">
        <v>121</v>
      </c>
      <c r="AM99" s="32" t="s">
        <v>82</v>
      </c>
      <c r="AN99" s="33" t="s">
        <v>81</v>
      </c>
      <c r="AO99" s="32" t="s">
        <v>81</v>
      </c>
      <c r="AP99" s="39"/>
      <c r="AQ99">
        <v>0</v>
      </c>
      <c r="AR99">
        <v>0</v>
      </c>
      <c r="AS99">
        <v>0</v>
      </c>
      <c r="AT99">
        <v>0</v>
      </c>
      <c r="AU99">
        <v>0</v>
      </c>
      <c r="AV99">
        <v>0</v>
      </c>
      <c r="AW99">
        <v>0</v>
      </c>
      <c r="AX99">
        <v>0</v>
      </c>
      <c r="BD99" t="s">
        <v>152</v>
      </c>
      <c r="BF99" t="s">
        <v>106</v>
      </c>
      <c r="BG99" t="str">
        <f t="shared" si="60"/>
        <v>CSLAP</v>
      </c>
      <c r="BH99" s="14" t="str">
        <f>IF(RIGHT(CM99,4)="2011","yes","no")</f>
        <v>no</v>
      </c>
      <c r="BJ99">
        <f t="shared" si="61"/>
        <v>0</v>
      </c>
      <c r="BK99">
        <f t="shared" si="62"/>
        <v>0</v>
      </c>
      <c r="BL99">
        <f t="shared" si="63"/>
        <v>0</v>
      </c>
      <c r="BM99" t="str">
        <f t="shared" si="64"/>
        <v>CSLAP</v>
      </c>
      <c r="BN99" t="str">
        <f t="shared" si="65"/>
        <v>no</v>
      </c>
      <c r="BO99">
        <v>0.50813008130081305</v>
      </c>
    </row>
    <row r="100" spans="1:77" x14ac:dyDescent="0.3">
      <c r="A100" t="s">
        <v>1566</v>
      </c>
      <c r="B100" t="s">
        <v>1841</v>
      </c>
      <c r="C100" s="16">
        <v>115.2</v>
      </c>
      <c r="D100" s="16" t="s">
        <v>641</v>
      </c>
      <c r="E100" s="16" t="s">
        <v>228</v>
      </c>
      <c r="F100" s="16" t="s">
        <v>642</v>
      </c>
      <c r="G100" s="17">
        <f t="shared" si="46"/>
        <v>1734.4650899999999</v>
      </c>
      <c r="H100" s="17">
        <v>701.9</v>
      </c>
      <c r="I100" s="18">
        <f t="shared" si="58"/>
        <v>26687.879999999997</v>
      </c>
      <c r="J100" s="18">
        <v>10800</v>
      </c>
      <c r="K100" s="19">
        <f t="shared" si="40"/>
        <v>15.386807237498219</v>
      </c>
      <c r="L100" s="19">
        <f>3.28*M100</f>
        <v>32.143999999999998</v>
      </c>
      <c r="M100" s="19">
        <v>9.8000000000000007</v>
      </c>
      <c r="N100" s="20">
        <f t="shared" si="59"/>
        <v>17.38824</v>
      </c>
      <c r="O100" s="19">
        <v>5.3</v>
      </c>
      <c r="P100" s="21" t="str">
        <f t="shared" si="41"/>
        <v>no</v>
      </c>
      <c r="Q100" s="22">
        <v>0.69078347107437998</v>
      </c>
      <c r="R100" s="18" t="s">
        <v>2164</v>
      </c>
      <c r="S100" s="23">
        <v>42.751300000000001</v>
      </c>
      <c r="T100" s="23">
        <v>-77.508700000000005</v>
      </c>
      <c r="U100" s="16" t="s">
        <v>379</v>
      </c>
      <c r="V100" s="16" t="s">
        <v>96</v>
      </c>
      <c r="W100" t="str">
        <f t="shared" si="44"/>
        <v>yes</v>
      </c>
      <c r="X100" t="s">
        <v>643</v>
      </c>
      <c r="Y100" t="str">
        <f t="shared" ref="Y100:Y163" si="66">IF(W100="yes",IF(X100="","potable water and recreation","potable water, recreation, and public bathing"),IF(X100="","recreation","recreation and public bathing"))</f>
        <v>potable water, recreation, and public bathing</v>
      </c>
      <c r="Z100" t="s">
        <v>79</v>
      </c>
      <c r="AA100" s="24" t="s">
        <v>209</v>
      </c>
      <c r="AB100" s="24" t="s">
        <v>139</v>
      </c>
      <c r="AC100" s="24">
        <f>IF(AND(AA100="none reported",AB100="none reported"),"",0)</f>
        <v>0</v>
      </c>
      <c r="AD100" s="24"/>
      <c r="AE100" s="25" t="s">
        <v>211</v>
      </c>
      <c r="AF100" t="str">
        <f t="shared" si="43"/>
        <v>yes</v>
      </c>
      <c r="AG100" s="26" t="s">
        <v>141</v>
      </c>
      <c r="AH100" s="27" t="s">
        <v>141</v>
      </c>
      <c r="AI100" s="28" t="s">
        <v>141</v>
      </c>
      <c r="AJ100" s="29" t="s">
        <v>82</v>
      </c>
      <c r="AK100" s="30" t="s">
        <v>121</v>
      </c>
      <c r="AL100" s="31" t="s">
        <v>121</v>
      </c>
      <c r="AM100" s="32" t="s">
        <v>156</v>
      </c>
      <c r="AN100" s="39">
        <v>43647</v>
      </c>
      <c r="AO100" s="39">
        <v>43381</v>
      </c>
      <c r="AP100" s="39"/>
      <c r="AQ100">
        <v>16</v>
      </c>
      <c r="AR100">
        <v>13</v>
      </c>
      <c r="AS100">
        <v>13</v>
      </c>
      <c r="AT100">
        <v>9</v>
      </c>
      <c r="AU100">
        <v>7</v>
      </c>
      <c r="AV100">
        <v>8</v>
      </c>
      <c r="AW100">
        <v>13</v>
      </c>
      <c r="AX100">
        <v>7</v>
      </c>
      <c r="AY100" t="s">
        <v>361</v>
      </c>
      <c r="AZ100" t="s">
        <v>644</v>
      </c>
      <c r="BA100" t="s">
        <v>102</v>
      </c>
      <c r="BB100" t="s">
        <v>645</v>
      </c>
      <c r="BD100" t="s">
        <v>310</v>
      </c>
      <c r="BE100" t="s">
        <v>229</v>
      </c>
      <c r="BF100" t="s">
        <v>229</v>
      </c>
      <c r="BG100" t="str">
        <f t="shared" si="60"/>
        <v>CSLAP</v>
      </c>
      <c r="BH100" s="14" t="s">
        <v>102</v>
      </c>
      <c r="BJ100">
        <f t="shared" si="61"/>
        <v>7</v>
      </c>
      <c r="BK100">
        <f t="shared" si="62"/>
        <v>2</v>
      </c>
      <c r="BL100">
        <f t="shared" si="63"/>
        <v>3</v>
      </c>
      <c r="BM100" t="str">
        <f t="shared" si="64"/>
        <v>CSLAP</v>
      </c>
      <c r="BN100" t="str">
        <f t="shared" si="65"/>
        <v>yes</v>
      </c>
      <c r="BO100">
        <v>0.49863805425193386</v>
      </c>
      <c r="BS100" s="41">
        <f>(20+32)/2</f>
        <v>26</v>
      </c>
      <c r="BV100" t="s">
        <v>361</v>
      </c>
    </row>
    <row r="101" spans="1:77" x14ac:dyDescent="0.3">
      <c r="A101" t="s">
        <v>1566</v>
      </c>
      <c r="B101" t="s">
        <v>1842</v>
      </c>
      <c r="C101" s="16">
        <v>115.1</v>
      </c>
      <c r="D101" s="16" t="s">
        <v>646</v>
      </c>
      <c r="E101" s="16" t="s">
        <v>228</v>
      </c>
      <c r="F101" s="16" t="s">
        <v>642</v>
      </c>
      <c r="G101" s="17">
        <f t="shared" si="46"/>
        <v>1734.4650899999999</v>
      </c>
      <c r="H101" s="17">
        <v>701.9</v>
      </c>
      <c r="I101" s="18">
        <f t="shared" si="58"/>
        <v>26687.879999999997</v>
      </c>
      <c r="J101" s="18">
        <v>10800</v>
      </c>
      <c r="K101" s="19">
        <f t="shared" si="40"/>
        <v>15.386807237498219</v>
      </c>
      <c r="L101" s="19">
        <f>3.28*M101</f>
        <v>32.143999999999998</v>
      </c>
      <c r="M101" s="19">
        <v>9.8000000000000007</v>
      </c>
      <c r="N101" s="20">
        <f t="shared" si="59"/>
        <v>17.38824</v>
      </c>
      <c r="O101" s="19">
        <v>5.3</v>
      </c>
      <c r="P101" s="21" t="str">
        <f t="shared" si="41"/>
        <v>no</v>
      </c>
      <c r="Q101" s="22">
        <v>0.69078347107437998</v>
      </c>
      <c r="R101" s="18" t="s">
        <v>306</v>
      </c>
      <c r="S101" s="23">
        <v>42.751300000000001</v>
      </c>
      <c r="T101" s="23">
        <v>-77.508700000000005</v>
      </c>
      <c r="U101" s="16" t="s">
        <v>379</v>
      </c>
      <c r="V101" s="16" t="s">
        <v>96</v>
      </c>
      <c r="W101" t="str">
        <f t="shared" si="44"/>
        <v>yes</v>
      </c>
      <c r="X101" t="s">
        <v>643</v>
      </c>
      <c r="Y101" t="str">
        <f t="shared" si="66"/>
        <v>potable water, recreation, and public bathing</v>
      </c>
      <c r="Z101" t="s">
        <v>79</v>
      </c>
      <c r="AA101" s="24" t="s">
        <v>209</v>
      </c>
      <c r="AB101" s="24" t="s">
        <v>139</v>
      </c>
      <c r="AC101" s="24">
        <f>IF(AND(AA101="none reported",AB101="none reported"),"",0)</f>
        <v>0</v>
      </c>
      <c r="AD101" s="24"/>
      <c r="AE101" s="25" t="s">
        <v>211</v>
      </c>
      <c r="AF101" t="str">
        <f t="shared" si="43"/>
        <v>yes</v>
      </c>
      <c r="AG101" s="26" t="s">
        <v>141</v>
      </c>
      <c r="AH101" s="27" t="s">
        <v>141</v>
      </c>
      <c r="AI101" s="28" t="s">
        <v>141</v>
      </c>
      <c r="AJ101" s="29" t="s">
        <v>82</v>
      </c>
      <c r="AK101" s="30" t="s">
        <v>121</v>
      </c>
      <c r="AL101" s="31" t="s">
        <v>121</v>
      </c>
      <c r="AM101" s="32" t="s">
        <v>156</v>
      </c>
      <c r="AN101" s="39">
        <v>43647</v>
      </c>
      <c r="AO101" s="39">
        <v>43381</v>
      </c>
      <c r="AP101" s="39"/>
      <c r="AQ101">
        <v>16</v>
      </c>
      <c r="AR101">
        <v>13</v>
      </c>
      <c r="AS101">
        <v>13</v>
      </c>
      <c r="AT101">
        <v>9</v>
      </c>
      <c r="AU101">
        <v>7</v>
      </c>
      <c r="AV101">
        <v>8</v>
      </c>
      <c r="AW101">
        <v>13</v>
      </c>
      <c r="AX101">
        <v>7</v>
      </c>
      <c r="AY101" t="s">
        <v>361</v>
      </c>
      <c r="AZ101" t="s">
        <v>644</v>
      </c>
      <c r="BA101" t="s">
        <v>102</v>
      </c>
      <c r="BB101" t="s">
        <v>645</v>
      </c>
      <c r="BD101" t="s">
        <v>310</v>
      </c>
      <c r="BE101" t="s">
        <v>229</v>
      </c>
      <c r="BF101" t="s">
        <v>229</v>
      </c>
      <c r="BG101" t="str">
        <f t="shared" si="60"/>
        <v>CSLAP</v>
      </c>
      <c r="BH101" s="14" t="s">
        <v>102</v>
      </c>
      <c r="BJ101">
        <f t="shared" si="61"/>
        <v>7</v>
      </c>
      <c r="BK101">
        <f t="shared" si="62"/>
        <v>2</v>
      </c>
      <c r="BL101">
        <f t="shared" si="63"/>
        <v>3</v>
      </c>
      <c r="BM101" t="str">
        <f t="shared" si="64"/>
        <v>CSLAP</v>
      </c>
      <c r="BN101" t="str">
        <f t="shared" si="65"/>
        <v>yes</v>
      </c>
      <c r="BO101">
        <v>0.49863805425193386</v>
      </c>
      <c r="BS101" s="41">
        <f>(20+32)/2</f>
        <v>26</v>
      </c>
      <c r="BV101" t="s">
        <v>361</v>
      </c>
    </row>
    <row r="102" spans="1:77" x14ac:dyDescent="0.3">
      <c r="A102" t="s">
        <v>1567</v>
      </c>
      <c r="B102" t="s">
        <v>1843</v>
      </c>
      <c r="C102" s="16">
        <v>170</v>
      </c>
      <c r="D102" s="16" t="s">
        <v>493</v>
      </c>
      <c r="E102" s="16" t="s">
        <v>448</v>
      </c>
      <c r="F102" s="16" t="s">
        <v>449</v>
      </c>
      <c r="G102" s="17">
        <f t="shared" si="46"/>
        <v>51.151769999999992</v>
      </c>
      <c r="H102" s="17">
        <v>20.7</v>
      </c>
      <c r="I102" s="18">
        <f t="shared" si="58"/>
        <v>1453.7481299999997</v>
      </c>
      <c r="J102" s="18">
        <v>588.29999999999995</v>
      </c>
      <c r="K102" s="19">
        <f t="shared" si="40"/>
        <v>28.420289855072461</v>
      </c>
      <c r="L102" s="19">
        <v>9.1862399999999997</v>
      </c>
      <c r="M102" s="19">
        <v>2.8</v>
      </c>
      <c r="N102" s="20">
        <f t="shared" si="59"/>
        <v>4.3175327999999995</v>
      </c>
      <c r="O102" s="19">
        <v>1.3159999999999998</v>
      </c>
      <c r="P102" s="21" t="str">
        <f t="shared" si="41"/>
        <v>no</v>
      </c>
      <c r="Q102" s="22">
        <v>7.5909748288344014E-2</v>
      </c>
      <c r="R102" s="18" t="s">
        <v>647</v>
      </c>
      <c r="S102" s="23">
        <v>44.670204098399999</v>
      </c>
      <c r="T102" s="23">
        <v>-74.290270245299993</v>
      </c>
      <c r="U102" s="18" t="s">
        <v>78</v>
      </c>
      <c r="V102" s="18"/>
      <c r="W102" t="str">
        <f t="shared" si="44"/>
        <v>no</v>
      </c>
      <c r="X102" t="s">
        <v>648</v>
      </c>
      <c r="Y102" t="str">
        <f t="shared" si="66"/>
        <v>recreation and public bathing</v>
      </c>
      <c r="Z102" t="s">
        <v>79</v>
      </c>
      <c r="AA102" s="24" t="s">
        <v>120</v>
      </c>
      <c r="AB102" s="24" t="s">
        <v>79</v>
      </c>
      <c r="AC102" s="24">
        <f>IF(AND(AA102="none reported",AB102="none reported"),"",0)</f>
        <v>0</v>
      </c>
      <c r="AD102" s="24"/>
      <c r="AF102" t="str">
        <f t="shared" si="43"/>
        <v/>
      </c>
      <c r="AG102" s="26" t="s">
        <v>81</v>
      </c>
      <c r="AH102" s="27" t="s">
        <v>81</v>
      </c>
      <c r="AI102" s="28" t="s">
        <v>83</v>
      </c>
      <c r="AJ102" s="29" t="s">
        <v>82</v>
      </c>
      <c r="AK102" s="30" t="s">
        <v>100</v>
      </c>
      <c r="AL102" s="31" t="s">
        <v>100</v>
      </c>
      <c r="AM102" s="32" t="s">
        <v>82</v>
      </c>
      <c r="AN102" s="33" t="s">
        <v>81</v>
      </c>
      <c r="AO102" s="32" t="s">
        <v>81</v>
      </c>
      <c r="AP102" s="39"/>
      <c r="AQ102">
        <v>0</v>
      </c>
      <c r="AR102">
        <v>0</v>
      </c>
      <c r="AS102">
        <v>0</v>
      </c>
      <c r="AT102">
        <v>0</v>
      </c>
      <c r="AU102">
        <v>0</v>
      </c>
      <c r="AV102">
        <v>0</v>
      </c>
      <c r="AW102">
        <v>0</v>
      </c>
      <c r="AX102">
        <v>0</v>
      </c>
      <c r="AZ102" t="s">
        <v>452</v>
      </c>
      <c r="BA102" t="s">
        <v>102</v>
      </c>
      <c r="BB102" t="s">
        <v>453</v>
      </c>
      <c r="BC102" t="s">
        <v>87</v>
      </c>
      <c r="BD102" t="s">
        <v>215</v>
      </c>
      <c r="BE102" t="s">
        <v>216</v>
      </c>
      <c r="BF102" t="s">
        <v>89</v>
      </c>
      <c r="BG102" t="str">
        <f t="shared" si="60"/>
        <v>CSLAP</v>
      </c>
      <c r="BH102" s="14" t="s">
        <v>102</v>
      </c>
      <c r="BJ102">
        <f t="shared" si="61"/>
        <v>0</v>
      </c>
      <c r="BK102">
        <f t="shared" si="62"/>
        <v>0</v>
      </c>
      <c r="BL102">
        <f t="shared" si="63"/>
        <v>0</v>
      </c>
      <c r="BM102" t="str">
        <f t="shared" si="64"/>
        <v>CSLAP</v>
      </c>
      <c r="BN102" t="str">
        <f t="shared" si="65"/>
        <v>no</v>
      </c>
      <c r="BO102">
        <v>0.61</v>
      </c>
    </row>
    <row r="103" spans="1:77" x14ac:dyDescent="0.3">
      <c r="A103" t="s">
        <v>1569</v>
      </c>
      <c r="B103" t="s">
        <v>1844</v>
      </c>
      <c r="C103" s="16">
        <v>107</v>
      </c>
      <c r="D103" s="16" t="s">
        <v>649</v>
      </c>
      <c r="E103" s="16" t="s">
        <v>136</v>
      </c>
      <c r="F103" s="16" t="s">
        <v>519</v>
      </c>
      <c r="G103" s="17">
        <f t="shared" si="46"/>
        <v>134.42783999999997</v>
      </c>
      <c r="H103" s="17">
        <v>54.4</v>
      </c>
      <c r="I103" s="18">
        <f t="shared" si="58"/>
        <v>1383.8159999999998</v>
      </c>
      <c r="J103" s="18">
        <v>560</v>
      </c>
      <c r="K103" s="19">
        <f t="shared" si="40"/>
        <v>10.294117647058824</v>
      </c>
      <c r="L103" s="19">
        <v>26.246400000000001</v>
      </c>
      <c r="M103" s="19">
        <v>8</v>
      </c>
      <c r="N103" s="20">
        <f t="shared" si="59"/>
        <v>12.335808</v>
      </c>
      <c r="O103" s="19">
        <v>3.76</v>
      </c>
      <c r="P103" s="21" t="str">
        <f t="shared" si="41"/>
        <v>no</v>
      </c>
      <c r="Q103" s="22">
        <v>0.91314285714285703</v>
      </c>
      <c r="R103" s="18" t="s">
        <v>2165</v>
      </c>
      <c r="S103" s="23">
        <v>43.259961220000001</v>
      </c>
      <c r="T103" s="23">
        <v>-73.905744679999998</v>
      </c>
      <c r="U103" s="18" t="s">
        <v>77</v>
      </c>
      <c r="V103" s="18"/>
      <c r="W103" t="str">
        <f t="shared" si="44"/>
        <v>no</v>
      </c>
      <c r="Y103" t="str">
        <f t="shared" si="66"/>
        <v>recreation</v>
      </c>
      <c r="Z103" t="s">
        <v>79</v>
      </c>
      <c r="AA103" s="24" t="s">
        <v>521</v>
      </c>
      <c r="AB103" s="24" t="s">
        <v>79</v>
      </c>
      <c r="AC103" s="24">
        <f>IF(AND(AA103="none reported",AB103="none reported"),"",0)</f>
        <v>0</v>
      </c>
      <c r="AD103" s="24"/>
      <c r="AF103" t="str">
        <f t="shared" si="43"/>
        <v/>
      </c>
      <c r="AG103" s="26" t="s">
        <v>81</v>
      </c>
      <c r="AH103" s="27" t="s">
        <v>82</v>
      </c>
      <c r="AI103" s="28" t="s">
        <v>82</v>
      </c>
      <c r="AJ103" s="29" t="s">
        <v>82</v>
      </c>
      <c r="AK103" s="30" t="s">
        <v>85</v>
      </c>
      <c r="AL103" s="31" t="s">
        <v>85</v>
      </c>
      <c r="AM103" s="32" t="s">
        <v>82</v>
      </c>
      <c r="AN103" s="33" t="s">
        <v>81</v>
      </c>
      <c r="AO103" s="32" t="s">
        <v>81</v>
      </c>
      <c r="AP103" s="39"/>
      <c r="AQ103">
        <v>0</v>
      </c>
      <c r="AR103">
        <v>0</v>
      </c>
      <c r="AS103">
        <v>0</v>
      </c>
      <c r="AT103">
        <v>0</v>
      </c>
      <c r="AU103">
        <v>0</v>
      </c>
      <c r="AV103">
        <v>0</v>
      </c>
      <c r="AW103">
        <v>0</v>
      </c>
      <c r="AX103">
        <v>0</v>
      </c>
      <c r="AZ103" t="s">
        <v>650</v>
      </c>
      <c r="BA103" t="s">
        <v>102</v>
      </c>
      <c r="BB103" t="s">
        <v>651</v>
      </c>
      <c r="BC103" t="s">
        <v>87</v>
      </c>
      <c r="BD103" t="s">
        <v>88</v>
      </c>
      <c r="BE103" t="s">
        <v>89</v>
      </c>
      <c r="BF103" t="s">
        <v>89</v>
      </c>
      <c r="BG103" t="str">
        <f t="shared" si="60"/>
        <v>CSLAP</v>
      </c>
      <c r="BH103" s="14" t="s">
        <v>99</v>
      </c>
      <c r="BJ103">
        <f t="shared" si="61"/>
        <v>0</v>
      </c>
      <c r="BK103">
        <f t="shared" si="62"/>
        <v>0</v>
      </c>
      <c r="BL103">
        <f t="shared" si="63"/>
        <v>0</v>
      </c>
      <c r="BM103" t="str">
        <f t="shared" si="64"/>
        <v>CSLAP</v>
      </c>
      <c r="BN103" t="str">
        <f t="shared" si="65"/>
        <v>no</v>
      </c>
      <c r="BO103">
        <v>0.4</v>
      </c>
    </row>
    <row r="104" spans="1:77" x14ac:dyDescent="0.3">
      <c r="A104" t="s">
        <v>1570</v>
      </c>
      <c r="B104" t="s">
        <v>1845</v>
      </c>
      <c r="C104" s="16">
        <v>156</v>
      </c>
      <c r="D104" s="16" t="s">
        <v>652</v>
      </c>
      <c r="E104" s="16" t="s">
        <v>237</v>
      </c>
      <c r="F104" s="16" t="s">
        <v>653</v>
      </c>
      <c r="G104" s="17">
        <f t="shared" si="46"/>
        <v>185.57960999999997</v>
      </c>
      <c r="H104" s="17">
        <v>75.099999999999994</v>
      </c>
      <c r="I104" s="18">
        <f t="shared" si="58"/>
        <v>1210.8389999999999</v>
      </c>
      <c r="J104" s="18">
        <v>490</v>
      </c>
      <c r="K104" s="19">
        <f t="shared" si="40"/>
        <v>6.5246338215712392</v>
      </c>
      <c r="L104" s="19">
        <v>18</v>
      </c>
      <c r="M104" s="19">
        <v>5.5</v>
      </c>
      <c r="N104" s="20">
        <v>11.5</v>
      </c>
      <c r="O104" s="19">
        <v>3.5</v>
      </c>
      <c r="P104" s="21" t="str">
        <f t="shared" si="41"/>
        <v>no</v>
      </c>
      <c r="Q104" s="22">
        <v>1.1738043138480774</v>
      </c>
      <c r="R104" s="18" t="s">
        <v>654</v>
      </c>
      <c r="S104" s="23">
        <v>44.243200760000001</v>
      </c>
      <c r="T104" s="23">
        <v>-75.832991750000005</v>
      </c>
      <c r="U104" s="18" t="s">
        <v>77</v>
      </c>
      <c r="V104" s="18" t="s">
        <v>96</v>
      </c>
      <c r="W104" t="str">
        <f t="shared" si="44"/>
        <v>no</v>
      </c>
      <c r="X104" t="s">
        <v>655</v>
      </c>
      <c r="Y104" t="str">
        <f t="shared" si="66"/>
        <v>recreation and public bathing</v>
      </c>
      <c r="Z104" t="s">
        <v>79</v>
      </c>
      <c r="AA104" s="24" t="s">
        <v>120</v>
      </c>
      <c r="AB104" s="24" t="s">
        <v>79</v>
      </c>
      <c r="AC104" s="24">
        <f>IF(AND(AA104="none reported",AB104="none reported"),"",0)</f>
        <v>0</v>
      </c>
      <c r="AD104" s="24"/>
      <c r="AF104" t="str">
        <f t="shared" si="43"/>
        <v/>
      </c>
      <c r="AG104" s="26" t="s">
        <v>81</v>
      </c>
      <c r="AH104" s="27" t="s">
        <v>83</v>
      </c>
      <c r="AI104" s="28" t="s">
        <v>83</v>
      </c>
      <c r="AJ104" s="29" t="s">
        <v>83</v>
      </c>
      <c r="AK104" s="30" t="s">
        <v>84</v>
      </c>
      <c r="AL104" s="31" t="s">
        <v>85</v>
      </c>
      <c r="AM104" s="32" t="s">
        <v>82</v>
      </c>
      <c r="AN104" s="33" t="s">
        <v>81</v>
      </c>
      <c r="AO104" s="32" t="s">
        <v>81</v>
      </c>
      <c r="AP104" s="39"/>
      <c r="AQ104">
        <v>4</v>
      </c>
      <c r="AR104">
        <v>2</v>
      </c>
      <c r="AS104">
        <v>1</v>
      </c>
      <c r="AT104">
        <v>0</v>
      </c>
      <c r="AU104">
        <v>0</v>
      </c>
      <c r="AV104">
        <v>0</v>
      </c>
      <c r="AW104">
        <v>0</v>
      </c>
      <c r="AX104">
        <v>0</v>
      </c>
      <c r="AZ104" t="s">
        <v>656</v>
      </c>
      <c r="BC104" t="s">
        <v>616</v>
      </c>
      <c r="BD104" t="s">
        <v>227</v>
      </c>
      <c r="BE104" t="s">
        <v>228</v>
      </c>
      <c r="BF104" t="s">
        <v>216</v>
      </c>
      <c r="BG104" t="str">
        <f t="shared" si="60"/>
        <v>CSLAP</v>
      </c>
      <c r="BH104" s="14" t="s">
        <v>102</v>
      </c>
      <c r="BJ104">
        <f t="shared" si="61"/>
        <v>0</v>
      </c>
      <c r="BK104">
        <f t="shared" si="62"/>
        <v>0</v>
      </c>
      <c r="BL104">
        <f t="shared" si="63"/>
        <v>0</v>
      </c>
      <c r="BM104" t="str">
        <f t="shared" si="64"/>
        <v>CSLAP</v>
      </c>
      <c r="BN104" t="str">
        <f t="shared" si="65"/>
        <v>no</v>
      </c>
      <c r="BO104">
        <v>0.45700000000000002</v>
      </c>
      <c r="BS104" s="41">
        <f>(6+0+23)/3</f>
        <v>9.6666666666666661</v>
      </c>
    </row>
    <row r="105" spans="1:77" x14ac:dyDescent="0.3">
      <c r="A105" t="s">
        <v>1573</v>
      </c>
      <c r="B105" t="s">
        <v>1846</v>
      </c>
      <c r="C105" s="16">
        <v>113</v>
      </c>
      <c r="D105" s="16" t="s">
        <v>75</v>
      </c>
      <c r="E105" s="16" t="s">
        <v>147</v>
      </c>
      <c r="F105" s="16" t="s">
        <v>148</v>
      </c>
      <c r="G105" s="17">
        <f>H105*2.4711</f>
        <v>51.151769999999992</v>
      </c>
      <c r="H105" s="17">
        <v>20.7</v>
      </c>
      <c r="I105" s="18">
        <f>IF(J105="","",J105*2.4711)</f>
        <v>219.43367999999998</v>
      </c>
      <c r="J105" s="18">
        <v>88.8</v>
      </c>
      <c r="K105" s="19">
        <f>J105/H105</f>
        <v>4.2898550724637685</v>
      </c>
      <c r="L105" s="19">
        <v>62.3352</v>
      </c>
      <c r="M105" s="19">
        <v>19</v>
      </c>
      <c r="N105" s="20">
        <f t="shared" ref="N105:N114" si="67">IF(O105="", "",O105*3.2808)</f>
        <v>30.183360000000004</v>
      </c>
      <c r="O105" s="19">
        <v>9.2000000000000011</v>
      </c>
      <c r="P105" s="21" t="str">
        <f>IF(O105=(M105*0.46),"yes","no")</f>
        <v>no</v>
      </c>
      <c r="Q105" s="22">
        <v>5.3614864864864868</v>
      </c>
      <c r="R105" s="18" t="s">
        <v>2166</v>
      </c>
      <c r="S105" s="23">
        <v>41.373100000000001</v>
      </c>
      <c r="T105" s="23">
        <v>-73.887699999999995</v>
      </c>
      <c r="U105" s="18" t="s">
        <v>96</v>
      </c>
      <c r="V105" s="18" t="s">
        <v>96</v>
      </c>
      <c r="W105" t="str">
        <f>IF(OR(U105="A",U105="AA",U105="AAspec",U105="A(T)",U105="AA(T)"),"yes","no")</f>
        <v>yes</v>
      </c>
      <c r="X105" t="s">
        <v>657</v>
      </c>
      <c r="Y105" t="str">
        <f>IF(W105="yes",IF(X105="","potable water and recreation","potable water, recreation, and public bathing"),IF(X105="","recreation","recreation and public bathing"))</f>
        <v>potable water, recreation, and public bathing</v>
      </c>
      <c r="Z105" t="s">
        <v>79</v>
      </c>
      <c r="AA105" s="24" t="s">
        <v>79</v>
      </c>
      <c r="AB105" s="24" t="s">
        <v>79</v>
      </c>
      <c r="AC105" s="35">
        <v>0.92413274674837598</v>
      </c>
      <c r="AD105" s="35" t="s">
        <v>658</v>
      </c>
      <c r="AF105" t="str">
        <f>IF(AE105="","",IF(IFERROR(SEARCH(",",AE105,1)&gt;1,0),"yes","no"))</f>
        <v/>
      </c>
      <c r="AG105" s="26" t="s">
        <v>82</v>
      </c>
      <c r="AH105" s="27" t="s">
        <v>82</v>
      </c>
      <c r="AI105" s="28" t="s">
        <v>82</v>
      </c>
      <c r="AJ105" s="29" t="s">
        <v>82</v>
      </c>
      <c r="AK105" s="30" t="s">
        <v>85</v>
      </c>
      <c r="AL105" s="31" t="s">
        <v>85</v>
      </c>
      <c r="AM105" s="32" t="s">
        <v>82</v>
      </c>
      <c r="AN105" s="33" t="s">
        <v>81</v>
      </c>
      <c r="AO105" s="32" t="s">
        <v>81</v>
      </c>
      <c r="AP105" s="39"/>
      <c r="AQ105">
        <v>3</v>
      </c>
      <c r="AR105">
        <v>1</v>
      </c>
      <c r="AS105">
        <v>0</v>
      </c>
      <c r="AT105">
        <v>0</v>
      </c>
      <c r="AU105">
        <v>0</v>
      </c>
      <c r="AV105">
        <v>0</v>
      </c>
      <c r="AW105">
        <v>0</v>
      </c>
      <c r="AX105">
        <v>0</v>
      </c>
      <c r="AZ105" t="s">
        <v>659</v>
      </c>
      <c r="BA105" t="s">
        <v>102</v>
      </c>
      <c r="BB105" t="s">
        <v>660</v>
      </c>
      <c r="BC105" t="s">
        <v>103</v>
      </c>
      <c r="BD105" t="s">
        <v>152</v>
      </c>
      <c r="BE105" t="s">
        <v>159</v>
      </c>
      <c r="BF105" t="s">
        <v>160</v>
      </c>
      <c r="BG105" t="str">
        <f>IF(C105="","LCI","CSLAP")</f>
        <v>CSLAP</v>
      </c>
      <c r="BH105" s="14" t="s">
        <v>102</v>
      </c>
      <c r="BJ105">
        <f>IF(MAX(AT105:AX105)=0,0,IF(MAX(AT105:AX105)=1,1,LEN(AE105)-LEN(SUBSTITUTE(UPPER(AE105),",",""))+1))</f>
        <v>0</v>
      </c>
      <c r="BK105">
        <f>IF(BJ105&gt;1,2,IF(BJ105&gt;0,1,0))</f>
        <v>0</v>
      </c>
      <c r="BL105">
        <f>IF(BJ105&gt;2,3,IF(BJ105&gt;2,2,IF(BJ105&gt;1,1,0)))</f>
        <v>0</v>
      </c>
      <c r="BM105" t="str">
        <f>IF(C105="","LCI","CSLAP")</f>
        <v>CSLAP</v>
      </c>
      <c r="BN105" t="str">
        <f>IF(LEFT(AB105,13)="zebra mussels","yes","no")</f>
        <v>no</v>
      </c>
      <c r="BO105">
        <v>0.4</v>
      </c>
    </row>
    <row r="106" spans="1:77" x14ac:dyDescent="0.3">
      <c r="A106" t="s">
        <v>1847</v>
      </c>
      <c r="B106" t="s">
        <v>1848</v>
      </c>
      <c r="C106" s="16">
        <v>11</v>
      </c>
      <c r="D106" s="16" t="s">
        <v>75</v>
      </c>
      <c r="E106" s="16" t="s">
        <v>448</v>
      </c>
      <c r="F106" s="16" t="s">
        <v>661</v>
      </c>
      <c r="G106" s="17">
        <f t="shared" si="46"/>
        <v>307.15772999999996</v>
      </c>
      <c r="H106" s="17">
        <v>124.3</v>
      </c>
      <c r="I106" s="18">
        <f t="shared" si="58"/>
        <v>18155.171699999999</v>
      </c>
      <c r="J106" s="18">
        <v>7347</v>
      </c>
      <c r="K106" s="19">
        <f t="shared" si="40"/>
        <v>59.106999195494772</v>
      </c>
      <c r="L106" s="19">
        <v>74.146080000000012</v>
      </c>
      <c r="M106" s="19">
        <v>22.6</v>
      </c>
      <c r="N106" s="20">
        <f t="shared" si="67"/>
        <v>11.154720000000001</v>
      </c>
      <c r="O106" s="19">
        <v>3.4</v>
      </c>
      <c r="P106" s="21" t="str">
        <f t="shared" si="41"/>
        <v>no</v>
      </c>
      <c r="Q106" s="22">
        <v>8.9879372533006666E-2</v>
      </c>
      <c r="R106" s="18" t="s">
        <v>662</v>
      </c>
      <c r="S106" s="23">
        <v>44.716589999999997</v>
      </c>
      <c r="T106" s="23">
        <v>-74.134389999999996</v>
      </c>
      <c r="U106" s="18" t="s">
        <v>95</v>
      </c>
      <c r="V106" s="18"/>
      <c r="W106" t="str">
        <f t="shared" si="44"/>
        <v>no</v>
      </c>
      <c r="X106" t="s">
        <v>663</v>
      </c>
      <c r="Y106" t="str">
        <f t="shared" si="66"/>
        <v>recreation and public bathing</v>
      </c>
      <c r="Z106" t="s">
        <v>79</v>
      </c>
      <c r="AA106" s="24" t="s">
        <v>120</v>
      </c>
      <c r="AB106" s="24" t="s">
        <v>79</v>
      </c>
      <c r="AC106" s="24">
        <f>IF(AND(AA106="none reported",AB106="none reported"),"",0)</f>
        <v>0</v>
      </c>
      <c r="AD106" s="24"/>
      <c r="AF106" t="str">
        <f t="shared" si="43"/>
        <v/>
      </c>
      <c r="AG106" s="26" t="s">
        <v>81</v>
      </c>
      <c r="AH106" s="27" t="s">
        <v>82</v>
      </c>
      <c r="AI106" s="28" t="s">
        <v>83</v>
      </c>
      <c r="AJ106" s="29" t="s">
        <v>83</v>
      </c>
      <c r="AK106" s="30" t="s">
        <v>85</v>
      </c>
      <c r="AL106" s="31" t="s">
        <v>84</v>
      </c>
      <c r="AM106" s="32" t="s">
        <v>82</v>
      </c>
      <c r="AN106" s="33" t="s">
        <v>81</v>
      </c>
      <c r="AO106" s="32" t="s">
        <v>81</v>
      </c>
      <c r="AP106" s="39"/>
      <c r="AQ106">
        <v>0</v>
      </c>
      <c r="AR106">
        <v>0</v>
      </c>
      <c r="AS106">
        <v>0</v>
      </c>
      <c r="AT106">
        <v>0</v>
      </c>
      <c r="AU106">
        <v>0</v>
      </c>
      <c r="AV106">
        <v>0</v>
      </c>
      <c r="AW106">
        <v>0</v>
      </c>
      <c r="AX106">
        <v>0</v>
      </c>
      <c r="AY106" t="s">
        <v>212</v>
      </c>
      <c r="AZ106" t="s">
        <v>664</v>
      </c>
      <c r="BD106" t="s">
        <v>215</v>
      </c>
      <c r="BE106" t="s">
        <v>216</v>
      </c>
      <c r="BF106" t="s">
        <v>89</v>
      </c>
      <c r="BG106" t="str">
        <f t="shared" si="60"/>
        <v>CSLAP</v>
      </c>
      <c r="BH106" s="14" t="str">
        <f>IF(RIGHT(CM106,4)="2011","yes","no")</f>
        <v>no</v>
      </c>
      <c r="BJ106">
        <f t="shared" si="61"/>
        <v>0</v>
      </c>
      <c r="BK106">
        <f t="shared" si="62"/>
        <v>0</v>
      </c>
      <c r="BL106">
        <f t="shared" si="63"/>
        <v>0</v>
      </c>
      <c r="BM106" t="str">
        <f t="shared" si="64"/>
        <v>CSLAP</v>
      </c>
      <c r="BN106" t="str">
        <f t="shared" si="65"/>
        <v>no</v>
      </c>
      <c r="BO106">
        <v>0.64</v>
      </c>
    </row>
    <row r="107" spans="1:77" x14ac:dyDescent="0.3">
      <c r="A107" t="s">
        <v>1575</v>
      </c>
      <c r="B107" t="s">
        <v>1849</v>
      </c>
      <c r="C107">
        <v>245</v>
      </c>
      <c r="D107" t="s">
        <v>665</v>
      </c>
      <c r="E107" t="s">
        <v>410</v>
      </c>
      <c r="F107" t="s">
        <v>666</v>
      </c>
      <c r="G107" s="17">
        <f t="shared" si="46"/>
        <v>198.42932999999999</v>
      </c>
      <c r="H107" s="36">
        <v>80.3</v>
      </c>
      <c r="I107" s="18">
        <f t="shared" si="58"/>
        <v>27903.661199999999</v>
      </c>
      <c r="J107" s="37">
        <v>11292</v>
      </c>
      <c r="K107" s="21">
        <f t="shared" si="40"/>
        <v>140.62266500622667</v>
      </c>
      <c r="L107" s="19">
        <f>3.28*M107</f>
        <v>28.864000000000001</v>
      </c>
      <c r="M107" s="21">
        <v>8.8000000000000007</v>
      </c>
      <c r="N107" s="20" t="str">
        <f t="shared" si="67"/>
        <v/>
      </c>
      <c r="P107" s="21" t="str">
        <f t="shared" si="41"/>
        <v>no</v>
      </c>
      <c r="Q107" s="43">
        <v>0</v>
      </c>
      <c r="R107" s="37" t="s">
        <v>2167</v>
      </c>
      <c r="S107">
        <v>42.973998999999999</v>
      </c>
      <c r="T107">
        <v>-76.069099399999999</v>
      </c>
      <c r="U107" s="25" t="s">
        <v>379</v>
      </c>
      <c r="V107" t="s">
        <v>78</v>
      </c>
      <c r="W107" t="str">
        <f t="shared" si="44"/>
        <v>yes</v>
      </c>
      <c r="X107" t="s">
        <v>667</v>
      </c>
      <c r="Y107" t="str">
        <f t="shared" si="66"/>
        <v>potable water, recreation, and public bathing</v>
      </c>
      <c r="AA107" t="s">
        <v>668</v>
      </c>
      <c r="AB107" t="s">
        <v>431</v>
      </c>
      <c r="AC107" s="24">
        <f>IF(AND(AA107="none reported",AB107="none reported"),"",0)</f>
        <v>0</v>
      </c>
      <c r="AD107" s="24"/>
      <c r="AE107" s="25">
        <v>2019</v>
      </c>
      <c r="AF107" t="str">
        <f t="shared" si="43"/>
        <v>no</v>
      </c>
      <c r="AG107" t="s">
        <v>81</v>
      </c>
      <c r="AH107" t="s">
        <v>156</v>
      </c>
      <c r="AI107" t="s">
        <v>156</v>
      </c>
      <c r="AJ107" t="s">
        <v>156</v>
      </c>
      <c r="AK107" t="s">
        <v>156</v>
      </c>
      <c r="AL107" t="s">
        <v>156</v>
      </c>
      <c r="AM107" t="s">
        <v>156</v>
      </c>
      <c r="AN107" s="39">
        <v>43654</v>
      </c>
      <c r="AO107" s="39">
        <v>43654</v>
      </c>
      <c r="AP107" s="39"/>
      <c r="AQ107">
        <v>9</v>
      </c>
      <c r="AR107">
        <v>3</v>
      </c>
      <c r="AS107">
        <v>1</v>
      </c>
      <c r="AT107">
        <v>0</v>
      </c>
      <c r="AU107">
        <v>0</v>
      </c>
      <c r="AV107">
        <v>0</v>
      </c>
      <c r="AW107">
        <v>0</v>
      </c>
      <c r="AX107">
        <v>0</v>
      </c>
      <c r="AZ107" t="s">
        <v>669</v>
      </c>
      <c r="BA107" t="s">
        <v>102</v>
      </c>
      <c r="BB107" t="s">
        <v>670</v>
      </c>
      <c r="BC107" t="s">
        <v>132</v>
      </c>
      <c r="BD107" t="s">
        <v>320</v>
      </c>
      <c r="BE107" t="s">
        <v>247</v>
      </c>
      <c r="BF107" t="s">
        <v>115</v>
      </c>
      <c r="BG107" t="str">
        <f t="shared" si="60"/>
        <v>CSLAP</v>
      </c>
      <c r="BH107" s="14"/>
      <c r="BJ107">
        <f t="shared" si="61"/>
        <v>0</v>
      </c>
      <c r="BK107">
        <f t="shared" si="62"/>
        <v>0</v>
      </c>
      <c r="BL107">
        <f t="shared" si="63"/>
        <v>0</v>
      </c>
      <c r="BM107" t="str">
        <f t="shared" si="64"/>
        <v>CSLAP</v>
      </c>
      <c r="BN107" t="str">
        <f t="shared" si="65"/>
        <v>no</v>
      </c>
      <c r="BO107">
        <v>0.52832105664211337</v>
      </c>
      <c r="BS107" s="41">
        <f>7/1</f>
        <v>7</v>
      </c>
    </row>
    <row r="108" spans="1:77" x14ac:dyDescent="0.3">
      <c r="A108" t="s">
        <v>1576</v>
      </c>
      <c r="B108" t="s">
        <v>1850</v>
      </c>
      <c r="C108" s="16">
        <v>147</v>
      </c>
      <c r="D108" s="16" t="s">
        <v>671</v>
      </c>
      <c r="E108" s="16" t="s">
        <v>672</v>
      </c>
      <c r="F108" s="16" t="s">
        <v>673</v>
      </c>
      <c r="G108" s="17">
        <f t="shared" si="46"/>
        <v>51.151769999999992</v>
      </c>
      <c r="H108" s="17">
        <v>20.7</v>
      </c>
      <c r="I108" s="18">
        <f t="shared" si="58"/>
        <v>667.197</v>
      </c>
      <c r="J108" s="18">
        <v>270</v>
      </c>
      <c r="K108" s="19">
        <f t="shared" si="40"/>
        <v>13.043478260869566</v>
      </c>
      <c r="L108" s="19">
        <v>18.0444</v>
      </c>
      <c r="M108" s="19">
        <v>5.5</v>
      </c>
      <c r="N108" s="20">
        <f t="shared" si="67"/>
        <v>8.480868000000001</v>
      </c>
      <c r="O108" s="19">
        <v>2.585</v>
      </c>
      <c r="P108" s="21" t="str">
        <f t="shared" si="41"/>
        <v>no</v>
      </c>
      <c r="Q108" s="22">
        <v>0.44445690364057705</v>
      </c>
      <c r="R108" s="18" t="s">
        <v>2168</v>
      </c>
      <c r="S108" s="23">
        <v>42.631845370000001</v>
      </c>
      <c r="T108" s="23">
        <v>-78.343724949999995</v>
      </c>
      <c r="U108" s="18" t="s">
        <v>77</v>
      </c>
      <c r="V108" s="18"/>
      <c r="W108" t="str">
        <f t="shared" si="44"/>
        <v>no</v>
      </c>
      <c r="X108" t="s">
        <v>97</v>
      </c>
      <c r="Y108" t="str">
        <f t="shared" si="66"/>
        <v>recreation and public bathing</v>
      </c>
      <c r="Z108" t="s">
        <v>79</v>
      </c>
      <c r="AA108" s="24" t="s">
        <v>473</v>
      </c>
      <c r="AB108" s="24" t="s">
        <v>79</v>
      </c>
      <c r="AC108" s="24">
        <f>IF(AND(AA108="none reported",AB108="none reported"),"",0)</f>
        <v>0</v>
      </c>
      <c r="AD108" s="24"/>
      <c r="AE108" s="25" t="s">
        <v>674</v>
      </c>
      <c r="AF108" t="str">
        <f t="shared" si="43"/>
        <v>yes</v>
      </c>
      <c r="AG108" s="26" t="s">
        <v>81</v>
      </c>
      <c r="AH108" s="27" t="s">
        <v>83</v>
      </c>
      <c r="AI108" s="28" t="s">
        <v>141</v>
      </c>
      <c r="AJ108" s="29" t="s">
        <v>83</v>
      </c>
      <c r="AK108" s="30" t="s">
        <v>121</v>
      </c>
      <c r="AL108" s="31" t="s">
        <v>84</v>
      </c>
      <c r="AM108" s="32" t="s">
        <v>82</v>
      </c>
      <c r="AN108" s="39">
        <v>43660</v>
      </c>
      <c r="AO108" s="39">
        <v>43723</v>
      </c>
      <c r="AP108" s="39"/>
      <c r="AQ108">
        <v>10</v>
      </c>
      <c r="AR108">
        <v>6</v>
      </c>
      <c r="AS108">
        <v>11</v>
      </c>
      <c r="AT108">
        <v>3</v>
      </c>
      <c r="AU108">
        <v>4</v>
      </c>
      <c r="AV108">
        <v>3</v>
      </c>
      <c r="AW108">
        <v>0</v>
      </c>
      <c r="AX108">
        <v>7</v>
      </c>
      <c r="AZ108" t="s">
        <v>675</v>
      </c>
      <c r="BA108" t="s">
        <v>102</v>
      </c>
      <c r="BB108" t="s">
        <v>676</v>
      </c>
      <c r="BC108" t="s">
        <v>226</v>
      </c>
      <c r="BD108" t="s">
        <v>677</v>
      </c>
      <c r="BE108" t="s">
        <v>365</v>
      </c>
      <c r="BF108" t="s">
        <v>365</v>
      </c>
      <c r="BG108" t="str">
        <f t="shared" si="60"/>
        <v>CSLAP</v>
      </c>
      <c r="BH108" s="14" t="s">
        <v>102</v>
      </c>
      <c r="BJ108">
        <f t="shared" si="61"/>
        <v>6</v>
      </c>
      <c r="BK108">
        <f t="shared" si="62"/>
        <v>2</v>
      </c>
      <c r="BL108">
        <f t="shared" si="63"/>
        <v>3</v>
      </c>
      <c r="BM108" t="str">
        <f t="shared" si="64"/>
        <v>CSLAP</v>
      </c>
      <c r="BN108" t="str">
        <f t="shared" si="65"/>
        <v>no</v>
      </c>
      <c r="BO108">
        <v>0.44590000000000002</v>
      </c>
    </row>
    <row r="109" spans="1:77" x14ac:dyDescent="0.3">
      <c r="A109" t="s">
        <v>1577</v>
      </c>
      <c r="B109" t="s">
        <v>1851</v>
      </c>
      <c r="C109" s="16">
        <v>108</v>
      </c>
      <c r="D109" s="16" t="s">
        <v>678</v>
      </c>
      <c r="E109" s="16" t="s">
        <v>136</v>
      </c>
      <c r="F109" s="16" t="s">
        <v>519</v>
      </c>
      <c r="G109" s="17">
        <f t="shared" si="46"/>
        <v>83.276070000000004</v>
      </c>
      <c r="H109" s="17">
        <v>33.700000000000003</v>
      </c>
      <c r="I109" s="18">
        <f t="shared" si="58"/>
        <v>1927.4579999999999</v>
      </c>
      <c r="J109" s="18">
        <v>780</v>
      </c>
      <c r="K109" s="19">
        <f t="shared" si="40"/>
        <v>23.145400593471809</v>
      </c>
      <c r="L109" s="19">
        <f>3.28*M109</f>
        <v>27.88</v>
      </c>
      <c r="M109" s="19">
        <v>8.5</v>
      </c>
      <c r="N109" s="20">
        <f t="shared" si="67"/>
        <v>18.0444</v>
      </c>
      <c r="O109" s="19">
        <v>5.5</v>
      </c>
      <c r="P109" s="21" t="str">
        <f t="shared" si="41"/>
        <v>no</v>
      </c>
      <c r="Q109" s="22">
        <v>0.6907834710743801</v>
      </c>
      <c r="R109" s="18" t="s">
        <v>2169</v>
      </c>
      <c r="S109" s="23">
        <v>43.26620183</v>
      </c>
      <c r="T109" s="23">
        <v>-73.912672830000005</v>
      </c>
      <c r="U109" s="18" t="s">
        <v>77</v>
      </c>
      <c r="V109" s="18" t="s">
        <v>96</v>
      </c>
      <c r="W109" t="str">
        <f t="shared" si="44"/>
        <v>no</v>
      </c>
      <c r="Y109" t="str">
        <f t="shared" si="66"/>
        <v>recreation</v>
      </c>
      <c r="Z109" t="s">
        <v>79</v>
      </c>
      <c r="AA109" s="24" t="s">
        <v>521</v>
      </c>
      <c r="AB109" s="24" t="s">
        <v>79</v>
      </c>
      <c r="AC109" s="24">
        <f>IF(AND(AA109="none reported",AB109="none reported"),"",0)</f>
        <v>0</v>
      </c>
      <c r="AD109" s="24"/>
      <c r="AF109" t="str">
        <f t="shared" si="43"/>
        <v/>
      </c>
      <c r="AG109" s="26" t="s">
        <v>81</v>
      </c>
      <c r="AH109" s="27" t="s">
        <v>82</v>
      </c>
      <c r="AI109" s="28" t="s">
        <v>82</v>
      </c>
      <c r="AJ109" s="29" t="s">
        <v>82</v>
      </c>
      <c r="AK109" s="30" t="s">
        <v>85</v>
      </c>
      <c r="AL109" s="31" t="s">
        <v>85</v>
      </c>
      <c r="AM109" s="32" t="s">
        <v>82</v>
      </c>
      <c r="AN109" s="33" t="s">
        <v>81</v>
      </c>
      <c r="AO109" s="32" t="s">
        <v>81</v>
      </c>
      <c r="AP109" s="39"/>
      <c r="AQ109">
        <v>0</v>
      </c>
      <c r="AR109">
        <v>0</v>
      </c>
      <c r="AS109">
        <v>0</v>
      </c>
      <c r="AT109">
        <v>0</v>
      </c>
      <c r="AU109">
        <v>0</v>
      </c>
      <c r="AV109">
        <v>0</v>
      </c>
      <c r="AW109">
        <v>0</v>
      </c>
      <c r="AX109">
        <v>0</v>
      </c>
      <c r="AZ109" t="s">
        <v>679</v>
      </c>
      <c r="BA109" t="s">
        <v>102</v>
      </c>
      <c r="BB109" t="s">
        <v>2170</v>
      </c>
      <c r="BC109" t="s">
        <v>87</v>
      </c>
      <c r="BD109" t="s">
        <v>88</v>
      </c>
      <c r="BE109" t="s">
        <v>89</v>
      </c>
      <c r="BF109" t="s">
        <v>89</v>
      </c>
      <c r="BG109" t="str">
        <f t="shared" si="60"/>
        <v>CSLAP</v>
      </c>
      <c r="BH109" s="14" t="s">
        <v>102</v>
      </c>
      <c r="BJ109">
        <f t="shared" si="61"/>
        <v>0</v>
      </c>
      <c r="BK109">
        <f t="shared" si="62"/>
        <v>0</v>
      </c>
      <c r="BL109">
        <f t="shared" si="63"/>
        <v>0</v>
      </c>
      <c r="BM109" t="str">
        <f t="shared" si="64"/>
        <v>CSLAP</v>
      </c>
      <c r="BN109" t="str">
        <f t="shared" si="65"/>
        <v>no</v>
      </c>
      <c r="BO109">
        <v>0.34399810516401097</v>
      </c>
    </row>
    <row r="110" spans="1:77" x14ac:dyDescent="0.3">
      <c r="A110" t="s">
        <v>1578</v>
      </c>
      <c r="B110" t="s">
        <v>1852</v>
      </c>
      <c r="C110" s="16">
        <v>14</v>
      </c>
      <c r="D110" s="16" t="s">
        <v>680</v>
      </c>
      <c r="E110" s="16" t="s">
        <v>205</v>
      </c>
      <c r="F110" s="16" t="s">
        <v>681</v>
      </c>
      <c r="G110" s="17">
        <f t="shared" si="46"/>
        <v>320.00745000000001</v>
      </c>
      <c r="H110" s="17">
        <v>129.5</v>
      </c>
      <c r="I110" s="18">
        <f t="shared" si="58"/>
        <v>12330.788999999999</v>
      </c>
      <c r="J110" s="18">
        <v>4990</v>
      </c>
      <c r="K110" s="19">
        <f t="shared" si="40"/>
        <v>38.532818532818531</v>
      </c>
      <c r="L110" s="19" t="s">
        <v>110</v>
      </c>
      <c r="M110" s="19"/>
      <c r="N110" s="20">
        <f t="shared" si="67"/>
        <v>5.5773600000000005</v>
      </c>
      <c r="O110" s="19">
        <v>1.7</v>
      </c>
      <c r="P110" s="21" t="str">
        <f t="shared" si="41"/>
        <v>no</v>
      </c>
      <c r="Q110" s="22">
        <v>6.6845812837796809E-2</v>
      </c>
      <c r="R110" s="18" t="s">
        <v>682</v>
      </c>
      <c r="S110" s="23">
        <v>44.484949999999998</v>
      </c>
      <c r="T110" s="23">
        <v>-74.725350000000006</v>
      </c>
      <c r="U110" s="18" t="s">
        <v>450</v>
      </c>
      <c r="V110" s="18" t="s">
        <v>96</v>
      </c>
      <c r="W110" t="str">
        <f t="shared" si="44"/>
        <v>no</v>
      </c>
      <c r="Y110" t="str">
        <f t="shared" si="66"/>
        <v>recreation</v>
      </c>
      <c r="Z110" t="s">
        <v>79</v>
      </c>
      <c r="AA110" s="40" t="s">
        <v>79</v>
      </c>
      <c r="AB110" s="40" t="s">
        <v>79</v>
      </c>
      <c r="AC110" s="35">
        <v>24.423975246459374</v>
      </c>
      <c r="AD110" s="35" t="s">
        <v>484</v>
      </c>
      <c r="AF110" t="str">
        <f t="shared" si="43"/>
        <v/>
      </c>
      <c r="AG110" s="26" t="s">
        <v>81</v>
      </c>
      <c r="AH110" s="27" t="s">
        <v>81</v>
      </c>
      <c r="AI110" s="28" t="s">
        <v>82</v>
      </c>
      <c r="AJ110" s="29" t="s">
        <v>141</v>
      </c>
      <c r="AK110" s="30" t="s">
        <v>85</v>
      </c>
      <c r="AL110" s="31" t="s">
        <v>85</v>
      </c>
      <c r="AM110" s="32" t="s">
        <v>82</v>
      </c>
      <c r="AN110" s="33" t="s">
        <v>81</v>
      </c>
      <c r="AO110" s="32" t="s">
        <v>81</v>
      </c>
      <c r="AP110" s="39"/>
      <c r="AQ110">
        <v>0</v>
      </c>
      <c r="AR110">
        <v>0</v>
      </c>
      <c r="AS110">
        <v>0</v>
      </c>
      <c r="AT110">
        <v>0</v>
      </c>
      <c r="AU110">
        <v>0</v>
      </c>
      <c r="AV110">
        <v>0</v>
      </c>
      <c r="AW110">
        <v>0</v>
      </c>
      <c r="AX110">
        <v>0</v>
      </c>
      <c r="BD110" t="s">
        <v>215</v>
      </c>
      <c r="BE110" t="s">
        <v>216</v>
      </c>
      <c r="BF110" t="s">
        <v>216</v>
      </c>
      <c r="BG110" t="str">
        <f t="shared" si="60"/>
        <v>CSLAP</v>
      </c>
      <c r="BH110" s="14" t="str">
        <f>IF(RIGHT(CM110,4)="2011","yes","no")</f>
        <v>no</v>
      </c>
      <c r="BJ110">
        <f t="shared" si="61"/>
        <v>0</v>
      </c>
      <c r="BK110">
        <f t="shared" si="62"/>
        <v>0</v>
      </c>
      <c r="BL110">
        <f t="shared" si="63"/>
        <v>0</v>
      </c>
      <c r="BM110" t="str">
        <f t="shared" si="64"/>
        <v>CSLAP</v>
      </c>
      <c r="BN110" t="str">
        <f t="shared" si="65"/>
        <v>no</v>
      </c>
      <c r="BO110">
        <v>0.66</v>
      </c>
    </row>
    <row r="111" spans="1:77" x14ac:dyDescent="0.3">
      <c r="A111" t="s">
        <v>1580</v>
      </c>
      <c r="B111" t="s">
        <v>1853</v>
      </c>
      <c r="C111" s="16">
        <v>83</v>
      </c>
      <c r="D111" s="16" t="s">
        <v>683</v>
      </c>
      <c r="E111" s="16" t="s">
        <v>684</v>
      </c>
      <c r="F111" s="16" t="s">
        <v>685</v>
      </c>
      <c r="G111" s="17">
        <f t="shared" si="46"/>
        <v>57.576630000000002</v>
      </c>
      <c r="H111" s="17">
        <v>23.3</v>
      </c>
      <c r="I111" s="18">
        <f t="shared" si="58"/>
        <v>5606.9258999999993</v>
      </c>
      <c r="J111" s="18">
        <v>2269</v>
      </c>
      <c r="K111" s="19">
        <f t="shared" si="40"/>
        <v>97.381974248927037</v>
      </c>
      <c r="L111" s="19">
        <v>14.7636</v>
      </c>
      <c r="M111" s="19">
        <v>4.5</v>
      </c>
      <c r="N111" s="20">
        <f t="shared" si="67"/>
        <v>6.8896800000000002</v>
      </c>
      <c r="O111" s="19">
        <v>2.1</v>
      </c>
      <c r="P111" s="21" t="str">
        <f t="shared" si="41"/>
        <v>no</v>
      </c>
      <c r="Q111" s="22">
        <v>2.4250894667254299E-2</v>
      </c>
      <c r="R111" s="18" t="s">
        <v>2171</v>
      </c>
      <c r="S111" s="23">
        <v>43.472795499999997</v>
      </c>
      <c r="T111" s="23">
        <v>-75.923041339999997</v>
      </c>
      <c r="U111" s="18" t="s">
        <v>77</v>
      </c>
      <c r="V111" s="18" t="s">
        <v>77</v>
      </c>
      <c r="W111" t="str">
        <f t="shared" si="44"/>
        <v>no</v>
      </c>
      <c r="Y111" t="str">
        <f t="shared" si="66"/>
        <v>recreation</v>
      </c>
      <c r="Z111" t="s">
        <v>79</v>
      </c>
      <c r="AA111" s="24" t="s">
        <v>686</v>
      </c>
      <c r="AB111" s="24" t="s">
        <v>79</v>
      </c>
      <c r="AC111" s="24">
        <f>IF(AND(AA111="none reported",AB111="none reported"),"",0)</f>
        <v>0</v>
      </c>
      <c r="AD111" s="24"/>
      <c r="AF111" t="str">
        <f t="shared" si="43"/>
        <v/>
      </c>
      <c r="AG111" s="26" t="s">
        <v>81</v>
      </c>
      <c r="AH111" s="27" t="s">
        <v>82</v>
      </c>
      <c r="AI111" s="28" t="s">
        <v>83</v>
      </c>
      <c r="AJ111" s="29" t="s">
        <v>82</v>
      </c>
      <c r="AK111" s="30" t="s">
        <v>84</v>
      </c>
      <c r="AL111" s="31" t="s">
        <v>85</v>
      </c>
      <c r="AM111" s="32" t="s">
        <v>82</v>
      </c>
      <c r="AN111" s="33" t="s">
        <v>81</v>
      </c>
      <c r="AO111" s="32" t="s">
        <v>81</v>
      </c>
      <c r="AP111" s="39"/>
      <c r="AQ111">
        <v>0</v>
      </c>
      <c r="AR111">
        <v>0</v>
      </c>
      <c r="AS111">
        <v>0</v>
      </c>
      <c r="AT111">
        <v>0</v>
      </c>
      <c r="AU111">
        <v>0</v>
      </c>
      <c r="AV111">
        <v>0</v>
      </c>
      <c r="AW111">
        <v>0</v>
      </c>
      <c r="AX111">
        <v>0</v>
      </c>
      <c r="AY111" t="s">
        <v>687</v>
      </c>
      <c r="AZ111" t="s">
        <v>688</v>
      </c>
      <c r="BA111" t="s">
        <v>102</v>
      </c>
      <c r="BB111" t="s">
        <v>2172</v>
      </c>
      <c r="BC111" t="s">
        <v>132</v>
      </c>
      <c r="BD111" t="s">
        <v>320</v>
      </c>
      <c r="BE111" t="s">
        <v>247</v>
      </c>
      <c r="BF111" t="s">
        <v>115</v>
      </c>
      <c r="BG111" t="str">
        <f t="shared" si="60"/>
        <v>CSLAP</v>
      </c>
      <c r="BH111" s="14" t="s">
        <v>102</v>
      </c>
      <c r="BJ111">
        <f t="shared" si="61"/>
        <v>0</v>
      </c>
      <c r="BK111">
        <f t="shared" si="62"/>
        <v>0</v>
      </c>
      <c r="BL111">
        <f t="shared" si="63"/>
        <v>0</v>
      </c>
      <c r="BM111" t="str">
        <f t="shared" si="64"/>
        <v>CSLAP</v>
      </c>
      <c r="BN111" t="str">
        <f t="shared" si="65"/>
        <v>no</v>
      </c>
      <c r="BO111">
        <v>0.88922764227642281</v>
      </c>
      <c r="BV111" t="s">
        <v>687</v>
      </c>
      <c r="BY111" t="s">
        <v>689</v>
      </c>
    </row>
    <row r="112" spans="1:77" x14ac:dyDescent="0.3">
      <c r="A112" t="s">
        <v>1581</v>
      </c>
      <c r="B112" t="s">
        <v>1854</v>
      </c>
      <c r="C112" s="16">
        <v>207</v>
      </c>
      <c r="D112" s="16" t="s">
        <v>690</v>
      </c>
      <c r="E112" s="16" t="s">
        <v>183</v>
      </c>
      <c r="F112" s="16" t="s">
        <v>691</v>
      </c>
      <c r="G112" s="17">
        <f t="shared" si="46"/>
        <v>19.274579999999997</v>
      </c>
      <c r="H112" s="17">
        <v>7.8</v>
      </c>
      <c r="I112" s="18">
        <f t="shared" si="58"/>
        <v>133.43939999999998</v>
      </c>
      <c r="J112" s="18">
        <v>54</v>
      </c>
      <c r="K112" s="19">
        <f t="shared" si="40"/>
        <v>6.9230769230769234</v>
      </c>
      <c r="L112" s="19">
        <v>5.5773600000000005</v>
      </c>
      <c r="M112" s="19">
        <v>1.7</v>
      </c>
      <c r="N112" s="20">
        <f t="shared" si="67"/>
        <v>2.6213592000000001</v>
      </c>
      <c r="O112" s="19">
        <v>0.79899999999999993</v>
      </c>
      <c r="P112" s="21" t="str">
        <f t="shared" si="41"/>
        <v>no</v>
      </c>
      <c r="Q112" s="22">
        <v>0.17471466666666666</v>
      </c>
      <c r="R112" s="18" t="s">
        <v>692</v>
      </c>
      <c r="S112" s="23">
        <v>41.286148175400001</v>
      </c>
      <c r="T112" s="23">
        <v>-73.654881604500005</v>
      </c>
      <c r="U112" s="18" t="s">
        <v>77</v>
      </c>
      <c r="V112" s="18" t="s">
        <v>77</v>
      </c>
      <c r="W112" t="str">
        <f t="shared" si="44"/>
        <v>no</v>
      </c>
      <c r="Y112" t="str">
        <f t="shared" si="66"/>
        <v>recreation</v>
      </c>
      <c r="Z112" t="s">
        <v>79</v>
      </c>
      <c r="AA112" s="24" t="s">
        <v>473</v>
      </c>
      <c r="AB112" s="24" t="s">
        <v>79</v>
      </c>
      <c r="AC112" s="24">
        <f>IF(AND(AA112="none reported",AB112="none reported"),"",0)</f>
        <v>0</v>
      </c>
      <c r="AD112" s="24"/>
      <c r="AE112" s="25" t="s">
        <v>693</v>
      </c>
      <c r="AF112" t="str">
        <f t="shared" si="43"/>
        <v>yes</v>
      </c>
      <c r="AG112" s="26" t="s">
        <v>81</v>
      </c>
      <c r="AH112" s="27" t="s">
        <v>82</v>
      </c>
      <c r="AI112" s="28" t="s">
        <v>83</v>
      </c>
      <c r="AJ112" s="29" t="s">
        <v>83</v>
      </c>
      <c r="AK112" s="30" t="s">
        <v>84</v>
      </c>
      <c r="AL112" s="31" t="s">
        <v>85</v>
      </c>
      <c r="AM112" s="32" t="s">
        <v>82</v>
      </c>
      <c r="AN112" s="33" t="s">
        <v>81</v>
      </c>
      <c r="AO112" s="32" t="s">
        <v>81</v>
      </c>
      <c r="AP112" s="39"/>
      <c r="AQ112">
        <v>0</v>
      </c>
      <c r="AR112">
        <v>0</v>
      </c>
      <c r="AS112">
        <v>0</v>
      </c>
      <c r="AT112">
        <v>0</v>
      </c>
      <c r="AU112">
        <v>1</v>
      </c>
      <c r="AV112">
        <v>2</v>
      </c>
      <c r="AW112">
        <v>4</v>
      </c>
      <c r="AX112">
        <v>0</v>
      </c>
      <c r="AY112" t="s">
        <v>694</v>
      </c>
      <c r="AZ112" t="s">
        <v>695</v>
      </c>
      <c r="BA112" t="s">
        <v>102</v>
      </c>
      <c r="BB112" t="s">
        <v>696</v>
      </c>
      <c r="BC112" t="s">
        <v>103</v>
      </c>
      <c r="BD112" t="s">
        <v>152</v>
      </c>
      <c r="BE112" t="s">
        <v>159</v>
      </c>
      <c r="BF112" t="s">
        <v>160</v>
      </c>
      <c r="BG112" t="str">
        <f t="shared" si="60"/>
        <v>CSLAP</v>
      </c>
      <c r="BH112" s="14" t="s">
        <v>102</v>
      </c>
      <c r="BJ112">
        <f t="shared" si="61"/>
        <v>2</v>
      </c>
      <c r="BK112">
        <f t="shared" si="62"/>
        <v>2</v>
      </c>
      <c r="BL112">
        <f t="shared" si="63"/>
        <v>1</v>
      </c>
      <c r="BM112" t="str">
        <f t="shared" si="64"/>
        <v>CSLAP</v>
      </c>
      <c r="BN112" t="str">
        <f t="shared" si="65"/>
        <v>no</v>
      </c>
      <c r="BO112">
        <v>0.66056910569105687</v>
      </c>
      <c r="BY112" t="s">
        <v>697</v>
      </c>
    </row>
    <row r="113" spans="1:77" x14ac:dyDescent="0.3">
      <c r="A113" t="s">
        <v>1582</v>
      </c>
      <c r="B113" t="s">
        <v>1855</v>
      </c>
      <c r="C113" s="16">
        <v>127</v>
      </c>
      <c r="D113" s="16" t="s">
        <v>698</v>
      </c>
      <c r="E113" s="16" t="s">
        <v>455</v>
      </c>
      <c r="F113" s="16" t="s">
        <v>699</v>
      </c>
      <c r="G113" s="17">
        <f t="shared" si="46"/>
        <v>473.70986999999997</v>
      </c>
      <c r="H113" s="17">
        <v>191.7</v>
      </c>
      <c r="I113" s="18">
        <f t="shared" si="58"/>
        <v>92172.03</v>
      </c>
      <c r="J113" s="18">
        <v>37300</v>
      </c>
      <c r="K113" s="19">
        <f t="shared" si="40"/>
        <v>194.57485654668756</v>
      </c>
      <c r="L113" s="19">
        <v>22</v>
      </c>
      <c r="M113" s="19">
        <v>6.7</v>
      </c>
      <c r="N113" s="20">
        <f t="shared" si="67"/>
        <v>9.5143199999999997</v>
      </c>
      <c r="O113" s="19">
        <v>2.9</v>
      </c>
      <c r="P113" s="21" t="str">
        <f t="shared" si="41"/>
        <v>no</v>
      </c>
      <c r="Q113" s="22">
        <v>1.6155088852988692E-2</v>
      </c>
      <c r="R113" s="18" t="s">
        <v>251</v>
      </c>
      <c r="S113" s="23">
        <v>43.408233959999997</v>
      </c>
      <c r="T113" s="23">
        <v>-75.186802560000004</v>
      </c>
      <c r="U113" s="18" t="s">
        <v>450</v>
      </c>
      <c r="V113" s="18" t="s">
        <v>77</v>
      </c>
      <c r="W113" t="str">
        <f t="shared" si="44"/>
        <v>no</v>
      </c>
      <c r="Y113" t="str">
        <f t="shared" si="66"/>
        <v>recreation</v>
      </c>
      <c r="Z113" t="s">
        <v>79</v>
      </c>
      <c r="AA113" s="40" t="s">
        <v>79</v>
      </c>
      <c r="AB113" s="40" t="s">
        <v>79</v>
      </c>
      <c r="AC113" s="35">
        <v>14.612241312396932</v>
      </c>
      <c r="AD113" s="35" t="s">
        <v>454</v>
      </c>
      <c r="AF113" t="str">
        <f t="shared" si="43"/>
        <v/>
      </c>
      <c r="AG113" s="26" t="s">
        <v>81</v>
      </c>
      <c r="AH113" s="27" t="s">
        <v>81</v>
      </c>
      <c r="AI113" s="28" t="s">
        <v>82</v>
      </c>
      <c r="AJ113" s="28" t="s">
        <v>82</v>
      </c>
      <c r="AK113" s="30" t="s">
        <v>85</v>
      </c>
      <c r="AL113" s="31" t="s">
        <v>85</v>
      </c>
      <c r="AM113" s="32" t="s">
        <v>82</v>
      </c>
      <c r="AN113" s="33" t="s">
        <v>81</v>
      </c>
      <c r="AO113" s="32" t="s">
        <v>81</v>
      </c>
      <c r="AP113" s="39"/>
      <c r="AQ113">
        <v>0</v>
      </c>
      <c r="AR113">
        <v>0</v>
      </c>
      <c r="AS113">
        <v>0</v>
      </c>
      <c r="AT113">
        <v>0</v>
      </c>
      <c r="AU113">
        <v>0</v>
      </c>
      <c r="AV113">
        <v>0</v>
      </c>
      <c r="AW113">
        <v>0</v>
      </c>
      <c r="AX113">
        <v>0</v>
      </c>
      <c r="AY113" t="s">
        <v>700</v>
      </c>
      <c r="BD113" t="s">
        <v>267</v>
      </c>
      <c r="BE113" t="s">
        <v>216</v>
      </c>
      <c r="BF113" t="s">
        <v>115</v>
      </c>
      <c r="BG113" t="str">
        <f t="shared" si="60"/>
        <v>CSLAP</v>
      </c>
      <c r="BH113" s="14" t="str">
        <f>IF(RIGHT(CM113,4)="2011","yes","no")</f>
        <v>no</v>
      </c>
      <c r="BJ113">
        <f t="shared" si="61"/>
        <v>0</v>
      </c>
      <c r="BK113">
        <f t="shared" si="62"/>
        <v>0</v>
      </c>
      <c r="BL113">
        <f t="shared" si="63"/>
        <v>0</v>
      </c>
      <c r="BM113" t="str">
        <f t="shared" si="64"/>
        <v>CSLAP</v>
      </c>
      <c r="BN113" t="str">
        <f t="shared" si="65"/>
        <v>no</v>
      </c>
      <c r="BO113">
        <v>0.92257552278820365</v>
      </c>
      <c r="BV113" t="s">
        <v>700</v>
      </c>
    </row>
    <row r="114" spans="1:77" x14ac:dyDescent="0.3">
      <c r="A114" t="s">
        <v>1583</v>
      </c>
      <c r="B114" t="s">
        <v>1856</v>
      </c>
      <c r="C114" s="16">
        <v>128</v>
      </c>
      <c r="D114" s="16" t="s">
        <v>701</v>
      </c>
      <c r="E114" s="16" t="s">
        <v>254</v>
      </c>
      <c r="F114" s="16" t="s">
        <v>702</v>
      </c>
      <c r="G114" s="17">
        <f t="shared" si="46"/>
        <v>25.699439999999999</v>
      </c>
      <c r="H114" s="17">
        <v>10.4</v>
      </c>
      <c r="I114" s="18">
        <f t="shared" si="58"/>
        <v>1439.9099699999999</v>
      </c>
      <c r="J114" s="18">
        <v>582.70000000000005</v>
      </c>
      <c r="K114" s="19">
        <f t="shared" si="40"/>
        <v>56.028846153846153</v>
      </c>
      <c r="L114" s="19">
        <v>36.088799999999999</v>
      </c>
      <c r="M114" s="19">
        <v>11</v>
      </c>
      <c r="N114" s="20">
        <f t="shared" si="67"/>
        <v>16.961736000000002</v>
      </c>
      <c r="O114" s="19">
        <v>5.17</v>
      </c>
      <c r="P114" s="21" t="str">
        <f t="shared" si="41"/>
        <v>no</v>
      </c>
      <c r="Q114" s="22">
        <v>0.18159503003260682</v>
      </c>
      <c r="R114" s="18" t="s">
        <v>251</v>
      </c>
      <c r="S114" s="23">
        <v>43.556666</v>
      </c>
      <c r="T114" s="23">
        <v>-73.778882999999993</v>
      </c>
      <c r="U114" s="18" t="s">
        <v>78</v>
      </c>
      <c r="V114" s="18"/>
      <c r="W114" t="str">
        <f t="shared" si="44"/>
        <v>no</v>
      </c>
      <c r="Y114" t="str">
        <f t="shared" si="66"/>
        <v>recreation</v>
      </c>
      <c r="Z114" t="s">
        <v>79</v>
      </c>
      <c r="AA114" s="40" t="s">
        <v>79</v>
      </c>
      <c r="AB114" s="40" t="s">
        <v>79</v>
      </c>
      <c r="AC114" s="35">
        <v>5.8054907564782861</v>
      </c>
      <c r="AD114" s="35" t="s">
        <v>543</v>
      </c>
      <c r="AF114" t="str">
        <f t="shared" si="43"/>
        <v/>
      </c>
      <c r="AG114" s="26" t="s">
        <v>81</v>
      </c>
      <c r="AH114" s="27" t="s">
        <v>81</v>
      </c>
      <c r="AI114" s="28" t="s">
        <v>156</v>
      </c>
      <c r="AJ114" s="29" t="s">
        <v>156</v>
      </c>
      <c r="AK114" s="30" t="s">
        <v>156</v>
      </c>
      <c r="AL114" s="31" t="s">
        <v>156</v>
      </c>
      <c r="AM114" s="32" t="s">
        <v>156</v>
      </c>
      <c r="AN114" s="33" t="s">
        <v>81</v>
      </c>
      <c r="AO114" s="32" t="s">
        <v>81</v>
      </c>
      <c r="AP114" s="39"/>
      <c r="AQ114">
        <v>0</v>
      </c>
      <c r="AR114">
        <v>0</v>
      </c>
      <c r="AS114">
        <v>0</v>
      </c>
      <c r="AT114">
        <v>0</v>
      </c>
      <c r="AU114">
        <v>0</v>
      </c>
      <c r="AV114">
        <v>0</v>
      </c>
      <c r="AW114">
        <v>0</v>
      </c>
      <c r="AX114">
        <v>0</v>
      </c>
      <c r="AY114" t="s">
        <v>700</v>
      </c>
      <c r="BD114" t="s">
        <v>267</v>
      </c>
      <c r="BE114" t="s">
        <v>216</v>
      </c>
      <c r="BF114" t="s">
        <v>115</v>
      </c>
      <c r="BG114" t="str">
        <f t="shared" si="60"/>
        <v>CSLAP</v>
      </c>
      <c r="BH114" s="14" t="str">
        <f>IF(RIGHT(CM114,4)="2011","yes","no")</f>
        <v>no</v>
      </c>
      <c r="BJ114">
        <f>IF(MAX(AT114:AX114)=0,0,IF(MAX(AT114:AX114)=1,1,LEN(AE114)-LEN(SUBSTITUTE(UPPER(AE114),",",""))+1))</f>
        <v>0</v>
      </c>
      <c r="BK114">
        <f>IF(BJ114&gt;1,2,IF(BJ114&gt;0,1,0))</f>
        <v>0</v>
      </c>
      <c r="BL114">
        <f>IF(BJ114&gt;2,3,IF(BJ114&gt;2,2,IF(BJ114&gt;1,1,0)))</f>
        <v>0</v>
      </c>
      <c r="BM114" t="str">
        <f>IF(C114="","LCI","CSLAP")</f>
        <v>CSLAP</v>
      </c>
      <c r="BN114" t="str">
        <f>IF(LEFT(AB114,13)="zebra mussels","yes","no")</f>
        <v>no</v>
      </c>
      <c r="BO114">
        <v>0.50813008130081305</v>
      </c>
      <c r="BV114" t="s">
        <v>700</v>
      </c>
    </row>
    <row r="115" spans="1:77" x14ac:dyDescent="0.3">
      <c r="A115" t="s">
        <v>1584</v>
      </c>
      <c r="B115" t="s">
        <v>1857</v>
      </c>
      <c r="C115" s="37">
        <v>255.1</v>
      </c>
      <c r="D115" s="37" t="s">
        <v>703</v>
      </c>
      <c r="E115" s="42" t="s">
        <v>704</v>
      </c>
      <c r="F115" t="s">
        <v>705</v>
      </c>
      <c r="G115" s="36">
        <v>11678.1</v>
      </c>
      <c r="H115" s="36">
        <f>G115/2.4711</f>
        <v>4725.8710695641621</v>
      </c>
      <c r="I115" s="37">
        <v>112640</v>
      </c>
      <c r="J115" s="37">
        <f>I115/2.4711</f>
        <v>45582.938772206711</v>
      </c>
      <c r="K115" s="21">
        <f t="shared" si="40"/>
        <v>9.6454046463037653</v>
      </c>
      <c r="L115" s="21">
        <f>3.28*M115</f>
        <v>183.02399999999997</v>
      </c>
      <c r="M115" s="21">
        <v>55.8</v>
      </c>
      <c r="N115" s="21">
        <f>3.28*O115</f>
        <v>100.03999999999999</v>
      </c>
      <c r="O115" s="21">
        <v>30.5</v>
      </c>
      <c r="P115" s="21" t="str">
        <f t="shared" si="41"/>
        <v>no</v>
      </c>
      <c r="Q115" s="43">
        <v>9.2217009341461491</v>
      </c>
      <c r="R115" s="37" t="s">
        <v>2109</v>
      </c>
      <c r="S115">
        <v>42.550407</v>
      </c>
      <c r="T115">
        <v>-77.149530999999996</v>
      </c>
      <c r="U115" t="s">
        <v>307</v>
      </c>
      <c r="V115" t="s">
        <v>78</v>
      </c>
      <c r="W115" t="str">
        <f t="shared" si="44"/>
        <v>no</v>
      </c>
      <c r="X115" t="s">
        <v>706</v>
      </c>
      <c r="Y115" t="str">
        <f t="shared" si="66"/>
        <v>recreation and public bathing</v>
      </c>
      <c r="AA115" t="s">
        <v>464</v>
      </c>
      <c r="AB115" t="s">
        <v>707</v>
      </c>
      <c r="AC115">
        <v>0</v>
      </c>
      <c r="AE115" s="25" t="s">
        <v>708</v>
      </c>
      <c r="AF115" t="str">
        <f t="shared" si="43"/>
        <v>yes</v>
      </c>
      <c r="AG115" t="s">
        <v>257</v>
      </c>
      <c r="AH115" t="s">
        <v>82</v>
      </c>
      <c r="AI115" t="s">
        <v>82</v>
      </c>
      <c r="AJ115" t="s">
        <v>82</v>
      </c>
      <c r="AK115" t="s">
        <v>82</v>
      </c>
      <c r="AL115" t="s">
        <v>82</v>
      </c>
      <c r="AM115" t="s">
        <v>82</v>
      </c>
      <c r="AN115" s="39">
        <v>43649</v>
      </c>
      <c r="AO115" s="39">
        <v>43768</v>
      </c>
      <c r="AP115" s="39"/>
      <c r="AQ115">
        <v>6</v>
      </c>
      <c r="AR115">
        <v>4</v>
      </c>
      <c r="AS115">
        <v>5</v>
      </c>
      <c r="AT115">
        <v>0</v>
      </c>
      <c r="AU115">
        <v>0</v>
      </c>
      <c r="AV115">
        <v>0</v>
      </c>
      <c r="AW115">
        <v>0</v>
      </c>
      <c r="AX115">
        <v>0</v>
      </c>
      <c r="AZ115" t="s">
        <v>709</v>
      </c>
      <c r="BA115" t="s">
        <v>102</v>
      </c>
      <c r="BB115" t="s">
        <v>710</v>
      </c>
      <c r="BD115" t="s">
        <v>320</v>
      </c>
      <c r="BG115" t="s">
        <v>54</v>
      </c>
      <c r="BH115" s="14" t="s">
        <v>102</v>
      </c>
      <c r="BM115" t="s">
        <v>54</v>
      </c>
      <c r="BN115" t="s">
        <v>102</v>
      </c>
      <c r="BO115">
        <v>0.34290068580137162</v>
      </c>
      <c r="BS115" s="41">
        <f>(5+0+41)/3</f>
        <v>15.333333333333334</v>
      </c>
    </row>
    <row r="116" spans="1:77" x14ac:dyDescent="0.3">
      <c r="A116" t="s">
        <v>1584</v>
      </c>
      <c r="B116" t="s">
        <v>1858</v>
      </c>
      <c r="C116" s="37">
        <v>255.2</v>
      </c>
      <c r="D116" s="37" t="s">
        <v>711</v>
      </c>
      <c r="E116" s="42" t="s">
        <v>704</v>
      </c>
      <c r="F116" t="s">
        <v>705</v>
      </c>
      <c r="G116" s="36">
        <v>11678.1</v>
      </c>
      <c r="H116" s="36">
        <f>G116/2.4711</f>
        <v>4725.8710695641621</v>
      </c>
      <c r="I116" s="37">
        <v>112640</v>
      </c>
      <c r="J116" s="37">
        <f>I116/2.4711</f>
        <v>45582.938772206711</v>
      </c>
      <c r="K116" s="21">
        <f>J116/H116</f>
        <v>9.6454046463037653</v>
      </c>
      <c r="L116" s="21">
        <f>3.28*M116</f>
        <v>183.02399999999997</v>
      </c>
      <c r="M116" s="21">
        <v>55.8</v>
      </c>
      <c r="N116" s="21">
        <f>3.28*O116</f>
        <v>100.03999999999999</v>
      </c>
      <c r="O116" s="21">
        <v>30.5</v>
      </c>
      <c r="P116" s="21" t="str">
        <f>IF(O116=(M116*0.46),"yes","no")</f>
        <v>no</v>
      </c>
      <c r="Q116" s="43">
        <v>9.2217009341461491</v>
      </c>
      <c r="R116" s="37" t="s">
        <v>306</v>
      </c>
      <c r="S116">
        <v>42.488717000000001</v>
      </c>
      <c r="T116">
        <v>-77.154949999999999</v>
      </c>
      <c r="U116" t="s">
        <v>307</v>
      </c>
      <c r="V116" t="s">
        <v>78</v>
      </c>
      <c r="W116" t="str">
        <f>IF(OR(U116="A",U116="AA",U116="AAspec",U116="A(T)",U116="AA(T)"),"yes","no")</f>
        <v>no</v>
      </c>
      <c r="X116" t="s">
        <v>706</v>
      </c>
      <c r="Y116" t="str">
        <f>IF(W116="yes",IF(X116="","potable water and recreation","potable water, recreation, and public bathing"),IF(X116="","recreation","recreation and public bathing"))</f>
        <v>recreation and public bathing</v>
      </c>
      <c r="AA116" t="s">
        <v>464</v>
      </c>
      <c r="AB116" t="s">
        <v>707</v>
      </c>
      <c r="AC116">
        <v>0</v>
      </c>
      <c r="AE116" s="25" t="s">
        <v>708</v>
      </c>
      <c r="AF116" t="str">
        <f>IF(AE116="","",IF(IFERROR(SEARCH(",",AE116,1)&gt;1,0),"yes","no"))</f>
        <v>yes</v>
      </c>
      <c r="AG116" t="s">
        <v>257</v>
      </c>
      <c r="AH116" t="s">
        <v>82</v>
      </c>
      <c r="AI116" t="s">
        <v>82</v>
      </c>
      <c r="AJ116" t="s">
        <v>82</v>
      </c>
      <c r="AK116" t="s">
        <v>82</v>
      </c>
      <c r="AL116" t="s">
        <v>82</v>
      </c>
      <c r="AM116" t="s">
        <v>82</v>
      </c>
      <c r="AN116" s="39">
        <v>43649</v>
      </c>
      <c r="AO116" s="39">
        <v>43768</v>
      </c>
      <c r="AP116" s="39"/>
      <c r="AQ116">
        <v>6</v>
      </c>
      <c r="AR116">
        <v>4</v>
      </c>
      <c r="AS116">
        <v>5</v>
      </c>
      <c r="AT116">
        <v>0</v>
      </c>
      <c r="AU116">
        <v>0</v>
      </c>
      <c r="AV116">
        <v>0</v>
      </c>
      <c r="AW116">
        <v>0</v>
      </c>
      <c r="AX116">
        <v>0</v>
      </c>
      <c r="AZ116" t="s">
        <v>709</v>
      </c>
      <c r="BA116" t="s">
        <v>102</v>
      </c>
      <c r="BB116" t="s">
        <v>710</v>
      </c>
      <c r="BD116" t="s">
        <v>320</v>
      </c>
      <c r="BG116" t="s">
        <v>54</v>
      </c>
      <c r="BH116" s="14" t="s">
        <v>102</v>
      </c>
      <c r="BM116" t="s">
        <v>54</v>
      </c>
      <c r="BN116" t="s">
        <v>102</v>
      </c>
      <c r="BO116">
        <v>0.34290068580137162</v>
      </c>
      <c r="BS116" s="41">
        <f>(5+0+41)/3</f>
        <v>15.333333333333334</v>
      </c>
    </row>
    <row r="117" spans="1:77" x14ac:dyDescent="0.3">
      <c r="A117" t="s">
        <v>1584</v>
      </c>
      <c r="B117" t="e">
        <v>#N/A</v>
      </c>
      <c r="C117" s="37">
        <v>255.3</v>
      </c>
      <c r="D117" s="37" t="s">
        <v>712</v>
      </c>
      <c r="E117" s="42" t="s">
        <v>704</v>
      </c>
      <c r="F117" t="s">
        <v>705</v>
      </c>
      <c r="G117" s="36">
        <v>11678.1</v>
      </c>
      <c r="H117" s="36">
        <f>G117/2.4711</f>
        <v>4725.8710695641621</v>
      </c>
      <c r="I117" s="37">
        <v>112640</v>
      </c>
      <c r="J117" s="37">
        <f>I117/2.4711</f>
        <v>45582.938772206711</v>
      </c>
      <c r="K117" s="21">
        <f>J117/H117</f>
        <v>9.6454046463037653</v>
      </c>
      <c r="L117" s="21">
        <f>3.28*M117</f>
        <v>183.02399999999997</v>
      </c>
      <c r="M117" s="21">
        <v>55.8</v>
      </c>
      <c r="N117" s="21">
        <f>3.28*O117</f>
        <v>100.03999999999999</v>
      </c>
      <c r="O117" s="21">
        <v>30.5</v>
      </c>
      <c r="P117" s="21" t="str">
        <f>IF(O117=(M117*0.46),"yes","no")</f>
        <v>no</v>
      </c>
      <c r="Q117" s="43">
        <v>9.2217009341461491</v>
      </c>
      <c r="R117" s="37">
        <v>2018</v>
      </c>
      <c r="S117">
        <v>42.55</v>
      </c>
      <c r="T117">
        <v>-77.102000000000004</v>
      </c>
      <c r="U117" t="s">
        <v>307</v>
      </c>
      <c r="V117" t="s">
        <v>78</v>
      </c>
      <c r="W117" t="str">
        <f>IF(OR(U117="A",U117="AA",U117="AAspec",U117="A(T)",U117="AA(T)"),"yes","no")</f>
        <v>no</v>
      </c>
      <c r="X117" t="s">
        <v>706</v>
      </c>
      <c r="Y117" t="str">
        <f>IF(W117="yes",IF(X117="","potable water and recreation","potable water, recreation, and public bathing"),IF(X117="","recreation","recreation and public bathing"))</f>
        <v>recreation and public bathing</v>
      </c>
      <c r="AA117" t="s">
        <v>464</v>
      </c>
      <c r="AB117" t="s">
        <v>707</v>
      </c>
      <c r="AC117">
        <v>0</v>
      </c>
      <c r="AE117" s="25" t="s">
        <v>708</v>
      </c>
      <c r="AF117" t="str">
        <f>IF(AE117="","",IF(IFERROR(SEARCH(",",AE117,1)&gt;1,0),"yes","no"))</f>
        <v>yes</v>
      </c>
      <c r="AG117" t="s">
        <v>257</v>
      </c>
      <c r="AH117" t="s">
        <v>82</v>
      </c>
      <c r="AI117" t="s">
        <v>82</v>
      </c>
      <c r="AJ117" t="s">
        <v>82</v>
      </c>
      <c r="AK117" t="s">
        <v>82</v>
      </c>
      <c r="AL117" t="s">
        <v>82</v>
      </c>
      <c r="AM117" t="s">
        <v>82</v>
      </c>
      <c r="AN117" s="39">
        <v>43649</v>
      </c>
      <c r="AO117" s="39">
        <v>43768</v>
      </c>
      <c r="AP117" s="39"/>
      <c r="AQ117">
        <v>6</v>
      </c>
      <c r="AR117">
        <v>4</v>
      </c>
      <c r="AS117">
        <v>5</v>
      </c>
      <c r="AT117">
        <v>0</v>
      </c>
      <c r="AU117">
        <v>0</v>
      </c>
      <c r="AV117">
        <v>0</v>
      </c>
      <c r="AW117">
        <v>0</v>
      </c>
      <c r="AX117">
        <v>0</v>
      </c>
      <c r="AZ117" t="s">
        <v>709</v>
      </c>
      <c r="BA117" t="s">
        <v>102</v>
      </c>
      <c r="BB117" t="s">
        <v>710</v>
      </c>
      <c r="BD117" t="s">
        <v>320</v>
      </c>
      <c r="BG117" t="s">
        <v>54</v>
      </c>
      <c r="BH117" s="14" t="s">
        <v>102</v>
      </c>
      <c r="BM117" t="s">
        <v>54</v>
      </c>
      <c r="BN117" t="s">
        <v>102</v>
      </c>
      <c r="BO117">
        <v>0.34290068580137162</v>
      </c>
      <c r="BS117" s="41">
        <f>(5+0+41)/3</f>
        <v>15.333333333333334</v>
      </c>
    </row>
    <row r="118" spans="1:77" x14ac:dyDescent="0.3">
      <c r="A118" t="s">
        <v>1585</v>
      </c>
      <c r="B118" t="s">
        <v>1859</v>
      </c>
      <c r="C118" s="16">
        <v>129</v>
      </c>
      <c r="D118" s="16" t="s">
        <v>713</v>
      </c>
      <c r="E118" s="16" t="s">
        <v>386</v>
      </c>
      <c r="F118" s="16" t="s">
        <v>714</v>
      </c>
      <c r="G118" s="17">
        <f t="shared" ref="G118:G142" si="68">H118*2.4711</f>
        <v>345.70688999999999</v>
      </c>
      <c r="H118" s="17">
        <v>139.9</v>
      </c>
      <c r="I118" s="18">
        <f>IF(J118="","",J118*2.4711)</f>
        <v>11638.880999999999</v>
      </c>
      <c r="J118" s="18">
        <v>4710</v>
      </c>
      <c r="K118" s="19">
        <f t="shared" si="40"/>
        <v>33.666904932094354</v>
      </c>
      <c r="L118" s="19">
        <v>32</v>
      </c>
      <c r="M118" s="19">
        <v>10</v>
      </c>
      <c r="N118" s="20">
        <v>15</v>
      </c>
      <c r="O118" s="19">
        <v>4.5</v>
      </c>
      <c r="P118" s="21" t="str">
        <f t="shared" si="41"/>
        <v>no</v>
      </c>
      <c r="Q118" s="22">
        <v>0.3</v>
      </c>
      <c r="R118" s="18" t="s">
        <v>2174</v>
      </c>
      <c r="S118" s="23">
        <v>42.45207276</v>
      </c>
      <c r="T118" s="23">
        <v>-73.655387719999993</v>
      </c>
      <c r="U118" s="18" t="s">
        <v>77</v>
      </c>
      <c r="V118" s="18" t="s">
        <v>77</v>
      </c>
      <c r="W118" t="str">
        <f t="shared" si="44"/>
        <v>no</v>
      </c>
      <c r="Y118" t="str">
        <f t="shared" si="66"/>
        <v>recreation</v>
      </c>
      <c r="Z118" t="s">
        <v>79</v>
      </c>
      <c r="AA118" s="24" t="s">
        <v>715</v>
      </c>
      <c r="AB118" s="24" t="s">
        <v>79</v>
      </c>
      <c r="AC118" s="24">
        <f t="shared" ref="AC118:AC123" si="69">IF(AND(AA118="none reported",AB118="none reported"),"",0)</f>
        <v>0</v>
      </c>
      <c r="AD118" s="24"/>
      <c r="AF118" t="str">
        <f t="shared" si="43"/>
        <v/>
      </c>
      <c r="AG118" s="26" t="s">
        <v>81</v>
      </c>
      <c r="AH118" s="27" t="s">
        <v>83</v>
      </c>
      <c r="AI118" s="28" t="s">
        <v>141</v>
      </c>
      <c r="AJ118" s="29" t="s">
        <v>83</v>
      </c>
      <c r="AK118" s="30" t="s">
        <v>121</v>
      </c>
      <c r="AL118" s="31" t="s">
        <v>84</v>
      </c>
      <c r="AM118" s="32" t="s">
        <v>141</v>
      </c>
      <c r="AN118" s="33" t="s">
        <v>81</v>
      </c>
      <c r="AO118" s="32" t="s">
        <v>81</v>
      </c>
      <c r="AP118" s="39"/>
      <c r="AQ118">
        <v>5</v>
      </c>
      <c r="AR118">
        <v>2</v>
      </c>
      <c r="AS118">
        <v>0</v>
      </c>
      <c r="AT118">
        <v>0</v>
      </c>
      <c r="AU118">
        <v>0</v>
      </c>
      <c r="AV118">
        <v>0</v>
      </c>
      <c r="AW118">
        <v>0</v>
      </c>
      <c r="AX118">
        <v>0</v>
      </c>
      <c r="AY118" t="s">
        <v>716</v>
      </c>
      <c r="AZ118" t="s">
        <v>717</v>
      </c>
      <c r="BA118" t="s">
        <v>102</v>
      </c>
      <c r="BB118" t="s">
        <v>718</v>
      </c>
      <c r="BD118" t="s">
        <v>152</v>
      </c>
      <c r="BF118" t="s">
        <v>133</v>
      </c>
      <c r="BG118" t="str">
        <f t="shared" ref="BG118:BG142" si="70">IF(C118="","LCI","CSLAP")</f>
        <v>CSLAP</v>
      </c>
      <c r="BH118" s="14" t="str">
        <f>IF(RIGHT(CM118,4)="2011","yes","no")</f>
        <v>no</v>
      </c>
      <c r="BJ118">
        <f t="shared" ref="BJ118:BJ142" si="71">IF(MAX(AT118:AX118)=0,0,IF(MAX(AT118:AX118)=1,1,LEN(AE118)-LEN(SUBSTITUTE(UPPER(AE118),",",""))+1))</f>
        <v>0</v>
      </c>
      <c r="BK118">
        <f t="shared" ref="BK118:BK142" si="72">IF(BJ118&gt;1,2,IF(BJ118&gt;0,1,0))</f>
        <v>0</v>
      </c>
      <c r="BL118">
        <f t="shared" ref="BL118:BL142" si="73">IF(BJ118&gt;2,3,IF(BJ118&gt;2,2,IF(BJ118&gt;1,1,0)))</f>
        <v>0</v>
      </c>
      <c r="BM118" t="str">
        <f t="shared" ref="BM118:BM142" si="74">IF(C118="","LCI","CSLAP")</f>
        <v>CSLAP</v>
      </c>
      <c r="BN118" t="str">
        <f t="shared" ref="BN118:BN142" si="75">IF(LEFT(AB118,13)="zebra mussels","yes","no")</f>
        <v>no</v>
      </c>
      <c r="BO118">
        <v>0.44554140127388542</v>
      </c>
      <c r="BU118" t="s">
        <v>719</v>
      </c>
      <c r="BV118" t="s">
        <v>716</v>
      </c>
      <c r="BY118" t="s">
        <v>720</v>
      </c>
    </row>
    <row r="119" spans="1:77" x14ac:dyDescent="0.3">
      <c r="A119" t="s">
        <v>1586</v>
      </c>
      <c r="B119" t="s">
        <v>1860</v>
      </c>
      <c r="C119" s="16">
        <v>230</v>
      </c>
      <c r="D119" s="16" t="s">
        <v>721</v>
      </c>
      <c r="E119" s="16" t="s">
        <v>147</v>
      </c>
      <c r="F119" s="16" t="s">
        <v>722</v>
      </c>
      <c r="G119" s="17">
        <f t="shared" si="68"/>
        <v>121.57812</v>
      </c>
      <c r="H119" s="17">
        <v>49.2</v>
      </c>
      <c r="I119" s="18">
        <f>IF(J119="","",J119*2.4711)</f>
        <v>2601.1578947368416</v>
      </c>
      <c r="J119" s="18">
        <v>1052.6315789473683</v>
      </c>
      <c r="K119" s="19">
        <f t="shared" si="40"/>
        <v>21.394950791613176</v>
      </c>
      <c r="L119" s="19">
        <f>3.28*M119</f>
        <v>22.959999999999997</v>
      </c>
      <c r="M119" s="19">
        <v>7</v>
      </c>
      <c r="N119" s="20">
        <f>IF(O119="", "",O119*3.2808)</f>
        <v>10.022843999999999</v>
      </c>
      <c r="O119" s="19">
        <v>3.0549999999999997</v>
      </c>
      <c r="P119" s="21" t="str">
        <f t="shared" si="41"/>
        <v>no</v>
      </c>
      <c r="Q119" s="22">
        <v>0.23798450000000002</v>
      </c>
      <c r="R119" s="18" t="s">
        <v>2096</v>
      </c>
      <c r="S119" s="23">
        <v>41.387320750000001</v>
      </c>
      <c r="T119" s="23">
        <v>-73.752348569999995</v>
      </c>
      <c r="U119" s="18" t="s">
        <v>77</v>
      </c>
      <c r="V119" s="18" t="s">
        <v>77</v>
      </c>
      <c r="W119" t="str">
        <f t="shared" si="44"/>
        <v>no</v>
      </c>
      <c r="Y119" t="str">
        <f t="shared" si="66"/>
        <v>recreation</v>
      </c>
      <c r="Z119" t="s">
        <v>79</v>
      </c>
      <c r="AA119" s="24" t="s">
        <v>723</v>
      </c>
      <c r="AB119" s="24" t="s">
        <v>79</v>
      </c>
      <c r="AC119" s="24">
        <f t="shared" si="69"/>
        <v>0</v>
      </c>
      <c r="AD119" s="24"/>
      <c r="AE119" s="25" t="s">
        <v>724</v>
      </c>
      <c r="AF119" t="str">
        <f t="shared" si="43"/>
        <v>yes</v>
      </c>
      <c r="AG119" s="16" t="s">
        <v>81</v>
      </c>
      <c r="AH119" s="16" t="s">
        <v>82</v>
      </c>
      <c r="AI119" s="16" t="s">
        <v>83</v>
      </c>
      <c r="AJ119" s="16" t="s">
        <v>82</v>
      </c>
      <c r="AK119" s="16" t="s">
        <v>85</v>
      </c>
      <c r="AL119" s="16" t="s">
        <v>85</v>
      </c>
      <c r="AM119" s="16" t="s">
        <v>82</v>
      </c>
      <c r="AN119" s="39">
        <v>43650</v>
      </c>
      <c r="AO119" s="39">
        <v>43697</v>
      </c>
      <c r="AP119" s="39"/>
      <c r="AQ119">
        <v>6</v>
      </c>
      <c r="AR119">
        <v>3</v>
      </c>
      <c r="AS119">
        <v>1</v>
      </c>
      <c r="AT119">
        <v>3</v>
      </c>
      <c r="AU119">
        <v>7</v>
      </c>
      <c r="AV119">
        <v>2</v>
      </c>
      <c r="AW119">
        <v>2</v>
      </c>
      <c r="AX119">
        <v>0</v>
      </c>
      <c r="AY119" t="s">
        <v>102</v>
      </c>
      <c r="AZ119" t="s">
        <v>725</v>
      </c>
      <c r="BA119" t="s">
        <v>102</v>
      </c>
      <c r="BB119" t="s">
        <v>726</v>
      </c>
      <c r="BC119" t="s">
        <v>103</v>
      </c>
      <c r="BD119" t="s">
        <v>152</v>
      </c>
      <c r="BE119" t="s">
        <v>159</v>
      </c>
      <c r="BF119" t="s">
        <v>160</v>
      </c>
      <c r="BG119" t="str">
        <f t="shared" si="70"/>
        <v>CSLAP</v>
      </c>
      <c r="BH119" s="14" t="s">
        <v>102</v>
      </c>
      <c r="BJ119">
        <f t="shared" si="71"/>
        <v>5</v>
      </c>
      <c r="BK119">
        <f t="shared" si="72"/>
        <v>2</v>
      </c>
      <c r="BL119">
        <f t="shared" si="73"/>
        <v>3</v>
      </c>
      <c r="BM119" t="str">
        <f t="shared" si="74"/>
        <v>CSLAP</v>
      </c>
      <c r="BN119" t="str">
        <f t="shared" si="75"/>
        <v>no</v>
      </c>
      <c r="BO119">
        <v>0.6</v>
      </c>
    </row>
    <row r="120" spans="1:77" x14ac:dyDescent="0.3">
      <c r="A120" t="s">
        <v>1861</v>
      </c>
      <c r="B120" t="s">
        <v>1862</v>
      </c>
      <c r="C120" s="16">
        <v>76</v>
      </c>
      <c r="D120" s="16" t="s">
        <v>727</v>
      </c>
      <c r="E120" s="16" t="s">
        <v>728</v>
      </c>
      <c r="F120" s="16" t="s">
        <v>729</v>
      </c>
      <c r="G120" s="17">
        <f t="shared" si="68"/>
        <v>339.28203000000002</v>
      </c>
      <c r="H120" s="17">
        <v>137.30000000000001</v>
      </c>
      <c r="I120" s="18">
        <f t="shared" ref="I120:I128" si="76">IF(J120="","",J120*2.4711)</f>
        <v>137089.21469999998</v>
      </c>
      <c r="J120" s="18">
        <v>55477</v>
      </c>
      <c r="K120" s="19">
        <f t="shared" si="40"/>
        <v>404.05680990531681</v>
      </c>
      <c r="L120" s="19" t="s">
        <v>110</v>
      </c>
      <c r="M120" s="19"/>
      <c r="N120" s="20">
        <f t="shared" ref="N120:N140" si="77">IF(O120="", "",O120*3.2808)</f>
        <v>23.949840000000002</v>
      </c>
      <c r="O120" s="19">
        <v>7.3</v>
      </c>
      <c r="P120" s="21" t="str">
        <f t="shared" si="41"/>
        <v>no</v>
      </c>
      <c r="Q120" s="22">
        <v>4.7407195053806084E-2</v>
      </c>
      <c r="R120" s="18" t="s">
        <v>730</v>
      </c>
      <c r="S120" s="23">
        <v>43.318519999999999</v>
      </c>
      <c r="T120" s="23">
        <v>-78.25694</v>
      </c>
      <c r="U120" s="18" t="s">
        <v>78</v>
      </c>
      <c r="V120" s="18" t="s">
        <v>78</v>
      </c>
      <c r="W120" t="str">
        <f t="shared" si="44"/>
        <v>no</v>
      </c>
      <c r="Y120" t="str">
        <f t="shared" si="66"/>
        <v>recreation</v>
      </c>
      <c r="Z120" t="s">
        <v>79</v>
      </c>
      <c r="AA120" s="24" t="s">
        <v>120</v>
      </c>
      <c r="AB120" s="24" t="s">
        <v>139</v>
      </c>
      <c r="AC120" s="24">
        <f t="shared" si="69"/>
        <v>0</v>
      </c>
      <c r="AD120" s="24"/>
      <c r="AF120" t="str">
        <f t="shared" si="43"/>
        <v/>
      </c>
      <c r="AG120" s="26" t="s">
        <v>81</v>
      </c>
      <c r="AH120" s="27" t="s">
        <v>81</v>
      </c>
      <c r="AI120" s="28" t="s">
        <v>156</v>
      </c>
      <c r="AJ120" s="29" t="s">
        <v>156</v>
      </c>
      <c r="AK120" s="30" t="s">
        <v>156</v>
      </c>
      <c r="AL120" s="31" t="s">
        <v>156</v>
      </c>
      <c r="AM120" s="32" t="s">
        <v>156</v>
      </c>
      <c r="AN120" s="33" t="s">
        <v>81</v>
      </c>
      <c r="AO120" s="32" t="s">
        <v>81</v>
      </c>
      <c r="AP120" s="39"/>
      <c r="AQ120">
        <v>3</v>
      </c>
      <c r="AR120">
        <v>0</v>
      </c>
      <c r="AS120">
        <v>0</v>
      </c>
      <c r="AT120">
        <v>1</v>
      </c>
      <c r="AU120">
        <v>0</v>
      </c>
      <c r="AV120">
        <v>0</v>
      </c>
      <c r="AW120">
        <v>0</v>
      </c>
      <c r="AX120">
        <v>0</v>
      </c>
      <c r="BD120" t="s">
        <v>227</v>
      </c>
      <c r="BE120" t="s">
        <v>228</v>
      </c>
      <c r="BF120" t="s">
        <v>365</v>
      </c>
      <c r="BG120" t="str">
        <f t="shared" si="70"/>
        <v>CSLAP</v>
      </c>
      <c r="BH120" s="14" t="str">
        <f>IF(RIGHT(CM120,4)="2011","yes","no")</f>
        <v>no</v>
      </c>
      <c r="BJ120">
        <f t="shared" si="71"/>
        <v>1</v>
      </c>
      <c r="BK120">
        <f t="shared" si="72"/>
        <v>1</v>
      </c>
      <c r="BL120">
        <f t="shared" si="73"/>
        <v>0</v>
      </c>
      <c r="BM120" t="str">
        <f t="shared" si="74"/>
        <v>CSLAP</v>
      </c>
      <c r="BN120" t="str">
        <f t="shared" si="75"/>
        <v>yes</v>
      </c>
      <c r="BO120">
        <v>0.38109756097560976</v>
      </c>
    </row>
    <row r="121" spans="1:77" x14ac:dyDescent="0.3">
      <c r="A121" t="s">
        <v>1588</v>
      </c>
      <c r="B121" t="s">
        <v>1863</v>
      </c>
      <c r="C121" s="16">
        <v>50</v>
      </c>
      <c r="D121" s="16" t="s">
        <v>731</v>
      </c>
      <c r="E121" s="16" t="s">
        <v>262</v>
      </c>
      <c r="F121" s="16" t="s">
        <v>732</v>
      </c>
      <c r="G121" s="17">
        <f t="shared" si="68"/>
        <v>1286.4546599999999</v>
      </c>
      <c r="H121" s="17">
        <v>520.6</v>
      </c>
      <c r="I121" s="18">
        <f t="shared" si="76"/>
        <v>11787.146999999999</v>
      </c>
      <c r="J121" s="18">
        <v>4770</v>
      </c>
      <c r="K121" s="19">
        <f t="shared" si="40"/>
        <v>9.1625048021513642</v>
      </c>
      <c r="L121" s="19">
        <v>72.177599999999998</v>
      </c>
      <c r="M121" s="19">
        <v>22</v>
      </c>
      <c r="N121" s="20">
        <f t="shared" si="77"/>
        <v>30.839520000000004</v>
      </c>
      <c r="O121" s="19">
        <v>9.4</v>
      </c>
      <c r="P121" s="21" t="str">
        <f t="shared" si="41"/>
        <v>no</v>
      </c>
      <c r="Q121" s="22">
        <v>1.8400000000000003</v>
      </c>
      <c r="R121" s="18" t="s">
        <v>733</v>
      </c>
      <c r="S121" s="23">
        <v>44.149263939999997</v>
      </c>
      <c r="T121" s="23">
        <v>-75.392672829999995</v>
      </c>
      <c r="U121" s="18" t="s">
        <v>77</v>
      </c>
      <c r="V121" s="18" t="s">
        <v>96</v>
      </c>
      <c r="W121" t="str">
        <f t="shared" si="44"/>
        <v>no</v>
      </c>
      <c r="Y121" t="str">
        <f t="shared" si="66"/>
        <v>recreation</v>
      </c>
      <c r="Z121" t="s">
        <v>79</v>
      </c>
      <c r="AA121" s="24" t="s">
        <v>120</v>
      </c>
      <c r="AB121" s="24" t="s">
        <v>79</v>
      </c>
      <c r="AC121" s="24">
        <f t="shared" si="69"/>
        <v>0</v>
      </c>
      <c r="AD121" s="24"/>
      <c r="AF121" t="str">
        <f t="shared" si="43"/>
        <v/>
      </c>
      <c r="AG121" s="26" t="s">
        <v>81</v>
      </c>
      <c r="AH121" s="27" t="s">
        <v>83</v>
      </c>
      <c r="AI121" s="28" t="s">
        <v>83</v>
      </c>
      <c r="AJ121" s="29" t="s">
        <v>82</v>
      </c>
      <c r="AK121" s="30" t="s">
        <v>85</v>
      </c>
      <c r="AL121" s="31" t="s">
        <v>84</v>
      </c>
      <c r="AM121" s="32" t="s">
        <v>82</v>
      </c>
      <c r="AN121" s="33" t="s">
        <v>81</v>
      </c>
      <c r="AO121" s="32" t="s">
        <v>81</v>
      </c>
      <c r="AP121" s="39"/>
      <c r="AQ121">
        <v>0</v>
      </c>
      <c r="AR121">
        <v>0</v>
      </c>
      <c r="AS121">
        <v>0</v>
      </c>
      <c r="AT121">
        <v>0</v>
      </c>
      <c r="AU121">
        <v>0</v>
      </c>
      <c r="AV121">
        <v>0</v>
      </c>
      <c r="AW121">
        <v>0</v>
      </c>
      <c r="AX121">
        <v>0</v>
      </c>
      <c r="AY121" t="s">
        <v>734</v>
      </c>
      <c r="AZ121" t="s">
        <v>735</v>
      </c>
      <c r="BA121" t="s">
        <v>102</v>
      </c>
      <c r="BB121" t="s">
        <v>736</v>
      </c>
      <c r="BC121" t="s">
        <v>87</v>
      </c>
      <c r="BD121" t="s">
        <v>215</v>
      </c>
      <c r="BE121" t="s">
        <v>216</v>
      </c>
      <c r="BF121" t="s">
        <v>216</v>
      </c>
      <c r="BG121" t="str">
        <f t="shared" si="70"/>
        <v>CSLAP</v>
      </c>
      <c r="BH121" s="14" t="s">
        <v>102</v>
      </c>
      <c r="BJ121">
        <f t="shared" si="71"/>
        <v>0</v>
      </c>
      <c r="BK121">
        <f t="shared" si="72"/>
        <v>0</v>
      </c>
      <c r="BL121">
        <f t="shared" si="73"/>
        <v>0</v>
      </c>
      <c r="BM121" t="str">
        <f t="shared" si="74"/>
        <v>CSLAP</v>
      </c>
      <c r="BN121" t="str">
        <f t="shared" si="75"/>
        <v>no</v>
      </c>
      <c r="BO121">
        <v>0.557565399690092</v>
      </c>
      <c r="BY121" t="s">
        <v>734</v>
      </c>
    </row>
    <row r="122" spans="1:77" x14ac:dyDescent="0.3">
      <c r="A122" t="s">
        <v>1589</v>
      </c>
      <c r="B122" t="s">
        <v>1864</v>
      </c>
      <c r="C122" s="16">
        <v>2</v>
      </c>
      <c r="D122" s="16" t="s">
        <v>737</v>
      </c>
      <c r="E122" s="16" t="s">
        <v>147</v>
      </c>
      <c r="F122" s="16" t="s">
        <v>154</v>
      </c>
      <c r="G122" s="17">
        <f t="shared" si="68"/>
        <v>192.00447</v>
      </c>
      <c r="H122" s="17">
        <v>77.7</v>
      </c>
      <c r="I122" s="18">
        <f t="shared" si="76"/>
        <v>8414.0954999999994</v>
      </c>
      <c r="J122" s="18">
        <v>3405</v>
      </c>
      <c r="K122" s="19">
        <f t="shared" si="40"/>
        <v>43.822393822393821</v>
      </c>
      <c r="L122" s="19">
        <f>3.28*M122</f>
        <v>13.12</v>
      </c>
      <c r="M122" s="19">
        <v>4</v>
      </c>
      <c r="N122" s="20">
        <f t="shared" si="77"/>
        <v>7.87392</v>
      </c>
      <c r="O122" s="19">
        <v>2.4</v>
      </c>
      <c r="P122" s="21" t="str">
        <f t="shared" si="41"/>
        <v>no</v>
      </c>
      <c r="Q122" s="22">
        <v>8.6224408810572695E-2</v>
      </c>
      <c r="R122" s="18" t="s">
        <v>2112</v>
      </c>
      <c r="S122" s="23">
        <v>41.458194089999999</v>
      </c>
      <c r="T122" s="23">
        <v>-73.664928930000002</v>
      </c>
      <c r="U122" s="18" t="s">
        <v>77</v>
      </c>
      <c r="V122" s="18" t="s">
        <v>78</v>
      </c>
      <c r="W122" t="str">
        <f t="shared" si="44"/>
        <v>no</v>
      </c>
      <c r="X122" t="s">
        <v>738</v>
      </c>
      <c r="Y122" t="str">
        <f t="shared" si="66"/>
        <v>recreation and public bathing</v>
      </c>
      <c r="Z122" t="s">
        <v>79</v>
      </c>
      <c r="AA122" s="24" t="s">
        <v>120</v>
      </c>
      <c r="AB122" s="24" t="s">
        <v>79</v>
      </c>
      <c r="AC122" s="24">
        <f t="shared" si="69"/>
        <v>0</v>
      </c>
      <c r="AD122" s="24"/>
      <c r="AE122" s="25" t="s">
        <v>739</v>
      </c>
      <c r="AF122" t="str">
        <f t="shared" si="43"/>
        <v>yes</v>
      </c>
      <c r="AG122" s="26" t="s">
        <v>81</v>
      </c>
      <c r="AH122" s="27" t="s">
        <v>83</v>
      </c>
      <c r="AI122" s="28" t="s">
        <v>141</v>
      </c>
      <c r="AJ122" s="29" t="s">
        <v>83</v>
      </c>
      <c r="AK122" s="30" t="s">
        <v>121</v>
      </c>
      <c r="AL122" s="31" t="s">
        <v>121</v>
      </c>
      <c r="AM122" s="32" t="s">
        <v>82</v>
      </c>
      <c r="AN122" s="33" t="s">
        <v>81</v>
      </c>
      <c r="AO122" s="32" t="s">
        <v>81</v>
      </c>
      <c r="AP122" s="39"/>
      <c r="AQ122">
        <v>11</v>
      </c>
      <c r="AR122">
        <v>3</v>
      </c>
      <c r="AS122">
        <v>5</v>
      </c>
      <c r="AT122">
        <v>2</v>
      </c>
      <c r="AU122">
        <v>2</v>
      </c>
      <c r="AV122">
        <v>0</v>
      </c>
      <c r="AW122">
        <v>0</v>
      </c>
      <c r="AX122">
        <v>0</v>
      </c>
      <c r="AZ122" t="s">
        <v>740</v>
      </c>
      <c r="BA122" t="s">
        <v>102</v>
      </c>
      <c r="BB122" t="s">
        <v>2113</v>
      </c>
      <c r="BC122" t="s">
        <v>103</v>
      </c>
      <c r="BD122" t="s">
        <v>152</v>
      </c>
      <c r="BE122" t="s">
        <v>159</v>
      </c>
      <c r="BF122" t="s">
        <v>160</v>
      </c>
      <c r="BG122" t="str">
        <f t="shared" si="70"/>
        <v>CSLAP</v>
      </c>
      <c r="BH122" s="14" t="str">
        <f>IF(RIGHT(CM122,4)="2011","yes","no")</f>
        <v>no</v>
      </c>
      <c r="BJ122">
        <f t="shared" si="71"/>
        <v>3</v>
      </c>
      <c r="BK122">
        <f t="shared" si="72"/>
        <v>2</v>
      </c>
      <c r="BL122">
        <f t="shared" si="73"/>
        <v>3</v>
      </c>
      <c r="BM122" t="str">
        <f t="shared" si="74"/>
        <v>CSLAP</v>
      </c>
      <c r="BN122" t="str">
        <f t="shared" si="75"/>
        <v>no</v>
      </c>
      <c r="BO122">
        <v>0.63516260162601623</v>
      </c>
      <c r="BS122" s="41">
        <f>(4.5+30+57)/3</f>
        <v>30.5</v>
      </c>
      <c r="BT122" t="s">
        <v>741</v>
      </c>
      <c r="BU122" t="s">
        <v>742</v>
      </c>
      <c r="BY122" t="s">
        <v>743</v>
      </c>
    </row>
    <row r="123" spans="1:77" x14ac:dyDescent="0.3">
      <c r="A123" t="s">
        <v>1590</v>
      </c>
      <c r="B123" t="s">
        <v>1865</v>
      </c>
      <c r="C123" s="16">
        <v>105</v>
      </c>
      <c r="D123" s="16" t="s">
        <v>658</v>
      </c>
      <c r="E123" s="16" t="s">
        <v>147</v>
      </c>
      <c r="F123" s="16" t="s">
        <v>148</v>
      </c>
      <c r="G123" s="17">
        <f t="shared" si="68"/>
        <v>6.4248599999999998</v>
      </c>
      <c r="H123" s="17">
        <v>2.6</v>
      </c>
      <c r="I123" s="18">
        <f t="shared" si="76"/>
        <v>610.36169999999993</v>
      </c>
      <c r="J123" s="18">
        <v>247</v>
      </c>
      <c r="K123" s="19">
        <f t="shared" si="40"/>
        <v>95</v>
      </c>
      <c r="L123" s="19">
        <v>39.369600000000005</v>
      </c>
      <c r="M123" s="19">
        <v>12</v>
      </c>
      <c r="N123" s="20">
        <f t="shared" si="77"/>
        <v>18.110016000000002</v>
      </c>
      <c r="O123" s="19">
        <v>5.5200000000000005</v>
      </c>
      <c r="P123" s="21" t="str">
        <f t="shared" si="41"/>
        <v>yes</v>
      </c>
      <c r="Q123" s="22">
        <v>9.1480926315789496E-2</v>
      </c>
      <c r="R123" s="18" t="s">
        <v>744</v>
      </c>
      <c r="S123" s="23">
        <v>41.363575230000002</v>
      </c>
      <c r="T123" s="23">
        <v>-73.900202780000001</v>
      </c>
      <c r="U123" s="18" t="s">
        <v>77</v>
      </c>
      <c r="V123" s="18"/>
      <c r="W123" t="str">
        <f t="shared" si="44"/>
        <v>no</v>
      </c>
      <c r="Y123" t="str">
        <f t="shared" si="66"/>
        <v>recreation</v>
      </c>
      <c r="Z123" t="s">
        <v>79</v>
      </c>
      <c r="AA123" s="24" t="s">
        <v>473</v>
      </c>
      <c r="AB123" s="24" t="s">
        <v>79</v>
      </c>
      <c r="AC123" s="24">
        <f t="shared" si="69"/>
        <v>0</v>
      </c>
      <c r="AD123" s="24"/>
      <c r="AF123" t="str">
        <f t="shared" si="43"/>
        <v/>
      </c>
      <c r="AG123" s="26" t="s">
        <v>81</v>
      </c>
      <c r="AH123" s="27" t="s">
        <v>82</v>
      </c>
      <c r="AI123" s="28" t="s">
        <v>83</v>
      </c>
      <c r="AJ123" s="29" t="s">
        <v>82</v>
      </c>
      <c r="AK123" s="30" t="s">
        <v>85</v>
      </c>
      <c r="AL123" s="31" t="s">
        <v>85</v>
      </c>
      <c r="AM123" s="32" t="s">
        <v>82</v>
      </c>
      <c r="AN123" s="33" t="s">
        <v>81</v>
      </c>
      <c r="AO123" s="32" t="s">
        <v>81</v>
      </c>
      <c r="AP123" s="39"/>
      <c r="AQ123">
        <v>0</v>
      </c>
      <c r="AR123">
        <v>0</v>
      </c>
      <c r="AS123">
        <v>0</v>
      </c>
      <c r="AT123">
        <v>0</v>
      </c>
      <c r="AU123">
        <v>0</v>
      </c>
      <c r="AV123">
        <v>0</v>
      </c>
      <c r="AW123">
        <v>0</v>
      </c>
      <c r="AX123">
        <v>0</v>
      </c>
      <c r="BD123" t="s">
        <v>152</v>
      </c>
      <c r="BF123" t="s">
        <v>160</v>
      </c>
      <c r="BG123" t="str">
        <f t="shared" si="70"/>
        <v>CSLAP</v>
      </c>
      <c r="BH123" s="14" t="str">
        <f>IF(RIGHT(CM123,4)="2011","yes","no")</f>
        <v>no</v>
      </c>
      <c r="BJ123">
        <f t="shared" si="71"/>
        <v>0</v>
      </c>
      <c r="BK123">
        <f t="shared" si="72"/>
        <v>0</v>
      </c>
      <c r="BL123">
        <f t="shared" si="73"/>
        <v>0</v>
      </c>
      <c r="BM123" t="str">
        <f t="shared" si="74"/>
        <v>CSLAP</v>
      </c>
      <c r="BN123" t="str">
        <f t="shared" si="75"/>
        <v>no</v>
      </c>
      <c r="BO123">
        <v>0.63516260162601623</v>
      </c>
    </row>
    <row r="124" spans="1:77" x14ac:dyDescent="0.3">
      <c r="A124" t="s">
        <v>1591</v>
      </c>
      <c r="B124" t="s">
        <v>1866</v>
      </c>
      <c r="C124" s="16">
        <v>146</v>
      </c>
      <c r="D124" s="16" t="s">
        <v>745</v>
      </c>
      <c r="E124" s="16" t="s">
        <v>448</v>
      </c>
      <c r="F124" s="16" t="s">
        <v>746</v>
      </c>
      <c r="G124" s="17">
        <f t="shared" si="68"/>
        <v>998.32439999999997</v>
      </c>
      <c r="H124" s="17">
        <v>404</v>
      </c>
      <c r="I124" s="18">
        <f t="shared" si="76"/>
        <v>5164.5989999999993</v>
      </c>
      <c r="J124" s="18">
        <v>2090</v>
      </c>
      <c r="K124" s="19">
        <f t="shared" si="40"/>
        <v>5.173267326732673</v>
      </c>
      <c r="L124" s="19">
        <v>60</v>
      </c>
      <c r="M124" s="19">
        <v>17.5</v>
      </c>
      <c r="N124" s="20">
        <f t="shared" si="77"/>
        <v>27.886800000000001</v>
      </c>
      <c r="O124" s="19">
        <v>8.5</v>
      </c>
      <c r="P124" s="21" t="str">
        <f t="shared" si="41"/>
        <v>no</v>
      </c>
      <c r="Q124" s="22">
        <v>2.567284688995215</v>
      </c>
      <c r="R124" s="18" t="s">
        <v>747</v>
      </c>
      <c r="S124" s="23">
        <v>44.371197739999999</v>
      </c>
      <c r="T124" s="23">
        <v>-74.251805779999998</v>
      </c>
      <c r="U124" s="18" t="s">
        <v>163</v>
      </c>
      <c r="V124" s="18" t="s">
        <v>96</v>
      </c>
      <c r="W124" t="str">
        <f t="shared" si="44"/>
        <v>yes</v>
      </c>
      <c r="X124" t="s">
        <v>748</v>
      </c>
      <c r="Y124" t="str">
        <f t="shared" si="66"/>
        <v>potable water, recreation, and public bathing</v>
      </c>
      <c r="Z124" t="s">
        <v>79</v>
      </c>
      <c r="AA124" s="24" t="s">
        <v>79</v>
      </c>
      <c r="AB124" s="24" t="s">
        <v>79</v>
      </c>
      <c r="AC124" s="35">
        <v>5.2303710718454646</v>
      </c>
      <c r="AD124" s="35" t="s">
        <v>749</v>
      </c>
      <c r="AF124" t="str">
        <f t="shared" si="43"/>
        <v/>
      </c>
      <c r="AG124" s="26" t="s">
        <v>82</v>
      </c>
      <c r="AH124" s="27" t="s">
        <v>82</v>
      </c>
      <c r="AI124" s="28" t="s">
        <v>82</v>
      </c>
      <c r="AJ124" s="29" t="s">
        <v>141</v>
      </c>
      <c r="AK124" s="30" t="s">
        <v>85</v>
      </c>
      <c r="AL124" s="31" t="s">
        <v>85</v>
      </c>
      <c r="AM124" s="32" t="s">
        <v>82</v>
      </c>
      <c r="AN124" s="33" t="s">
        <v>81</v>
      </c>
      <c r="AO124" s="32" t="s">
        <v>81</v>
      </c>
      <c r="AP124" s="39"/>
      <c r="AQ124">
        <v>0</v>
      </c>
      <c r="AR124">
        <v>0</v>
      </c>
      <c r="AS124">
        <v>0</v>
      </c>
      <c r="AT124">
        <v>0</v>
      </c>
      <c r="AU124">
        <v>0</v>
      </c>
      <c r="AV124">
        <v>0</v>
      </c>
      <c r="AW124">
        <v>0</v>
      </c>
      <c r="AX124">
        <v>0</v>
      </c>
      <c r="BA124" t="s">
        <v>102</v>
      </c>
      <c r="BD124" t="s">
        <v>124</v>
      </c>
      <c r="BE124" t="s">
        <v>89</v>
      </c>
      <c r="BF124" t="s">
        <v>89</v>
      </c>
      <c r="BG124" t="str">
        <f t="shared" si="70"/>
        <v>CSLAP</v>
      </c>
      <c r="BH124" s="14" t="s">
        <v>99</v>
      </c>
      <c r="BJ124">
        <f t="shared" si="71"/>
        <v>0</v>
      </c>
      <c r="BK124">
        <f t="shared" si="72"/>
        <v>0</v>
      </c>
      <c r="BL124">
        <f t="shared" si="73"/>
        <v>0</v>
      </c>
      <c r="BM124" t="str">
        <f t="shared" si="74"/>
        <v>CSLAP</v>
      </c>
      <c r="BN124" t="str">
        <f t="shared" si="75"/>
        <v>no</v>
      </c>
      <c r="BO124">
        <v>0.64</v>
      </c>
    </row>
    <row r="125" spans="1:77" x14ac:dyDescent="0.3">
      <c r="A125" t="s">
        <v>1592</v>
      </c>
      <c r="B125" t="s">
        <v>1867</v>
      </c>
      <c r="C125" s="16">
        <v>157</v>
      </c>
      <c r="D125" s="16" t="s">
        <v>749</v>
      </c>
      <c r="E125" s="16" t="s">
        <v>448</v>
      </c>
      <c r="F125" s="16" t="s">
        <v>746</v>
      </c>
      <c r="G125" s="17">
        <f t="shared" si="68"/>
        <v>272.06810999999999</v>
      </c>
      <c r="H125" s="17">
        <v>110.1</v>
      </c>
      <c r="I125" s="18">
        <f t="shared" si="76"/>
        <v>2274.1533299999996</v>
      </c>
      <c r="J125" s="18">
        <v>920.3</v>
      </c>
      <c r="K125" s="19">
        <f t="shared" si="40"/>
        <v>8.3587647593097181</v>
      </c>
      <c r="L125" s="19" t="s">
        <v>110</v>
      </c>
      <c r="M125" s="19"/>
      <c r="N125" s="20">
        <f t="shared" si="77"/>
        <v>23.621760000000002</v>
      </c>
      <c r="O125" s="19">
        <v>7.2</v>
      </c>
      <c r="P125" s="21" t="str">
        <f t="shared" si="41"/>
        <v>no</v>
      </c>
      <c r="Q125" s="22">
        <v>1.3458926437031404</v>
      </c>
      <c r="R125" s="18" t="s">
        <v>750</v>
      </c>
      <c r="S125" s="23">
        <v>44.342861810000002</v>
      </c>
      <c r="T125" s="23">
        <v>-74.153847619999993</v>
      </c>
      <c r="U125" s="18" t="s">
        <v>458</v>
      </c>
      <c r="V125" s="18"/>
      <c r="W125" t="str">
        <f t="shared" si="44"/>
        <v>yes</v>
      </c>
      <c r="X125" t="s">
        <v>751</v>
      </c>
      <c r="Y125" t="str">
        <f t="shared" si="66"/>
        <v>potable water, recreation, and public bathing</v>
      </c>
      <c r="Z125" t="s">
        <v>79</v>
      </c>
      <c r="AA125" s="24" t="s">
        <v>120</v>
      </c>
      <c r="AB125" s="24" t="s">
        <v>79</v>
      </c>
      <c r="AC125" s="24">
        <f>IF(AND(AA125="none reported",AB125="none reported"),"",0)</f>
        <v>0</v>
      </c>
      <c r="AD125" s="24"/>
      <c r="AF125" t="str">
        <f t="shared" si="43"/>
        <v/>
      </c>
      <c r="AG125" s="26" t="s">
        <v>82</v>
      </c>
      <c r="AH125" s="27" t="s">
        <v>82</v>
      </c>
      <c r="AI125" s="28" t="s">
        <v>82</v>
      </c>
      <c r="AJ125" s="29" t="s">
        <v>82</v>
      </c>
      <c r="AK125" s="30" t="s">
        <v>85</v>
      </c>
      <c r="AL125" s="31" t="s">
        <v>85</v>
      </c>
      <c r="AM125" s="32" t="s">
        <v>82</v>
      </c>
      <c r="AN125" s="33" t="s">
        <v>81</v>
      </c>
      <c r="AO125" s="32" t="s">
        <v>81</v>
      </c>
      <c r="AP125" s="39"/>
      <c r="AQ125">
        <v>0</v>
      </c>
      <c r="AR125">
        <v>0</v>
      </c>
      <c r="AS125">
        <v>0</v>
      </c>
      <c r="AT125">
        <v>0</v>
      </c>
      <c r="AU125">
        <v>0</v>
      </c>
      <c r="AV125">
        <v>0</v>
      </c>
      <c r="AW125">
        <v>0</v>
      </c>
      <c r="AX125">
        <v>0</v>
      </c>
      <c r="AZ125" t="s">
        <v>752</v>
      </c>
      <c r="BD125" t="s">
        <v>124</v>
      </c>
      <c r="BE125" t="s">
        <v>89</v>
      </c>
      <c r="BF125" t="s">
        <v>89</v>
      </c>
      <c r="BG125" t="str">
        <f t="shared" si="70"/>
        <v>CSLAP</v>
      </c>
      <c r="BH125" s="14" t="str">
        <f>IF(RIGHT(CM125,4)="2011","yes","no")</f>
        <v>no</v>
      </c>
      <c r="BJ125">
        <f t="shared" si="71"/>
        <v>0</v>
      </c>
      <c r="BK125">
        <f t="shared" si="72"/>
        <v>0</v>
      </c>
      <c r="BL125">
        <f t="shared" si="73"/>
        <v>0</v>
      </c>
      <c r="BM125" t="str">
        <f t="shared" si="74"/>
        <v>CSLAP</v>
      </c>
      <c r="BN125" t="str">
        <f t="shared" si="75"/>
        <v>no</v>
      </c>
      <c r="BO125">
        <v>0.64</v>
      </c>
    </row>
    <row r="126" spans="1:77" x14ac:dyDescent="0.3">
      <c r="A126" t="s">
        <v>1593</v>
      </c>
      <c r="B126" t="s">
        <v>1868</v>
      </c>
      <c r="C126" s="16">
        <v>45</v>
      </c>
      <c r="D126" s="16" t="s">
        <v>753</v>
      </c>
      <c r="E126" s="16" t="s">
        <v>416</v>
      </c>
      <c r="F126" s="16" t="s">
        <v>754</v>
      </c>
      <c r="G126" s="17">
        <f t="shared" si="68"/>
        <v>64.00148999999999</v>
      </c>
      <c r="H126" s="17">
        <v>25.9</v>
      </c>
      <c r="I126" s="18">
        <f t="shared" si="76"/>
        <v>1014.1394399999999</v>
      </c>
      <c r="J126" s="18">
        <v>410.4</v>
      </c>
      <c r="K126" s="19">
        <f t="shared" si="40"/>
        <v>15.845559845559846</v>
      </c>
      <c r="L126" s="19">
        <v>21.325200000000002</v>
      </c>
      <c r="M126" s="19">
        <v>6.5</v>
      </c>
      <c r="N126" s="20">
        <f t="shared" si="77"/>
        <v>9.5143199999999997</v>
      </c>
      <c r="O126" s="19">
        <v>2.9</v>
      </c>
      <c r="P126" s="21" t="str">
        <f t="shared" si="41"/>
        <v>no</v>
      </c>
      <c r="Q126" s="22">
        <v>0.36017660818713448</v>
      </c>
      <c r="R126" s="18" t="s">
        <v>2122</v>
      </c>
      <c r="S126" s="23">
        <v>42.677383470000002</v>
      </c>
      <c r="T126" s="23">
        <v>-76.302357659999998</v>
      </c>
      <c r="U126" s="18" t="s">
        <v>77</v>
      </c>
      <c r="V126" s="18"/>
      <c r="W126" t="str">
        <f t="shared" si="44"/>
        <v>no</v>
      </c>
      <c r="Y126" t="str">
        <f t="shared" si="66"/>
        <v>recreation</v>
      </c>
      <c r="Z126" t="s">
        <v>79</v>
      </c>
      <c r="AA126" s="24" t="s">
        <v>420</v>
      </c>
      <c r="AB126" s="24" t="s">
        <v>755</v>
      </c>
      <c r="AC126" s="24">
        <f>IF(AND(AA126="none reported",AB126="none reported"),"",0)</f>
        <v>0</v>
      </c>
      <c r="AD126" s="24"/>
      <c r="AE126" s="25" t="s">
        <v>756</v>
      </c>
      <c r="AF126" t="str">
        <f t="shared" si="43"/>
        <v>yes</v>
      </c>
      <c r="AG126" s="26" t="s">
        <v>81</v>
      </c>
      <c r="AH126" s="27" t="s">
        <v>141</v>
      </c>
      <c r="AI126" s="28" t="s">
        <v>141</v>
      </c>
      <c r="AJ126" s="29" t="s">
        <v>82</v>
      </c>
      <c r="AK126" s="30" t="s">
        <v>84</v>
      </c>
      <c r="AL126" s="31" t="s">
        <v>84</v>
      </c>
      <c r="AM126" s="32" t="s">
        <v>82</v>
      </c>
      <c r="AN126" s="33" t="s">
        <v>81</v>
      </c>
      <c r="AO126" s="32" t="s">
        <v>81</v>
      </c>
      <c r="AP126" s="39"/>
      <c r="AQ126">
        <v>0</v>
      </c>
      <c r="AR126">
        <v>0</v>
      </c>
      <c r="AS126">
        <v>0</v>
      </c>
      <c r="AT126">
        <v>0</v>
      </c>
      <c r="AU126">
        <v>0</v>
      </c>
      <c r="AV126">
        <v>0</v>
      </c>
      <c r="AW126">
        <v>4</v>
      </c>
      <c r="AX126">
        <v>0</v>
      </c>
      <c r="AY126" t="s">
        <v>757</v>
      </c>
      <c r="AZ126" t="s">
        <v>758</v>
      </c>
      <c r="BA126" t="s">
        <v>102</v>
      </c>
      <c r="BB126" t="s">
        <v>759</v>
      </c>
      <c r="BC126" t="s">
        <v>226</v>
      </c>
      <c r="BD126" t="s">
        <v>320</v>
      </c>
      <c r="BE126" t="s">
        <v>229</v>
      </c>
      <c r="BF126" t="s">
        <v>229</v>
      </c>
      <c r="BG126" t="str">
        <f t="shared" si="70"/>
        <v>CSLAP</v>
      </c>
      <c r="BH126" s="14" t="s">
        <v>99</v>
      </c>
      <c r="BJ126">
        <f t="shared" si="71"/>
        <v>3</v>
      </c>
      <c r="BK126">
        <f t="shared" si="72"/>
        <v>2</v>
      </c>
      <c r="BL126">
        <f t="shared" si="73"/>
        <v>3</v>
      </c>
      <c r="BM126" t="str">
        <f t="shared" si="74"/>
        <v>CSLAP</v>
      </c>
      <c r="BN126" t="str">
        <f t="shared" si="75"/>
        <v>no</v>
      </c>
      <c r="BO126">
        <v>0.50813008130081305</v>
      </c>
      <c r="BV126" t="s">
        <v>757</v>
      </c>
      <c r="BY126" t="s">
        <v>760</v>
      </c>
    </row>
    <row r="127" spans="1:77" x14ac:dyDescent="0.3">
      <c r="A127" t="s">
        <v>1594</v>
      </c>
      <c r="B127" t="s">
        <v>1869</v>
      </c>
      <c r="C127" s="16">
        <v>130</v>
      </c>
      <c r="D127" s="16" t="s">
        <v>761</v>
      </c>
      <c r="E127" s="16" t="s">
        <v>762</v>
      </c>
      <c r="F127" s="16" t="s">
        <v>763</v>
      </c>
      <c r="G127" s="17">
        <f t="shared" si="68"/>
        <v>32.124299999999998</v>
      </c>
      <c r="H127" s="17">
        <v>13</v>
      </c>
      <c r="I127" s="18">
        <f t="shared" si="76"/>
        <v>222.399</v>
      </c>
      <c r="J127" s="18">
        <v>90</v>
      </c>
      <c r="K127" s="19">
        <f t="shared" si="40"/>
        <v>6.9230769230769234</v>
      </c>
      <c r="L127" s="19">
        <v>17.38824</v>
      </c>
      <c r="M127" s="19">
        <v>5.3</v>
      </c>
      <c r="N127" s="20">
        <f t="shared" si="77"/>
        <v>8.1724727999999995</v>
      </c>
      <c r="O127" s="19">
        <v>2.4909999999999997</v>
      </c>
      <c r="P127" s="21" t="str">
        <f t="shared" si="41"/>
        <v>no</v>
      </c>
      <c r="Q127" s="22">
        <v>0.94414435555555543</v>
      </c>
      <c r="R127" s="18" t="s">
        <v>2133</v>
      </c>
      <c r="S127" s="23">
        <v>42.347801480000001</v>
      </c>
      <c r="T127" s="23">
        <v>-77.478019790000005</v>
      </c>
      <c r="U127" s="18" t="s">
        <v>77</v>
      </c>
      <c r="V127" s="18"/>
      <c r="W127" t="str">
        <f t="shared" si="44"/>
        <v>no</v>
      </c>
      <c r="X127" t="s">
        <v>764</v>
      </c>
      <c r="Y127" t="str">
        <f t="shared" si="66"/>
        <v>recreation and public bathing</v>
      </c>
      <c r="Z127" t="s">
        <v>79</v>
      </c>
      <c r="AA127" s="40" t="s">
        <v>79</v>
      </c>
      <c r="AB127" s="40" t="s">
        <v>79</v>
      </c>
      <c r="AC127" s="35">
        <v>2.8351246675334614</v>
      </c>
      <c r="AD127" s="35" t="s">
        <v>765</v>
      </c>
      <c r="AF127" t="str">
        <f t="shared" si="43"/>
        <v/>
      </c>
      <c r="AG127" s="26" t="s">
        <v>81</v>
      </c>
      <c r="AH127" s="27" t="s">
        <v>83</v>
      </c>
      <c r="AI127" s="28" t="s">
        <v>83</v>
      </c>
      <c r="AJ127" s="29" t="s">
        <v>82</v>
      </c>
      <c r="AK127" s="30" t="s">
        <v>84</v>
      </c>
      <c r="AL127" s="31" t="s">
        <v>84</v>
      </c>
      <c r="AM127" s="32" t="s">
        <v>82</v>
      </c>
      <c r="AN127" s="33" t="s">
        <v>81</v>
      </c>
      <c r="AO127" s="32" t="s">
        <v>81</v>
      </c>
      <c r="AP127" s="39"/>
      <c r="AQ127">
        <v>0</v>
      </c>
      <c r="AR127">
        <v>0</v>
      </c>
      <c r="AS127">
        <v>0</v>
      </c>
      <c r="AT127">
        <v>0</v>
      </c>
      <c r="AU127">
        <v>0</v>
      </c>
      <c r="AV127">
        <v>0</v>
      </c>
      <c r="AW127">
        <v>0</v>
      </c>
      <c r="AX127">
        <v>0</v>
      </c>
      <c r="AZ127" t="s">
        <v>766</v>
      </c>
      <c r="BA127" t="s">
        <v>102</v>
      </c>
      <c r="BB127" t="s">
        <v>767</v>
      </c>
      <c r="BC127" t="s">
        <v>226</v>
      </c>
      <c r="BD127" t="s">
        <v>364</v>
      </c>
      <c r="BE127" t="s">
        <v>229</v>
      </c>
      <c r="BF127" t="s">
        <v>229</v>
      </c>
      <c r="BG127" t="str">
        <f t="shared" si="70"/>
        <v>CSLAP</v>
      </c>
      <c r="BH127" s="14" t="s">
        <v>102</v>
      </c>
      <c r="BJ127">
        <f t="shared" si="71"/>
        <v>0</v>
      </c>
      <c r="BK127">
        <f t="shared" si="72"/>
        <v>0</v>
      </c>
      <c r="BL127">
        <f t="shared" si="73"/>
        <v>0</v>
      </c>
      <c r="BM127" t="str">
        <f t="shared" si="74"/>
        <v>CSLAP</v>
      </c>
      <c r="BN127" t="str">
        <f t="shared" si="75"/>
        <v>no</v>
      </c>
      <c r="BO127">
        <v>0.38109756097560976</v>
      </c>
      <c r="BY127" t="s">
        <v>768</v>
      </c>
    </row>
    <row r="128" spans="1:77" x14ac:dyDescent="0.3">
      <c r="A128" t="s">
        <v>1595</v>
      </c>
      <c r="B128" t="s">
        <v>1870</v>
      </c>
      <c r="C128" s="16">
        <v>243</v>
      </c>
      <c r="D128" s="16" t="s">
        <v>769</v>
      </c>
      <c r="E128" s="16" t="s">
        <v>93</v>
      </c>
      <c r="F128" s="16" t="s">
        <v>770</v>
      </c>
      <c r="G128" s="17">
        <f t="shared" si="68"/>
        <v>71.909009999999995</v>
      </c>
      <c r="H128" s="17">
        <v>29.1</v>
      </c>
      <c r="I128" s="18">
        <f t="shared" si="76"/>
        <v>198.92354999999998</v>
      </c>
      <c r="J128" s="18">
        <v>80.5</v>
      </c>
      <c r="K128" s="19">
        <f t="shared" si="40"/>
        <v>2.7663230240549828</v>
      </c>
      <c r="L128" s="19">
        <v>54.133200000000002</v>
      </c>
      <c r="M128" s="19">
        <v>16.5</v>
      </c>
      <c r="N128" s="20">
        <f t="shared" si="77"/>
        <v>26.246400000000001</v>
      </c>
      <c r="O128" s="19">
        <v>8</v>
      </c>
      <c r="P128" s="21" t="str">
        <f t="shared" si="41"/>
        <v>no</v>
      </c>
      <c r="Q128" s="22">
        <v>4.740861419407393</v>
      </c>
      <c r="R128" s="18" t="s">
        <v>771</v>
      </c>
      <c r="S128" s="23">
        <v>41.5209999</v>
      </c>
      <c r="T128" s="23">
        <v>-74.839401199999998</v>
      </c>
      <c r="U128" s="16" t="s">
        <v>77</v>
      </c>
      <c r="V128" s="16"/>
      <c r="W128" t="str">
        <f t="shared" si="44"/>
        <v>no</v>
      </c>
      <c r="Y128" t="str">
        <f t="shared" si="66"/>
        <v>recreation</v>
      </c>
      <c r="Z128" t="s">
        <v>79</v>
      </c>
      <c r="AA128" s="24" t="s">
        <v>79</v>
      </c>
      <c r="AB128" s="24" t="s">
        <v>79</v>
      </c>
      <c r="AC128" s="35">
        <v>7.0031497987805391</v>
      </c>
      <c r="AD128" s="35" t="s">
        <v>634</v>
      </c>
      <c r="AF128" t="str">
        <f t="shared" si="43"/>
        <v/>
      </c>
      <c r="AG128" s="26" t="s">
        <v>81</v>
      </c>
      <c r="AH128" s="27" t="s">
        <v>156</v>
      </c>
      <c r="AI128" s="27" t="s">
        <v>156</v>
      </c>
      <c r="AJ128" s="27" t="s">
        <v>156</v>
      </c>
      <c r="AK128" s="27" t="s">
        <v>156</v>
      </c>
      <c r="AL128" s="27" t="s">
        <v>156</v>
      </c>
      <c r="AM128" s="27" t="s">
        <v>156</v>
      </c>
      <c r="AN128" s="33" t="s">
        <v>81</v>
      </c>
      <c r="AO128" s="32" t="s">
        <v>81</v>
      </c>
      <c r="AP128" s="39"/>
      <c r="AQ128">
        <v>0</v>
      </c>
      <c r="AR128">
        <v>0</v>
      </c>
      <c r="AS128">
        <v>0</v>
      </c>
      <c r="AT128">
        <v>0</v>
      </c>
      <c r="AU128">
        <v>0</v>
      </c>
      <c r="AV128">
        <v>0</v>
      </c>
      <c r="AW128">
        <v>0</v>
      </c>
      <c r="AX128">
        <v>0</v>
      </c>
      <c r="AZ128" t="s">
        <v>772</v>
      </c>
      <c r="BA128" t="s">
        <v>102</v>
      </c>
      <c r="BB128" t="s">
        <v>773</v>
      </c>
      <c r="BC128" t="s">
        <v>103</v>
      </c>
      <c r="BD128" t="s">
        <v>104</v>
      </c>
      <c r="BE128" t="s">
        <v>105</v>
      </c>
      <c r="BF128" t="s">
        <v>106</v>
      </c>
      <c r="BG128" t="str">
        <f t="shared" si="70"/>
        <v>CSLAP</v>
      </c>
      <c r="BH128" s="14" t="s">
        <v>102</v>
      </c>
      <c r="BJ128">
        <f t="shared" si="71"/>
        <v>0</v>
      </c>
      <c r="BK128">
        <f t="shared" si="72"/>
        <v>0</v>
      </c>
      <c r="BL128">
        <f t="shared" si="73"/>
        <v>0</v>
      </c>
      <c r="BM128" t="str">
        <f t="shared" si="74"/>
        <v>CSLAP</v>
      </c>
      <c r="BN128" t="str">
        <f t="shared" si="75"/>
        <v>no</v>
      </c>
      <c r="BO128">
        <v>0.61</v>
      </c>
    </row>
    <row r="129" spans="1:77" x14ac:dyDescent="0.3">
      <c r="A129" t="s">
        <v>1597</v>
      </c>
      <c r="B129" t="s">
        <v>1871</v>
      </c>
      <c r="C129" s="16">
        <v>199</v>
      </c>
      <c r="D129" s="16" t="s">
        <v>774</v>
      </c>
      <c r="E129" s="16" t="s">
        <v>254</v>
      </c>
      <c r="F129" s="16" t="s">
        <v>775</v>
      </c>
      <c r="G129" s="17">
        <f t="shared" si="68"/>
        <v>28172.540890688255</v>
      </c>
      <c r="H129" s="17">
        <v>11400.809716599189</v>
      </c>
      <c r="I129" s="18">
        <f>IF(J129="","",J129*2.4711)</f>
        <v>149186.40971659916</v>
      </c>
      <c r="J129" s="18">
        <v>60372.469635627524</v>
      </c>
      <c r="K129" s="19">
        <f t="shared" si="40"/>
        <v>5.295454545454545</v>
      </c>
      <c r="L129" s="19">
        <v>47.571600000000004</v>
      </c>
      <c r="M129" s="19">
        <v>14.5</v>
      </c>
      <c r="N129" s="20">
        <f t="shared" si="77"/>
        <v>59.054400000000001</v>
      </c>
      <c r="O129" s="19">
        <v>18</v>
      </c>
      <c r="P129" s="21" t="str">
        <f t="shared" si="41"/>
        <v>no</v>
      </c>
      <c r="Q129" s="22">
        <v>6.6678727458188183</v>
      </c>
      <c r="R129" s="18">
        <v>2001</v>
      </c>
      <c r="S129" s="23">
        <v>43.558501</v>
      </c>
      <c r="T129" s="23">
        <v>-73.628310999999997</v>
      </c>
      <c r="U129" s="18" t="s">
        <v>255</v>
      </c>
      <c r="V129" s="18" t="s">
        <v>776</v>
      </c>
      <c r="W129" t="str">
        <f t="shared" si="44"/>
        <v>yes</v>
      </c>
      <c r="X129" s="66" t="s">
        <v>777</v>
      </c>
      <c r="Y129" t="str">
        <f t="shared" si="66"/>
        <v>potable water, recreation, and public bathing</v>
      </c>
      <c r="Z129" t="s">
        <v>79</v>
      </c>
      <c r="AA129" s="24" t="s">
        <v>778</v>
      </c>
      <c r="AB129" s="24" t="s">
        <v>779</v>
      </c>
      <c r="AC129" s="24">
        <f t="shared" ref="AC129:AC138" si="78">IF(AND(AA129="none reported",AB129="none reported"),"",0)</f>
        <v>0</v>
      </c>
      <c r="AD129" s="24"/>
      <c r="AF129" t="str">
        <f t="shared" si="43"/>
        <v/>
      </c>
      <c r="AG129" s="26" t="s">
        <v>257</v>
      </c>
      <c r="AH129" s="27" t="s">
        <v>82</v>
      </c>
      <c r="AI129" s="28" t="s">
        <v>141</v>
      </c>
      <c r="AJ129" s="29" t="s">
        <v>82</v>
      </c>
      <c r="AK129" s="30" t="s">
        <v>85</v>
      </c>
      <c r="AL129" s="31" t="s">
        <v>84</v>
      </c>
      <c r="AM129" s="32" t="s">
        <v>82</v>
      </c>
      <c r="AN129" s="33" t="s">
        <v>81</v>
      </c>
      <c r="AO129" s="32" t="s">
        <v>81</v>
      </c>
      <c r="AP129" s="39"/>
      <c r="AQ129">
        <v>0</v>
      </c>
      <c r="AR129">
        <v>0</v>
      </c>
      <c r="AS129">
        <v>0</v>
      </c>
      <c r="AT129">
        <v>0</v>
      </c>
      <c r="AU129">
        <v>0</v>
      </c>
      <c r="AV129">
        <v>0</v>
      </c>
      <c r="AW129">
        <v>0</v>
      </c>
      <c r="AX129">
        <v>0</v>
      </c>
      <c r="AY129" t="s">
        <v>212</v>
      </c>
      <c r="AZ129" t="s">
        <v>780</v>
      </c>
      <c r="BC129" t="s">
        <v>87</v>
      </c>
      <c r="BD129" t="s">
        <v>124</v>
      </c>
      <c r="BE129" t="s">
        <v>89</v>
      </c>
      <c r="BF129" t="s">
        <v>89</v>
      </c>
      <c r="BG129" t="str">
        <f t="shared" si="70"/>
        <v>CSLAP</v>
      </c>
      <c r="BH129" s="14" t="s">
        <v>99</v>
      </c>
      <c r="BJ129">
        <f t="shared" si="71"/>
        <v>0</v>
      </c>
      <c r="BK129">
        <f t="shared" si="72"/>
        <v>0</v>
      </c>
      <c r="BL129">
        <f t="shared" si="73"/>
        <v>0</v>
      </c>
      <c r="BM129" t="str">
        <f t="shared" si="74"/>
        <v>CSLAP</v>
      </c>
      <c r="BN129" t="str">
        <f t="shared" si="75"/>
        <v>no</v>
      </c>
      <c r="BO129">
        <v>0.50977901955803917</v>
      </c>
    </row>
    <row r="130" spans="1:77" x14ac:dyDescent="0.3">
      <c r="A130" t="s">
        <v>1597</v>
      </c>
      <c r="B130" t="s">
        <v>1872</v>
      </c>
      <c r="C130" s="46">
        <v>199.04</v>
      </c>
      <c r="D130" s="47" t="s">
        <v>781</v>
      </c>
      <c r="E130" s="16" t="s">
        <v>254</v>
      </c>
      <c r="F130" s="47" t="s">
        <v>782</v>
      </c>
      <c r="G130" s="17">
        <f t="shared" si="68"/>
        <v>28523.1</v>
      </c>
      <c r="H130" s="36">
        <v>11542.673303387155</v>
      </c>
      <c r="I130" s="18"/>
      <c r="J130" s="48"/>
      <c r="K130" s="19">
        <f t="shared" ref="K130:K193" si="79">J130/H130</f>
        <v>0</v>
      </c>
      <c r="L130" s="19">
        <v>68.88</v>
      </c>
      <c r="M130" s="19">
        <f>L130/3.28</f>
        <v>21</v>
      </c>
      <c r="N130" s="20" t="str">
        <f t="shared" si="77"/>
        <v/>
      </c>
      <c r="O130" s="19"/>
      <c r="P130" s="21" t="str">
        <f t="shared" ref="P130:P193" si="80">IF(O130=(M130*0.46),"yes","no")</f>
        <v>no</v>
      </c>
      <c r="Q130" s="22">
        <v>6.6678727458188183</v>
      </c>
      <c r="R130" s="18" t="s">
        <v>783</v>
      </c>
      <c r="S130" s="23">
        <v>43.522682000000003</v>
      </c>
      <c r="T130" s="23">
        <v>-73.666374000000005</v>
      </c>
      <c r="U130" s="18" t="s">
        <v>255</v>
      </c>
      <c r="V130" s="18" t="s">
        <v>776</v>
      </c>
      <c r="W130" t="str">
        <f t="shared" si="44"/>
        <v>yes</v>
      </c>
      <c r="X130" s="66" t="s">
        <v>777</v>
      </c>
      <c r="Y130" t="str">
        <f t="shared" si="66"/>
        <v>potable water, recreation, and public bathing</v>
      </c>
      <c r="Z130" t="s">
        <v>79</v>
      </c>
      <c r="AA130" s="24" t="s">
        <v>778</v>
      </c>
      <c r="AB130" s="24" t="s">
        <v>779</v>
      </c>
      <c r="AC130" s="24">
        <f t="shared" si="78"/>
        <v>0</v>
      </c>
      <c r="AD130" s="24"/>
      <c r="AF130" t="str">
        <f t="shared" ref="AF130:AF193" si="81">IF(AE130="","",IF(IFERROR(SEARCH(",",AE130,1)&gt;1,0),"yes","no"))</f>
        <v/>
      </c>
      <c r="AG130" s="26" t="s">
        <v>257</v>
      </c>
      <c r="AH130" s="27" t="s">
        <v>82</v>
      </c>
      <c r="AI130" s="28" t="s">
        <v>141</v>
      </c>
      <c r="AJ130" s="29" t="s">
        <v>82</v>
      </c>
      <c r="AK130" s="30" t="s">
        <v>85</v>
      </c>
      <c r="AL130" s="31" t="s">
        <v>121</v>
      </c>
      <c r="AM130" s="32" t="s">
        <v>82</v>
      </c>
      <c r="AN130" s="33" t="s">
        <v>81</v>
      </c>
      <c r="AO130" s="32" t="s">
        <v>81</v>
      </c>
      <c r="AP130" s="39"/>
      <c r="AQ130">
        <v>0</v>
      </c>
      <c r="AR130">
        <v>0</v>
      </c>
      <c r="AS130">
        <v>0</v>
      </c>
      <c r="AT130">
        <v>0</v>
      </c>
      <c r="AU130">
        <v>0</v>
      </c>
      <c r="AV130">
        <v>0</v>
      </c>
      <c r="AW130">
        <v>0</v>
      </c>
      <c r="AX130">
        <v>0</v>
      </c>
      <c r="AY130" t="s">
        <v>212</v>
      </c>
      <c r="AZ130" t="s">
        <v>780</v>
      </c>
      <c r="BA130" t="s">
        <v>102</v>
      </c>
      <c r="BB130" t="s">
        <v>788</v>
      </c>
      <c r="BD130" t="s">
        <v>124</v>
      </c>
      <c r="BE130" t="s">
        <v>89</v>
      </c>
      <c r="BF130" t="s">
        <v>89</v>
      </c>
      <c r="BG130" t="str">
        <f t="shared" si="70"/>
        <v>CSLAP</v>
      </c>
      <c r="BH130" s="14" t="s">
        <v>102</v>
      </c>
      <c r="BJ130">
        <f t="shared" si="71"/>
        <v>0</v>
      </c>
      <c r="BK130">
        <f t="shared" si="72"/>
        <v>0</v>
      </c>
      <c r="BL130">
        <f t="shared" si="73"/>
        <v>0</v>
      </c>
      <c r="BM130" t="str">
        <f t="shared" si="74"/>
        <v>CSLAP</v>
      </c>
      <c r="BN130" t="str">
        <f t="shared" si="75"/>
        <v>no</v>
      </c>
      <c r="BO130">
        <v>0.50977901955803917</v>
      </c>
    </row>
    <row r="131" spans="1:77" x14ac:dyDescent="0.3">
      <c r="A131" t="s">
        <v>1597</v>
      </c>
      <c r="B131" t="e">
        <v>#N/A</v>
      </c>
      <c r="C131" s="16">
        <v>199.06</v>
      </c>
      <c r="D131" s="16" t="s">
        <v>784</v>
      </c>
      <c r="E131" s="16" t="s">
        <v>254</v>
      </c>
      <c r="F131" s="16" t="s">
        <v>782</v>
      </c>
      <c r="G131" s="17">
        <f t="shared" si="68"/>
        <v>28523.1</v>
      </c>
      <c r="H131" s="36">
        <v>11542.673303387155</v>
      </c>
      <c r="I131" s="18"/>
      <c r="J131" s="18"/>
      <c r="K131" s="19">
        <f t="shared" si="79"/>
        <v>0</v>
      </c>
      <c r="L131" s="19">
        <v>68.88</v>
      </c>
      <c r="M131" s="19">
        <f>L131/3.28</f>
        <v>21</v>
      </c>
      <c r="N131" s="20" t="str">
        <f t="shared" si="77"/>
        <v/>
      </c>
      <c r="O131" s="19"/>
      <c r="P131" s="21" t="str">
        <f t="shared" si="80"/>
        <v>no</v>
      </c>
      <c r="Q131" s="22">
        <v>6.6678727458188183</v>
      </c>
      <c r="R131" s="18" t="s">
        <v>785</v>
      </c>
      <c r="S131" s="23">
        <v>43.562266999999999</v>
      </c>
      <c r="T131" s="23">
        <v>-73.635328999999999</v>
      </c>
      <c r="U131" s="18" t="s">
        <v>255</v>
      </c>
      <c r="V131" s="18" t="s">
        <v>776</v>
      </c>
      <c r="W131" t="str">
        <f t="shared" ref="W131:W176" si="82">IF(OR(U131="A",U131="AA",U131="AAspec",U131="A(T)",U131="AA(T)"),"yes","no")</f>
        <v>yes</v>
      </c>
      <c r="X131" s="66" t="s">
        <v>777</v>
      </c>
      <c r="Y131" t="str">
        <f t="shared" si="66"/>
        <v>potable water, recreation, and public bathing</v>
      </c>
      <c r="Z131" t="s">
        <v>79</v>
      </c>
      <c r="AA131" s="24" t="s">
        <v>778</v>
      </c>
      <c r="AB131" s="24" t="s">
        <v>779</v>
      </c>
      <c r="AC131" s="24">
        <f t="shared" si="78"/>
        <v>0</v>
      </c>
      <c r="AD131" s="24"/>
      <c r="AF131" t="str">
        <f t="shared" si="81"/>
        <v/>
      </c>
      <c r="AG131" s="26" t="s">
        <v>257</v>
      </c>
      <c r="AH131" s="27" t="s">
        <v>82</v>
      </c>
      <c r="AI131" s="28" t="s">
        <v>141</v>
      </c>
      <c r="AJ131" s="29" t="s">
        <v>82</v>
      </c>
      <c r="AK131" s="30" t="s">
        <v>85</v>
      </c>
      <c r="AL131" s="31" t="s">
        <v>121</v>
      </c>
      <c r="AM131" s="32" t="s">
        <v>82</v>
      </c>
      <c r="AN131" s="33" t="s">
        <v>81</v>
      </c>
      <c r="AO131" s="32" t="s">
        <v>81</v>
      </c>
      <c r="AP131" s="39"/>
      <c r="AQ131">
        <v>0</v>
      </c>
      <c r="AR131">
        <v>0</v>
      </c>
      <c r="AS131">
        <v>0</v>
      </c>
      <c r="AT131">
        <v>0</v>
      </c>
      <c r="AU131"/>
      <c r="AV131"/>
      <c r="AW131"/>
      <c r="AX131"/>
      <c r="AZ131" t="s">
        <v>780</v>
      </c>
      <c r="BA131" t="s">
        <v>102</v>
      </c>
      <c r="BD131" t="s">
        <v>124</v>
      </c>
      <c r="BE131" t="s">
        <v>89</v>
      </c>
      <c r="BF131" t="s">
        <v>89</v>
      </c>
      <c r="BG131" t="str">
        <f t="shared" si="70"/>
        <v>CSLAP</v>
      </c>
      <c r="BH131" s="14" t="s">
        <v>102</v>
      </c>
      <c r="BJ131">
        <f t="shared" si="71"/>
        <v>0</v>
      </c>
      <c r="BK131">
        <f t="shared" si="72"/>
        <v>0</v>
      </c>
      <c r="BL131">
        <f t="shared" si="73"/>
        <v>0</v>
      </c>
      <c r="BM131" t="str">
        <f t="shared" si="74"/>
        <v>CSLAP</v>
      </c>
      <c r="BN131" t="str">
        <f t="shared" si="75"/>
        <v>no</v>
      </c>
      <c r="BO131">
        <v>0.50977901955803917</v>
      </c>
    </row>
    <row r="132" spans="1:77" x14ac:dyDescent="0.3">
      <c r="A132" t="s">
        <v>1597</v>
      </c>
      <c r="B132" t="s">
        <v>1873</v>
      </c>
      <c r="C132" s="46">
        <v>199.02</v>
      </c>
      <c r="D132" s="47" t="s">
        <v>786</v>
      </c>
      <c r="E132" s="16" t="s">
        <v>254</v>
      </c>
      <c r="F132" s="47" t="s">
        <v>787</v>
      </c>
      <c r="G132" s="17">
        <f t="shared" si="68"/>
        <v>28523.1</v>
      </c>
      <c r="H132" s="36">
        <v>11542.673303387155</v>
      </c>
      <c r="I132" s="18"/>
      <c r="J132" s="48"/>
      <c r="K132" s="19">
        <f t="shared" si="79"/>
        <v>0</v>
      </c>
      <c r="L132" s="19">
        <v>101.67999999999999</v>
      </c>
      <c r="M132" s="19">
        <f>L132/3.28</f>
        <v>31</v>
      </c>
      <c r="N132" s="20" t="str">
        <f t="shared" si="77"/>
        <v/>
      </c>
      <c r="O132" s="19"/>
      <c r="P132" s="21" t="str">
        <f t="shared" si="80"/>
        <v>no</v>
      </c>
      <c r="Q132" s="22">
        <v>6.6678727458188183</v>
      </c>
      <c r="R132" s="18" t="s">
        <v>2152</v>
      </c>
      <c r="S132" s="23">
        <v>43.460720000000002</v>
      </c>
      <c r="T132" s="23">
        <v>-73.671637000000004</v>
      </c>
      <c r="U132" s="18" t="s">
        <v>255</v>
      </c>
      <c r="V132" s="18" t="s">
        <v>776</v>
      </c>
      <c r="W132" t="str">
        <f t="shared" si="82"/>
        <v>yes</v>
      </c>
      <c r="X132" s="66" t="s">
        <v>777</v>
      </c>
      <c r="Y132" t="str">
        <f t="shared" si="66"/>
        <v>potable water, recreation, and public bathing</v>
      </c>
      <c r="Z132" t="s">
        <v>79</v>
      </c>
      <c r="AA132" s="24" t="s">
        <v>778</v>
      </c>
      <c r="AB132" s="24" t="s">
        <v>779</v>
      </c>
      <c r="AC132" s="24">
        <f t="shared" si="78"/>
        <v>0</v>
      </c>
      <c r="AD132" s="24"/>
      <c r="AF132" t="str">
        <f t="shared" si="81"/>
        <v/>
      </c>
      <c r="AG132" s="26" t="s">
        <v>257</v>
      </c>
      <c r="AH132" s="27" t="s">
        <v>82</v>
      </c>
      <c r="AI132" s="28" t="s">
        <v>141</v>
      </c>
      <c r="AJ132" s="29" t="s">
        <v>82</v>
      </c>
      <c r="AK132" s="30" t="s">
        <v>85</v>
      </c>
      <c r="AL132" s="31" t="s">
        <v>121</v>
      </c>
      <c r="AM132" s="32" t="s">
        <v>82</v>
      </c>
      <c r="AN132" s="33" t="s">
        <v>81</v>
      </c>
      <c r="AO132" s="32" t="s">
        <v>81</v>
      </c>
      <c r="AP132" s="39"/>
      <c r="AQ132">
        <v>0</v>
      </c>
      <c r="AR132">
        <v>0</v>
      </c>
      <c r="AS132">
        <v>0</v>
      </c>
      <c r="AT132">
        <v>0</v>
      </c>
      <c r="AU132">
        <v>0</v>
      </c>
      <c r="AV132">
        <v>0</v>
      </c>
      <c r="AW132">
        <v>0</v>
      </c>
      <c r="AX132">
        <v>0</v>
      </c>
      <c r="AY132" t="s">
        <v>212</v>
      </c>
      <c r="AZ132" t="s">
        <v>780</v>
      </c>
      <c r="BA132" t="s">
        <v>102</v>
      </c>
      <c r="BB132" t="s">
        <v>788</v>
      </c>
      <c r="BD132" t="s">
        <v>124</v>
      </c>
      <c r="BE132" t="s">
        <v>89</v>
      </c>
      <c r="BF132" t="s">
        <v>89</v>
      </c>
      <c r="BG132" t="str">
        <f t="shared" si="70"/>
        <v>CSLAP</v>
      </c>
      <c r="BH132" s="14" t="s">
        <v>102</v>
      </c>
      <c r="BJ132">
        <f t="shared" si="71"/>
        <v>0</v>
      </c>
      <c r="BK132">
        <f t="shared" si="72"/>
        <v>0</v>
      </c>
      <c r="BL132">
        <f t="shared" si="73"/>
        <v>0</v>
      </c>
      <c r="BM132" t="str">
        <f t="shared" si="74"/>
        <v>CSLAP</v>
      </c>
      <c r="BN132" t="str">
        <f t="shared" si="75"/>
        <v>no</v>
      </c>
      <c r="BO132">
        <v>0.50977901955803917</v>
      </c>
    </row>
    <row r="133" spans="1:77" x14ac:dyDescent="0.3">
      <c r="A133" t="s">
        <v>1597</v>
      </c>
      <c r="B133" t="e">
        <v>#N/A</v>
      </c>
      <c r="C133" s="46">
        <v>199.01</v>
      </c>
      <c r="D133" s="47" t="s">
        <v>789</v>
      </c>
      <c r="E133" s="16"/>
      <c r="F133" s="47"/>
      <c r="G133" s="17"/>
      <c r="I133" s="18"/>
      <c r="J133" s="48"/>
      <c r="K133" s="19"/>
      <c r="L133" s="19"/>
      <c r="M133" s="19"/>
      <c r="N133" s="20"/>
      <c r="O133" s="19"/>
      <c r="Q133" s="22">
        <v>6.6678727458188183</v>
      </c>
      <c r="R133" s="18" t="s">
        <v>790</v>
      </c>
      <c r="S133" s="23">
        <v>43.43036</v>
      </c>
      <c r="T133" s="23">
        <v>-73.700299999999999</v>
      </c>
      <c r="U133" s="18"/>
      <c r="V133" s="18"/>
      <c r="X133" s="66"/>
      <c r="AA133" s="24"/>
      <c r="AB133" s="24"/>
      <c r="AC133" s="24"/>
      <c r="AD133" s="24"/>
      <c r="AE133" s="25">
        <v>2019</v>
      </c>
      <c r="AF133" t="s">
        <v>99</v>
      </c>
      <c r="AG133" s="26"/>
      <c r="AH133" s="27"/>
      <c r="AI133" s="28"/>
      <c r="AJ133" s="29"/>
      <c r="AK133" s="30"/>
      <c r="AL133" s="31"/>
      <c r="AM133" s="32"/>
      <c r="AP133" s="39"/>
      <c r="AT133"/>
      <c r="AU133"/>
      <c r="AV133"/>
      <c r="AW133"/>
      <c r="AX133"/>
      <c r="BH133" s="14" t="s">
        <v>99</v>
      </c>
      <c r="BO133">
        <v>0.50977901955803917</v>
      </c>
    </row>
    <row r="134" spans="1:77" x14ac:dyDescent="0.3">
      <c r="A134" t="s">
        <v>1597</v>
      </c>
      <c r="B134" t="s">
        <v>1874</v>
      </c>
      <c r="C134" s="46">
        <v>199.23</v>
      </c>
      <c r="D134" s="47" t="s">
        <v>791</v>
      </c>
      <c r="E134" s="16" t="s">
        <v>254</v>
      </c>
      <c r="F134" s="47" t="s">
        <v>775</v>
      </c>
      <c r="G134" s="17">
        <f t="shared" si="68"/>
        <v>28523.1</v>
      </c>
      <c r="H134" s="36">
        <v>11542.673303387155</v>
      </c>
      <c r="I134" s="18"/>
      <c r="J134" s="48"/>
      <c r="K134" s="19">
        <f t="shared" si="79"/>
        <v>0</v>
      </c>
      <c r="L134" s="19">
        <v>95.11999999999999</v>
      </c>
      <c r="M134" s="19">
        <f>L134/3.28</f>
        <v>29</v>
      </c>
      <c r="N134" s="20" t="str">
        <f t="shared" si="77"/>
        <v/>
      </c>
      <c r="O134" s="19"/>
      <c r="P134" s="21" t="str">
        <f t="shared" si="80"/>
        <v>no</v>
      </c>
      <c r="Q134" s="22">
        <v>6.6678727458188183</v>
      </c>
      <c r="R134" s="18" t="s">
        <v>2153</v>
      </c>
      <c r="S134" s="23">
        <v>43.732523</v>
      </c>
      <c r="T134" s="23">
        <v>-73.464313000000004</v>
      </c>
      <c r="U134" s="18" t="s">
        <v>255</v>
      </c>
      <c r="V134" s="18" t="s">
        <v>776</v>
      </c>
      <c r="W134" t="str">
        <f t="shared" si="82"/>
        <v>yes</v>
      </c>
      <c r="X134" s="66" t="s">
        <v>777</v>
      </c>
      <c r="Y134" t="str">
        <f t="shared" si="66"/>
        <v>potable water, recreation, and public bathing</v>
      </c>
      <c r="Z134" t="s">
        <v>79</v>
      </c>
      <c r="AA134" s="24" t="s">
        <v>778</v>
      </c>
      <c r="AB134" s="24" t="s">
        <v>779</v>
      </c>
      <c r="AC134" s="24">
        <f t="shared" si="78"/>
        <v>0</v>
      </c>
      <c r="AD134" s="24"/>
      <c r="AF134" t="str">
        <f t="shared" si="81"/>
        <v/>
      </c>
      <c r="AG134" s="26" t="s">
        <v>257</v>
      </c>
      <c r="AH134" s="27" t="s">
        <v>82</v>
      </c>
      <c r="AI134" s="28" t="s">
        <v>141</v>
      </c>
      <c r="AJ134" s="29" t="s">
        <v>82</v>
      </c>
      <c r="AK134" s="30" t="s">
        <v>85</v>
      </c>
      <c r="AL134" s="31" t="s">
        <v>121</v>
      </c>
      <c r="AM134" s="32" t="s">
        <v>82</v>
      </c>
      <c r="AN134" s="33" t="s">
        <v>81</v>
      </c>
      <c r="AO134" s="32" t="s">
        <v>81</v>
      </c>
      <c r="AP134" s="39"/>
      <c r="AQ134">
        <v>0</v>
      </c>
      <c r="AR134">
        <v>0</v>
      </c>
      <c r="AS134">
        <v>0</v>
      </c>
      <c r="AT134">
        <v>0</v>
      </c>
      <c r="AU134">
        <v>0</v>
      </c>
      <c r="AV134">
        <v>0</v>
      </c>
      <c r="AW134">
        <v>0</v>
      </c>
      <c r="AX134">
        <v>0</v>
      </c>
      <c r="AY134" t="s">
        <v>212</v>
      </c>
      <c r="AZ134" t="s">
        <v>780</v>
      </c>
      <c r="BA134" t="s">
        <v>102</v>
      </c>
      <c r="BB134" t="s">
        <v>792</v>
      </c>
      <c r="BD134" t="s">
        <v>124</v>
      </c>
      <c r="BE134" t="s">
        <v>89</v>
      </c>
      <c r="BF134" t="s">
        <v>89</v>
      </c>
      <c r="BG134" t="str">
        <f t="shared" si="70"/>
        <v>CSLAP</v>
      </c>
      <c r="BH134" s="14" t="s">
        <v>102</v>
      </c>
      <c r="BJ134">
        <f t="shared" si="71"/>
        <v>0</v>
      </c>
      <c r="BK134">
        <f t="shared" si="72"/>
        <v>0</v>
      </c>
      <c r="BL134">
        <f t="shared" si="73"/>
        <v>0</v>
      </c>
      <c r="BM134" t="str">
        <f t="shared" si="74"/>
        <v>CSLAP</v>
      </c>
      <c r="BN134" t="str">
        <f t="shared" si="75"/>
        <v>no</v>
      </c>
      <c r="BO134">
        <v>0.50977901955803917</v>
      </c>
    </row>
    <row r="135" spans="1:77" x14ac:dyDescent="0.3">
      <c r="A135" t="s">
        <v>1597</v>
      </c>
      <c r="B135" t="e">
        <v>#N/A</v>
      </c>
      <c r="C135" s="46">
        <v>199.03</v>
      </c>
      <c r="D135" s="47" t="s">
        <v>793</v>
      </c>
      <c r="E135" s="16" t="s">
        <v>254</v>
      </c>
      <c r="F135" s="47" t="s">
        <v>787</v>
      </c>
      <c r="G135" s="17">
        <f t="shared" si="68"/>
        <v>28523.1</v>
      </c>
      <c r="H135" s="36">
        <v>11542.673303387155</v>
      </c>
      <c r="I135" s="18"/>
      <c r="J135" s="48"/>
      <c r="K135" s="19">
        <f t="shared" si="79"/>
        <v>0</v>
      </c>
      <c r="L135" s="19"/>
      <c r="M135" s="19"/>
      <c r="N135" s="20" t="str">
        <f t="shared" si="77"/>
        <v/>
      </c>
      <c r="O135" s="19"/>
      <c r="P135" s="21" t="str">
        <f t="shared" si="80"/>
        <v>yes</v>
      </c>
      <c r="Q135" s="22">
        <v>6.6678727458188183</v>
      </c>
      <c r="R135" s="18" t="s">
        <v>794</v>
      </c>
      <c r="S135" s="23">
        <v>43.467410000000001</v>
      </c>
      <c r="T135" s="23">
        <v>-73.649771000000001</v>
      </c>
      <c r="U135" s="18" t="s">
        <v>255</v>
      </c>
      <c r="V135" s="18" t="s">
        <v>776</v>
      </c>
      <c r="W135" t="str">
        <f t="shared" si="82"/>
        <v>yes</v>
      </c>
      <c r="X135" s="66" t="s">
        <v>777</v>
      </c>
      <c r="Y135" t="str">
        <f t="shared" si="66"/>
        <v>potable water, recreation, and public bathing</v>
      </c>
      <c r="Z135" t="s">
        <v>79</v>
      </c>
      <c r="AA135" s="24" t="s">
        <v>778</v>
      </c>
      <c r="AB135" s="24" t="s">
        <v>779</v>
      </c>
      <c r="AC135" s="24">
        <f t="shared" si="78"/>
        <v>0</v>
      </c>
      <c r="AD135" s="24"/>
      <c r="AF135" t="str">
        <f t="shared" si="81"/>
        <v/>
      </c>
      <c r="AG135" s="26" t="s">
        <v>257</v>
      </c>
      <c r="AH135" s="27" t="s">
        <v>82</v>
      </c>
      <c r="AI135" s="28" t="s">
        <v>141</v>
      </c>
      <c r="AJ135" s="29" t="s">
        <v>82</v>
      </c>
      <c r="AK135" s="30" t="s">
        <v>85</v>
      </c>
      <c r="AL135" s="31" t="s">
        <v>121</v>
      </c>
      <c r="AM135" s="32" t="s">
        <v>82</v>
      </c>
      <c r="AN135" s="33" t="s">
        <v>81</v>
      </c>
      <c r="AO135" s="32" t="s">
        <v>81</v>
      </c>
      <c r="AP135" s="39"/>
      <c r="AQ135">
        <v>0</v>
      </c>
      <c r="AR135">
        <v>0</v>
      </c>
      <c r="AS135">
        <v>0</v>
      </c>
      <c r="AT135">
        <v>0</v>
      </c>
      <c r="AU135"/>
      <c r="AV135"/>
      <c r="AW135"/>
      <c r="AX135"/>
      <c r="AZ135" t="s">
        <v>780</v>
      </c>
      <c r="BD135" t="s">
        <v>124</v>
      </c>
      <c r="BE135" t="s">
        <v>89</v>
      </c>
      <c r="BF135" t="s">
        <v>89</v>
      </c>
      <c r="BG135" t="str">
        <f t="shared" si="70"/>
        <v>CSLAP</v>
      </c>
      <c r="BH135" s="14" t="s">
        <v>102</v>
      </c>
      <c r="BJ135">
        <f t="shared" si="71"/>
        <v>0</v>
      </c>
      <c r="BK135">
        <f t="shared" si="72"/>
        <v>0</v>
      </c>
      <c r="BL135">
        <f t="shared" si="73"/>
        <v>0</v>
      </c>
      <c r="BM135" t="str">
        <f t="shared" si="74"/>
        <v>CSLAP</v>
      </c>
      <c r="BN135" t="str">
        <f t="shared" si="75"/>
        <v>no</v>
      </c>
      <c r="BO135">
        <v>0.50977901955803917</v>
      </c>
    </row>
    <row r="136" spans="1:77" x14ac:dyDescent="0.3">
      <c r="A136" t="s">
        <v>1597</v>
      </c>
      <c r="B136" t="s">
        <v>1875</v>
      </c>
      <c r="C136" s="46">
        <v>199.24</v>
      </c>
      <c r="D136" s="47" t="s">
        <v>795</v>
      </c>
      <c r="E136" s="16" t="s">
        <v>117</v>
      </c>
      <c r="F136" s="47" t="s">
        <v>487</v>
      </c>
      <c r="G136" s="17">
        <f t="shared" si="68"/>
        <v>28523.1</v>
      </c>
      <c r="H136" s="36">
        <v>11542.673303387155</v>
      </c>
      <c r="I136" s="18"/>
      <c r="J136" s="48"/>
      <c r="K136" s="19">
        <f t="shared" si="79"/>
        <v>0</v>
      </c>
      <c r="L136" s="19">
        <v>78.72</v>
      </c>
      <c r="M136" s="19">
        <f>L136/3.28</f>
        <v>24</v>
      </c>
      <c r="N136" s="20" t="str">
        <f t="shared" si="77"/>
        <v/>
      </c>
      <c r="O136" s="19"/>
      <c r="P136" s="21" t="str">
        <f t="shared" si="80"/>
        <v>no</v>
      </c>
      <c r="Q136" s="22">
        <v>6.6678727458188183</v>
      </c>
      <c r="R136" s="18" t="s">
        <v>2154</v>
      </c>
      <c r="S136" s="23">
        <v>43.805481</v>
      </c>
      <c r="T136" s="23">
        <v>-73.451663999999994</v>
      </c>
      <c r="U136" s="18" t="s">
        <v>255</v>
      </c>
      <c r="V136" s="18" t="s">
        <v>776</v>
      </c>
      <c r="W136" t="str">
        <f t="shared" si="82"/>
        <v>yes</v>
      </c>
      <c r="X136" s="66" t="s">
        <v>777</v>
      </c>
      <c r="Y136" t="str">
        <f t="shared" si="66"/>
        <v>potable water, recreation, and public bathing</v>
      </c>
      <c r="Z136" t="s">
        <v>79</v>
      </c>
      <c r="AA136" s="24" t="s">
        <v>778</v>
      </c>
      <c r="AB136" s="24" t="s">
        <v>779</v>
      </c>
      <c r="AC136" s="24">
        <f t="shared" si="78"/>
        <v>0</v>
      </c>
      <c r="AD136" s="24"/>
      <c r="AF136" t="str">
        <f t="shared" si="81"/>
        <v/>
      </c>
      <c r="AG136" s="26" t="s">
        <v>257</v>
      </c>
      <c r="AH136" s="27" t="s">
        <v>82</v>
      </c>
      <c r="AI136" s="28" t="s">
        <v>141</v>
      </c>
      <c r="AJ136" s="29" t="s">
        <v>82</v>
      </c>
      <c r="AK136" s="30" t="s">
        <v>85</v>
      </c>
      <c r="AL136" s="31" t="s">
        <v>121</v>
      </c>
      <c r="AM136" s="32" t="s">
        <v>82</v>
      </c>
      <c r="AN136" s="33" t="s">
        <v>81</v>
      </c>
      <c r="AO136" s="32" t="s">
        <v>81</v>
      </c>
      <c r="AP136" s="39"/>
      <c r="AQ136">
        <v>0</v>
      </c>
      <c r="AR136">
        <v>0</v>
      </c>
      <c r="AS136">
        <v>0</v>
      </c>
      <c r="AT136">
        <v>0</v>
      </c>
      <c r="AU136"/>
      <c r="AV136"/>
      <c r="AW136"/>
      <c r="AX136"/>
      <c r="AZ136" t="s">
        <v>780</v>
      </c>
      <c r="BA136" t="s">
        <v>102</v>
      </c>
      <c r="BB136" t="s">
        <v>796</v>
      </c>
      <c r="BD136" t="s">
        <v>124</v>
      </c>
      <c r="BE136" t="s">
        <v>89</v>
      </c>
      <c r="BF136" t="s">
        <v>89</v>
      </c>
      <c r="BG136" t="str">
        <f t="shared" si="70"/>
        <v>CSLAP</v>
      </c>
      <c r="BH136" s="14" t="s">
        <v>102</v>
      </c>
      <c r="BJ136">
        <f t="shared" si="71"/>
        <v>0</v>
      </c>
      <c r="BK136">
        <f t="shared" si="72"/>
        <v>0</v>
      </c>
      <c r="BL136">
        <f t="shared" si="73"/>
        <v>0</v>
      </c>
      <c r="BM136" t="str">
        <f t="shared" si="74"/>
        <v>CSLAP</v>
      </c>
      <c r="BN136" t="str">
        <f t="shared" si="75"/>
        <v>no</v>
      </c>
      <c r="BO136">
        <v>0.50977901955803917</v>
      </c>
    </row>
    <row r="137" spans="1:77" x14ac:dyDescent="0.3">
      <c r="A137" t="s">
        <v>1597</v>
      </c>
      <c r="B137" t="s">
        <v>1876</v>
      </c>
      <c r="C137" s="46">
        <v>199.21</v>
      </c>
      <c r="D137" s="47" t="s">
        <v>797</v>
      </c>
      <c r="E137" s="16" t="s">
        <v>254</v>
      </c>
      <c r="F137" s="47" t="s">
        <v>798</v>
      </c>
      <c r="G137" s="17">
        <f t="shared" si="68"/>
        <v>28523.1</v>
      </c>
      <c r="H137" s="36">
        <v>11542.673303387155</v>
      </c>
      <c r="I137" s="18"/>
      <c r="J137" s="48"/>
      <c r="K137" s="19">
        <f t="shared" si="79"/>
        <v>0</v>
      </c>
      <c r="L137" s="19">
        <v>98.399999999999991</v>
      </c>
      <c r="M137" s="19">
        <f>L137/3.28</f>
        <v>30</v>
      </c>
      <c r="N137" s="20" t="str">
        <f t="shared" si="77"/>
        <v/>
      </c>
      <c r="O137" s="19"/>
      <c r="P137" s="21" t="str">
        <f t="shared" si="80"/>
        <v>no</v>
      </c>
      <c r="Q137" s="22">
        <v>6.6678727458188183</v>
      </c>
      <c r="R137" s="18" t="s">
        <v>799</v>
      </c>
      <c r="S137" s="23">
        <v>43.645268999999999</v>
      </c>
      <c r="T137" s="23">
        <v>-73.513858999999997</v>
      </c>
      <c r="U137" s="18" t="s">
        <v>255</v>
      </c>
      <c r="V137" s="18" t="s">
        <v>776</v>
      </c>
      <c r="W137" t="str">
        <f t="shared" si="82"/>
        <v>yes</v>
      </c>
      <c r="X137" s="66" t="s">
        <v>777</v>
      </c>
      <c r="Y137" t="str">
        <f t="shared" si="66"/>
        <v>potable water, recreation, and public bathing</v>
      </c>
      <c r="Z137" t="s">
        <v>79</v>
      </c>
      <c r="AA137" s="24" t="s">
        <v>778</v>
      </c>
      <c r="AB137" s="24" t="s">
        <v>779</v>
      </c>
      <c r="AC137" s="24">
        <f t="shared" si="78"/>
        <v>0</v>
      </c>
      <c r="AD137" s="24"/>
      <c r="AF137" t="str">
        <f t="shared" si="81"/>
        <v/>
      </c>
      <c r="AG137" s="26" t="s">
        <v>257</v>
      </c>
      <c r="AH137" s="27" t="s">
        <v>82</v>
      </c>
      <c r="AI137" s="28" t="s">
        <v>141</v>
      </c>
      <c r="AJ137" s="29" t="s">
        <v>82</v>
      </c>
      <c r="AK137" s="30" t="s">
        <v>85</v>
      </c>
      <c r="AL137" s="31" t="s">
        <v>121</v>
      </c>
      <c r="AM137" s="32" t="s">
        <v>82</v>
      </c>
      <c r="AN137" s="33" t="s">
        <v>81</v>
      </c>
      <c r="AO137" s="32" t="s">
        <v>81</v>
      </c>
      <c r="AP137" s="39"/>
      <c r="AQ137">
        <v>0</v>
      </c>
      <c r="AR137">
        <v>0</v>
      </c>
      <c r="AS137">
        <v>0</v>
      </c>
      <c r="AT137">
        <v>0</v>
      </c>
      <c r="AU137"/>
      <c r="AV137"/>
      <c r="AW137"/>
      <c r="AX137"/>
      <c r="AZ137" t="s">
        <v>780</v>
      </c>
      <c r="BA137" t="s">
        <v>102</v>
      </c>
      <c r="BD137" t="s">
        <v>124</v>
      </c>
      <c r="BE137" t="s">
        <v>89</v>
      </c>
      <c r="BF137" t="s">
        <v>89</v>
      </c>
      <c r="BG137" t="str">
        <f t="shared" si="70"/>
        <v>CSLAP</v>
      </c>
      <c r="BH137" s="14" t="s">
        <v>102</v>
      </c>
      <c r="BJ137">
        <f t="shared" si="71"/>
        <v>0</v>
      </c>
      <c r="BK137">
        <f t="shared" si="72"/>
        <v>0</v>
      </c>
      <c r="BL137">
        <f t="shared" si="73"/>
        <v>0</v>
      </c>
      <c r="BM137" t="str">
        <f t="shared" si="74"/>
        <v>CSLAP</v>
      </c>
      <c r="BN137" t="str">
        <f t="shared" si="75"/>
        <v>no</v>
      </c>
      <c r="BO137">
        <v>0.50977901955803917</v>
      </c>
    </row>
    <row r="138" spans="1:77" x14ac:dyDescent="0.3">
      <c r="A138" t="s">
        <v>1597</v>
      </c>
      <c r="B138" t="e">
        <v>#N/A</v>
      </c>
      <c r="C138" s="46">
        <v>199.11</v>
      </c>
      <c r="D138" s="47" t="s">
        <v>800</v>
      </c>
      <c r="E138" s="16" t="s">
        <v>254</v>
      </c>
      <c r="F138" s="67" t="s">
        <v>782</v>
      </c>
      <c r="G138" s="17">
        <f t="shared" si="68"/>
        <v>28523.1</v>
      </c>
      <c r="H138" s="36">
        <v>11542.673303387155</v>
      </c>
      <c r="I138" s="18"/>
      <c r="J138" s="48"/>
      <c r="K138" s="19">
        <f t="shared" si="79"/>
        <v>0</v>
      </c>
      <c r="L138" s="19">
        <v>98.399999999999991</v>
      </c>
      <c r="M138" s="19">
        <f>L138/3.28</f>
        <v>30</v>
      </c>
      <c r="N138" s="20" t="str">
        <f t="shared" si="77"/>
        <v/>
      </c>
      <c r="O138" s="19"/>
      <c r="P138" s="21" t="str">
        <f t="shared" si="80"/>
        <v>no</v>
      </c>
      <c r="Q138" s="22">
        <v>6.6678727458188183</v>
      </c>
      <c r="R138" s="18" t="s">
        <v>801</v>
      </c>
      <c r="S138" s="23">
        <v>43.645268999999999</v>
      </c>
      <c r="T138" s="23">
        <v>-73.513858999999997</v>
      </c>
      <c r="U138" s="18" t="s">
        <v>255</v>
      </c>
      <c r="V138" s="18" t="s">
        <v>776</v>
      </c>
      <c r="W138" t="str">
        <f t="shared" si="82"/>
        <v>yes</v>
      </c>
      <c r="X138" s="66" t="s">
        <v>777</v>
      </c>
      <c r="Y138" t="str">
        <f t="shared" si="66"/>
        <v>potable water, recreation, and public bathing</v>
      </c>
      <c r="Z138" t="s">
        <v>79</v>
      </c>
      <c r="AA138" s="24" t="s">
        <v>778</v>
      </c>
      <c r="AB138" s="24" t="s">
        <v>779</v>
      </c>
      <c r="AC138" s="24">
        <f t="shared" si="78"/>
        <v>0</v>
      </c>
      <c r="AD138" s="24"/>
      <c r="AF138" t="str">
        <f t="shared" si="81"/>
        <v/>
      </c>
      <c r="AG138" s="26" t="s">
        <v>257</v>
      </c>
      <c r="AH138" s="27" t="s">
        <v>82</v>
      </c>
      <c r="AI138" s="28" t="s">
        <v>141</v>
      </c>
      <c r="AJ138" s="29" t="s">
        <v>82</v>
      </c>
      <c r="AK138" s="30" t="s">
        <v>85</v>
      </c>
      <c r="AL138" s="31" t="s">
        <v>121</v>
      </c>
      <c r="AM138" s="32" t="s">
        <v>82</v>
      </c>
      <c r="AN138" s="33" t="s">
        <v>81</v>
      </c>
      <c r="AO138" s="32" t="s">
        <v>81</v>
      </c>
      <c r="AP138" s="39"/>
      <c r="AQ138">
        <v>0</v>
      </c>
      <c r="AR138">
        <v>0</v>
      </c>
      <c r="AS138">
        <v>0</v>
      </c>
      <c r="AT138">
        <v>0</v>
      </c>
      <c r="AU138"/>
      <c r="AV138"/>
      <c r="AW138"/>
      <c r="AX138"/>
      <c r="AZ138" t="s">
        <v>780</v>
      </c>
      <c r="BA138" t="s">
        <v>102</v>
      </c>
      <c r="BD138" t="s">
        <v>124</v>
      </c>
      <c r="BE138" t="s">
        <v>89</v>
      </c>
      <c r="BF138" t="s">
        <v>89</v>
      </c>
      <c r="BG138" t="str">
        <f t="shared" si="70"/>
        <v>CSLAP</v>
      </c>
      <c r="BH138" s="14" t="s">
        <v>102</v>
      </c>
      <c r="BJ138">
        <f t="shared" si="71"/>
        <v>0</v>
      </c>
      <c r="BK138">
        <f t="shared" si="72"/>
        <v>0</v>
      </c>
      <c r="BL138">
        <f t="shared" si="73"/>
        <v>0</v>
      </c>
      <c r="BM138" t="str">
        <f t="shared" si="74"/>
        <v>CSLAP</v>
      </c>
      <c r="BN138" t="str">
        <f t="shared" si="75"/>
        <v>no</v>
      </c>
      <c r="BO138">
        <v>0.50977901955803917</v>
      </c>
    </row>
    <row r="139" spans="1:77" x14ac:dyDescent="0.3">
      <c r="A139" t="s">
        <v>1599</v>
      </c>
      <c r="B139" t="s">
        <v>1877</v>
      </c>
      <c r="C139" s="16">
        <v>191</v>
      </c>
      <c r="D139" s="16" t="s">
        <v>802</v>
      </c>
      <c r="E139" s="16" t="s">
        <v>370</v>
      </c>
      <c r="F139" s="16" t="s">
        <v>803</v>
      </c>
      <c r="G139" s="17">
        <f t="shared" si="68"/>
        <v>32.124299999999998</v>
      </c>
      <c r="H139" s="17">
        <v>13</v>
      </c>
      <c r="I139" s="18">
        <f>IF(J139="","",J139*2.4711)</f>
        <v>85.994279999999989</v>
      </c>
      <c r="J139" s="18">
        <v>34.799999999999997</v>
      </c>
      <c r="K139" s="19">
        <f t="shared" si="79"/>
        <v>2.6769230769230767</v>
      </c>
      <c r="L139" s="19">
        <v>22.965600000000002</v>
      </c>
      <c r="M139" s="19">
        <v>7</v>
      </c>
      <c r="N139" s="20">
        <f t="shared" si="77"/>
        <v>10.793832</v>
      </c>
      <c r="O139" s="19">
        <v>3.29</v>
      </c>
      <c r="P139" s="21" t="str">
        <f t="shared" si="80"/>
        <v>no</v>
      </c>
      <c r="Q139" s="22">
        <v>2.5082101806239741</v>
      </c>
      <c r="R139" s="18" t="s">
        <v>804</v>
      </c>
      <c r="S139" s="23">
        <v>42.445897550700003</v>
      </c>
      <c r="T139" s="23">
        <v>-75.549602124499998</v>
      </c>
      <c r="U139" s="18" t="s">
        <v>78</v>
      </c>
      <c r="V139" s="18" t="s">
        <v>96</v>
      </c>
      <c r="W139" t="str">
        <f t="shared" si="82"/>
        <v>no</v>
      </c>
      <c r="Y139" t="str">
        <f t="shared" si="66"/>
        <v>recreation</v>
      </c>
      <c r="Z139" t="s">
        <v>79</v>
      </c>
      <c r="AA139" s="40" t="s">
        <v>79</v>
      </c>
      <c r="AB139" s="40" t="s">
        <v>79</v>
      </c>
      <c r="AC139" s="35">
        <v>3.4238085049362526</v>
      </c>
      <c r="AD139" s="35" t="s">
        <v>602</v>
      </c>
      <c r="AF139" t="str">
        <f t="shared" si="81"/>
        <v/>
      </c>
      <c r="AG139" s="26" t="s">
        <v>81</v>
      </c>
      <c r="AH139" s="27" t="s">
        <v>81</v>
      </c>
      <c r="AI139" s="28" t="s">
        <v>82</v>
      </c>
      <c r="AJ139" s="29" t="s">
        <v>82</v>
      </c>
      <c r="AK139" s="30" t="s">
        <v>85</v>
      </c>
      <c r="AL139" s="31" t="s">
        <v>85</v>
      </c>
      <c r="AM139" s="32" t="s">
        <v>82</v>
      </c>
      <c r="AN139" s="33" t="s">
        <v>81</v>
      </c>
      <c r="AO139" s="32" t="s">
        <v>81</v>
      </c>
      <c r="AP139" s="39"/>
      <c r="AQ139">
        <v>0</v>
      </c>
      <c r="AR139">
        <v>0</v>
      </c>
      <c r="AS139">
        <v>0</v>
      </c>
      <c r="AT139">
        <v>0</v>
      </c>
      <c r="AU139">
        <v>0</v>
      </c>
      <c r="AV139">
        <v>0</v>
      </c>
      <c r="AW139">
        <v>0</v>
      </c>
      <c r="AX139">
        <v>0</v>
      </c>
      <c r="AZ139" t="s">
        <v>805</v>
      </c>
      <c r="BD139" t="s">
        <v>114</v>
      </c>
      <c r="BF139" t="s">
        <v>115</v>
      </c>
      <c r="BG139" t="str">
        <f t="shared" si="70"/>
        <v>CSLAP</v>
      </c>
      <c r="BH139" s="14" t="str">
        <f>IF(RIGHT(CM139,4)="2011","yes","no")</f>
        <v>no</v>
      </c>
      <c r="BJ139">
        <f t="shared" si="71"/>
        <v>0</v>
      </c>
      <c r="BK139">
        <f t="shared" si="72"/>
        <v>0</v>
      </c>
      <c r="BL139">
        <f t="shared" si="73"/>
        <v>0</v>
      </c>
      <c r="BM139" t="str">
        <f t="shared" si="74"/>
        <v>CSLAP</v>
      </c>
      <c r="BN139" t="str">
        <f t="shared" si="75"/>
        <v>no</v>
      </c>
      <c r="BO139">
        <v>0.49</v>
      </c>
      <c r="BY139" t="s">
        <v>806</v>
      </c>
    </row>
    <row r="140" spans="1:77" x14ac:dyDescent="0.3">
      <c r="A140" t="s">
        <v>1600</v>
      </c>
      <c r="B140" t="s">
        <v>1878</v>
      </c>
      <c r="C140" s="16">
        <v>132</v>
      </c>
      <c r="D140" s="16" t="s">
        <v>807</v>
      </c>
      <c r="E140" s="16" t="s">
        <v>165</v>
      </c>
      <c r="F140" s="16" t="s">
        <v>808</v>
      </c>
      <c r="G140" s="17">
        <f t="shared" si="68"/>
        <v>32.124299999999998</v>
      </c>
      <c r="H140" s="17">
        <v>13</v>
      </c>
      <c r="I140" s="18">
        <f>IF(J140="","",J140*2.4711)</f>
        <v>275.28053999999997</v>
      </c>
      <c r="J140" s="18">
        <v>111.4</v>
      </c>
      <c r="K140" s="19">
        <f t="shared" si="79"/>
        <v>8.569230769230769</v>
      </c>
      <c r="L140" s="19">
        <v>14.003414634146344</v>
      </c>
      <c r="M140" s="19">
        <v>4.2682926829268295</v>
      </c>
      <c r="N140" s="20">
        <f t="shared" si="77"/>
        <v>6.5816048780487799</v>
      </c>
      <c r="O140" s="19">
        <v>2.0060975609756095</v>
      </c>
      <c r="P140" s="21" t="str">
        <f t="shared" si="80"/>
        <v>no</v>
      </c>
      <c r="Q140" s="22">
        <v>0.42267718610511751</v>
      </c>
      <c r="R140" s="18" t="s">
        <v>2159</v>
      </c>
      <c r="S140" s="23">
        <v>41.429180000000002</v>
      </c>
      <c r="T140" s="23">
        <v>-74.599379999999996</v>
      </c>
      <c r="U140" s="18" t="s">
        <v>77</v>
      </c>
      <c r="V140" s="18" t="s">
        <v>77</v>
      </c>
      <c r="W140" t="str">
        <f t="shared" si="82"/>
        <v>no</v>
      </c>
      <c r="Y140" t="str">
        <f t="shared" si="66"/>
        <v>recreation</v>
      </c>
      <c r="Z140" t="s">
        <v>79</v>
      </c>
      <c r="AA140" s="24" t="s">
        <v>809</v>
      </c>
      <c r="AB140" s="24" t="s">
        <v>79</v>
      </c>
      <c r="AC140" s="24">
        <f>IF(AND(AA140="none reported",AB140="none reported"),"",0)</f>
        <v>0</v>
      </c>
      <c r="AD140" s="24"/>
      <c r="AE140" s="25">
        <v>2019</v>
      </c>
      <c r="AF140" t="str">
        <f t="shared" si="81"/>
        <v>no</v>
      </c>
      <c r="AG140" s="26" t="s">
        <v>81</v>
      </c>
      <c r="AH140" s="27" t="s">
        <v>156</v>
      </c>
      <c r="AI140" s="27" t="s">
        <v>156</v>
      </c>
      <c r="AJ140" s="27" t="s">
        <v>156</v>
      </c>
      <c r="AK140" s="27" t="s">
        <v>156</v>
      </c>
      <c r="AL140" s="27" t="s">
        <v>156</v>
      </c>
      <c r="AM140" s="27" t="s">
        <v>156</v>
      </c>
      <c r="AN140" s="33">
        <v>43646</v>
      </c>
      <c r="AO140" s="33">
        <v>43724</v>
      </c>
      <c r="AP140" s="39"/>
      <c r="AQ140">
        <v>0</v>
      </c>
      <c r="AR140">
        <v>0</v>
      </c>
      <c r="AS140">
        <v>0</v>
      </c>
      <c r="AT140">
        <v>0</v>
      </c>
      <c r="AU140">
        <v>0</v>
      </c>
      <c r="AV140">
        <v>0</v>
      </c>
      <c r="AW140">
        <v>0</v>
      </c>
      <c r="AX140">
        <v>0</v>
      </c>
      <c r="AZ140" t="s">
        <v>810</v>
      </c>
      <c r="BA140" t="s">
        <v>102</v>
      </c>
      <c r="BB140" t="s">
        <v>811</v>
      </c>
      <c r="BD140" t="s">
        <v>104</v>
      </c>
      <c r="BE140" t="s">
        <v>105</v>
      </c>
      <c r="BF140" t="s">
        <v>160</v>
      </c>
      <c r="BG140" t="str">
        <f t="shared" si="70"/>
        <v>CSLAP</v>
      </c>
      <c r="BH140" s="14" t="s">
        <v>99</v>
      </c>
      <c r="BJ140">
        <f t="shared" si="71"/>
        <v>0</v>
      </c>
      <c r="BK140">
        <f t="shared" si="72"/>
        <v>0</v>
      </c>
      <c r="BL140">
        <f t="shared" si="73"/>
        <v>0</v>
      </c>
      <c r="BM140" t="str">
        <f t="shared" si="74"/>
        <v>CSLAP</v>
      </c>
      <c r="BN140" t="str">
        <f t="shared" si="75"/>
        <v>no</v>
      </c>
      <c r="BO140">
        <v>0.55386178861788615</v>
      </c>
    </row>
    <row r="141" spans="1:77" x14ac:dyDescent="0.3">
      <c r="A141" t="s">
        <v>1879</v>
      </c>
      <c r="B141" t="s">
        <v>1880</v>
      </c>
      <c r="C141" s="16">
        <v>218</v>
      </c>
      <c r="D141" s="16" t="s">
        <v>812</v>
      </c>
      <c r="E141" s="16" t="s">
        <v>183</v>
      </c>
      <c r="F141" s="16" t="s">
        <v>232</v>
      </c>
      <c r="G141" s="17">
        <f t="shared" si="68"/>
        <v>89.700929999999985</v>
      </c>
      <c r="H141" s="17">
        <v>36.299999999999997</v>
      </c>
      <c r="I141" s="18">
        <f>IF(J141="","",J141*2.4711)</f>
        <v>148.26599999999999</v>
      </c>
      <c r="J141" s="18">
        <v>60</v>
      </c>
      <c r="K141" s="19">
        <f t="shared" si="79"/>
        <v>1.6528925619834711</v>
      </c>
      <c r="L141" s="19">
        <v>3.2808000000000002</v>
      </c>
      <c r="M141" s="19">
        <v>1</v>
      </c>
      <c r="N141" s="20">
        <f>IF(O141="", "",O141*3.2808)</f>
        <v>1.541976</v>
      </c>
      <c r="O141" s="19">
        <v>0.47</v>
      </c>
      <c r="P141" s="21" t="str">
        <f t="shared" si="80"/>
        <v>no</v>
      </c>
      <c r="Q141" s="22">
        <v>0.57557118251928008</v>
      </c>
      <c r="R141" s="18">
        <v>2008</v>
      </c>
      <c r="S141" s="23">
        <v>41.243360840000001</v>
      </c>
      <c r="T141" s="23">
        <v>-73.549164300000001</v>
      </c>
      <c r="U141" s="18" t="s">
        <v>77</v>
      </c>
      <c r="V141" s="18"/>
      <c r="W141" t="str">
        <f t="shared" si="82"/>
        <v>no</v>
      </c>
      <c r="Y141" t="str">
        <f t="shared" si="66"/>
        <v>recreation</v>
      </c>
      <c r="Z141" t="s">
        <v>79</v>
      </c>
      <c r="AA141" s="40" t="s">
        <v>79</v>
      </c>
      <c r="AB141" s="40" t="s">
        <v>79</v>
      </c>
      <c r="AC141" s="35">
        <v>2.6327331348046417</v>
      </c>
      <c r="AD141" s="35" t="s">
        <v>813</v>
      </c>
      <c r="AF141" t="str">
        <f t="shared" si="81"/>
        <v/>
      </c>
      <c r="AG141" s="26" t="s">
        <v>83</v>
      </c>
      <c r="AH141" s="27" t="s">
        <v>83</v>
      </c>
      <c r="AI141" s="28" t="s">
        <v>83</v>
      </c>
      <c r="AJ141" s="29" t="s">
        <v>82</v>
      </c>
      <c r="AK141" s="30" t="s">
        <v>84</v>
      </c>
      <c r="AL141" s="31" t="s">
        <v>84</v>
      </c>
      <c r="AM141" s="32" t="s">
        <v>82</v>
      </c>
      <c r="AN141" s="33" t="s">
        <v>81</v>
      </c>
      <c r="AO141" s="32" t="s">
        <v>81</v>
      </c>
      <c r="AP141" s="39"/>
      <c r="AQ141">
        <v>0</v>
      </c>
      <c r="AR141">
        <v>0</v>
      </c>
      <c r="AS141">
        <v>0</v>
      </c>
      <c r="AT141">
        <v>0</v>
      </c>
      <c r="AU141">
        <v>0</v>
      </c>
      <c r="AV141">
        <v>0</v>
      </c>
      <c r="AW141">
        <v>0</v>
      </c>
      <c r="AX141">
        <v>0</v>
      </c>
      <c r="BD141" t="s">
        <v>152</v>
      </c>
      <c r="BF141" t="s">
        <v>160</v>
      </c>
      <c r="BG141" t="str">
        <f t="shared" si="70"/>
        <v>CSLAP</v>
      </c>
      <c r="BH141" s="14" t="str">
        <f>IF(RIGHT(CM141,4)="2011","yes","no")</f>
        <v>no</v>
      </c>
      <c r="BJ141">
        <f t="shared" si="71"/>
        <v>0</v>
      </c>
      <c r="BK141">
        <f t="shared" si="72"/>
        <v>0</v>
      </c>
      <c r="BL141">
        <f t="shared" si="73"/>
        <v>0</v>
      </c>
      <c r="BM141" t="str">
        <f t="shared" si="74"/>
        <v>CSLAP</v>
      </c>
      <c r="BN141" t="str">
        <f t="shared" si="75"/>
        <v>no</v>
      </c>
      <c r="BO141">
        <v>0.49403098806197615</v>
      </c>
    </row>
    <row r="142" spans="1:77" x14ac:dyDescent="0.3">
      <c r="A142" t="s">
        <v>1881</v>
      </c>
      <c r="B142" t="s">
        <v>1882</v>
      </c>
      <c r="C142" s="16">
        <v>71</v>
      </c>
      <c r="D142" s="16" t="s">
        <v>814</v>
      </c>
      <c r="E142" s="16" t="s">
        <v>448</v>
      </c>
      <c r="F142" s="16" t="s">
        <v>746</v>
      </c>
      <c r="G142" s="17">
        <f t="shared" si="68"/>
        <v>281.7054</v>
      </c>
      <c r="H142" s="17">
        <v>114</v>
      </c>
      <c r="I142" s="18">
        <f>IF(J142="","",J142*2.4711)</f>
        <v>296.53199999999998</v>
      </c>
      <c r="J142" s="18">
        <v>120</v>
      </c>
      <c r="K142" s="19">
        <f t="shared" si="79"/>
        <v>1.0526315789473684</v>
      </c>
      <c r="L142" s="19" t="s">
        <v>110</v>
      </c>
      <c r="M142" s="19"/>
      <c r="N142" s="20">
        <f>IF(O142="", "",O142*3.2808)</f>
        <v>20.997120000000002</v>
      </c>
      <c r="O142" s="19">
        <v>6.4</v>
      </c>
      <c r="P142" s="21" t="str">
        <f t="shared" si="80"/>
        <v>no</v>
      </c>
      <c r="Q142" s="22">
        <v>9.5</v>
      </c>
      <c r="R142" s="18" t="s">
        <v>623</v>
      </c>
      <c r="S142" s="23">
        <v>44.294719999999998</v>
      </c>
      <c r="T142" s="23">
        <v>-74.158869999999993</v>
      </c>
      <c r="U142" s="18" t="s">
        <v>379</v>
      </c>
      <c r="V142" s="18"/>
      <c r="W142" t="str">
        <f t="shared" si="82"/>
        <v>yes</v>
      </c>
      <c r="Y142" t="str">
        <f t="shared" si="66"/>
        <v>potable water and recreation</v>
      </c>
      <c r="Z142" t="s">
        <v>79</v>
      </c>
      <c r="AA142" s="40" t="s">
        <v>120</v>
      </c>
      <c r="AB142" s="40" t="s">
        <v>79</v>
      </c>
      <c r="AC142" s="24">
        <f>IF(AND(AA142="none reported",AB142="none reported"),"",0)</f>
        <v>0</v>
      </c>
      <c r="AD142" s="24"/>
      <c r="AF142" t="str">
        <f t="shared" si="81"/>
        <v/>
      </c>
      <c r="AG142" s="26" t="s">
        <v>82</v>
      </c>
      <c r="AH142" s="27" t="s">
        <v>82</v>
      </c>
      <c r="AI142" s="28" t="s">
        <v>82</v>
      </c>
      <c r="AJ142" s="29" t="s">
        <v>82</v>
      </c>
      <c r="AK142" s="30" t="s">
        <v>85</v>
      </c>
      <c r="AL142" s="31" t="s">
        <v>85</v>
      </c>
      <c r="AM142" s="32" t="s">
        <v>82</v>
      </c>
      <c r="AN142" s="33" t="s">
        <v>81</v>
      </c>
      <c r="AO142" s="32" t="s">
        <v>81</v>
      </c>
      <c r="AP142" s="39"/>
      <c r="AQ142">
        <v>0</v>
      </c>
      <c r="AR142">
        <v>0</v>
      </c>
      <c r="AS142">
        <v>0</v>
      </c>
      <c r="AT142">
        <v>0</v>
      </c>
      <c r="AU142">
        <v>0</v>
      </c>
      <c r="AV142">
        <v>0</v>
      </c>
      <c r="AW142">
        <v>0</v>
      </c>
      <c r="AX142">
        <v>0</v>
      </c>
      <c r="BD142" t="s">
        <v>124</v>
      </c>
      <c r="BE142" t="s">
        <v>89</v>
      </c>
      <c r="BF142" t="s">
        <v>89</v>
      </c>
      <c r="BG142" t="str">
        <f t="shared" si="70"/>
        <v>CSLAP</v>
      </c>
      <c r="BH142" s="14" t="str">
        <f>IF(RIGHT(CM142,4)="2011","yes","no")</f>
        <v>no</v>
      </c>
      <c r="BJ142">
        <f t="shared" si="71"/>
        <v>0</v>
      </c>
      <c r="BK142">
        <f t="shared" si="72"/>
        <v>0</v>
      </c>
      <c r="BL142">
        <f t="shared" si="73"/>
        <v>0</v>
      </c>
      <c r="BM142" t="str">
        <f t="shared" si="74"/>
        <v>CSLAP</v>
      </c>
      <c r="BN142" t="str">
        <f t="shared" si="75"/>
        <v>no</v>
      </c>
      <c r="BO142">
        <v>0.64</v>
      </c>
    </row>
    <row r="143" spans="1:77" x14ac:dyDescent="0.3">
      <c r="A143" t="s">
        <v>1601</v>
      </c>
      <c r="B143" t="s">
        <v>1883</v>
      </c>
      <c r="C143" s="37">
        <v>248</v>
      </c>
      <c r="D143" s="37" t="s">
        <v>815</v>
      </c>
      <c r="E143" s="42" t="s">
        <v>816</v>
      </c>
      <c r="F143" t="s">
        <v>817</v>
      </c>
      <c r="G143" s="36">
        <v>11.2</v>
      </c>
      <c r="H143" s="36">
        <f>G143/2.4711</f>
        <v>4.5323944801910079</v>
      </c>
      <c r="I143" s="37">
        <v>33.216000000000001</v>
      </c>
      <c r="J143" s="37">
        <f>I143/2.4711</f>
        <v>13.441787058395049</v>
      </c>
      <c r="K143" s="21">
        <f t="shared" si="79"/>
        <v>2.9657142857142862</v>
      </c>
      <c r="L143" s="21">
        <f>3.28*M143</f>
        <v>41</v>
      </c>
      <c r="M143" s="21">
        <v>12.5</v>
      </c>
      <c r="N143" s="65"/>
      <c r="P143" s="21" t="str">
        <f t="shared" si="80"/>
        <v>no</v>
      </c>
      <c r="Q143" s="43">
        <v>6.8153149084778404</v>
      </c>
      <c r="R143" s="37" t="s">
        <v>2109</v>
      </c>
      <c r="S143">
        <v>43.050882879600003</v>
      </c>
      <c r="T143">
        <v>-77.479447274500004</v>
      </c>
      <c r="U143" t="s">
        <v>77</v>
      </c>
      <c r="V143" t="s">
        <v>818</v>
      </c>
      <c r="W143" t="str">
        <f t="shared" si="82"/>
        <v>no</v>
      </c>
      <c r="Y143" t="str">
        <f t="shared" si="66"/>
        <v>recreation</v>
      </c>
      <c r="AA143" t="s">
        <v>79</v>
      </c>
      <c r="AB143" t="s">
        <v>79</v>
      </c>
      <c r="AC143">
        <v>4.7</v>
      </c>
      <c r="AD143" t="s">
        <v>819</v>
      </c>
      <c r="AE143" s="25" t="s">
        <v>820</v>
      </c>
      <c r="AF143" t="str">
        <f t="shared" si="81"/>
        <v>yes</v>
      </c>
      <c r="AG143" t="s">
        <v>81</v>
      </c>
      <c r="AH143" t="s">
        <v>156</v>
      </c>
      <c r="AI143" t="s">
        <v>156</v>
      </c>
      <c r="AJ143" t="s">
        <v>156</v>
      </c>
      <c r="AK143" t="s">
        <v>156</v>
      </c>
      <c r="AL143" t="s">
        <v>156</v>
      </c>
      <c r="AM143" t="s">
        <v>156</v>
      </c>
      <c r="AN143" s="33" t="s">
        <v>81</v>
      </c>
      <c r="AO143" s="32" t="s">
        <v>81</v>
      </c>
      <c r="AP143" s="39"/>
      <c r="AQ143">
        <v>3</v>
      </c>
      <c r="AR143">
        <v>1</v>
      </c>
      <c r="AS143">
        <v>6</v>
      </c>
      <c r="AT143">
        <v>0</v>
      </c>
      <c r="AU143">
        <v>0</v>
      </c>
      <c r="AV143">
        <v>0</v>
      </c>
      <c r="AW143">
        <v>0</v>
      </c>
      <c r="AX143">
        <v>0</v>
      </c>
      <c r="AZ143" t="s">
        <v>821</v>
      </c>
      <c r="BA143" t="s">
        <v>102</v>
      </c>
      <c r="BB143" t="s">
        <v>822</v>
      </c>
      <c r="BD143" t="s">
        <v>227</v>
      </c>
      <c r="BG143" t="s">
        <v>54</v>
      </c>
      <c r="BH143" s="14"/>
      <c r="BM143" t="s">
        <v>54</v>
      </c>
      <c r="BN143" t="s">
        <v>99</v>
      </c>
      <c r="BO143">
        <v>0.28448056896113794</v>
      </c>
    </row>
    <row r="144" spans="1:77" x14ac:dyDescent="0.3">
      <c r="A144" t="s">
        <v>1602</v>
      </c>
      <c r="B144" t="s">
        <v>1884</v>
      </c>
      <c r="C144" s="16">
        <v>60</v>
      </c>
      <c r="D144" s="16" t="s">
        <v>823</v>
      </c>
      <c r="E144" s="16" t="s">
        <v>396</v>
      </c>
      <c r="F144" s="16" t="s">
        <v>824</v>
      </c>
      <c r="G144" s="17">
        <f t="shared" ref="G144:G168" si="83">H144*2.4711</f>
        <v>76.851209999999995</v>
      </c>
      <c r="H144" s="17">
        <v>31.1</v>
      </c>
      <c r="I144" s="18">
        <f>IF(J144="","",J144*2.4711)</f>
        <v>1235.55</v>
      </c>
      <c r="J144" s="18">
        <v>500</v>
      </c>
      <c r="K144" s="19">
        <f t="shared" si="79"/>
        <v>16.077170418006432</v>
      </c>
      <c r="L144" s="19">
        <v>80</v>
      </c>
      <c r="M144" s="19">
        <v>24.4</v>
      </c>
      <c r="N144" s="20">
        <f>IF(O144="", "",O144*3.2808)</f>
        <v>37.073040000000006</v>
      </c>
      <c r="O144" s="19">
        <v>11.3</v>
      </c>
      <c r="P144" s="21" t="str">
        <f t="shared" si="80"/>
        <v>no</v>
      </c>
      <c r="Q144" s="22">
        <v>0.87857500000000011</v>
      </c>
      <c r="R144" s="18" t="s">
        <v>825</v>
      </c>
      <c r="S144" s="23">
        <v>43.089283780000002</v>
      </c>
      <c r="T144" s="23">
        <v>-73.374312779999997</v>
      </c>
      <c r="U144" s="18" t="s">
        <v>77</v>
      </c>
      <c r="V144" s="18"/>
      <c r="W144" t="str">
        <f t="shared" si="82"/>
        <v>no</v>
      </c>
      <c r="X144" t="s">
        <v>826</v>
      </c>
      <c r="Y144" t="str">
        <f t="shared" si="66"/>
        <v>recreation and public bathing</v>
      </c>
      <c r="Z144" t="s">
        <v>79</v>
      </c>
      <c r="AA144" s="45" t="s">
        <v>827</v>
      </c>
      <c r="AB144" s="40" t="s">
        <v>79</v>
      </c>
      <c r="AC144" s="24">
        <f>IF(AND(AA144="none reported",AB144="none reported"),"",0)</f>
        <v>0</v>
      </c>
      <c r="AD144" s="24"/>
      <c r="AF144" t="str">
        <f t="shared" si="81"/>
        <v/>
      </c>
      <c r="AG144" s="26" t="s">
        <v>81</v>
      </c>
      <c r="AH144" s="27" t="s">
        <v>82</v>
      </c>
      <c r="AI144" s="28" t="s">
        <v>83</v>
      </c>
      <c r="AJ144" s="29" t="s">
        <v>83</v>
      </c>
      <c r="AK144" s="30" t="s">
        <v>85</v>
      </c>
      <c r="AL144" s="31" t="s">
        <v>84</v>
      </c>
      <c r="AM144" s="32" t="s">
        <v>82</v>
      </c>
      <c r="AN144" s="33" t="s">
        <v>81</v>
      </c>
      <c r="AO144" s="32" t="s">
        <v>81</v>
      </c>
      <c r="AP144" s="39"/>
      <c r="AQ144">
        <v>0</v>
      </c>
      <c r="AR144">
        <v>0</v>
      </c>
      <c r="AS144">
        <v>0</v>
      </c>
      <c r="AT144">
        <v>0</v>
      </c>
      <c r="AU144">
        <v>0</v>
      </c>
      <c r="AV144">
        <v>0</v>
      </c>
      <c r="AW144">
        <v>0</v>
      </c>
      <c r="AX144">
        <v>0</v>
      </c>
      <c r="AZ144" t="s">
        <v>828</v>
      </c>
      <c r="BD144" t="s">
        <v>88</v>
      </c>
      <c r="BE144" t="s">
        <v>89</v>
      </c>
      <c r="BF144" t="s">
        <v>143</v>
      </c>
      <c r="BG144" t="str">
        <f t="shared" ref="BG144:BG185" si="84">IF(C144="","LCI","CSLAP")</f>
        <v>CSLAP</v>
      </c>
      <c r="BH144" s="14" t="str">
        <f>IF(RIGHT(CM144,4)="2011","yes","no")</f>
        <v>no</v>
      </c>
      <c r="BJ144">
        <f t="shared" ref="BJ144:BJ168" si="85">IF(MAX(AT144:AX144)=0,0,IF(MAX(AT144:AX144)=1,1,LEN(AE144)-LEN(SUBSTITUTE(UPPER(AE144),",",""))+1))</f>
        <v>0</v>
      </c>
      <c r="BK144">
        <f t="shared" ref="BK144:BK168" si="86">IF(BJ144&gt;1,2,IF(BJ144&gt;0,1,0))</f>
        <v>0</v>
      </c>
      <c r="BL144">
        <f t="shared" ref="BL144:BL168" si="87">IF(BJ144&gt;2,3,IF(BJ144&gt;2,2,IF(BJ144&gt;1,1,0)))</f>
        <v>0</v>
      </c>
      <c r="BM144" t="str">
        <f t="shared" ref="BM144:BM168" si="88">IF(C144="","LCI","CSLAP")</f>
        <v>CSLAP</v>
      </c>
      <c r="BN144" t="str">
        <f t="shared" ref="BN144:BN168" si="89">IF(LEFT(AB144,13)="zebra mussels","yes","no")</f>
        <v>no</v>
      </c>
      <c r="BO144">
        <v>0.8</v>
      </c>
      <c r="BW144" t="s">
        <v>829</v>
      </c>
    </row>
    <row r="145" spans="1:77" x14ac:dyDescent="0.3">
      <c r="A145" t="s">
        <v>1603</v>
      </c>
      <c r="B145" t="s">
        <v>1885</v>
      </c>
      <c r="C145" s="16">
        <v>102</v>
      </c>
      <c r="D145" s="16" t="s">
        <v>830</v>
      </c>
      <c r="E145" s="16" t="s">
        <v>183</v>
      </c>
      <c r="F145" s="16" t="s">
        <v>831</v>
      </c>
      <c r="G145" s="17">
        <f t="shared" si="83"/>
        <v>19.274579999999997</v>
      </c>
      <c r="H145" s="17">
        <v>7.8</v>
      </c>
      <c r="I145" s="18">
        <f>IF(J145="","",J145*2.4711)</f>
        <v>323.71409999999997</v>
      </c>
      <c r="J145" s="18">
        <v>131</v>
      </c>
      <c r="K145" s="19">
        <f t="shared" si="79"/>
        <v>16.794871794871796</v>
      </c>
      <c r="L145" s="19">
        <v>11.482800000000001</v>
      </c>
      <c r="M145" s="19">
        <v>3.5</v>
      </c>
      <c r="N145" s="20">
        <f>IF(O145="", "",O145*3.2808)</f>
        <v>6.4894224000000005</v>
      </c>
      <c r="O145" s="19">
        <v>1.978</v>
      </c>
      <c r="P145" s="21" t="str">
        <f t="shared" si="80"/>
        <v>no</v>
      </c>
      <c r="Q145" s="22">
        <v>0.18542345770992366</v>
      </c>
      <c r="R145" s="18" t="s">
        <v>2183</v>
      </c>
      <c r="S145" s="23">
        <v>41.34137587</v>
      </c>
      <c r="T145" s="23">
        <v>-73.725603930000005</v>
      </c>
      <c r="U145" s="18" t="s">
        <v>77</v>
      </c>
      <c r="V145" s="18" t="s">
        <v>78</v>
      </c>
      <c r="W145" t="str">
        <f t="shared" si="82"/>
        <v>no</v>
      </c>
      <c r="X145" t="s">
        <v>832</v>
      </c>
      <c r="Y145" t="str">
        <f t="shared" si="66"/>
        <v>recreation and public bathing</v>
      </c>
      <c r="Z145" t="s">
        <v>79</v>
      </c>
      <c r="AA145" s="40" t="s">
        <v>833</v>
      </c>
      <c r="AB145" s="40" t="s">
        <v>79</v>
      </c>
      <c r="AC145" s="24">
        <f>IF(AND(AA145="none reported",AB145="none reported"),"",0)</f>
        <v>0</v>
      </c>
      <c r="AD145" s="24"/>
      <c r="AE145" s="25" t="s">
        <v>724</v>
      </c>
      <c r="AF145" t="str">
        <f t="shared" si="81"/>
        <v>yes</v>
      </c>
      <c r="AG145" s="26" t="s">
        <v>81</v>
      </c>
      <c r="AH145" s="27" t="s">
        <v>83</v>
      </c>
      <c r="AI145" s="28" t="s">
        <v>141</v>
      </c>
      <c r="AJ145" s="29" t="s">
        <v>83</v>
      </c>
      <c r="AK145" s="30" t="s">
        <v>121</v>
      </c>
      <c r="AL145" s="16" t="s">
        <v>85</v>
      </c>
      <c r="AM145" s="32" t="s">
        <v>82</v>
      </c>
      <c r="AN145" s="39">
        <v>43632</v>
      </c>
      <c r="AO145" s="39">
        <v>43730</v>
      </c>
      <c r="AP145" s="39"/>
      <c r="AQ145">
        <v>2</v>
      </c>
      <c r="AR145">
        <v>2</v>
      </c>
      <c r="AS145">
        <v>0</v>
      </c>
      <c r="AT145">
        <v>4</v>
      </c>
      <c r="AU145">
        <v>3</v>
      </c>
      <c r="AV145">
        <v>3</v>
      </c>
      <c r="AW145">
        <v>8</v>
      </c>
      <c r="AX145">
        <v>0</v>
      </c>
      <c r="AY145" t="s">
        <v>694</v>
      </c>
      <c r="AZ145" t="s">
        <v>834</v>
      </c>
      <c r="BA145" t="s">
        <v>102</v>
      </c>
      <c r="BB145" t="s">
        <v>2184</v>
      </c>
      <c r="BC145" t="s">
        <v>103</v>
      </c>
      <c r="BD145" t="s">
        <v>152</v>
      </c>
      <c r="BE145" t="s">
        <v>159</v>
      </c>
      <c r="BF145" t="s">
        <v>160</v>
      </c>
      <c r="BG145" t="str">
        <f t="shared" si="84"/>
        <v>CSLAP</v>
      </c>
      <c r="BH145" s="14" t="s">
        <v>102</v>
      </c>
      <c r="BJ145">
        <f t="shared" si="85"/>
        <v>5</v>
      </c>
      <c r="BK145">
        <f t="shared" si="86"/>
        <v>2</v>
      </c>
      <c r="BL145">
        <f t="shared" si="87"/>
        <v>3</v>
      </c>
      <c r="BM145" t="str">
        <f t="shared" si="88"/>
        <v>CSLAP</v>
      </c>
      <c r="BN145" t="str">
        <f t="shared" si="89"/>
        <v>no</v>
      </c>
      <c r="BO145">
        <v>0.63516260162601623</v>
      </c>
    </row>
    <row r="146" spans="1:77" x14ac:dyDescent="0.3">
      <c r="A146" t="s">
        <v>1604</v>
      </c>
      <c r="B146" t="s">
        <v>1886</v>
      </c>
      <c r="C146" s="16">
        <v>1</v>
      </c>
      <c r="D146" s="16" t="s">
        <v>835</v>
      </c>
      <c r="E146" s="16" t="s">
        <v>836</v>
      </c>
      <c r="F146" s="16" t="s">
        <v>837</v>
      </c>
      <c r="G146" s="17">
        <f t="shared" si="83"/>
        <v>12.84972</v>
      </c>
      <c r="H146" s="17">
        <v>5.2</v>
      </c>
      <c r="I146" s="18">
        <f t="shared" ref="I146:I152" si="90">IF(J146="","",J146*2.4711)</f>
        <v>2695.9701</v>
      </c>
      <c r="J146" s="18">
        <v>1091</v>
      </c>
      <c r="K146" s="19">
        <f t="shared" si="79"/>
        <v>209.80769230769229</v>
      </c>
      <c r="L146" s="19">
        <f>3.28*M146</f>
        <v>9.84</v>
      </c>
      <c r="M146" s="19">
        <v>3</v>
      </c>
      <c r="N146" s="20">
        <f>IF(O146="", "",O146*3.2808)</f>
        <v>3.93696</v>
      </c>
      <c r="O146" s="19">
        <v>1.2</v>
      </c>
      <c r="P146" s="21" t="str">
        <f t="shared" si="80"/>
        <v>no</v>
      </c>
      <c r="Q146" s="22">
        <v>1.125602199816682E-2</v>
      </c>
      <c r="R146" s="18" t="s">
        <v>2192</v>
      </c>
      <c r="S146" s="23">
        <v>41.183701020000001</v>
      </c>
      <c r="T146" s="23">
        <v>-73.997525179999997</v>
      </c>
      <c r="U146" s="18" t="s">
        <v>77</v>
      </c>
      <c r="V146" s="18" t="s">
        <v>78</v>
      </c>
      <c r="W146" t="str">
        <f t="shared" si="82"/>
        <v>no</v>
      </c>
      <c r="Y146" t="str">
        <f t="shared" si="66"/>
        <v>recreation</v>
      </c>
      <c r="Z146" t="s">
        <v>79</v>
      </c>
      <c r="AA146" s="40" t="s">
        <v>79</v>
      </c>
      <c r="AB146" s="40" t="s">
        <v>79</v>
      </c>
      <c r="AC146" s="35">
        <v>4.0965605218625072</v>
      </c>
      <c r="AD146" s="35" t="s">
        <v>838</v>
      </c>
      <c r="AE146" s="25">
        <v>2019</v>
      </c>
      <c r="AF146" t="str">
        <f t="shared" si="81"/>
        <v>no</v>
      </c>
      <c r="AG146" s="26" t="s">
        <v>81</v>
      </c>
      <c r="AH146" s="27" t="s">
        <v>83</v>
      </c>
      <c r="AI146" s="28" t="s">
        <v>83</v>
      </c>
      <c r="AJ146" s="29" t="s">
        <v>82</v>
      </c>
      <c r="AK146" s="30" t="s">
        <v>121</v>
      </c>
      <c r="AL146" s="31" t="s">
        <v>156</v>
      </c>
      <c r="AM146" s="32" t="s">
        <v>82</v>
      </c>
      <c r="AN146" s="39">
        <v>43723</v>
      </c>
      <c r="AO146" s="39">
        <v>43723</v>
      </c>
      <c r="AP146" s="39"/>
      <c r="AQ146">
        <v>2</v>
      </c>
      <c r="AR146">
        <v>1</v>
      </c>
      <c r="AS146">
        <v>0</v>
      </c>
      <c r="AT146">
        <v>0</v>
      </c>
      <c r="AU146">
        <v>0</v>
      </c>
      <c r="AV146">
        <v>0</v>
      </c>
      <c r="AW146">
        <v>1</v>
      </c>
      <c r="AX146">
        <v>1</v>
      </c>
      <c r="AZ146" t="s">
        <v>839</v>
      </c>
      <c r="BA146" t="s">
        <v>102</v>
      </c>
      <c r="BB146" t="s">
        <v>840</v>
      </c>
      <c r="BC146" t="s">
        <v>103</v>
      </c>
      <c r="BD146" t="s">
        <v>152</v>
      </c>
      <c r="BE146" t="s">
        <v>105</v>
      </c>
      <c r="BF146" t="s">
        <v>160</v>
      </c>
      <c r="BG146" t="str">
        <f t="shared" si="84"/>
        <v>CSLAP</v>
      </c>
      <c r="BH146" s="14" t="s">
        <v>102</v>
      </c>
      <c r="BJ146">
        <f t="shared" si="85"/>
        <v>1</v>
      </c>
      <c r="BK146">
        <f t="shared" si="86"/>
        <v>1</v>
      </c>
      <c r="BL146">
        <f t="shared" si="87"/>
        <v>0</v>
      </c>
      <c r="BM146" t="str">
        <f t="shared" si="88"/>
        <v>CSLAP</v>
      </c>
      <c r="BN146" t="str">
        <f t="shared" si="89"/>
        <v>no</v>
      </c>
      <c r="BO146">
        <v>0.50813008130081305</v>
      </c>
      <c r="BY146" t="s">
        <v>841</v>
      </c>
    </row>
    <row r="147" spans="1:77" x14ac:dyDescent="0.3">
      <c r="A147" t="s">
        <v>1605</v>
      </c>
      <c r="B147" t="s">
        <v>1887</v>
      </c>
      <c r="C147" s="16">
        <v>158</v>
      </c>
      <c r="D147" s="16" t="s">
        <v>535</v>
      </c>
      <c r="E147" s="16" t="s">
        <v>254</v>
      </c>
      <c r="F147" s="16" t="s">
        <v>535</v>
      </c>
      <c r="G147" s="17">
        <f t="shared" si="83"/>
        <v>96.125789999999995</v>
      </c>
      <c r="H147" s="17">
        <v>38.9</v>
      </c>
      <c r="I147" s="18">
        <f t="shared" si="90"/>
        <v>14109.981</v>
      </c>
      <c r="J147" s="18">
        <v>5710</v>
      </c>
      <c r="K147" s="19">
        <f t="shared" si="79"/>
        <v>146.7866323907455</v>
      </c>
      <c r="L147" s="19">
        <v>52</v>
      </c>
      <c r="M147" s="19">
        <v>15.8</v>
      </c>
      <c r="N147" s="20">
        <v>24</v>
      </c>
      <c r="O147" s="19">
        <v>7.3</v>
      </c>
      <c r="P147" s="21" t="str">
        <f t="shared" si="80"/>
        <v>no</v>
      </c>
      <c r="Q147" s="22">
        <v>9.9464098073555163E-2</v>
      </c>
      <c r="R147" s="18" t="s">
        <v>2193</v>
      </c>
      <c r="S147" s="23">
        <v>43.322812509999999</v>
      </c>
      <c r="T147" s="23">
        <v>-73.832495140000006</v>
      </c>
      <c r="U147" s="18" t="s">
        <v>77</v>
      </c>
      <c r="V147" s="18" t="s">
        <v>77</v>
      </c>
      <c r="W147" t="str">
        <f t="shared" si="82"/>
        <v>no</v>
      </c>
      <c r="X147" s="66" t="s">
        <v>842</v>
      </c>
      <c r="Y147" t="str">
        <f t="shared" si="66"/>
        <v>recreation and public bathing</v>
      </c>
      <c r="Z147" t="s">
        <v>79</v>
      </c>
      <c r="AA147" s="40" t="s">
        <v>209</v>
      </c>
      <c r="AB147" s="40" t="s">
        <v>79</v>
      </c>
      <c r="AC147" s="24">
        <f>IF(AND(AA147="none reported",AB147="none reported"),"",0)</f>
        <v>0</v>
      </c>
      <c r="AD147" s="24"/>
      <c r="AF147" t="str">
        <f t="shared" si="81"/>
        <v/>
      </c>
      <c r="AG147" s="26" t="s">
        <v>81</v>
      </c>
      <c r="AH147" s="27" t="s">
        <v>82</v>
      </c>
      <c r="AI147" s="28" t="s">
        <v>257</v>
      </c>
      <c r="AJ147" s="29" t="s">
        <v>82</v>
      </c>
      <c r="AK147" s="30" t="s">
        <v>85</v>
      </c>
      <c r="AL147" s="31" t="s">
        <v>84</v>
      </c>
      <c r="AM147" s="32" t="s">
        <v>82</v>
      </c>
      <c r="AN147" s="33" t="s">
        <v>81</v>
      </c>
      <c r="AO147" s="32" t="s">
        <v>81</v>
      </c>
      <c r="AP147" s="39"/>
      <c r="AQ147">
        <v>0</v>
      </c>
      <c r="AR147">
        <v>0</v>
      </c>
      <c r="AS147">
        <v>0</v>
      </c>
      <c r="AT147">
        <v>0</v>
      </c>
      <c r="AU147">
        <v>0</v>
      </c>
      <c r="AV147">
        <v>0</v>
      </c>
      <c r="AW147">
        <v>0</v>
      </c>
      <c r="AX147">
        <v>0</v>
      </c>
      <c r="AY147" t="s">
        <v>694</v>
      </c>
      <c r="AZ147" t="s">
        <v>843</v>
      </c>
      <c r="BB147" t="s">
        <v>2194</v>
      </c>
      <c r="BD147" t="s">
        <v>88</v>
      </c>
      <c r="BE147" t="s">
        <v>89</v>
      </c>
      <c r="BF147" t="s">
        <v>89</v>
      </c>
      <c r="BG147" t="str">
        <f t="shared" si="84"/>
        <v>CSLAP</v>
      </c>
      <c r="BH147" s="14" t="str">
        <f>IF(RIGHT(CM147,4)="2011","yes","no")</f>
        <v>no</v>
      </c>
      <c r="BJ147">
        <f t="shared" si="85"/>
        <v>0</v>
      </c>
      <c r="BK147">
        <f t="shared" si="86"/>
        <v>0</v>
      </c>
      <c r="BL147">
        <f t="shared" si="87"/>
        <v>0</v>
      </c>
      <c r="BM147" t="str">
        <f t="shared" si="88"/>
        <v>CSLAP</v>
      </c>
      <c r="BN147" t="str">
        <f t="shared" si="89"/>
        <v>no</v>
      </c>
      <c r="BO147">
        <v>0.5</v>
      </c>
      <c r="BW147" t="s">
        <v>844</v>
      </c>
    </row>
    <row r="148" spans="1:77" x14ac:dyDescent="0.3">
      <c r="A148" t="s">
        <v>1888</v>
      </c>
      <c r="B148" t="s">
        <v>1889</v>
      </c>
      <c r="C148" s="16">
        <v>3</v>
      </c>
      <c r="D148" s="16" t="s">
        <v>845</v>
      </c>
      <c r="E148" s="16" t="s">
        <v>147</v>
      </c>
      <c r="F148" s="16" t="s">
        <v>846</v>
      </c>
      <c r="G148" s="17">
        <f t="shared" si="83"/>
        <v>582.43826999999999</v>
      </c>
      <c r="H148" s="17">
        <v>235.7</v>
      </c>
      <c r="I148" s="18">
        <f t="shared" si="90"/>
        <v>1200.9546</v>
      </c>
      <c r="J148" s="18">
        <v>486</v>
      </c>
      <c r="K148" s="19">
        <f t="shared" si="79"/>
        <v>2.06194314806958</v>
      </c>
      <c r="L148" s="19">
        <v>66.900000000000006</v>
      </c>
      <c r="M148" s="19">
        <v>20.399999999999999</v>
      </c>
      <c r="N148" s="20">
        <f t="shared" ref="N148:N154" si="91">IF(O148="", "",O148*3.2808)</f>
        <v>28.542960000000001</v>
      </c>
      <c r="O148" s="19">
        <v>8.6999999999999993</v>
      </c>
      <c r="P148" s="21" t="str">
        <f t="shared" si="80"/>
        <v>no</v>
      </c>
      <c r="Q148" s="22">
        <v>6.71</v>
      </c>
      <c r="R148" s="18" t="s">
        <v>847</v>
      </c>
      <c r="S148" s="23">
        <v>41.381283009999997</v>
      </c>
      <c r="T148" s="23">
        <v>-73.740165309999995</v>
      </c>
      <c r="U148" s="18" t="s">
        <v>96</v>
      </c>
      <c r="V148" s="18" t="s">
        <v>77</v>
      </c>
      <c r="W148" t="str">
        <f t="shared" si="82"/>
        <v>yes</v>
      </c>
      <c r="X148" t="s">
        <v>848</v>
      </c>
      <c r="Y148" t="str">
        <f t="shared" si="66"/>
        <v>potable water, recreation, and public bathing</v>
      </c>
      <c r="Z148" t="s">
        <v>79</v>
      </c>
      <c r="AA148" s="40" t="s">
        <v>120</v>
      </c>
      <c r="AB148" s="40" t="s">
        <v>139</v>
      </c>
      <c r="AC148" s="24">
        <f>IF(AND(AA148="none reported",AB148="none reported"),"",0)</f>
        <v>0</v>
      </c>
      <c r="AD148" s="24"/>
      <c r="AF148" t="str">
        <f t="shared" si="81"/>
        <v/>
      </c>
      <c r="AG148" s="26" t="s">
        <v>81</v>
      </c>
      <c r="AH148" s="27" t="s">
        <v>82</v>
      </c>
      <c r="AI148" s="28" t="s">
        <v>82</v>
      </c>
      <c r="AJ148" s="29" t="s">
        <v>82</v>
      </c>
      <c r="AK148" s="30" t="s">
        <v>85</v>
      </c>
      <c r="AL148" s="31" t="s">
        <v>85</v>
      </c>
      <c r="AM148" s="32" t="s">
        <v>82</v>
      </c>
      <c r="AN148" s="33" t="s">
        <v>81</v>
      </c>
      <c r="AO148" s="32" t="s">
        <v>81</v>
      </c>
      <c r="AP148" s="39"/>
      <c r="AQ148">
        <v>5</v>
      </c>
      <c r="AR148">
        <v>2</v>
      </c>
      <c r="AS148">
        <v>0</v>
      </c>
      <c r="AT148">
        <v>0</v>
      </c>
      <c r="AU148">
        <v>0</v>
      </c>
      <c r="AV148">
        <v>0</v>
      </c>
      <c r="AW148">
        <v>0</v>
      </c>
      <c r="AX148">
        <v>0</v>
      </c>
      <c r="AZ148" t="s">
        <v>849</v>
      </c>
      <c r="BD148" t="s">
        <v>152</v>
      </c>
      <c r="BF148" t="s">
        <v>160</v>
      </c>
      <c r="BG148" t="str">
        <f t="shared" si="84"/>
        <v>CSLAP</v>
      </c>
      <c r="BH148" s="14" t="str">
        <f>IF(RIGHT(CM148,4)="2011","yes","no")</f>
        <v>no</v>
      </c>
      <c r="BJ148">
        <f t="shared" si="85"/>
        <v>0</v>
      </c>
      <c r="BK148">
        <f t="shared" si="86"/>
        <v>0</v>
      </c>
      <c r="BL148">
        <f t="shared" si="87"/>
        <v>0</v>
      </c>
      <c r="BM148" t="str">
        <f t="shared" si="88"/>
        <v>CSLAP</v>
      </c>
      <c r="BN148" t="str">
        <f t="shared" si="89"/>
        <v>yes</v>
      </c>
      <c r="BO148">
        <v>0.62881087744475717</v>
      </c>
      <c r="BS148" s="41">
        <f>12/1</f>
        <v>12</v>
      </c>
      <c r="BV148" t="s">
        <v>86</v>
      </c>
    </row>
    <row r="149" spans="1:77" x14ac:dyDescent="0.3">
      <c r="A149" t="s">
        <v>1890</v>
      </c>
      <c r="B149" t="s">
        <v>1891</v>
      </c>
      <c r="C149" s="16">
        <v>159</v>
      </c>
      <c r="D149" s="16" t="s">
        <v>850</v>
      </c>
      <c r="E149" s="16" t="s">
        <v>183</v>
      </c>
      <c r="F149" s="16" t="s">
        <v>851</v>
      </c>
      <c r="G149" s="17">
        <f t="shared" si="83"/>
        <v>91.430700000000002</v>
      </c>
      <c r="H149" s="17">
        <v>37</v>
      </c>
      <c r="I149" s="18">
        <f t="shared" si="90"/>
        <v>716.12477999999999</v>
      </c>
      <c r="J149" s="18">
        <v>289.8</v>
      </c>
      <c r="K149" s="19">
        <f t="shared" si="79"/>
        <v>7.8324324324324328</v>
      </c>
      <c r="L149" s="19" t="s">
        <v>110</v>
      </c>
      <c r="M149" s="19"/>
      <c r="N149" s="20">
        <f t="shared" si="91"/>
        <v>2.6246400000000003</v>
      </c>
      <c r="O149" s="19">
        <v>0.8</v>
      </c>
      <c r="P149" s="21" t="str">
        <f t="shared" si="80"/>
        <v>no</v>
      </c>
      <c r="Q149" s="22">
        <v>0.16744164997906982</v>
      </c>
      <c r="R149" s="18" t="s">
        <v>852</v>
      </c>
      <c r="S149" s="23">
        <v>41.253789589999997</v>
      </c>
      <c r="T149" s="23">
        <v>-73.950409590000007</v>
      </c>
      <c r="U149" s="18" t="s">
        <v>78</v>
      </c>
      <c r="V149" s="18"/>
      <c r="W149" t="str">
        <f t="shared" si="82"/>
        <v>no</v>
      </c>
      <c r="Y149" t="str">
        <f t="shared" si="66"/>
        <v>recreation</v>
      </c>
      <c r="Z149" t="s">
        <v>79</v>
      </c>
      <c r="AA149" s="40" t="s">
        <v>79</v>
      </c>
      <c r="AB149" s="40" t="s">
        <v>79</v>
      </c>
      <c r="AC149" s="35">
        <v>4.3345510559013807</v>
      </c>
      <c r="AD149" s="35" t="s">
        <v>853</v>
      </c>
      <c r="AF149" t="str">
        <f t="shared" si="81"/>
        <v/>
      </c>
      <c r="AG149" s="26" t="s">
        <v>81</v>
      </c>
      <c r="AH149" s="27" t="s">
        <v>81</v>
      </c>
      <c r="AI149" s="28" t="s">
        <v>141</v>
      </c>
      <c r="AJ149" s="29" t="s">
        <v>83</v>
      </c>
      <c r="AK149" s="30" t="s">
        <v>121</v>
      </c>
      <c r="AL149" s="31" t="s">
        <v>84</v>
      </c>
      <c r="AM149" s="32" t="s">
        <v>82</v>
      </c>
      <c r="AN149" s="33" t="s">
        <v>81</v>
      </c>
      <c r="AO149" s="32" t="s">
        <v>81</v>
      </c>
      <c r="AP149" s="39"/>
      <c r="AQ149">
        <v>0</v>
      </c>
      <c r="AR149">
        <v>0</v>
      </c>
      <c r="AS149">
        <v>0</v>
      </c>
      <c r="AT149">
        <v>0</v>
      </c>
      <c r="AU149">
        <v>0</v>
      </c>
      <c r="AV149">
        <v>0</v>
      </c>
      <c r="AW149">
        <v>0</v>
      </c>
      <c r="AX149">
        <v>0</v>
      </c>
      <c r="BD149" t="s">
        <v>152</v>
      </c>
      <c r="BF149" t="s">
        <v>160</v>
      </c>
      <c r="BG149" t="str">
        <f t="shared" si="84"/>
        <v>CSLAP</v>
      </c>
      <c r="BH149" s="14" t="str">
        <f>IF(RIGHT(CM149,4)="2011","yes","no")</f>
        <v>no</v>
      </c>
      <c r="BJ149">
        <f t="shared" si="85"/>
        <v>0</v>
      </c>
      <c r="BK149">
        <f t="shared" si="86"/>
        <v>0</v>
      </c>
      <c r="BL149">
        <f t="shared" si="87"/>
        <v>0</v>
      </c>
      <c r="BM149" t="str">
        <f t="shared" si="88"/>
        <v>CSLAP</v>
      </c>
      <c r="BN149" t="str">
        <f t="shared" si="89"/>
        <v>no</v>
      </c>
      <c r="BO149">
        <v>0.61</v>
      </c>
      <c r="BY149" t="s">
        <v>854</v>
      </c>
    </row>
    <row r="150" spans="1:77" x14ac:dyDescent="0.3">
      <c r="A150" t="s">
        <v>1606</v>
      </c>
      <c r="B150" t="s">
        <v>1892</v>
      </c>
      <c r="C150" s="16">
        <v>150</v>
      </c>
      <c r="D150" s="16" t="s">
        <v>855</v>
      </c>
      <c r="E150" s="16" t="s">
        <v>183</v>
      </c>
      <c r="F150" s="16" t="s">
        <v>856</v>
      </c>
      <c r="G150" s="17">
        <f>H150*2.4711</f>
        <v>102.30353999999998</v>
      </c>
      <c r="H150" s="17">
        <v>41.4</v>
      </c>
      <c r="I150" s="18">
        <f>IF(J150="","",J150*2.4711)</f>
        <v>647.42819999999995</v>
      </c>
      <c r="J150" s="18">
        <v>262</v>
      </c>
      <c r="K150" s="19">
        <f>J150/H150</f>
        <v>6.3285024154589378</v>
      </c>
      <c r="L150" s="19">
        <v>16.075920000000004</v>
      </c>
      <c r="M150" s="19">
        <v>4.9000000000000004</v>
      </c>
      <c r="N150" s="20">
        <f t="shared" si="91"/>
        <v>7.87392</v>
      </c>
      <c r="O150" s="19">
        <v>2.4</v>
      </c>
      <c r="P150" s="21" t="str">
        <f>IF(O150=(M150*0.46),"yes","no")</f>
        <v>no</v>
      </c>
      <c r="Q150" s="22">
        <v>0.62169941183831812</v>
      </c>
      <c r="R150" s="18" t="s">
        <v>2200</v>
      </c>
      <c r="S150" s="23">
        <v>41.314592099999999</v>
      </c>
      <c r="T150" s="23">
        <v>-73.850529109999997</v>
      </c>
      <c r="U150" s="18" t="s">
        <v>77</v>
      </c>
      <c r="V150" s="18" t="s">
        <v>96</v>
      </c>
      <c r="W150" t="str">
        <f>IF(OR(U150="A",U150="AA",U150="AAspec",U150="A(T)",U150="AA(T)"),"yes","no")</f>
        <v>no</v>
      </c>
      <c r="X150" t="s">
        <v>857</v>
      </c>
      <c r="Y150" t="str">
        <f>IF(W150="yes",IF(X150="","potable water and recreation","potable water, recreation, and public bathing"),IF(X150="","recreation","recreation and public bathing"))</f>
        <v>recreation and public bathing</v>
      </c>
      <c r="Z150" t="s">
        <v>79</v>
      </c>
      <c r="AA150" s="24" t="s">
        <v>120</v>
      </c>
      <c r="AB150" s="24" t="s">
        <v>79</v>
      </c>
      <c r="AC150" s="24">
        <f>IF(AND(AA150="none reported",AB150="none reported"),"",0)</f>
        <v>0</v>
      </c>
      <c r="AD150" s="24"/>
      <c r="AE150" s="25" t="s">
        <v>179</v>
      </c>
      <c r="AF150" t="str">
        <f>IF(AE150="","",IF(IFERROR(SEARCH(",",AE150,1)&gt;1,0),"yes","no"))</f>
        <v>yes</v>
      </c>
      <c r="AG150" s="26" t="s">
        <v>81</v>
      </c>
      <c r="AH150" s="27" t="s">
        <v>83</v>
      </c>
      <c r="AI150" s="28" t="s">
        <v>141</v>
      </c>
      <c r="AJ150" s="29" t="s">
        <v>83</v>
      </c>
      <c r="AK150" s="30" t="s">
        <v>121</v>
      </c>
      <c r="AL150" s="31" t="s">
        <v>84</v>
      </c>
      <c r="AM150" s="32" t="s">
        <v>82</v>
      </c>
      <c r="AN150" s="39">
        <v>43625</v>
      </c>
      <c r="AO150" s="39">
        <v>43682</v>
      </c>
      <c r="AP150" s="39"/>
      <c r="AQ150">
        <v>17</v>
      </c>
      <c r="AR150">
        <v>6</v>
      </c>
      <c r="AS150">
        <v>5</v>
      </c>
      <c r="AT150">
        <v>0</v>
      </c>
      <c r="AU150">
        <v>2</v>
      </c>
      <c r="AV150">
        <v>10</v>
      </c>
      <c r="AW150">
        <v>3</v>
      </c>
      <c r="AX150">
        <v>4</v>
      </c>
      <c r="AY150" t="s">
        <v>505</v>
      </c>
      <c r="AZ150" t="s">
        <v>858</v>
      </c>
      <c r="BA150" t="s">
        <v>102</v>
      </c>
      <c r="BB150" t="s">
        <v>2201</v>
      </c>
      <c r="BC150" t="s">
        <v>103</v>
      </c>
      <c r="BD150" t="s">
        <v>152</v>
      </c>
      <c r="BE150" t="s">
        <v>159</v>
      </c>
      <c r="BF150" t="s">
        <v>160</v>
      </c>
      <c r="BG150" t="str">
        <f>IF(C150="","LCI","CSLAP")</f>
        <v>CSLAP</v>
      </c>
      <c r="BH150" s="14" t="s">
        <v>99</v>
      </c>
      <c r="BJ150">
        <f>IF(MAX(AT150:AX150)=0,0,IF(MAX(AT150:AX150)=1,1,LEN(AE150)-LEN(SUBSTITUTE(UPPER(AE150),",",""))+1))</f>
        <v>6</v>
      </c>
      <c r="BK150">
        <f>IF(BJ150&gt;1,2,IF(BJ150&gt;0,1,0))</f>
        <v>2</v>
      </c>
      <c r="BL150">
        <f>IF(BJ150&gt;2,3,IF(BJ150&gt;2,2,IF(BJ150&gt;1,1,0)))</f>
        <v>3</v>
      </c>
      <c r="BM150" t="str">
        <f>IF(C150="","LCI","CSLAP")</f>
        <v>CSLAP</v>
      </c>
      <c r="BN150" t="str">
        <f>IF(LEFT(AB150,13)="zebra mussels","yes","no")</f>
        <v>no</v>
      </c>
      <c r="BO150">
        <v>0.61</v>
      </c>
      <c r="BS150" s="41">
        <f>(20+0)/2</f>
        <v>10</v>
      </c>
      <c r="BU150" t="s">
        <v>859</v>
      </c>
    </row>
    <row r="151" spans="1:77" x14ac:dyDescent="0.3">
      <c r="A151" t="s">
        <v>1608</v>
      </c>
      <c r="B151" t="s">
        <v>1893</v>
      </c>
      <c r="C151" s="16">
        <v>18</v>
      </c>
      <c r="D151" s="16" t="s">
        <v>860</v>
      </c>
      <c r="E151" s="16" t="s">
        <v>243</v>
      </c>
      <c r="F151" s="16" t="s">
        <v>74</v>
      </c>
      <c r="G151" s="17">
        <f t="shared" si="83"/>
        <v>249.58109999999999</v>
      </c>
      <c r="H151" s="17">
        <v>101</v>
      </c>
      <c r="I151" s="18">
        <f t="shared" si="90"/>
        <v>5221.4342999999999</v>
      </c>
      <c r="J151" s="18">
        <v>2113</v>
      </c>
      <c r="K151" s="19">
        <f t="shared" si="79"/>
        <v>20.920792079207921</v>
      </c>
      <c r="L151" s="19">
        <v>42.650400000000005</v>
      </c>
      <c r="M151" s="19">
        <v>13</v>
      </c>
      <c r="N151" s="20">
        <f t="shared" si="91"/>
        <v>18.0444</v>
      </c>
      <c r="O151" s="19">
        <v>5.5</v>
      </c>
      <c r="P151" s="21" t="str">
        <f t="shared" si="80"/>
        <v>no</v>
      </c>
      <c r="Q151" s="22">
        <v>0.65724088973024131</v>
      </c>
      <c r="R151" s="18" t="s">
        <v>2204</v>
      </c>
      <c r="S151" s="23">
        <v>42.85575841</v>
      </c>
      <c r="T151" s="23">
        <v>-75.517344230000006</v>
      </c>
      <c r="U151" s="18" t="s">
        <v>77</v>
      </c>
      <c r="V151" s="18" t="s">
        <v>78</v>
      </c>
      <c r="W151" t="str">
        <f t="shared" si="82"/>
        <v>no</v>
      </c>
      <c r="Y151" t="str">
        <f t="shared" si="66"/>
        <v>recreation</v>
      </c>
      <c r="Z151" t="s">
        <v>79</v>
      </c>
      <c r="AA151" s="40" t="s">
        <v>209</v>
      </c>
      <c r="AB151" s="40" t="s">
        <v>79</v>
      </c>
      <c r="AC151" s="24">
        <f t="shared" ref="AC151:AC159" si="92">IF(AND(AA151="none reported",AB151="none reported"),"",0)</f>
        <v>0</v>
      </c>
      <c r="AD151" s="24"/>
      <c r="AE151" s="25">
        <v>2015</v>
      </c>
      <c r="AF151" t="str">
        <f t="shared" si="81"/>
        <v>no</v>
      </c>
      <c r="AG151" s="26" t="s">
        <v>81</v>
      </c>
      <c r="AH151" s="27" t="s">
        <v>83</v>
      </c>
      <c r="AI151" s="28" t="s">
        <v>83</v>
      </c>
      <c r="AJ151" s="29" t="s">
        <v>257</v>
      </c>
      <c r="AK151" s="30" t="s">
        <v>84</v>
      </c>
      <c r="AL151" s="31" t="s">
        <v>84</v>
      </c>
      <c r="AM151" s="32" t="s">
        <v>82</v>
      </c>
      <c r="AN151" s="33" t="s">
        <v>81</v>
      </c>
      <c r="AO151" s="32" t="s">
        <v>81</v>
      </c>
      <c r="AP151" s="39"/>
      <c r="AQ151">
        <v>0</v>
      </c>
      <c r="AR151">
        <v>0</v>
      </c>
      <c r="AS151">
        <v>1</v>
      </c>
      <c r="AT151">
        <v>0</v>
      </c>
      <c r="AU151">
        <v>2</v>
      </c>
      <c r="AV151">
        <v>0</v>
      </c>
      <c r="AW151">
        <v>1</v>
      </c>
      <c r="AX151">
        <v>1</v>
      </c>
      <c r="AY151" t="s">
        <v>505</v>
      </c>
      <c r="AZ151" t="s">
        <v>861</v>
      </c>
      <c r="BA151" t="s">
        <v>102</v>
      </c>
      <c r="BB151" t="s">
        <v>2205</v>
      </c>
      <c r="BC151" t="s">
        <v>132</v>
      </c>
      <c r="BD151" t="s">
        <v>114</v>
      </c>
      <c r="BE151" t="s">
        <v>247</v>
      </c>
      <c r="BF151" t="s">
        <v>115</v>
      </c>
      <c r="BG151" t="str">
        <f t="shared" si="84"/>
        <v>CSLAP</v>
      </c>
      <c r="BH151" s="14" t="s">
        <v>102</v>
      </c>
      <c r="BJ151">
        <f t="shared" si="85"/>
        <v>1</v>
      </c>
      <c r="BK151">
        <f t="shared" si="86"/>
        <v>1</v>
      </c>
      <c r="BL151">
        <f t="shared" si="87"/>
        <v>0</v>
      </c>
      <c r="BM151" t="str">
        <f t="shared" si="88"/>
        <v>CSLAP</v>
      </c>
      <c r="BN151" t="str">
        <f t="shared" si="89"/>
        <v>no</v>
      </c>
      <c r="BO151">
        <v>0.4</v>
      </c>
      <c r="BU151" t="s">
        <v>862</v>
      </c>
      <c r="BY151" t="s">
        <v>863</v>
      </c>
    </row>
    <row r="152" spans="1:77" x14ac:dyDescent="0.3">
      <c r="A152" t="s">
        <v>1894</v>
      </c>
      <c r="B152" t="s">
        <v>1895</v>
      </c>
      <c r="C152" s="16">
        <v>54</v>
      </c>
      <c r="D152" s="16" t="s">
        <v>864</v>
      </c>
      <c r="E152" s="16" t="s">
        <v>269</v>
      </c>
      <c r="F152" s="16" t="s">
        <v>865</v>
      </c>
      <c r="G152" s="17">
        <f t="shared" si="83"/>
        <v>89.700929999999985</v>
      </c>
      <c r="H152" s="17">
        <v>36.299999999999997</v>
      </c>
      <c r="I152" s="18">
        <f t="shared" si="90"/>
        <v>3916.6934999999999</v>
      </c>
      <c r="J152" s="18">
        <v>1585</v>
      </c>
      <c r="K152" s="19">
        <f t="shared" si="79"/>
        <v>43.663911845730034</v>
      </c>
      <c r="L152" s="19" t="s">
        <v>110</v>
      </c>
      <c r="M152" s="19"/>
      <c r="N152" s="20">
        <f t="shared" si="91"/>
        <v>8.5300799999999999</v>
      </c>
      <c r="O152" s="19">
        <v>2.6</v>
      </c>
      <c r="P152" s="21" t="str">
        <f t="shared" si="80"/>
        <v>no</v>
      </c>
      <c r="Q152" s="22">
        <v>0.1339268787742226</v>
      </c>
      <c r="R152" s="18" t="s">
        <v>866</v>
      </c>
      <c r="S152" s="23">
        <v>42.519979999999997</v>
      </c>
      <c r="T152" s="23">
        <v>-74.150069999999999</v>
      </c>
      <c r="U152" s="18" t="s">
        <v>96</v>
      </c>
      <c r="V152" s="18" t="s">
        <v>78</v>
      </c>
      <c r="W152" t="str">
        <f t="shared" si="82"/>
        <v>yes</v>
      </c>
      <c r="X152" t="s">
        <v>867</v>
      </c>
      <c r="Y152" t="str">
        <f t="shared" si="66"/>
        <v>potable water, recreation, and public bathing</v>
      </c>
      <c r="Z152" t="s">
        <v>79</v>
      </c>
      <c r="AA152" s="40" t="s">
        <v>79</v>
      </c>
      <c r="AB152" s="40" t="s">
        <v>868</v>
      </c>
      <c r="AC152" s="24">
        <f t="shared" si="92"/>
        <v>0</v>
      </c>
      <c r="AD152" s="24"/>
      <c r="AF152" t="str">
        <f t="shared" si="81"/>
        <v/>
      </c>
      <c r="AG152" s="26" t="s">
        <v>156</v>
      </c>
      <c r="AH152" s="27" t="s">
        <v>156</v>
      </c>
      <c r="AI152" s="28" t="s">
        <v>156</v>
      </c>
      <c r="AJ152" s="29" t="s">
        <v>156</v>
      </c>
      <c r="AK152" s="30" t="s">
        <v>156</v>
      </c>
      <c r="AL152" s="31" t="s">
        <v>156</v>
      </c>
      <c r="AM152" s="32" t="s">
        <v>156</v>
      </c>
      <c r="AN152" s="33" t="s">
        <v>81</v>
      </c>
      <c r="AO152" s="32" t="s">
        <v>81</v>
      </c>
      <c r="AP152" s="39"/>
      <c r="AQ152">
        <v>0</v>
      </c>
      <c r="AR152">
        <v>0</v>
      </c>
      <c r="AS152">
        <v>2</v>
      </c>
      <c r="AT152">
        <v>0</v>
      </c>
      <c r="AU152">
        <v>0</v>
      </c>
      <c r="AV152">
        <v>0</v>
      </c>
      <c r="AW152">
        <v>0</v>
      </c>
      <c r="AX152">
        <v>0</v>
      </c>
      <c r="BD152" t="s">
        <v>152</v>
      </c>
      <c r="BF152" t="s">
        <v>143</v>
      </c>
      <c r="BG152" t="str">
        <f t="shared" si="84"/>
        <v>CSLAP</v>
      </c>
      <c r="BH152" s="14" t="str">
        <f t="shared" ref="BH152:BH157" si="93">IF(RIGHT(CM152,4)="2011","yes","no")</f>
        <v>no</v>
      </c>
      <c r="BJ152">
        <f t="shared" si="85"/>
        <v>0</v>
      </c>
      <c r="BK152">
        <f t="shared" si="86"/>
        <v>0</v>
      </c>
      <c r="BL152">
        <f t="shared" si="87"/>
        <v>0</v>
      </c>
      <c r="BM152" t="str">
        <f t="shared" si="88"/>
        <v>CSLAP</v>
      </c>
      <c r="BN152" t="str">
        <f t="shared" si="89"/>
        <v>no</v>
      </c>
      <c r="BO152">
        <v>0.44461382113821141</v>
      </c>
    </row>
    <row r="153" spans="1:77" x14ac:dyDescent="0.3">
      <c r="A153" t="s">
        <v>1896</v>
      </c>
      <c r="B153" t="s">
        <v>1897</v>
      </c>
      <c r="C153" s="16">
        <v>86</v>
      </c>
      <c r="D153" s="16" t="s">
        <v>869</v>
      </c>
      <c r="E153" s="16" t="s">
        <v>147</v>
      </c>
      <c r="F153" s="16" t="s">
        <v>154</v>
      </c>
      <c r="G153" s="17">
        <f t="shared" si="83"/>
        <v>32.124299999999998</v>
      </c>
      <c r="H153" s="17">
        <v>13</v>
      </c>
      <c r="I153" s="18">
        <f>IF(J153="","",J153*2.4711)</f>
        <v>879.71159999999998</v>
      </c>
      <c r="J153" s="18">
        <v>356</v>
      </c>
      <c r="K153" s="19">
        <f t="shared" si="79"/>
        <v>27.384615384615383</v>
      </c>
      <c r="L153" s="19" t="s">
        <v>110</v>
      </c>
      <c r="M153" s="19"/>
      <c r="N153" s="20">
        <f t="shared" si="91"/>
        <v>4.5931199999999999</v>
      </c>
      <c r="O153" s="19">
        <v>1.4</v>
      </c>
      <c r="P153" s="21" t="str">
        <f t="shared" si="80"/>
        <v>no</v>
      </c>
      <c r="Q153" s="22">
        <v>0.69078347107438021</v>
      </c>
      <c r="R153" s="18" t="s">
        <v>730</v>
      </c>
      <c r="S153" s="23">
        <v>41.477864420000003</v>
      </c>
      <c r="T153" s="23">
        <v>-73.731999290000005</v>
      </c>
      <c r="U153" s="18" t="s">
        <v>77</v>
      </c>
      <c r="V153" s="18" t="s">
        <v>776</v>
      </c>
      <c r="W153" t="str">
        <f t="shared" si="82"/>
        <v>no</v>
      </c>
      <c r="Y153" t="str">
        <f t="shared" si="66"/>
        <v>recreation</v>
      </c>
      <c r="Z153" t="s">
        <v>79</v>
      </c>
      <c r="AA153" s="40" t="s">
        <v>185</v>
      </c>
      <c r="AB153" s="40" t="s">
        <v>79</v>
      </c>
      <c r="AC153" s="24">
        <f t="shared" si="92"/>
        <v>0</v>
      </c>
      <c r="AD153" s="24"/>
      <c r="AF153" t="str">
        <f t="shared" si="81"/>
        <v/>
      </c>
      <c r="AG153" s="26" t="s">
        <v>81</v>
      </c>
      <c r="AH153" s="27" t="s">
        <v>156</v>
      </c>
      <c r="AI153" s="28" t="s">
        <v>156</v>
      </c>
      <c r="AJ153" s="29" t="s">
        <v>156</v>
      </c>
      <c r="AK153" s="30" t="s">
        <v>156</v>
      </c>
      <c r="AL153" s="31" t="s">
        <v>156</v>
      </c>
      <c r="AM153" s="32" t="s">
        <v>156</v>
      </c>
      <c r="AN153" s="33" t="s">
        <v>81</v>
      </c>
      <c r="AO153" s="32" t="s">
        <v>81</v>
      </c>
      <c r="AP153" s="39"/>
      <c r="AQ153">
        <v>0</v>
      </c>
      <c r="AR153">
        <v>0</v>
      </c>
      <c r="AS153">
        <v>0</v>
      </c>
      <c r="AT153">
        <v>0</v>
      </c>
      <c r="AU153">
        <v>0</v>
      </c>
      <c r="AV153">
        <v>0</v>
      </c>
      <c r="AW153">
        <v>0</v>
      </c>
      <c r="AX153">
        <v>0</v>
      </c>
      <c r="BD153" t="s">
        <v>152</v>
      </c>
      <c r="BF153" t="s">
        <v>160</v>
      </c>
      <c r="BG153" t="str">
        <f t="shared" si="84"/>
        <v>CSLAP</v>
      </c>
      <c r="BH153" s="14" t="str">
        <f t="shared" si="93"/>
        <v>no</v>
      </c>
      <c r="BJ153">
        <f t="shared" si="85"/>
        <v>0</v>
      </c>
      <c r="BK153">
        <f t="shared" si="86"/>
        <v>0</v>
      </c>
      <c r="BL153">
        <f t="shared" si="87"/>
        <v>0</v>
      </c>
      <c r="BM153" t="str">
        <f t="shared" si="88"/>
        <v>CSLAP</v>
      </c>
      <c r="BN153" t="str">
        <f t="shared" si="89"/>
        <v>no</v>
      </c>
      <c r="BO153">
        <v>7.4008133729814213E-2</v>
      </c>
    </row>
    <row r="154" spans="1:77" x14ac:dyDescent="0.3">
      <c r="A154" t="s">
        <v>1609</v>
      </c>
      <c r="B154" t="s">
        <v>1898</v>
      </c>
      <c r="C154" s="16">
        <v>171</v>
      </c>
      <c r="D154" s="16" t="s">
        <v>870</v>
      </c>
      <c r="E154" s="16" t="s">
        <v>237</v>
      </c>
      <c r="F154" s="16" t="s">
        <v>238</v>
      </c>
      <c r="G154" s="17">
        <f t="shared" si="83"/>
        <v>1210.8389999999999</v>
      </c>
      <c r="H154" s="17">
        <v>490</v>
      </c>
      <c r="I154" s="18">
        <v>3235.2614744127582</v>
      </c>
      <c r="J154" s="18">
        <v>1309.2393971966972</v>
      </c>
      <c r="K154" s="19">
        <f t="shared" si="79"/>
        <v>2.6719171371361168</v>
      </c>
      <c r="L154" s="19">
        <v>31.82376</v>
      </c>
      <c r="M154" s="19">
        <v>9.6999999999999993</v>
      </c>
      <c r="N154" s="20">
        <f t="shared" si="91"/>
        <v>14.957167199999999</v>
      </c>
      <c r="O154" s="19">
        <v>4.5589999999999993</v>
      </c>
      <c r="P154" s="21" t="str">
        <f t="shared" si="80"/>
        <v>no</v>
      </c>
      <c r="Q154" s="22">
        <v>3.4131550802139037</v>
      </c>
      <c r="R154" s="18" t="s">
        <v>871</v>
      </c>
      <c r="S154" s="23">
        <v>44.329743000000001</v>
      </c>
      <c r="T154" s="23">
        <v>-75.986251999999993</v>
      </c>
      <c r="U154" s="18" t="s">
        <v>78</v>
      </c>
      <c r="V154" s="18"/>
      <c r="W154" t="str">
        <f t="shared" si="82"/>
        <v>no</v>
      </c>
      <c r="Y154" t="str">
        <f t="shared" si="66"/>
        <v>recreation</v>
      </c>
      <c r="Z154" t="s">
        <v>79</v>
      </c>
      <c r="AA154" s="40" t="s">
        <v>120</v>
      </c>
      <c r="AB154" s="40" t="s">
        <v>79</v>
      </c>
      <c r="AC154" s="24">
        <f t="shared" si="92"/>
        <v>0</v>
      </c>
      <c r="AD154" s="24"/>
      <c r="AF154" t="str">
        <f t="shared" si="81"/>
        <v/>
      </c>
      <c r="AG154" s="26" t="s">
        <v>81</v>
      </c>
      <c r="AH154" s="27" t="s">
        <v>81</v>
      </c>
      <c r="AI154" s="28" t="s">
        <v>156</v>
      </c>
      <c r="AJ154" s="29" t="s">
        <v>156</v>
      </c>
      <c r="AK154" s="30" t="s">
        <v>156</v>
      </c>
      <c r="AL154" s="31" t="s">
        <v>156</v>
      </c>
      <c r="AM154" s="32" t="s">
        <v>156</v>
      </c>
      <c r="AN154" s="33" t="s">
        <v>81</v>
      </c>
      <c r="AO154" s="32" t="s">
        <v>81</v>
      </c>
      <c r="AP154" s="39"/>
      <c r="AQ154">
        <v>0</v>
      </c>
      <c r="AR154">
        <v>0</v>
      </c>
      <c r="AS154">
        <v>0</v>
      </c>
      <c r="AT154">
        <v>0</v>
      </c>
      <c r="AU154">
        <v>0</v>
      </c>
      <c r="AV154">
        <v>0</v>
      </c>
      <c r="AW154">
        <v>0</v>
      </c>
      <c r="AX154">
        <v>0</v>
      </c>
      <c r="BD154" t="s">
        <v>215</v>
      </c>
      <c r="BE154" t="s">
        <v>216</v>
      </c>
      <c r="BF154" t="s">
        <v>216</v>
      </c>
      <c r="BG154" t="str">
        <f t="shared" si="84"/>
        <v>CSLAP</v>
      </c>
      <c r="BH154" s="14" t="str">
        <f t="shared" si="93"/>
        <v>no</v>
      </c>
      <c r="BJ154">
        <f t="shared" si="85"/>
        <v>0</v>
      </c>
      <c r="BK154">
        <f t="shared" si="86"/>
        <v>0</v>
      </c>
      <c r="BL154">
        <f t="shared" si="87"/>
        <v>0</v>
      </c>
      <c r="BM154" t="str">
        <f t="shared" si="88"/>
        <v>CSLAP</v>
      </c>
      <c r="BN154" t="str">
        <f t="shared" si="89"/>
        <v>no</v>
      </c>
      <c r="BO154">
        <v>0.5</v>
      </c>
    </row>
    <row r="155" spans="1:77" x14ac:dyDescent="0.3">
      <c r="A155" t="s">
        <v>1610</v>
      </c>
      <c r="B155" t="s">
        <v>1899</v>
      </c>
      <c r="C155" s="16">
        <v>160</v>
      </c>
      <c r="D155" s="16" t="s">
        <v>240</v>
      </c>
      <c r="E155" s="16" t="s">
        <v>237</v>
      </c>
      <c r="F155" s="16" t="s">
        <v>238</v>
      </c>
      <c r="G155" s="17">
        <f t="shared" si="83"/>
        <v>166.30502999999999</v>
      </c>
      <c r="H155" s="17">
        <v>67.3</v>
      </c>
      <c r="I155" s="18">
        <f t="shared" ref="I155:I176" si="94">IF(J155="","",J155*2.4711)</f>
        <v>667.197</v>
      </c>
      <c r="J155" s="18">
        <v>270</v>
      </c>
      <c r="K155" s="19">
        <f t="shared" si="79"/>
        <v>4.0118870728083209</v>
      </c>
      <c r="L155" s="19">
        <v>80</v>
      </c>
      <c r="M155" s="19">
        <v>24.4</v>
      </c>
      <c r="N155" s="20">
        <v>42.6</v>
      </c>
      <c r="O155" s="19">
        <v>13</v>
      </c>
      <c r="P155" s="21" t="str">
        <f t="shared" si="80"/>
        <v>no</v>
      </c>
      <c r="Q155" s="22">
        <v>7.044283413848631</v>
      </c>
      <c r="R155" s="18" t="s">
        <v>2177</v>
      </c>
      <c r="S155" s="23">
        <v>44.315511809999997</v>
      </c>
      <c r="T155" s="23">
        <v>-75.727107820000001</v>
      </c>
      <c r="U155" s="18" t="s">
        <v>78</v>
      </c>
      <c r="V155" s="18" t="s">
        <v>96</v>
      </c>
      <c r="W155" t="str">
        <f t="shared" si="82"/>
        <v>no</v>
      </c>
      <c r="Y155" t="str">
        <f t="shared" si="66"/>
        <v>recreation</v>
      </c>
      <c r="Z155" t="s">
        <v>79</v>
      </c>
      <c r="AA155" s="40" t="s">
        <v>120</v>
      </c>
      <c r="AB155" s="40" t="s">
        <v>79</v>
      </c>
      <c r="AC155" s="24">
        <f t="shared" si="92"/>
        <v>0</v>
      </c>
      <c r="AD155" s="24"/>
      <c r="AF155" t="str">
        <f t="shared" si="81"/>
        <v/>
      </c>
      <c r="AG155" s="26" t="s">
        <v>81</v>
      </c>
      <c r="AH155" s="27" t="s">
        <v>81</v>
      </c>
      <c r="AI155" s="28" t="s">
        <v>82</v>
      </c>
      <c r="AJ155" s="29" t="s">
        <v>82</v>
      </c>
      <c r="AK155" s="30" t="s">
        <v>85</v>
      </c>
      <c r="AL155" s="31" t="s">
        <v>85</v>
      </c>
      <c r="AM155" s="32" t="s">
        <v>82</v>
      </c>
      <c r="AN155" s="33" t="s">
        <v>81</v>
      </c>
      <c r="AO155" s="32" t="s">
        <v>81</v>
      </c>
      <c r="AP155" s="39"/>
      <c r="AQ155">
        <v>0</v>
      </c>
      <c r="AR155">
        <v>0</v>
      </c>
      <c r="AS155">
        <v>0</v>
      </c>
      <c r="AT155">
        <v>0</v>
      </c>
      <c r="AU155">
        <v>1</v>
      </c>
      <c r="AV155">
        <v>0</v>
      </c>
      <c r="AW155">
        <v>0</v>
      </c>
      <c r="AX155">
        <v>0</v>
      </c>
      <c r="AY155" t="s">
        <v>102</v>
      </c>
      <c r="AZ155" t="s">
        <v>872</v>
      </c>
      <c r="BA155" t="s">
        <v>102</v>
      </c>
      <c r="BB155" t="s">
        <v>873</v>
      </c>
      <c r="BC155" t="s">
        <v>87</v>
      </c>
      <c r="BD155" t="s">
        <v>215</v>
      </c>
      <c r="BE155" t="s">
        <v>216</v>
      </c>
      <c r="BF155" t="s">
        <v>216</v>
      </c>
      <c r="BG155" t="str">
        <f t="shared" si="84"/>
        <v>CSLAP</v>
      </c>
      <c r="BH155" s="14" t="str">
        <f t="shared" si="93"/>
        <v>no</v>
      </c>
      <c r="BJ155">
        <f t="shared" si="85"/>
        <v>1</v>
      </c>
      <c r="BK155">
        <f t="shared" si="86"/>
        <v>1</v>
      </c>
      <c r="BL155">
        <f t="shared" si="87"/>
        <v>0</v>
      </c>
      <c r="BM155" t="str">
        <f t="shared" si="88"/>
        <v>CSLAP</v>
      </c>
      <c r="BN155" t="str">
        <f t="shared" si="89"/>
        <v>no</v>
      </c>
      <c r="BO155">
        <v>0.46</v>
      </c>
    </row>
    <row r="156" spans="1:77" x14ac:dyDescent="0.3">
      <c r="A156" t="e">
        <v>#N/A</v>
      </c>
      <c r="B156" t="e">
        <v>#N/A</v>
      </c>
      <c r="C156" s="16">
        <v>1006.3</v>
      </c>
      <c r="D156" s="16" t="s">
        <v>874</v>
      </c>
      <c r="E156" s="16" t="s">
        <v>875</v>
      </c>
      <c r="F156" s="16" t="s">
        <v>876</v>
      </c>
      <c r="G156" s="17">
        <f t="shared" si="83"/>
        <v>2287250.1599999997</v>
      </c>
      <c r="H156" s="17">
        <v>925600</v>
      </c>
      <c r="I156" s="18">
        <f t="shared" si="94"/>
        <v>22264611</v>
      </c>
      <c r="J156" s="18">
        <v>9010000</v>
      </c>
      <c r="K156" s="19">
        <f t="shared" si="79"/>
        <v>9.7342264477095934</v>
      </c>
      <c r="L156" s="19" t="s">
        <v>110</v>
      </c>
      <c r="M156" s="19"/>
      <c r="N156" s="20">
        <f t="shared" ref="N156:N162" si="95">IF(O156="", "",O156*3.2808)</f>
        <v>275.5872</v>
      </c>
      <c r="O156" s="19">
        <v>84</v>
      </c>
      <c r="P156" s="21" t="str">
        <f t="shared" si="80"/>
        <v>no</v>
      </c>
      <c r="Q156" s="22">
        <v>22.643401731409543</v>
      </c>
      <c r="R156" s="18" t="s">
        <v>877</v>
      </c>
      <c r="S156" s="23">
        <v>43.313360000000003</v>
      </c>
      <c r="T156" s="23">
        <v>-78.851624000000001</v>
      </c>
      <c r="U156" s="18" t="s">
        <v>96</v>
      </c>
      <c r="V156" s="18"/>
      <c r="W156" t="str">
        <f t="shared" si="82"/>
        <v>yes</v>
      </c>
      <c r="X156" s="66" t="s">
        <v>878</v>
      </c>
      <c r="Y156" t="str">
        <f t="shared" si="66"/>
        <v>potable water, recreation, and public bathing</v>
      </c>
      <c r="Z156" t="s">
        <v>79</v>
      </c>
      <c r="AA156" s="40" t="s">
        <v>879</v>
      </c>
      <c r="AB156" s="40" t="s">
        <v>880</v>
      </c>
      <c r="AC156" s="24">
        <f t="shared" si="92"/>
        <v>0</v>
      </c>
      <c r="AD156" s="24"/>
      <c r="AF156" t="str">
        <f t="shared" si="81"/>
        <v/>
      </c>
      <c r="AG156" s="26" t="s">
        <v>82</v>
      </c>
      <c r="AH156" s="16" t="s">
        <v>141</v>
      </c>
      <c r="AI156" s="16" t="s">
        <v>141</v>
      </c>
      <c r="AJ156" s="16" t="s">
        <v>82</v>
      </c>
      <c r="AK156" s="16" t="s">
        <v>84</v>
      </c>
      <c r="AL156" s="16" t="s">
        <v>84</v>
      </c>
      <c r="AM156" s="16" t="s">
        <v>141</v>
      </c>
      <c r="AN156" s="33" t="s">
        <v>81</v>
      </c>
      <c r="AO156" s="32" t="s">
        <v>81</v>
      </c>
      <c r="AP156" s="39"/>
      <c r="AQ156">
        <v>0</v>
      </c>
      <c r="AR156">
        <v>0</v>
      </c>
      <c r="AS156">
        <v>0</v>
      </c>
      <c r="AT156">
        <v>0</v>
      </c>
      <c r="AU156">
        <v>0</v>
      </c>
      <c r="AV156">
        <v>0</v>
      </c>
      <c r="AW156">
        <v>0</v>
      </c>
      <c r="AX156">
        <v>0</v>
      </c>
      <c r="BD156" t="s">
        <v>227</v>
      </c>
      <c r="BE156" t="s">
        <v>228</v>
      </c>
      <c r="BF156" t="s">
        <v>365</v>
      </c>
      <c r="BG156" t="str">
        <f t="shared" si="84"/>
        <v>CSLAP</v>
      </c>
      <c r="BH156" s="14" t="str">
        <f t="shared" si="93"/>
        <v>no</v>
      </c>
      <c r="BJ156">
        <f t="shared" si="85"/>
        <v>0</v>
      </c>
      <c r="BK156">
        <f t="shared" si="86"/>
        <v>0</v>
      </c>
      <c r="BL156">
        <f t="shared" si="87"/>
        <v>0</v>
      </c>
      <c r="BM156" t="str">
        <f t="shared" si="88"/>
        <v>CSLAP</v>
      </c>
      <c r="BN156" t="str">
        <f t="shared" si="89"/>
        <v>no</v>
      </c>
      <c r="BO156">
        <v>0.38109756097560976</v>
      </c>
    </row>
    <row r="157" spans="1:77" x14ac:dyDescent="0.3">
      <c r="A157" t="e">
        <v>#N/A</v>
      </c>
      <c r="B157" t="e">
        <v>#N/A</v>
      </c>
      <c r="C157" s="16">
        <v>1006.2</v>
      </c>
      <c r="D157" s="16" t="s">
        <v>881</v>
      </c>
      <c r="E157" s="16" t="s">
        <v>875</v>
      </c>
      <c r="F157" s="16" t="s">
        <v>882</v>
      </c>
      <c r="G157" s="17">
        <f t="shared" si="83"/>
        <v>2287250.1599999997</v>
      </c>
      <c r="H157" s="17">
        <v>925600</v>
      </c>
      <c r="I157" s="18">
        <f t="shared" si="94"/>
        <v>22264611</v>
      </c>
      <c r="J157" s="18">
        <v>9010000</v>
      </c>
      <c r="K157" s="19">
        <f t="shared" si="79"/>
        <v>9.7342264477095934</v>
      </c>
      <c r="L157" s="19" t="s">
        <v>110</v>
      </c>
      <c r="M157" s="19"/>
      <c r="N157" s="20">
        <f t="shared" si="95"/>
        <v>275.5872</v>
      </c>
      <c r="O157" s="19">
        <v>84</v>
      </c>
      <c r="P157" s="21" t="str">
        <f t="shared" si="80"/>
        <v>no</v>
      </c>
      <c r="Q157" s="22">
        <v>22.643401731409543</v>
      </c>
      <c r="R157" s="18" t="s">
        <v>877</v>
      </c>
      <c r="S157" s="23">
        <v>43.373393</v>
      </c>
      <c r="T157" s="23">
        <v>-78.474633999999995</v>
      </c>
      <c r="U157" s="18" t="s">
        <v>96</v>
      </c>
      <c r="V157" s="18"/>
      <c r="W157" t="str">
        <f t="shared" si="82"/>
        <v>yes</v>
      </c>
      <c r="X157" s="66" t="s">
        <v>878</v>
      </c>
      <c r="Y157" t="str">
        <f t="shared" si="66"/>
        <v>potable water, recreation, and public bathing</v>
      </c>
      <c r="Z157" t="s">
        <v>79</v>
      </c>
      <c r="AA157" s="40" t="s">
        <v>883</v>
      </c>
      <c r="AB157" s="40" t="s">
        <v>884</v>
      </c>
      <c r="AC157" s="24">
        <f t="shared" si="92"/>
        <v>0</v>
      </c>
      <c r="AD157" s="24"/>
      <c r="AF157" t="str">
        <f t="shared" si="81"/>
        <v/>
      </c>
      <c r="AG157" s="16" t="s">
        <v>82</v>
      </c>
      <c r="AH157" s="16" t="s">
        <v>141</v>
      </c>
      <c r="AI157" s="16" t="s">
        <v>141</v>
      </c>
      <c r="AJ157" s="16" t="s">
        <v>82</v>
      </c>
      <c r="AK157" s="16" t="s">
        <v>84</v>
      </c>
      <c r="AL157" s="16" t="s">
        <v>84</v>
      </c>
      <c r="AM157" s="16" t="s">
        <v>141</v>
      </c>
      <c r="AN157" s="33" t="s">
        <v>81</v>
      </c>
      <c r="AO157" s="32" t="s">
        <v>81</v>
      </c>
      <c r="AP157" s="39"/>
      <c r="AQ157">
        <v>0</v>
      </c>
      <c r="AR157">
        <v>0</v>
      </c>
      <c r="AS157">
        <v>0</v>
      </c>
      <c r="AT157">
        <v>0</v>
      </c>
      <c r="AU157">
        <v>0</v>
      </c>
      <c r="AV157">
        <v>0</v>
      </c>
      <c r="AW157">
        <v>0</v>
      </c>
      <c r="AX157">
        <v>0</v>
      </c>
      <c r="BD157" t="s">
        <v>227</v>
      </c>
      <c r="BE157" t="s">
        <v>228</v>
      </c>
      <c r="BF157" t="s">
        <v>365</v>
      </c>
      <c r="BG157" t="str">
        <f t="shared" si="84"/>
        <v>CSLAP</v>
      </c>
      <c r="BH157" s="14" t="str">
        <f t="shared" si="93"/>
        <v>no</v>
      </c>
      <c r="BJ157">
        <f t="shared" si="85"/>
        <v>0</v>
      </c>
      <c r="BK157">
        <f t="shared" si="86"/>
        <v>0</v>
      </c>
      <c r="BL157">
        <f t="shared" si="87"/>
        <v>0</v>
      </c>
      <c r="BM157" t="str">
        <f t="shared" si="88"/>
        <v>CSLAP</v>
      </c>
      <c r="BN157" t="str">
        <f t="shared" si="89"/>
        <v>no</v>
      </c>
      <c r="BO157">
        <v>0.38109756097560976</v>
      </c>
    </row>
    <row r="158" spans="1:77" x14ac:dyDescent="0.3">
      <c r="A158" t="s">
        <v>1611</v>
      </c>
      <c r="B158" t="s">
        <v>1900</v>
      </c>
      <c r="C158" s="16">
        <v>205</v>
      </c>
      <c r="D158" s="16" t="s">
        <v>885</v>
      </c>
      <c r="E158" s="16" t="s">
        <v>183</v>
      </c>
      <c r="F158" s="16" t="s">
        <v>886</v>
      </c>
      <c r="G158" s="17">
        <f t="shared" si="83"/>
        <v>57.576630000000002</v>
      </c>
      <c r="H158" s="17">
        <v>23.3</v>
      </c>
      <c r="I158" s="18">
        <f t="shared" si="94"/>
        <v>1593.8594999999998</v>
      </c>
      <c r="J158" s="18">
        <v>645</v>
      </c>
      <c r="K158" s="19">
        <f t="shared" si="79"/>
        <v>27.682403433476395</v>
      </c>
      <c r="L158" s="19">
        <v>37.729199999999999</v>
      </c>
      <c r="M158" s="19">
        <v>11.5</v>
      </c>
      <c r="N158" s="20">
        <f t="shared" si="95"/>
        <v>22.309440000000002</v>
      </c>
      <c r="O158" s="19">
        <v>6.8</v>
      </c>
      <c r="P158" s="21" t="str">
        <f t="shared" si="80"/>
        <v>no</v>
      </c>
      <c r="Q158" s="22">
        <v>0.43864894795127346</v>
      </c>
      <c r="R158" s="18" t="s">
        <v>2210</v>
      </c>
      <c r="S158" s="23">
        <v>41.296547140000001</v>
      </c>
      <c r="T158" s="23">
        <v>-73.561542829999993</v>
      </c>
      <c r="U158" s="18" t="s">
        <v>77</v>
      </c>
      <c r="V158" s="18"/>
      <c r="W158" t="str">
        <f t="shared" si="82"/>
        <v>no</v>
      </c>
      <c r="Y158" t="str">
        <f t="shared" si="66"/>
        <v>recreation</v>
      </c>
      <c r="Z158" t="s">
        <v>79</v>
      </c>
      <c r="AA158" s="24" t="s">
        <v>887</v>
      </c>
      <c r="AB158" s="24" t="s">
        <v>79</v>
      </c>
      <c r="AC158" s="24">
        <f t="shared" si="92"/>
        <v>0</v>
      </c>
      <c r="AD158" s="24"/>
      <c r="AE158" s="25">
        <v>2016</v>
      </c>
      <c r="AF158" t="str">
        <f t="shared" si="81"/>
        <v>no</v>
      </c>
      <c r="AG158" s="26" t="s">
        <v>81</v>
      </c>
      <c r="AH158" s="27" t="s">
        <v>82</v>
      </c>
      <c r="AI158" s="28" t="s">
        <v>83</v>
      </c>
      <c r="AJ158" s="29" t="s">
        <v>82</v>
      </c>
      <c r="AK158" s="30" t="s">
        <v>84</v>
      </c>
      <c r="AL158" s="31" t="s">
        <v>84</v>
      </c>
      <c r="AM158" s="32" t="s">
        <v>82</v>
      </c>
      <c r="AN158" s="33" t="s">
        <v>81</v>
      </c>
      <c r="AO158" s="32" t="s">
        <v>81</v>
      </c>
      <c r="AP158" s="39"/>
      <c r="AQ158">
        <v>5</v>
      </c>
      <c r="AR158">
        <v>2</v>
      </c>
      <c r="AS158">
        <v>0</v>
      </c>
      <c r="AT158">
        <v>1</v>
      </c>
      <c r="AU158">
        <v>0</v>
      </c>
      <c r="AV158">
        <v>0</v>
      </c>
      <c r="AW158">
        <v>0</v>
      </c>
      <c r="AX158">
        <v>0</v>
      </c>
      <c r="AZ158" t="s">
        <v>888</v>
      </c>
      <c r="BA158" t="s">
        <v>102</v>
      </c>
      <c r="BB158" t="s">
        <v>889</v>
      </c>
      <c r="BC158" t="s">
        <v>103</v>
      </c>
      <c r="BD158" t="s">
        <v>152</v>
      </c>
      <c r="BE158" t="s">
        <v>159</v>
      </c>
      <c r="BF158" t="s">
        <v>160</v>
      </c>
      <c r="BG158" t="str">
        <f t="shared" si="84"/>
        <v>CSLAP</v>
      </c>
      <c r="BH158" s="14" t="s">
        <v>102</v>
      </c>
      <c r="BJ158">
        <f t="shared" si="85"/>
        <v>1</v>
      </c>
      <c r="BK158">
        <f t="shared" si="86"/>
        <v>1</v>
      </c>
      <c r="BL158">
        <f t="shared" si="87"/>
        <v>0</v>
      </c>
      <c r="BM158" t="str">
        <f t="shared" si="88"/>
        <v>CSLAP</v>
      </c>
      <c r="BN158" t="str">
        <f t="shared" si="89"/>
        <v>no</v>
      </c>
      <c r="BO158">
        <v>0.56000000000000005</v>
      </c>
      <c r="BX158" t="s">
        <v>890</v>
      </c>
    </row>
    <row r="159" spans="1:77" x14ac:dyDescent="0.3">
      <c r="A159" t="s">
        <v>1901</v>
      </c>
      <c r="B159" t="s">
        <v>1902</v>
      </c>
      <c r="C159" s="16">
        <v>87</v>
      </c>
      <c r="D159" s="16" t="s">
        <v>891</v>
      </c>
      <c r="E159" s="16" t="s">
        <v>147</v>
      </c>
      <c r="F159" s="16" t="s">
        <v>148</v>
      </c>
      <c r="G159" s="17">
        <f t="shared" si="83"/>
        <v>371.15921999999995</v>
      </c>
      <c r="H159" s="17">
        <v>150.19999999999999</v>
      </c>
      <c r="I159" s="18">
        <f t="shared" si="94"/>
        <v>2965.3199999999997</v>
      </c>
      <c r="J159" s="18">
        <v>1200</v>
      </c>
      <c r="K159" s="19">
        <f t="shared" si="79"/>
        <v>7.9893475366178439</v>
      </c>
      <c r="L159" s="19" t="s">
        <v>110</v>
      </c>
      <c r="M159" s="19"/>
      <c r="N159" s="20">
        <f t="shared" si="95"/>
        <v>14.435520000000002</v>
      </c>
      <c r="O159" s="19">
        <v>4.4000000000000004</v>
      </c>
      <c r="P159" s="21" t="str">
        <f t="shared" si="80"/>
        <v>no</v>
      </c>
      <c r="Q159" s="22">
        <v>0.94954022988505749</v>
      </c>
      <c r="R159" s="18" t="s">
        <v>730</v>
      </c>
      <c r="S159" s="23">
        <v>41.395760000000003</v>
      </c>
      <c r="T159" s="23">
        <v>-73.848740000000006</v>
      </c>
      <c r="U159" s="18" t="s">
        <v>96</v>
      </c>
      <c r="V159" s="18" t="s">
        <v>96</v>
      </c>
      <c r="W159" t="str">
        <f t="shared" si="82"/>
        <v>yes</v>
      </c>
      <c r="X159" t="s">
        <v>892</v>
      </c>
      <c r="Y159" t="str">
        <f t="shared" si="66"/>
        <v>potable water, recreation, and public bathing</v>
      </c>
      <c r="Z159" t="s">
        <v>79</v>
      </c>
      <c r="AA159" s="40" t="s">
        <v>138</v>
      </c>
      <c r="AB159" s="40" t="s">
        <v>79</v>
      </c>
      <c r="AC159" s="24">
        <f t="shared" si="92"/>
        <v>0</v>
      </c>
      <c r="AD159" s="24"/>
      <c r="AF159" t="str">
        <f t="shared" si="81"/>
        <v/>
      </c>
      <c r="AG159" s="26" t="s">
        <v>82</v>
      </c>
      <c r="AH159" s="27" t="s">
        <v>141</v>
      </c>
      <c r="AI159" s="28" t="s">
        <v>141</v>
      </c>
      <c r="AJ159" s="29" t="s">
        <v>82</v>
      </c>
      <c r="AK159" s="30" t="s">
        <v>85</v>
      </c>
      <c r="AL159" s="31" t="s">
        <v>85</v>
      </c>
      <c r="AM159" s="32" t="s">
        <v>82</v>
      </c>
      <c r="AN159" s="33" t="s">
        <v>81</v>
      </c>
      <c r="AO159" s="32" t="s">
        <v>81</v>
      </c>
      <c r="AP159" s="39"/>
      <c r="AQ159">
        <v>0</v>
      </c>
      <c r="AR159">
        <v>0</v>
      </c>
      <c r="AS159">
        <v>0</v>
      </c>
      <c r="AT159">
        <v>0</v>
      </c>
      <c r="AU159">
        <v>0</v>
      </c>
      <c r="AV159">
        <v>0</v>
      </c>
      <c r="AW159">
        <v>0</v>
      </c>
      <c r="AX159">
        <v>0</v>
      </c>
      <c r="AZ159" t="s">
        <v>893</v>
      </c>
      <c r="BD159" t="s">
        <v>152</v>
      </c>
      <c r="BF159" t="s">
        <v>160</v>
      </c>
      <c r="BG159" t="str">
        <f t="shared" si="84"/>
        <v>CSLAP</v>
      </c>
      <c r="BH159" s="14" t="str">
        <f>IF(RIGHT(CM159,4)="2011","yes","no")</f>
        <v>no</v>
      </c>
      <c r="BJ159">
        <f t="shared" si="85"/>
        <v>0</v>
      </c>
      <c r="BK159">
        <f t="shared" si="86"/>
        <v>0</v>
      </c>
      <c r="BL159">
        <f t="shared" si="87"/>
        <v>0</v>
      </c>
      <c r="BM159" t="str">
        <f t="shared" si="88"/>
        <v>CSLAP</v>
      </c>
      <c r="BN159" t="str">
        <f t="shared" si="89"/>
        <v>no</v>
      </c>
      <c r="BO159">
        <v>0.57999999999999996</v>
      </c>
    </row>
    <row r="160" spans="1:77" x14ac:dyDescent="0.3">
      <c r="A160" t="s">
        <v>1903</v>
      </c>
      <c r="B160" t="s">
        <v>1904</v>
      </c>
      <c r="C160" s="16">
        <v>116</v>
      </c>
      <c r="D160" s="16" t="s">
        <v>894</v>
      </c>
      <c r="E160" s="16" t="s">
        <v>147</v>
      </c>
      <c r="F160" s="16" t="s">
        <v>722</v>
      </c>
      <c r="G160" s="17">
        <f t="shared" si="83"/>
        <v>12.84972</v>
      </c>
      <c r="H160" s="17">
        <v>5.2</v>
      </c>
      <c r="I160" s="18">
        <f t="shared" si="94"/>
        <v>168.28190999999998</v>
      </c>
      <c r="J160" s="18">
        <v>68.099999999999994</v>
      </c>
      <c r="K160" s="19">
        <f t="shared" si="79"/>
        <v>13.096153846153845</v>
      </c>
      <c r="L160" s="19">
        <v>5.9054400000000005</v>
      </c>
      <c r="M160" s="19">
        <v>1.8</v>
      </c>
      <c r="N160" s="20">
        <f t="shared" si="95"/>
        <v>2.7755567999999999</v>
      </c>
      <c r="O160" s="19">
        <v>0.84599999999999997</v>
      </c>
      <c r="P160" s="21" t="str">
        <f t="shared" si="80"/>
        <v>no</v>
      </c>
      <c r="Q160" s="22">
        <v>0.11137779128057121</v>
      </c>
      <c r="R160" s="18" t="s">
        <v>895</v>
      </c>
      <c r="S160" s="23">
        <v>41.416419169999998</v>
      </c>
      <c r="T160" s="23">
        <v>-73.760509229999997</v>
      </c>
      <c r="U160" s="16" t="s">
        <v>77</v>
      </c>
      <c r="V160" s="16"/>
      <c r="W160" t="str">
        <f t="shared" si="82"/>
        <v>no</v>
      </c>
      <c r="Y160" t="str">
        <f t="shared" si="66"/>
        <v>recreation</v>
      </c>
      <c r="Z160" t="s">
        <v>79</v>
      </c>
      <c r="AA160" s="40" t="s">
        <v>79</v>
      </c>
      <c r="AB160" s="40" t="s">
        <v>79</v>
      </c>
      <c r="AC160" s="35">
        <v>2.0518264334430487</v>
      </c>
      <c r="AD160" s="35" t="s">
        <v>721</v>
      </c>
      <c r="AF160" t="str">
        <f t="shared" si="81"/>
        <v/>
      </c>
      <c r="AG160" s="26" t="s">
        <v>81</v>
      </c>
      <c r="AH160" s="27" t="s">
        <v>82</v>
      </c>
      <c r="AI160" s="28" t="s">
        <v>83</v>
      </c>
      <c r="AJ160" s="29" t="s">
        <v>82</v>
      </c>
      <c r="AK160" s="30" t="s">
        <v>85</v>
      </c>
      <c r="AL160" s="31" t="s">
        <v>85</v>
      </c>
      <c r="AM160" s="32" t="s">
        <v>82</v>
      </c>
      <c r="AN160" s="33" t="s">
        <v>81</v>
      </c>
      <c r="AO160" s="32" t="s">
        <v>81</v>
      </c>
      <c r="AP160" s="39"/>
      <c r="AQ160">
        <v>0</v>
      </c>
      <c r="AR160">
        <v>0</v>
      </c>
      <c r="AS160">
        <v>0</v>
      </c>
      <c r="AT160">
        <v>0</v>
      </c>
      <c r="AU160">
        <v>0</v>
      </c>
      <c r="AV160">
        <v>0</v>
      </c>
      <c r="AW160">
        <v>0</v>
      </c>
      <c r="AX160">
        <v>0</v>
      </c>
      <c r="BD160" t="s">
        <v>152</v>
      </c>
      <c r="BF160" t="s">
        <v>160</v>
      </c>
      <c r="BG160" t="str">
        <f t="shared" si="84"/>
        <v>CSLAP</v>
      </c>
      <c r="BH160" s="14" t="str">
        <f>IF(RIGHT(CM160,4)="2011","yes","no")</f>
        <v>no</v>
      </c>
      <c r="BJ160">
        <f t="shared" si="85"/>
        <v>0</v>
      </c>
      <c r="BK160">
        <f t="shared" si="86"/>
        <v>0</v>
      </c>
      <c r="BL160">
        <f t="shared" si="87"/>
        <v>0</v>
      </c>
      <c r="BM160" t="str">
        <f t="shared" si="88"/>
        <v>CSLAP</v>
      </c>
      <c r="BN160" t="str">
        <f t="shared" si="89"/>
        <v>no</v>
      </c>
      <c r="BO160">
        <v>0.57999999999999996</v>
      </c>
    </row>
    <row r="161" spans="1:77" x14ac:dyDescent="0.3">
      <c r="A161" t="s">
        <v>1612</v>
      </c>
      <c r="B161" t="s">
        <v>1905</v>
      </c>
      <c r="C161" s="16">
        <v>73</v>
      </c>
      <c r="D161" s="16" t="s">
        <v>896</v>
      </c>
      <c r="E161" s="16" t="s">
        <v>147</v>
      </c>
      <c r="F161" s="16" t="s">
        <v>148</v>
      </c>
      <c r="G161" s="17">
        <f t="shared" si="83"/>
        <v>57.576630000000002</v>
      </c>
      <c r="H161" s="17">
        <v>23.3</v>
      </c>
      <c r="I161" s="18">
        <f t="shared" si="94"/>
        <v>706.7346</v>
      </c>
      <c r="J161" s="18">
        <v>286</v>
      </c>
      <c r="K161" s="19">
        <f t="shared" si="79"/>
        <v>12.274678111587983</v>
      </c>
      <c r="L161" s="19">
        <v>24.606000000000002</v>
      </c>
      <c r="M161" s="19">
        <v>7.5</v>
      </c>
      <c r="N161" s="20">
        <f t="shared" si="95"/>
        <v>12.138960000000001</v>
      </c>
      <c r="O161" s="19">
        <v>3.7</v>
      </c>
      <c r="P161" s="21" t="str">
        <f t="shared" si="80"/>
        <v>no</v>
      </c>
      <c r="Q161" s="22">
        <v>0.47457700699300703</v>
      </c>
      <c r="R161" s="18" t="s">
        <v>2221</v>
      </c>
      <c r="S161" s="23">
        <v>41.340069800000002</v>
      </c>
      <c r="T161" s="23">
        <v>-73.882607489999998</v>
      </c>
      <c r="U161" s="18" t="s">
        <v>77</v>
      </c>
      <c r="V161" s="18" t="s">
        <v>78</v>
      </c>
      <c r="W161" t="str">
        <f t="shared" si="82"/>
        <v>no</v>
      </c>
      <c r="X161" t="s">
        <v>897</v>
      </c>
      <c r="Y161" t="str">
        <f t="shared" si="66"/>
        <v>recreation and public bathing</v>
      </c>
      <c r="Z161" t="s">
        <v>79</v>
      </c>
      <c r="AA161" s="24" t="s">
        <v>473</v>
      </c>
      <c r="AB161" s="24" t="s">
        <v>79</v>
      </c>
      <c r="AC161" s="24">
        <f t="shared" ref="AC161:AC170" si="96">IF(AND(AA161="none reported",AB161="none reported"),"",0)</f>
        <v>0</v>
      </c>
      <c r="AD161" s="24"/>
      <c r="AE161" s="25" t="s">
        <v>820</v>
      </c>
      <c r="AF161" t="str">
        <f t="shared" si="81"/>
        <v>yes</v>
      </c>
      <c r="AG161" s="26" t="s">
        <v>81</v>
      </c>
      <c r="AH161" s="27" t="s">
        <v>82</v>
      </c>
      <c r="AI161" s="28" t="s">
        <v>83</v>
      </c>
      <c r="AJ161" s="29" t="s">
        <v>83</v>
      </c>
      <c r="AK161" s="30" t="s">
        <v>85</v>
      </c>
      <c r="AL161" s="31" t="s">
        <v>85</v>
      </c>
      <c r="AM161" s="32" t="s">
        <v>82</v>
      </c>
      <c r="AN161" s="33" t="s">
        <v>81</v>
      </c>
      <c r="AO161" s="32" t="s">
        <v>81</v>
      </c>
      <c r="AP161" s="39"/>
      <c r="AQ161">
        <v>9</v>
      </c>
      <c r="AR161">
        <v>6</v>
      </c>
      <c r="AS161">
        <v>4</v>
      </c>
      <c r="AT161">
        <v>0</v>
      </c>
      <c r="AU161">
        <v>2</v>
      </c>
      <c r="AV161">
        <v>5</v>
      </c>
      <c r="AW161">
        <v>0</v>
      </c>
      <c r="AX161">
        <v>0</v>
      </c>
      <c r="AZ161" t="s">
        <v>898</v>
      </c>
      <c r="BA161" t="s">
        <v>102</v>
      </c>
      <c r="BB161" t="s">
        <v>899</v>
      </c>
      <c r="BC161" t="s">
        <v>103</v>
      </c>
      <c r="BD161" t="s">
        <v>152</v>
      </c>
      <c r="BE161" t="s">
        <v>159</v>
      </c>
      <c r="BF161" t="s">
        <v>160</v>
      </c>
      <c r="BG161" t="str">
        <f t="shared" si="84"/>
        <v>CSLAP</v>
      </c>
      <c r="BH161" s="14" t="s">
        <v>102</v>
      </c>
      <c r="BJ161">
        <f t="shared" si="85"/>
        <v>3</v>
      </c>
      <c r="BK161">
        <f t="shared" si="86"/>
        <v>2</v>
      </c>
      <c r="BL161">
        <f t="shared" si="87"/>
        <v>3</v>
      </c>
      <c r="BM161" t="str">
        <f t="shared" si="88"/>
        <v>CSLAP</v>
      </c>
      <c r="BN161" t="str">
        <f t="shared" si="89"/>
        <v>no</v>
      </c>
      <c r="BO161">
        <v>0.63516260162601623</v>
      </c>
      <c r="BS161" s="41">
        <f>(24+4+67)/2</f>
        <v>47.5</v>
      </c>
      <c r="BY161" t="s">
        <v>125</v>
      </c>
    </row>
    <row r="162" spans="1:77" x14ac:dyDescent="0.3">
      <c r="A162" t="s">
        <v>1613</v>
      </c>
      <c r="B162" t="s">
        <v>1906</v>
      </c>
      <c r="C162" s="16">
        <v>88</v>
      </c>
      <c r="D162" s="16" t="s">
        <v>900</v>
      </c>
      <c r="E162" s="16" t="s">
        <v>117</v>
      </c>
      <c r="F162" s="16" t="s">
        <v>901</v>
      </c>
      <c r="G162" s="17">
        <f t="shared" si="83"/>
        <v>2803.2158399999998</v>
      </c>
      <c r="H162" s="17">
        <v>1134.4000000000001</v>
      </c>
      <c r="I162" s="18">
        <f t="shared" si="94"/>
        <v>12701.454</v>
      </c>
      <c r="J162" s="18">
        <v>5140</v>
      </c>
      <c r="K162" s="19">
        <f t="shared" si="79"/>
        <v>4.5310296191819459</v>
      </c>
      <c r="L162" s="19">
        <v>164.04000000000002</v>
      </c>
      <c r="M162" s="19">
        <v>50</v>
      </c>
      <c r="N162" s="20">
        <f t="shared" si="95"/>
        <v>28.871040000000004</v>
      </c>
      <c r="O162" s="19">
        <v>8.8000000000000007</v>
      </c>
      <c r="P162" s="21" t="str">
        <f t="shared" si="80"/>
        <v>no</v>
      </c>
      <c r="Q162" s="22">
        <v>4.8554085603112842</v>
      </c>
      <c r="R162" s="18" t="s">
        <v>2085</v>
      </c>
      <c r="S162" s="23">
        <v>44.322255769999998</v>
      </c>
      <c r="T162" s="23">
        <v>-73.973805220000003</v>
      </c>
      <c r="U162" s="18" t="s">
        <v>255</v>
      </c>
      <c r="V162" s="18" t="s">
        <v>77</v>
      </c>
      <c r="W162" t="str">
        <f t="shared" si="82"/>
        <v>yes</v>
      </c>
      <c r="X162" t="s">
        <v>902</v>
      </c>
      <c r="Y162" t="str">
        <f t="shared" si="66"/>
        <v>potable water, recreation, and public bathing</v>
      </c>
      <c r="Z162" t="s">
        <v>79</v>
      </c>
      <c r="AA162" s="24" t="s">
        <v>903</v>
      </c>
      <c r="AB162" s="24" t="s">
        <v>79</v>
      </c>
      <c r="AC162" s="24">
        <f t="shared" si="96"/>
        <v>0</v>
      </c>
      <c r="AD162" s="24"/>
      <c r="AE162" s="25">
        <v>2015</v>
      </c>
      <c r="AF162" t="str">
        <f t="shared" si="81"/>
        <v>no</v>
      </c>
      <c r="AG162" s="26" t="s">
        <v>257</v>
      </c>
      <c r="AH162" s="27" t="s">
        <v>82</v>
      </c>
      <c r="AI162" s="28" t="s">
        <v>82</v>
      </c>
      <c r="AJ162" s="29" t="s">
        <v>82</v>
      </c>
      <c r="AK162" s="30" t="s">
        <v>85</v>
      </c>
      <c r="AL162" s="31" t="s">
        <v>85</v>
      </c>
      <c r="AM162" s="32" t="s">
        <v>82</v>
      </c>
      <c r="AN162" s="33" t="s">
        <v>81</v>
      </c>
      <c r="AO162" s="32" t="s">
        <v>81</v>
      </c>
      <c r="AP162" s="39"/>
      <c r="AQ162">
        <v>0</v>
      </c>
      <c r="AR162">
        <v>0</v>
      </c>
      <c r="AS162">
        <v>0</v>
      </c>
      <c r="AT162">
        <v>0</v>
      </c>
      <c r="AU162">
        <v>4</v>
      </c>
      <c r="AV162">
        <v>0</v>
      </c>
      <c r="AW162">
        <v>0</v>
      </c>
      <c r="AX162">
        <v>0</v>
      </c>
      <c r="AZ162" t="s">
        <v>904</v>
      </c>
      <c r="BA162" t="s">
        <v>102</v>
      </c>
      <c r="BB162" t="s">
        <v>905</v>
      </c>
      <c r="BC162" t="s">
        <v>87</v>
      </c>
      <c r="BD162" t="s">
        <v>124</v>
      </c>
      <c r="BE162" t="s">
        <v>89</v>
      </c>
      <c r="BF162" t="s">
        <v>89</v>
      </c>
      <c r="BG162" t="str">
        <f t="shared" si="84"/>
        <v>CSLAP</v>
      </c>
      <c r="BH162" s="14" t="s">
        <v>102</v>
      </c>
      <c r="BJ162">
        <f t="shared" si="85"/>
        <v>1</v>
      </c>
      <c r="BK162">
        <f t="shared" si="86"/>
        <v>1</v>
      </c>
      <c r="BL162">
        <f t="shared" si="87"/>
        <v>0</v>
      </c>
      <c r="BM162" t="str">
        <f t="shared" si="88"/>
        <v>CSLAP</v>
      </c>
      <c r="BN162" t="str">
        <f t="shared" si="89"/>
        <v>no</v>
      </c>
      <c r="BO162">
        <v>0.4</v>
      </c>
    </row>
    <row r="163" spans="1:77" x14ac:dyDescent="0.3">
      <c r="A163" t="s">
        <v>1614</v>
      </c>
      <c r="B163" t="s">
        <v>1907</v>
      </c>
      <c r="C163" s="16">
        <v>240</v>
      </c>
      <c r="D163" s="16" t="s">
        <v>906</v>
      </c>
      <c r="E163" s="16" t="s">
        <v>74</v>
      </c>
      <c r="F163" s="16" t="s">
        <v>906</v>
      </c>
      <c r="G163" s="17">
        <f t="shared" si="83"/>
        <v>1440.1570799999997</v>
      </c>
      <c r="H163" s="17">
        <v>582.79999999999995</v>
      </c>
      <c r="I163" s="18">
        <f t="shared" si="94"/>
        <v>7910.5213360323996</v>
      </c>
      <c r="J163" s="18">
        <v>3201.21457489879</v>
      </c>
      <c r="K163" s="19">
        <f t="shared" si="79"/>
        <v>5.4928184195243484</v>
      </c>
      <c r="L163" s="19">
        <v>62</v>
      </c>
      <c r="M163" s="19">
        <v>18.899999999999999</v>
      </c>
      <c r="N163" s="20">
        <v>29</v>
      </c>
      <c r="O163" s="19">
        <v>8.8000000000000007</v>
      </c>
      <c r="P163" s="21" t="str">
        <f t="shared" si="80"/>
        <v>no</v>
      </c>
      <c r="Q163" s="22">
        <v>1.8205589983558847</v>
      </c>
      <c r="R163" s="18" t="s">
        <v>2226</v>
      </c>
      <c r="S163" s="23">
        <v>43.477565390000002</v>
      </c>
      <c r="T163" s="23">
        <v>-74.377393389999995</v>
      </c>
      <c r="U163" s="16" t="s">
        <v>379</v>
      </c>
      <c r="V163" s="16"/>
      <c r="W163" t="str">
        <f t="shared" si="82"/>
        <v>yes</v>
      </c>
      <c r="X163" t="s">
        <v>907</v>
      </c>
      <c r="Y163" t="str">
        <f t="shared" si="66"/>
        <v>potable water, recreation, and public bathing</v>
      </c>
      <c r="Z163" t="s">
        <v>79</v>
      </c>
      <c r="AA163" s="24" t="s">
        <v>79</v>
      </c>
      <c r="AB163" s="24" t="s">
        <v>908</v>
      </c>
      <c r="AC163" s="24">
        <f t="shared" si="96"/>
        <v>0</v>
      </c>
      <c r="AD163" s="24"/>
      <c r="AF163" t="str">
        <f t="shared" si="81"/>
        <v/>
      </c>
      <c r="AG163" s="26" t="s">
        <v>156</v>
      </c>
      <c r="AH163" s="26" t="s">
        <v>156</v>
      </c>
      <c r="AI163" s="26" t="s">
        <v>156</v>
      </c>
      <c r="AJ163" s="26" t="s">
        <v>156</v>
      </c>
      <c r="AK163" s="26" t="s">
        <v>156</v>
      </c>
      <c r="AL163" s="26" t="s">
        <v>156</v>
      </c>
      <c r="AM163" s="26" t="s">
        <v>156</v>
      </c>
      <c r="AN163" s="33" t="s">
        <v>81</v>
      </c>
      <c r="AO163" s="32" t="s">
        <v>81</v>
      </c>
      <c r="AP163" s="39"/>
      <c r="AQ163">
        <v>0</v>
      </c>
      <c r="AR163">
        <v>0</v>
      </c>
      <c r="AS163">
        <v>0</v>
      </c>
      <c r="AT163">
        <v>0</v>
      </c>
      <c r="AU163">
        <v>0</v>
      </c>
      <c r="AV163">
        <v>0</v>
      </c>
      <c r="AW163">
        <v>0</v>
      </c>
      <c r="AX163">
        <v>0</v>
      </c>
      <c r="AZ163" t="s">
        <v>909</v>
      </c>
      <c r="BA163" t="s">
        <v>102</v>
      </c>
      <c r="BB163" t="s">
        <v>2227</v>
      </c>
      <c r="BC163" t="s">
        <v>87</v>
      </c>
      <c r="BD163" t="s">
        <v>88</v>
      </c>
      <c r="BE163" t="s">
        <v>89</v>
      </c>
      <c r="BF163" t="s">
        <v>89</v>
      </c>
      <c r="BG163" t="str">
        <f t="shared" si="84"/>
        <v>CSLAP</v>
      </c>
      <c r="BH163" s="14" t="s">
        <v>102</v>
      </c>
      <c r="BJ163">
        <f t="shared" si="85"/>
        <v>0</v>
      </c>
      <c r="BK163">
        <f t="shared" si="86"/>
        <v>0</v>
      </c>
      <c r="BL163">
        <f t="shared" si="87"/>
        <v>0</v>
      </c>
      <c r="BM163" t="str">
        <f t="shared" si="88"/>
        <v>CSLAP</v>
      </c>
      <c r="BN163" t="str">
        <f t="shared" si="89"/>
        <v>no</v>
      </c>
      <c r="BO163">
        <v>0.88</v>
      </c>
    </row>
    <row r="164" spans="1:77" x14ac:dyDescent="0.3">
      <c r="A164" t="s">
        <v>1615</v>
      </c>
      <c r="B164" t="s">
        <v>1908</v>
      </c>
      <c r="C164" s="16">
        <v>204</v>
      </c>
      <c r="D164" s="16" t="s">
        <v>910</v>
      </c>
      <c r="E164" s="16" t="s">
        <v>183</v>
      </c>
      <c r="F164" s="16" t="s">
        <v>886</v>
      </c>
      <c r="G164" s="17">
        <f t="shared" si="83"/>
        <v>32.124299999999998</v>
      </c>
      <c r="H164" s="17">
        <v>13</v>
      </c>
      <c r="I164" s="18">
        <f t="shared" si="94"/>
        <v>1013.151</v>
      </c>
      <c r="J164" s="18">
        <v>410</v>
      </c>
      <c r="K164" s="19">
        <f t="shared" si="79"/>
        <v>31.53846153846154</v>
      </c>
      <c r="L164" s="19">
        <v>18.700560000000003</v>
      </c>
      <c r="M164" s="19">
        <v>5.7</v>
      </c>
      <c r="N164" s="20">
        <f>IF(O164="", "",O164*3.2808)</f>
        <v>8.7892632000000006</v>
      </c>
      <c r="O164" s="19">
        <v>2.6789999999999998</v>
      </c>
      <c r="P164" s="21" t="str">
        <f t="shared" si="80"/>
        <v>no</v>
      </c>
      <c r="Q164" s="22">
        <v>0.15168554006968638</v>
      </c>
      <c r="R164" s="18" t="s">
        <v>2210</v>
      </c>
      <c r="S164" s="23">
        <v>41.29997874</v>
      </c>
      <c r="T164" s="23">
        <v>-73.560604490000003</v>
      </c>
      <c r="U164" s="18" t="s">
        <v>77</v>
      </c>
      <c r="V164" s="18"/>
      <c r="W164" t="str">
        <f t="shared" si="82"/>
        <v>no</v>
      </c>
      <c r="Y164" t="str">
        <f t="shared" ref="Y164:Y171" si="97">IF(W164="yes",IF(X164="","potable water and recreation","potable water, recreation, and public bathing"),IF(X164="","recreation","recreation and public bathing"))</f>
        <v>recreation</v>
      </c>
      <c r="Z164" t="s">
        <v>79</v>
      </c>
      <c r="AA164" s="24" t="s">
        <v>120</v>
      </c>
      <c r="AB164" s="24" t="s">
        <v>79</v>
      </c>
      <c r="AC164" s="24">
        <f t="shared" si="96"/>
        <v>0</v>
      </c>
      <c r="AD164" s="24"/>
      <c r="AE164" s="25">
        <v>2016</v>
      </c>
      <c r="AF164" t="str">
        <f t="shared" si="81"/>
        <v>no</v>
      </c>
      <c r="AG164" s="26" t="s">
        <v>81</v>
      </c>
      <c r="AH164" s="27" t="s">
        <v>82</v>
      </c>
      <c r="AI164" s="28" t="s">
        <v>83</v>
      </c>
      <c r="AJ164" s="29" t="s">
        <v>82</v>
      </c>
      <c r="AK164" s="30" t="s">
        <v>84</v>
      </c>
      <c r="AL164" s="31" t="s">
        <v>84</v>
      </c>
      <c r="AM164" s="32" t="s">
        <v>82</v>
      </c>
      <c r="AN164" s="33" t="s">
        <v>81</v>
      </c>
      <c r="AO164" s="32" t="s">
        <v>81</v>
      </c>
      <c r="AP164" s="39"/>
      <c r="AQ164">
        <v>5</v>
      </c>
      <c r="AR164">
        <v>2</v>
      </c>
      <c r="AS164">
        <v>1</v>
      </c>
      <c r="AT164">
        <v>1</v>
      </c>
      <c r="AU164">
        <v>0</v>
      </c>
      <c r="AV164">
        <v>0</v>
      </c>
      <c r="AW164">
        <v>0</v>
      </c>
      <c r="AX164">
        <v>0</v>
      </c>
      <c r="AZ164" t="s">
        <v>888</v>
      </c>
      <c r="BA164" t="s">
        <v>102</v>
      </c>
      <c r="BB164" t="s">
        <v>911</v>
      </c>
      <c r="BC164" t="s">
        <v>103</v>
      </c>
      <c r="BD164" t="s">
        <v>152</v>
      </c>
      <c r="BE164" t="s">
        <v>159</v>
      </c>
      <c r="BF164" t="s">
        <v>160</v>
      </c>
      <c r="BG164" t="str">
        <f t="shared" si="84"/>
        <v>CSLAP</v>
      </c>
      <c r="BH164" s="14" t="s">
        <v>102</v>
      </c>
      <c r="BJ164">
        <f t="shared" si="85"/>
        <v>1</v>
      </c>
      <c r="BK164">
        <f t="shared" si="86"/>
        <v>1</v>
      </c>
      <c r="BL164">
        <f t="shared" si="87"/>
        <v>0</v>
      </c>
      <c r="BM164" t="str">
        <f t="shared" si="88"/>
        <v>CSLAP</v>
      </c>
      <c r="BN164" t="str">
        <f t="shared" si="89"/>
        <v>no</v>
      </c>
      <c r="BO164">
        <v>0.56000000000000005</v>
      </c>
      <c r="BX164" t="s">
        <v>912</v>
      </c>
    </row>
    <row r="165" spans="1:77" x14ac:dyDescent="0.3">
      <c r="A165" t="s">
        <v>1616</v>
      </c>
      <c r="B165" t="s">
        <v>1909</v>
      </c>
      <c r="C165" s="16">
        <v>133</v>
      </c>
      <c r="D165" s="16" t="s">
        <v>913</v>
      </c>
      <c r="E165" s="16" t="s">
        <v>762</v>
      </c>
      <c r="F165" s="16" t="s">
        <v>914</v>
      </c>
      <c r="G165" s="17">
        <f t="shared" si="83"/>
        <v>57.576630000000002</v>
      </c>
      <c r="H165" s="17">
        <v>23.3</v>
      </c>
      <c r="I165" s="18">
        <f t="shared" si="94"/>
        <v>1842.45216</v>
      </c>
      <c r="J165" s="18">
        <v>745.6</v>
      </c>
      <c r="K165" s="19">
        <f t="shared" si="79"/>
        <v>32</v>
      </c>
      <c r="L165" s="19">
        <v>21.325200000000002</v>
      </c>
      <c r="M165" s="19">
        <v>6.5</v>
      </c>
      <c r="N165" s="20">
        <f>IF(O165="", "",O165*3.2808)</f>
        <v>10.022843999999999</v>
      </c>
      <c r="O165" s="19">
        <v>3.0549999999999997</v>
      </c>
      <c r="P165" s="21" t="str">
        <f t="shared" si="80"/>
        <v>no</v>
      </c>
      <c r="Q165" s="22">
        <v>0.25050999999999995</v>
      </c>
      <c r="R165" s="18" t="s">
        <v>2240</v>
      </c>
      <c r="S165" s="23">
        <v>42.329274460000001</v>
      </c>
      <c r="T165" s="23">
        <v>-77.292984039999993</v>
      </c>
      <c r="U165" s="18" t="s">
        <v>77</v>
      </c>
      <c r="V165" s="18"/>
      <c r="W165" t="str">
        <f t="shared" si="82"/>
        <v>no</v>
      </c>
      <c r="Y165" t="str">
        <f t="shared" si="97"/>
        <v>recreation</v>
      </c>
      <c r="Z165" t="s">
        <v>79</v>
      </c>
      <c r="AA165" s="24" t="s">
        <v>120</v>
      </c>
      <c r="AB165" s="24" t="s">
        <v>79</v>
      </c>
      <c r="AC165" s="24">
        <f t="shared" si="96"/>
        <v>0</v>
      </c>
      <c r="AD165" s="24"/>
      <c r="AE165" s="25">
        <v>2019</v>
      </c>
      <c r="AF165" t="str">
        <f t="shared" si="81"/>
        <v>no</v>
      </c>
      <c r="AG165" s="26" t="s">
        <v>81</v>
      </c>
      <c r="AH165" s="27" t="s">
        <v>83</v>
      </c>
      <c r="AI165" s="28" t="s">
        <v>141</v>
      </c>
      <c r="AJ165" s="29" t="s">
        <v>83</v>
      </c>
      <c r="AK165" s="30" t="s">
        <v>121</v>
      </c>
      <c r="AL165" s="31" t="s">
        <v>121</v>
      </c>
      <c r="AM165" s="32" t="s">
        <v>82</v>
      </c>
      <c r="AN165" s="33">
        <v>43634</v>
      </c>
      <c r="AO165" s="33">
        <v>43634</v>
      </c>
      <c r="AP165" s="39"/>
      <c r="AQ165">
        <v>0</v>
      </c>
      <c r="AR165">
        <v>0</v>
      </c>
      <c r="AS165">
        <v>0</v>
      </c>
      <c r="AT165">
        <v>0</v>
      </c>
      <c r="AU165">
        <v>0</v>
      </c>
      <c r="AV165">
        <v>0</v>
      </c>
      <c r="AW165">
        <v>0</v>
      </c>
      <c r="AX165">
        <v>0</v>
      </c>
      <c r="AZ165" t="s">
        <v>915</v>
      </c>
      <c r="BA165" t="s">
        <v>102</v>
      </c>
      <c r="BB165" t="s">
        <v>916</v>
      </c>
      <c r="BC165" t="s">
        <v>226</v>
      </c>
      <c r="BD165" t="s">
        <v>364</v>
      </c>
      <c r="BE165" t="s">
        <v>229</v>
      </c>
      <c r="BF165" t="s">
        <v>229</v>
      </c>
      <c r="BG165" t="str">
        <f t="shared" si="84"/>
        <v>CSLAP</v>
      </c>
      <c r="BH165" s="14" t="s">
        <v>102</v>
      </c>
      <c r="BJ165">
        <f t="shared" si="85"/>
        <v>0</v>
      </c>
      <c r="BK165">
        <f t="shared" si="86"/>
        <v>0</v>
      </c>
      <c r="BL165">
        <f t="shared" si="87"/>
        <v>0</v>
      </c>
      <c r="BM165" t="str">
        <f t="shared" si="88"/>
        <v>CSLAP</v>
      </c>
      <c r="BN165" t="str">
        <f t="shared" si="89"/>
        <v>no</v>
      </c>
      <c r="BO165">
        <v>0.38109756097560976</v>
      </c>
      <c r="BY165" t="s">
        <v>917</v>
      </c>
    </row>
    <row r="166" spans="1:77" x14ac:dyDescent="0.3">
      <c r="A166" t="e">
        <v>#N/A</v>
      </c>
      <c r="B166" t="e">
        <v>#N/A</v>
      </c>
      <c r="C166" s="16">
        <v>1005</v>
      </c>
      <c r="D166" s="16" t="s">
        <v>918</v>
      </c>
      <c r="E166" s="16" t="s">
        <v>386</v>
      </c>
      <c r="F166" s="16" t="s">
        <v>919</v>
      </c>
      <c r="G166" s="17">
        <f t="shared" si="83"/>
        <v>160.12727999999998</v>
      </c>
      <c r="H166" s="17">
        <v>64.8</v>
      </c>
      <c r="I166" s="18">
        <f t="shared" si="94"/>
        <v>1618.5704999999998</v>
      </c>
      <c r="J166" s="18">
        <v>655</v>
      </c>
      <c r="K166" s="19">
        <f t="shared" si="79"/>
        <v>10.108024691358025</v>
      </c>
      <c r="L166" s="19">
        <v>40</v>
      </c>
      <c r="M166" s="19">
        <v>12.1</v>
      </c>
      <c r="N166" s="20">
        <v>19</v>
      </c>
      <c r="O166" s="19">
        <v>5.6</v>
      </c>
      <c r="P166" s="21" t="str">
        <f t="shared" si="80"/>
        <v>no</v>
      </c>
      <c r="Q166" s="22">
        <v>1.2</v>
      </c>
      <c r="R166" s="18">
        <v>2005</v>
      </c>
      <c r="S166" s="23">
        <v>42.087664066000002</v>
      </c>
      <c r="T166" s="23">
        <v>-73.710188561899997</v>
      </c>
      <c r="U166" s="18" t="s">
        <v>95</v>
      </c>
      <c r="V166" s="18" t="s">
        <v>96</v>
      </c>
      <c r="W166" t="str">
        <f t="shared" si="82"/>
        <v>no</v>
      </c>
      <c r="Y166" t="str">
        <f t="shared" si="97"/>
        <v>recreation</v>
      </c>
      <c r="Z166" t="s">
        <v>79</v>
      </c>
      <c r="AA166" s="40" t="s">
        <v>920</v>
      </c>
      <c r="AB166" s="40" t="s">
        <v>79</v>
      </c>
      <c r="AC166" s="24">
        <f t="shared" si="96"/>
        <v>0</v>
      </c>
      <c r="AD166" s="24"/>
      <c r="AF166" t="str">
        <f t="shared" si="81"/>
        <v/>
      </c>
      <c r="AG166" s="26" t="s">
        <v>81</v>
      </c>
      <c r="AH166" s="16" t="s">
        <v>156</v>
      </c>
      <c r="AI166" s="16" t="s">
        <v>156</v>
      </c>
      <c r="AJ166" s="16" t="s">
        <v>156</v>
      </c>
      <c r="AK166" s="16" t="s">
        <v>156</v>
      </c>
      <c r="AL166" s="16" t="s">
        <v>156</v>
      </c>
      <c r="AM166" s="16" t="s">
        <v>156</v>
      </c>
      <c r="AN166" s="33" t="s">
        <v>81</v>
      </c>
      <c r="AO166" s="32" t="s">
        <v>81</v>
      </c>
      <c r="AP166" s="39"/>
      <c r="AQ166">
        <v>0</v>
      </c>
      <c r="AR166">
        <v>0</v>
      </c>
      <c r="AS166">
        <v>0</v>
      </c>
      <c r="AT166">
        <v>0</v>
      </c>
      <c r="AU166">
        <v>0</v>
      </c>
      <c r="AV166">
        <v>0</v>
      </c>
      <c r="AW166">
        <v>0</v>
      </c>
      <c r="AX166">
        <v>0</v>
      </c>
      <c r="BA166" t="s">
        <v>102</v>
      </c>
      <c r="BD166" t="s">
        <v>152</v>
      </c>
      <c r="BF166" t="s">
        <v>133</v>
      </c>
      <c r="BG166" t="str">
        <f t="shared" si="84"/>
        <v>CSLAP</v>
      </c>
      <c r="BH166" s="14" t="str">
        <f>IF(RIGHT(CM166,4)="2011","yes","no")</f>
        <v>no</v>
      </c>
      <c r="BJ166">
        <f t="shared" si="85"/>
        <v>0</v>
      </c>
      <c r="BK166">
        <f t="shared" si="86"/>
        <v>0</v>
      </c>
      <c r="BL166">
        <f t="shared" si="87"/>
        <v>0</v>
      </c>
      <c r="BM166" t="str">
        <f t="shared" si="88"/>
        <v>CSLAP</v>
      </c>
      <c r="BN166" t="str">
        <f t="shared" si="89"/>
        <v>no</v>
      </c>
      <c r="BO166">
        <v>0.46167938931297703</v>
      </c>
    </row>
    <row r="167" spans="1:77" x14ac:dyDescent="0.3">
      <c r="A167" t="s">
        <v>1910</v>
      </c>
      <c r="B167" t="s">
        <v>1911</v>
      </c>
      <c r="C167" s="16">
        <v>93</v>
      </c>
      <c r="D167" s="16" t="s">
        <v>155</v>
      </c>
      <c r="E167" s="16" t="s">
        <v>147</v>
      </c>
      <c r="F167" s="16" t="s">
        <v>154</v>
      </c>
      <c r="G167" s="17">
        <f t="shared" si="83"/>
        <v>38.302049999999994</v>
      </c>
      <c r="H167" s="17">
        <v>15.5</v>
      </c>
      <c r="I167" s="18">
        <f t="shared" si="94"/>
        <v>433.67804999999998</v>
      </c>
      <c r="J167" s="18">
        <v>175.5</v>
      </c>
      <c r="K167" s="19">
        <f t="shared" si="79"/>
        <v>11.32258064516129</v>
      </c>
      <c r="L167" s="19" t="s">
        <v>110</v>
      </c>
      <c r="M167" s="19"/>
      <c r="N167" s="20">
        <f t="shared" ref="N167:N176" si="98">IF(O167="", "",O167*3.2808)</f>
        <v>2.9527200000000002</v>
      </c>
      <c r="O167" s="19">
        <v>0.9</v>
      </c>
      <c r="P167" s="21" t="str">
        <f t="shared" si="80"/>
        <v>no</v>
      </c>
      <c r="Q167" s="22">
        <v>0.13704686118479223</v>
      </c>
      <c r="R167" s="18" t="s">
        <v>457</v>
      </c>
      <c r="S167" s="23">
        <v>41.452363060000003</v>
      </c>
      <c r="T167" s="23">
        <v>-73.779563249999995</v>
      </c>
      <c r="U167" s="18" t="s">
        <v>77</v>
      </c>
      <c r="V167" s="18" t="s">
        <v>96</v>
      </c>
      <c r="W167" t="str">
        <f t="shared" si="82"/>
        <v>no</v>
      </c>
      <c r="Y167" t="str">
        <f t="shared" si="97"/>
        <v>recreation</v>
      </c>
      <c r="Z167" t="s">
        <v>79</v>
      </c>
      <c r="AA167" s="24" t="s">
        <v>120</v>
      </c>
      <c r="AB167" s="24" t="s">
        <v>79</v>
      </c>
      <c r="AC167" s="24">
        <f t="shared" si="96"/>
        <v>0</v>
      </c>
      <c r="AD167" s="24"/>
      <c r="AF167" t="str">
        <f t="shared" si="81"/>
        <v/>
      </c>
      <c r="AG167" s="26" t="s">
        <v>81</v>
      </c>
      <c r="AH167" s="27" t="s">
        <v>83</v>
      </c>
      <c r="AI167" s="28" t="s">
        <v>83</v>
      </c>
      <c r="AJ167" s="29" t="s">
        <v>82</v>
      </c>
      <c r="AK167" s="30" t="s">
        <v>121</v>
      </c>
      <c r="AL167" s="31" t="s">
        <v>84</v>
      </c>
      <c r="AM167" s="32" t="s">
        <v>82</v>
      </c>
      <c r="AN167" s="33" t="s">
        <v>81</v>
      </c>
      <c r="AO167" s="32" t="s">
        <v>81</v>
      </c>
      <c r="AP167" s="39"/>
      <c r="AQ167">
        <v>0</v>
      </c>
      <c r="AR167">
        <v>0</v>
      </c>
      <c r="AS167">
        <v>0</v>
      </c>
      <c r="AT167">
        <v>0</v>
      </c>
      <c r="AU167">
        <v>0</v>
      </c>
      <c r="AV167">
        <v>0</v>
      </c>
      <c r="AW167">
        <v>0</v>
      </c>
      <c r="AX167">
        <v>0</v>
      </c>
      <c r="BD167" t="s">
        <v>152</v>
      </c>
      <c r="BF167" t="s">
        <v>160</v>
      </c>
      <c r="BG167" t="str">
        <f t="shared" si="84"/>
        <v>CSLAP</v>
      </c>
      <c r="BH167" s="14" t="str">
        <f>IF(RIGHT(CM167,4)="2011","yes","no")</f>
        <v>no</v>
      </c>
      <c r="BJ167">
        <f t="shared" si="85"/>
        <v>0</v>
      </c>
      <c r="BK167">
        <f t="shared" si="86"/>
        <v>0</v>
      </c>
      <c r="BL167">
        <f t="shared" si="87"/>
        <v>0</v>
      </c>
      <c r="BM167" t="str">
        <f t="shared" si="88"/>
        <v>CSLAP</v>
      </c>
      <c r="BN167" t="str">
        <f t="shared" si="89"/>
        <v>no</v>
      </c>
      <c r="BO167">
        <v>0.57999999999999996</v>
      </c>
      <c r="BY167" t="s">
        <v>921</v>
      </c>
    </row>
    <row r="168" spans="1:77" x14ac:dyDescent="0.3">
      <c r="A168" t="s">
        <v>1912</v>
      </c>
      <c r="B168" t="s">
        <v>1913</v>
      </c>
      <c r="C168" s="16">
        <v>161</v>
      </c>
      <c r="D168" s="16" t="s">
        <v>922</v>
      </c>
      <c r="E168" s="16" t="s">
        <v>448</v>
      </c>
      <c r="F168" s="16" t="s">
        <v>923</v>
      </c>
      <c r="G168" s="17">
        <f t="shared" si="83"/>
        <v>435.16070999999994</v>
      </c>
      <c r="H168" s="17">
        <v>176.1</v>
      </c>
      <c r="I168" s="18">
        <f t="shared" si="94"/>
        <v>4150.9537799999998</v>
      </c>
      <c r="J168" s="18">
        <v>1679.8</v>
      </c>
      <c r="K168" s="19">
        <f t="shared" si="79"/>
        <v>9.5388983532084044</v>
      </c>
      <c r="L168" s="19" t="s">
        <v>110</v>
      </c>
      <c r="M168" s="19"/>
      <c r="N168" s="20">
        <f t="shared" si="98"/>
        <v>16.404</v>
      </c>
      <c r="O168" s="19">
        <v>5</v>
      </c>
      <c r="P168" s="21" t="str">
        <f t="shared" si="80"/>
        <v>no</v>
      </c>
      <c r="Q168" s="22">
        <v>0.85929433441529934</v>
      </c>
      <c r="R168" s="18" t="s">
        <v>750</v>
      </c>
      <c r="S168" s="23">
        <v>44.725738900000003</v>
      </c>
      <c r="T168" s="23">
        <v>-74.282104419999996</v>
      </c>
      <c r="U168" s="18" t="s">
        <v>95</v>
      </c>
      <c r="V168" s="18" t="s">
        <v>96</v>
      </c>
      <c r="W168" t="str">
        <f t="shared" si="82"/>
        <v>no</v>
      </c>
      <c r="X168" t="s">
        <v>924</v>
      </c>
      <c r="Y168" t="str">
        <f t="shared" si="97"/>
        <v>recreation and public bathing</v>
      </c>
      <c r="Z168" t="s">
        <v>79</v>
      </c>
      <c r="AA168" s="24" t="s">
        <v>120</v>
      </c>
      <c r="AB168" s="24" t="s">
        <v>79</v>
      </c>
      <c r="AC168" s="24">
        <f t="shared" si="96"/>
        <v>0</v>
      </c>
      <c r="AD168" s="24"/>
      <c r="AF168" t="str">
        <f t="shared" si="81"/>
        <v/>
      </c>
      <c r="AG168" s="26" t="s">
        <v>81</v>
      </c>
      <c r="AH168" s="27" t="s">
        <v>83</v>
      </c>
      <c r="AI168" s="28" t="s">
        <v>83</v>
      </c>
      <c r="AJ168" s="29" t="s">
        <v>82</v>
      </c>
      <c r="AK168" s="30" t="s">
        <v>84</v>
      </c>
      <c r="AL168" s="31" t="s">
        <v>121</v>
      </c>
      <c r="AM168" s="32" t="s">
        <v>82</v>
      </c>
      <c r="AN168" s="33" t="s">
        <v>81</v>
      </c>
      <c r="AO168" s="32" t="s">
        <v>81</v>
      </c>
      <c r="AP168" s="39"/>
      <c r="AQ168">
        <v>0</v>
      </c>
      <c r="AR168">
        <v>0</v>
      </c>
      <c r="AS168">
        <v>0</v>
      </c>
      <c r="AT168">
        <v>0</v>
      </c>
      <c r="AU168">
        <v>0</v>
      </c>
      <c r="AV168">
        <v>0</v>
      </c>
      <c r="AW168">
        <v>0</v>
      </c>
      <c r="AX168">
        <v>0</v>
      </c>
      <c r="BD168" t="s">
        <v>215</v>
      </c>
      <c r="BE168" t="s">
        <v>216</v>
      </c>
      <c r="BF168" t="s">
        <v>89</v>
      </c>
      <c r="BG168" t="str">
        <f t="shared" si="84"/>
        <v>CSLAP</v>
      </c>
      <c r="BH168" s="14" t="str">
        <f>IF(RIGHT(CM168,4)="2011","yes","no")</f>
        <v>no</v>
      </c>
      <c r="BJ168">
        <f t="shared" si="85"/>
        <v>0</v>
      </c>
      <c r="BK168">
        <f t="shared" si="86"/>
        <v>0</v>
      </c>
      <c r="BL168">
        <f t="shared" si="87"/>
        <v>0</v>
      </c>
      <c r="BM168" t="str">
        <f t="shared" si="88"/>
        <v>CSLAP</v>
      </c>
      <c r="BN168" t="str">
        <f t="shared" si="89"/>
        <v>no</v>
      </c>
      <c r="BO168">
        <v>0.61</v>
      </c>
    </row>
    <row r="169" spans="1:77" x14ac:dyDescent="0.3">
      <c r="A169" t="s">
        <v>1617</v>
      </c>
      <c r="B169" t="s">
        <v>1914</v>
      </c>
      <c r="C169" s="16">
        <v>162</v>
      </c>
      <c r="D169" s="16" t="s">
        <v>925</v>
      </c>
      <c r="E169" s="16" t="s">
        <v>183</v>
      </c>
      <c r="F169" s="16" t="s">
        <v>691</v>
      </c>
      <c r="G169" s="17">
        <f>H169*2.4711</f>
        <v>83.276070000000004</v>
      </c>
      <c r="H169" s="17">
        <v>33.700000000000003</v>
      </c>
      <c r="I169" s="18">
        <f t="shared" si="94"/>
        <v>2372.2559999999999</v>
      </c>
      <c r="J169" s="18">
        <v>960</v>
      </c>
      <c r="K169" s="19">
        <f>J169/H169</f>
        <v>28.486646884272993</v>
      </c>
      <c r="L169" s="19">
        <v>9.5143199999999997</v>
      </c>
      <c r="M169" s="19">
        <v>2.9</v>
      </c>
      <c r="N169" s="20">
        <f t="shared" si="98"/>
        <v>4.4717304000000002</v>
      </c>
      <c r="O169" s="19">
        <v>1.363</v>
      </c>
      <c r="P169" s="21" t="str">
        <f>IF(O169=(M169*0.46),"yes","no")</f>
        <v>no</v>
      </c>
      <c r="Q169" s="22">
        <v>0.10334120770338373</v>
      </c>
      <c r="R169" s="18" t="s">
        <v>926</v>
      </c>
      <c r="S169" s="23">
        <v>41.281374095099999</v>
      </c>
      <c r="T169" s="23">
        <v>-73.553581232499994</v>
      </c>
      <c r="U169" s="68" t="s">
        <v>77</v>
      </c>
      <c r="V169" s="18" t="s">
        <v>96</v>
      </c>
      <c r="W169" t="str">
        <f>IF(OR(U169="A",U169="AA",U169="AAspec",U169="A(T)",U169="AA(T)"),"yes","no")</f>
        <v>no</v>
      </c>
      <c r="Y169" t="str">
        <f>IF(W169="yes",IF(X169="","potable water and recreation","potable water, recreation, and public bathing"),IF(X169="","recreation","recreation and public bathing"))</f>
        <v>recreation</v>
      </c>
      <c r="Z169" t="s">
        <v>79</v>
      </c>
      <c r="AA169" s="24" t="s">
        <v>473</v>
      </c>
      <c r="AB169" s="24" t="s">
        <v>79</v>
      </c>
      <c r="AC169" s="24">
        <f t="shared" si="96"/>
        <v>0</v>
      </c>
      <c r="AD169" s="24"/>
      <c r="AE169" s="25">
        <v>2013</v>
      </c>
      <c r="AF169" t="str">
        <f>IF(AE169="","",IF(IFERROR(SEARCH(",",AE169,1)&gt;1,0),"yes","no"))</f>
        <v>no</v>
      </c>
      <c r="AG169" s="26" t="s">
        <v>81</v>
      </c>
      <c r="AH169" s="27" t="s">
        <v>83</v>
      </c>
      <c r="AI169" s="28" t="s">
        <v>141</v>
      </c>
      <c r="AJ169" s="29" t="s">
        <v>83</v>
      </c>
      <c r="AK169" s="30" t="s">
        <v>121</v>
      </c>
      <c r="AL169" s="31" t="s">
        <v>84</v>
      </c>
      <c r="AM169" s="32" t="s">
        <v>82</v>
      </c>
      <c r="AN169" s="33" t="s">
        <v>81</v>
      </c>
      <c r="AO169" s="32" t="s">
        <v>81</v>
      </c>
      <c r="AP169" s="39"/>
      <c r="AQ169">
        <v>0</v>
      </c>
      <c r="AR169">
        <v>0</v>
      </c>
      <c r="AS169">
        <v>0</v>
      </c>
      <c r="AT169">
        <v>0</v>
      </c>
      <c r="AU169">
        <v>0</v>
      </c>
      <c r="AV169">
        <v>1</v>
      </c>
      <c r="AW169">
        <v>2</v>
      </c>
      <c r="AX169">
        <v>0</v>
      </c>
      <c r="AY169" t="s">
        <v>694</v>
      </c>
      <c r="AZ169" t="s">
        <v>927</v>
      </c>
      <c r="BA169" t="s">
        <v>102</v>
      </c>
      <c r="BC169" t="s">
        <v>103</v>
      </c>
      <c r="BD169" t="s">
        <v>152</v>
      </c>
      <c r="BE169" t="s">
        <v>159</v>
      </c>
      <c r="BF169" t="s">
        <v>160</v>
      </c>
      <c r="BG169" t="str">
        <f>IF(C169="","LCI","CSLAP")</f>
        <v>CSLAP</v>
      </c>
      <c r="BH169" s="14" t="s">
        <v>102</v>
      </c>
      <c r="BJ169">
        <f>IF(MAX(AT169:AX169)=0,0,IF(MAX(AT169:AX169)=1,1,LEN(AE169)-LEN(SUBSTITUTE(UPPER(AE169),",",""))+1))</f>
        <v>1</v>
      </c>
      <c r="BK169">
        <f>IF(BJ169&gt;1,2,IF(BJ169&gt;0,1,0))</f>
        <v>1</v>
      </c>
      <c r="BL169">
        <f>IF(BJ169&gt;2,3,IF(BJ169&gt;2,2,IF(BJ169&gt;1,1,0)))</f>
        <v>0</v>
      </c>
      <c r="BM169" t="str">
        <f>IF(C169="","LCI","CSLAP")</f>
        <v>CSLAP</v>
      </c>
      <c r="BN169" t="str">
        <f>IF(LEFT(AB169,13)="zebra mussels","yes","no")</f>
        <v>no</v>
      </c>
      <c r="BO169">
        <v>0.46300000000000002</v>
      </c>
      <c r="BU169" t="s">
        <v>928</v>
      </c>
      <c r="BY169" t="s">
        <v>929</v>
      </c>
    </row>
    <row r="170" spans="1:77" x14ac:dyDescent="0.3">
      <c r="A170" t="s">
        <v>1618</v>
      </c>
      <c r="B170" t="s">
        <v>1915</v>
      </c>
      <c r="C170" s="16">
        <v>4</v>
      </c>
      <c r="D170" s="16" t="s">
        <v>930</v>
      </c>
      <c r="E170" s="16" t="s">
        <v>183</v>
      </c>
      <c r="F170" s="16" t="s">
        <v>886</v>
      </c>
      <c r="G170" s="17">
        <f t="shared" ref="G170:G193" si="99">H170*2.4711</f>
        <v>128.00297999999998</v>
      </c>
      <c r="H170" s="17">
        <v>51.8</v>
      </c>
      <c r="I170" s="18">
        <f t="shared" si="94"/>
        <v>2199.279</v>
      </c>
      <c r="J170" s="18">
        <v>890</v>
      </c>
      <c r="K170" s="19">
        <f t="shared" si="79"/>
        <v>17.181467181467184</v>
      </c>
      <c r="L170" s="19">
        <v>46.587359999999997</v>
      </c>
      <c r="M170" s="19">
        <v>14.2</v>
      </c>
      <c r="N170" s="20">
        <f t="shared" si="98"/>
        <v>23.949840000000002</v>
      </c>
      <c r="O170" s="19">
        <v>7.3</v>
      </c>
      <c r="P170" s="21" t="str">
        <f t="shared" si="80"/>
        <v>no</v>
      </c>
      <c r="Q170" s="22">
        <v>0.75870786516853927</v>
      </c>
      <c r="R170" s="18" t="s">
        <v>2274</v>
      </c>
      <c r="S170" s="23">
        <v>41.297923560000001</v>
      </c>
      <c r="T170" s="23">
        <v>-73.584274789999995</v>
      </c>
      <c r="U170" s="18" t="s">
        <v>96</v>
      </c>
      <c r="V170" s="18">
        <v>0</v>
      </c>
      <c r="W170" t="str">
        <f t="shared" si="82"/>
        <v>yes</v>
      </c>
      <c r="X170" s="16" t="s">
        <v>931</v>
      </c>
      <c r="Y170" t="str">
        <f t="shared" si="97"/>
        <v>potable water, recreation, and public bathing</v>
      </c>
      <c r="Z170" s="16" t="s">
        <v>79</v>
      </c>
      <c r="AA170" s="24" t="s">
        <v>932</v>
      </c>
      <c r="AB170" s="24" t="s">
        <v>79</v>
      </c>
      <c r="AC170" s="24">
        <f t="shared" si="96"/>
        <v>0</v>
      </c>
      <c r="AD170" s="24"/>
      <c r="AE170" s="64" t="s">
        <v>933</v>
      </c>
      <c r="AF170" t="str">
        <f t="shared" si="81"/>
        <v>yes</v>
      </c>
      <c r="AG170" s="69" t="s">
        <v>82</v>
      </c>
      <c r="AH170" s="70" t="s">
        <v>82</v>
      </c>
      <c r="AI170" s="71" t="s">
        <v>82</v>
      </c>
      <c r="AJ170" s="72" t="s">
        <v>82</v>
      </c>
      <c r="AK170" s="73" t="s">
        <v>85</v>
      </c>
      <c r="AL170" s="74" t="s">
        <v>85</v>
      </c>
      <c r="AM170" s="75" t="s">
        <v>82</v>
      </c>
      <c r="AN170" s="33" t="s">
        <v>81</v>
      </c>
      <c r="AO170" s="32" t="s">
        <v>81</v>
      </c>
      <c r="AP170" s="39"/>
      <c r="AQ170">
        <v>6</v>
      </c>
      <c r="AR170">
        <v>4</v>
      </c>
      <c r="AS170" s="16">
        <v>0</v>
      </c>
      <c r="AT170" s="16">
        <v>3</v>
      </c>
      <c r="AU170" s="16">
        <v>0</v>
      </c>
      <c r="AV170" s="16">
        <v>1</v>
      </c>
      <c r="AW170" s="16">
        <v>2</v>
      </c>
      <c r="AX170" s="16">
        <v>4</v>
      </c>
      <c r="AY170" s="16" t="s">
        <v>934</v>
      </c>
      <c r="AZ170" s="16" t="s">
        <v>888</v>
      </c>
      <c r="BA170" s="16" t="s">
        <v>102</v>
      </c>
      <c r="BB170" s="16" t="s">
        <v>889</v>
      </c>
      <c r="BC170" s="16" t="s">
        <v>103</v>
      </c>
      <c r="BD170" s="16" t="s">
        <v>152</v>
      </c>
      <c r="BE170" s="16" t="s">
        <v>159</v>
      </c>
      <c r="BF170" s="16" t="s">
        <v>160</v>
      </c>
      <c r="BG170" s="16" t="str">
        <f t="shared" si="84"/>
        <v>CSLAP</v>
      </c>
      <c r="BH170" s="14" t="s">
        <v>102</v>
      </c>
      <c r="BJ170">
        <f t="shared" ref="BJ170:BJ185" si="100">IF(MAX(AT170:AX170)=0,0,IF(MAX(AT170:AX170)=1,1,LEN(AE170)-LEN(SUBSTITUTE(UPPER(AE170),",",""))+1))</f>
        <v>3</v>
      </c>
      <c r="BK170">
        <f t="shared" ref="BK170:BK185" si="101">IF(BJ170&gt;1,2,IF(BJ170&gt;0,1,0))</f>
        <v>2</v>
      </c>
      <c r="BL170">
        <f t="shared" ref="BL170:BL185" si="102">IF(BJ170&gt;2,3,IF(BJ170&gt;2,2,IF(BJ170&gt;1,1,0)))</f>
        <v>3</v>
      </c>
      <c r="BM170" t="str">
        <f t="shared" ref="BM170:BM185" si="103">IF(C170="","LCI","CSLAP")</f>
        <v>CSLAP</v>
      </c>
      <c r="BN170" t="str">
        <f t="shared" ref="BN170:BN185" si="104">IF(LEFT(AB170,13)="zebra mussels","yes","no")</f>
        <v>no</v>
      </c>
      <c r="BO170">
        <v>0.56000000000000005</v>
      </c>
      <c r="BP170" s="16"/>
      <c r="BQ170" s="16"/>
      <c r="BR170" s="16"/>
      <c r="BS170" s="16"/>
      <c r="BV170" t="s">
        <v>935</v>
      </c>
      <c r="BX170" t="s">
        <v>936</v>
      </c>
    </row>
    <row r="171" spans="1:77" x14ac:dyDescent="0.3">
      <c r="A171" t="s">
        <v>1916</v>
      </c>
      <c r="B171" t="s">
        <v>1917</v>
      </c>
      <c r="C171" s="16">
        <v>94</v>
      </c>
      <c r="D171" s="16" t="s">
        <v>937</v>
      </c>
      <c r="E171" s="16" t="s">
        <v>93</v>
      </c>
      <c r="F171" s="16" t="s">
        <v>938</v>
      </c>
      <c r="G171" s="17">
        <f t="shared" si="99"/>
        <v>307.15772999999996</v>
      </c>
      <c r="H171" s="17">
        <v>124.3</v>
      </c>
      <c r="I171" s="18">
        <f t="shared" si="94"/>
        <v>1210.8389999999999</v>
      </c>
      <c r="J171" s="18">
        <v>490</v>
      </c>
      <c r="K171" s="19">
        <f t="shared" si="79"/>
        <v>3.9420756234915526</v>
      </c>
      <c r="L171" s="19" t="s">
        <v>110</v>
      </c>
      <c r="M171" s="19"/>
      <c r="N171" s="20">
        <f t="shared" si="98"/>
        <v>22.965600000000002</v>
      </c>
      <c r="O171" s="19">
        <v>7</v>
      </c>
      <c r="P171" s="21" t="str">
        <f t="shared" si="80"/>
        <v>no</v>
      </c>
      <c r="Q171" s="22">
        <v>2.9595238095238097</v>
      </c>
      <c r="R171" s="18" t="s">
        <v>730</v>
      </c>
      <c r="S171" s="23">
        <v>41.618729999999999</v>
      </c>
      <c r="T171" s="23">
        <v>-74.565119999999993</v>
      </c>
      <c r="U171" s="18" t="s">
        <v>77</v>
      </c>
      <c r="V171" s="18" t="s">
        <v>78</v>
      </c>
      <c r="W171" t="str">
        <f t="shared" si="82"/>
        <v>no</v>
      </c>
      <c r="Y171" t="str">
        <f t="shared" si="97"/>
        <v>recreation</v>
      </c>
      <c r="Z171" t="s">
        <v>79</v>
      </c>
      <c r="AA171" s="40" t="s">
        <v>79</v>
      </c>
      <c r="AB171" s="40" t="s">
        <v>79</v>
      </c>
      <c r="AC171" s="35">
        <v>6.2925830201735558</v>
      </c>
      <c r="AD171" s="35" t="s">
        <v>939</v>
      </c>
      <c r="AF171" t="str">
        <f t="shared" si="81"/>
        <v/>
      </c>
      <c r="AG171" s="26" t="s">
        <v>81</v>
      </c>
      <c r="AH171" s="27" t="s">
        <v>156</v>
      </c>
      <c r="AI171" s="27" t="s">
        <v>156</v>
      </c>
      <c r="AJ171" s="27" t="s">
        <v>156</v>
      </c>
      <c r="AK171" s="27" t="s">
        <v>156</v>
      </c>
      <c r="AL171" s="27" t="s">
        <v>156</v>
      </c>
      <c r="AM171" s="27" t="s">
        <v>156</v>
      </c>
      <c r="AN171" s="33" t="s">
        <v>81</v>
      </c>
      <c r="AO171" s="32" t="s">
        <v>81</v>
      </c>
      <c r="AP171" s="39"/>
      <c r="AQ171">
        <v>0</v>
      </c>
      <c r="AR171">
        <v>0</v>
      </c>
      <c r="AS171">
        <v>0</v>
      </c>
      <c r="AT171">
        <v>0</v>
      </c>
      <c r="AU171">
        <v>0</v>
      </c>
      <c r="AV171">
        <v>0</v>
      </c>
      <c r="AW171">
        <v>0</v>
      </c>
      <c r="AX171">
        <v>0</v>
      </c>
      <c r="BD171" t="s">
        <v>104</v>
      </c>
      <c r="BE171" t="s">
        <v>105</v>
      </c>
      <c r="BF171" t="s">
        <v>106</v>
      </c>
      <c r="BG171" t="str">
        <f t="shared" si="84"/>
        <v>CSLAP</v>
      </c>
      <c r="BH171" s="14" t="str">
        <f>IF(RIGHT(CM171,4)="2011","yes","no")</f>
        <v>no</v>
      </c>
      <c r="BJ171">
        <f t="shared" si="100"/>
        <v>0</v>
      </c>
      <c r="BK171">
        <f t="shared" si="101"/>
        <v>0</v>
      </c>
      <c r="BL171">
        <f t="shared" si="102"/>
        <v>0</v>
      </c>
      <c r="BM171" t="str">
        <f t="shared" si="103"/>
        <v>CSLAP</v>
      </c>
      <c r="BN171" t="str">
        <f t="shared" si="104"/>
        <v>no</v>
      </c>
      <c r="BO171">
        <v>0.6</v>
      </c>
    </row>
    <row r="172" spans="1:77" x14ac:dyDescent="0.3">
      <c r="A172" t="s">
        <v>1619</v>
      </c>
      <c r="B172" t="s">
        <v>1918</v>
      </c>
      <c r="C172" s="16">
        <v>95</v>
      </c>
      <c r="D172" s="16" t="s">
        <v>940</v>
      </c>
      <c r="E172" s="16" t="s">
        <v>370</v>
      </c>
      <c r="F172" s="16" t="s">
        <v>803</v>
      </c>
      <c r="G172" s="17">
        <f>H172*2.4711</f>
        <v>32.124299999999998</v>
      </c>
      <c r="H172" s="17">
        <v>13</v>
      </c>
      <c r="I172" s="18">
        <f t="shared" si="94"/>
        <v>664.72589999999991</v>
      </c>
      <c r="J172" s="18">
        <v>269</v>
      </c>
      <c r="K172" s="19">
        <f>J172/H172</f>
        <v>20.692307692307693</v>
      </c>
      <c r="L172" s="19">
        <v>26.246400000000001</v>
      </c>
      <c r="M172" s="19">
        <v>8</v>
      </c>
      <c r="N172" s="20">
        <f t="shared" si="98"/>
        <v>12.138960000000001</v>
      </c>
      <c r="O172" s="19">
        <v>3.7</v>
      </c>
      <c r="P172" s="21" t="str">
        <f>IF(O172=(M172*0.46),"yes","no")</f>
        <v>no</v>
      </c>
      <c r="Q172" s="22">
        <v>0.40217015400955919</v>
      </c>
      <c r="R172" s="18" t="s">
        <v>2276</v>
      </c>
      <c r="S172" s="23">
        <v>42.374510000000001</v>
      </c>
      <c r="T172" s="23">
        <v>-75.6464</v>
      </c>
      <c r="U172" s="18" t="s">
        <v>78</v>
      </c>
      <c r="V172" s="18"/>
      <c r="W172" t="str">
        <f>IF(OR(U172="A",U172="AA",U172="AAspec",U172="A(T)",U172="AA(T)"),"yes","no")</f>
        <v>no</v>
      </c>
      <c r="Y172" t="str">
        <f>IF(W172="yes",IF(X172="","potable water and recreation","potable water, recreation, and public bathing"),IF(X172="","recreation","recreation and public bathing"))</f>
        <v>recreation</v>
      </c>
      <c r="Z172" t="s">
        <v>79</v>
      </c>
      <c r="AA172" s="40" t="s">
        <v>420</v>
      </c>
      <c r="AB172" s="40" t="s">
        <v>79</v>
      </c>
      <c r="AC172" s="24">
        <f>IF(AND(AA172="none reported",AB172="none reported"),"",0)</f>
        <v>0</v>
      </c>
      <c r="AD172" s="24"/>
      <c r="AF172" t="str">
        <f>IF(AE172="","",IF(IFERROR(SEARCH(",",AE172,1)&gt;1,0),"yes","no"))</f>
        <v/>
      </c>
      <c r="AG172" s="26" t="s">
        <v>81</v>
      </c>
      <c r="AH172" s="27" t="s">
        <v>81</v>
      </c>
      <c r="AI172" s="28" t="s">
        <v>83</v>
      </c>
      <c r="AJ172" s="29" t="s">
        <v>82</v>
      </c>
      <c r="AK172" s="30" t="s">
        <v>84</v>
      </c>
      <c r="AL172" s="31" t="s">
        <v>121</v>
      </c>
      <c r="AM172" s="32" t="s">
        <v>82</v>
      </c>
      <c r="AN172" s="33" t="s">
        <v>81</v>
      </c>
      <c r="AO172" s="32" t="s">
        <v>81</v>
      </c>
      <c r="AP172" s="39"/>
      <c r="AQ172">
        <v>0</v>
      </c>
      <c r="AR172">
        <v>0</v>
      </c>
      <c r="AS172">
        <v>0</v>
      </c>
      <c r="AT172">
        <v>1</v>
      </c>
      <c r="AU172">
        <v>0</v>
      </c>
      <c r="AV172">
        <v>0</v>
      </c>
      <c r="AW172">
        <v>0</v>
      </c>
      <c r="AX172">
        <v>0</v>
      </c>
      <c r="AZ172" t="s">
        <v>941</v>
      </c>
      <c r="BA172" t="s">
        <v>102</v>
      </c>
      <c r="BB172" t="s">
        <v>942</v>
      </c>
      <c r="BC172" t="s">
        <v>132</v>
      </c>
      <c r="BD172" t="s">
        <v>114</v>
      </c>
      <c r="BE172" t="s">
        <v>247</v>
      </c>
      <c r="BF172" t="s">
        <v>115</v>
      </c>
      <c r="BG172" t="str">
        <f>IF(C172="","LCI","CSLAP")</f>
        <v>CSLAP</v>
      </c>
      <c r="BH172" s="14" t="s">
        <v>102</v>
      </c>
      <c r="BJ172">
        <f>IF(MAX(AT172:AX172)=0,0,IF(MAX(AT172:AX172)=1,1,LEN(AE172)-LEN(SUBSTITUTE(UPPER(AE172),",",""))+1))</f>
        <v>1</v>
      </c>
      <c r="BK172">
        <f>IF(BJ172&gt;1,2,IF(BJ172&gt;0,1,0))</f>
        <v>1</v>
      </c>
      <c r="BL172">
        <f>IF(BJ172&gt;2,3,IF(BJ172&gt;2,2,IF(BJ172&gt;1,1,0)))</f>
        <v>0</v>
      </c>
      <c r="BM172" t="str">
        <f>IF(C172="","LCI","CSLAP")</f>
        <v>CSLAP</v>
      </c>
      <c r="BN172" t="str">
        <f>IF(LEFT(AB172,13)="zebra mussels","yes","no")</f>
        <v>no</v>
      </c>
      <c r="BO172">
        <v>0.44461382113821141</v>
      </c>
    </row>
    <row r="173" spans="1:77" x14ac:dyDescent="0.3">
      <c r="A173" t="s">
        <v>1620</v>
      </c>
      <c r="B173" t="s">
        <v>1919</v>
      </c>
      <c r="C173" s="16">
        <v>48</v>
      </c>
      <c r="D173" s="16" t="s">
        <v>943</v>
      </c>
      <c r="E173" s="16" t="s">
        <v>944</v>
      </c>
      <c r="F173" s="16" t="s">
        <v>945</v>
      </c>
      <c r="G173" s="17">
        <f t="shared" si="99"/>
        <v>825.59451000000001</v>
      </c>
      <c r="H173" s="17">
        <v>334.1</v>
      </c>
      <c r="I173" s="18">
        <f t="shared" si="94"/>
        <v>17915.474999999999</v>
      </c>
      <c r="J173" s="18">
        <v>7250</v>
      </c>
      <c r="K173" s="19">
        <f t="shared" si="79"/>
        <v>21.700089793475005</v>
      </c>
      <c r="L173" s="19">
        <f>3.28*M173</f>
        <v>46.247999999999998</v>
      </c>
      <c r="M173" s="19">
        <v>14.1</v>
      </c>
      <c r="N173" s="20">
        <f t="shared" si="98"/>
        <v>21.653279999999999</v>
      </c>
      <c r="O173" s="19">
        <v>6.6</v>
      </c>
      <c r="P173" s="21" t="str">
        <f t="shared" si="80"/>
        <v>no</v>
      </c>
      <c r="Q173" s="22">
        <v>0.79807964689655164</v>
      </c>
      <c r="R173" s="18" t="s">
        <v>2175</v>
      </c>
      <c r="S173" s="23">
        <v>42.396579629999998</v>
      </c>
      <c r="T173" s="23">
        <v>-77.084903769999997</v>
      </c>
      <c r="U173" s="18" t="s">
        <v>96</v>
      </c>
      <c r="V173" s="18"/>
      <c r="W173" t="str">
        <f t="shared" si="82"/>
        <v>yes</v>
      </c>
      <c r="X173" t="s">
        <v>946</v>
      </c>
      <c r="Y173" t="str">
        <f t="shared" ref="Y173:Y196" si="105">IF(W173="yes",IF(X173="","potable water and recreation","potable water, recreation, and public bathing"),IF(X173="","recreation","recreation and public bathing"))</f>
        <v>potable water, recreation, and public bathing</v>
      </c>
      <c r="Z173" t="s">
        <v>79</v>
      </c>
      <c r="AA173" s="40" t="s">
        <v>887</v>
      </c>
      <c r="AB173" s="40" t="s">
        <v>79</v>
      </c>
      <c r="AC173" s="24">
        <f>IF(AND(AA173="none reported",AB173="none reported"),"",0)</f>
        <v>0</v>
      </c>
      <c r="AD173" s="24"/>
      <c r="AF173" t="str">
        <f t="shared" si="81"/>
        <v/>
      </c>
      <c r="AG173" s="26" t="s">
        <v>82</v>
      </c>
      <c r="AH173" s="27" t="s">
        <v>83</v>
      </c>
      <c r="AI173" s="28" t="s">
        <v>141</v>
      </c>
      <c r="AJ173" s="29" t="s">
        <v>83</v>
      </c>
      <c r="AK173" s="30" t="s">
        <v>84</v>
      </c>
      <c r="AL173" s="31" t="s">
        <v>121</v>
      </c>
      <c r="AM173" s="32" t="s">
        <v>82</v>
      </c>
      <c r="AN173" s="33" t="s">
        <v>81</v>
      </c>
      <c r="AO173" s="32" t="s">
        <v>81</v>
      </c>
      <c r="AP173" s="39"/>
      <c r="AQ173">
        <v>3</v>
      </c>
      <c r="AR173">
        <v>1</v>
      </c>
      <c r="AS173">
        <v>1</v>
      </c>
      <c r="AT173">
        <v>0</v>
      </c>
      <c r="AU173">
        <v>0</v>
      </c>
      <c r="AV173">
        <v>0</v>
      </c>
      <c r="AW173">
        <v>1</v>
      </c>
      <c r="AX173">
        <v>0</v>
      </c>
      <c r="AY173" t="s">
        <v>694</v>
      </c>
      <c r="AZ173" t="s">
        <v>947</v>
      </c>
      <c r="BA173" t="s">
        <v>102</v>
      </c>
      <c r="BB173" t="s">
        <v>2176</v>
      </c>
      <c r="BC173" t="s">
        <v>226</v>
      </c>
      <c r="BD173" t="s">
        <v>364</v>
      </c>
      <c r="BE173" t="s">
        <v>948</v>
      </c>
      <c r="BF173" t="s">
        <v>229</v>
      </c>
      <c r="BG173" t="str">
        <f t="shared" si="84"/>
        <v>CSLAP</v>
      </c>
      <c r="BH173" s="14" t="str">
        <f>IF(RIGHT(CM173,4)="2011","yes","no")</f>
        <v>no</v>
      </c>
      <c r="BJ173">
        <f t="shared" si="100"/>
        <v>1</v>
      </c>
      <c r="BK173">
        <f t="shared" si="101"/>
        <v>1</v>
      </c>
      <c r="BL173">
        <f t="shared" si="102"/>
        <v>0</v>
      </c>
      <c r="BM173" t="str">
        <f t="shared" si="103"/>
        <v>CSLAP</v>
      </c>
      <c r="BN173" t="str">
        <f t="shared" si="104"/>
        <v>no</v>
      </c>
      <c r="BO173">
        <v>0.38109756097560976</v>
      </c>
      <c r="BW173" t="s">
        <v>949</v>
      </c>
    </row>
    <row r="174" spans="1:77" x14ac:dyDescent="0.3">
      <c r="A174" t="s">
        <v>1621</v>
      </c>
      <c r="B174" t="s">
        <v>1920</v>
      </c>
      <c r="C174" s="16">
        <v>233</v>
      </c>
      <c r="D174" s="16" t="s">
        <v>950</v>
      </c>
      <c r="E174" s="16" t="s">
        <v>176</v>
      </c>
      <c r="F174" s="16" t="s">
        <v>443</v>
      </c>
      <c r="G174" s="17">
        <f t="shared" si="99"/>
        <v>12.84972</v>
      </c>
      <c r="H174" s="17">
        <v>5.2</v>
      </c>
      <c r="I174" s="18">
        <f t="shared" si="94"/>
        <v>70.426349999999999</v>
      </c>
      <c r="J174" s="18">
        <v>28.5</v>
      </c>
      <c r="K174" s="19">
        <f t="shared" si="79"/>
        <v>5.4807692307692308</v>
      </c>
      <c r="L174" s="19">
        <f>3.28*M174</f>
        <v>40.015999999999998</v>
      </c>
      <c r="M174" s="19">
        <v>12.2</v>
      </c>
      <c r="N174" s="20">
        <f t="shared" si="98"/>
        <v>18.4118496</v>
      </c>
      <c r="O174" s="19">
        <v>5.6120000000000001</v>
      </c>
      <c r="P174" s="21" t="str">
        <f t="shared" si="80"/>
        <v>yes</v>
      </c>
      <c r="Q174" s="22">
        <v>1.8658532553606237</v>
      </c>
      <c r="R174" s="18" t="s">
        <v>951</v>
      </c>
      <c r="S174" s="23">
        <v>40.978966309999997</v>
      </c>
      <c r="T174" s="23">
        <v>-72.557284929999994</v>
      </c>
      <c r="U174" s="16" t="s">
        <v>77</v>
      </c>
      <c r="V174" s="16"/>
      <c r="W174" t="str">
        <f t="shared" si="82"/>
        <v>no</v>
      </c>
      <c r="Y174" t="str">
        <f t="shared" si="105"/>
        <v>recreation</v>
      </c>
      <c r="Z174" t="s">
        <v>79</v>
      </c>
      <c r="AA174" s="40" t="s">
        <v>79</v>
      </c>
      <c r="AB174" s="40" t="s">
        <v>79</v>
      </c>
      <c r="AC174" s="35">
        <v>5.4953117108035689</v>
      </c>
      <c r="AD174" s="35" t="s">
        <v>442</v>
      </c>
      <c r="AE174" s="25" t="s">
        <v>952</v>
      </c>
      <c r="AF174" t="str">
        <f t="shared" si="81"/>
        <v>yes</v>
      </c>
      <c r="AG174" s="26" t="s">
        <v>81</v>
      </c>
      <c r="AH174" s="27" t="s">
        <v>141</v>
      </c>
      <c r="AI174" s="27" t="s">
        <v>141</v>
      </c>
      <c r="AJ174" s="27" t="s">
        <v>156</v>
      </c>
      <c r="AK174" s="27" t="s">
        <v>100</v>
      </c>
      <c r="AL174" s="27" t="s">
        <v>100</v>
      </c>
      <c r="AM174" s="27" t="s">
        <v>156</v>
      </c>
      <c r="AN174" s="33" t="s">
        <v>81</v>
      </c>
      <c r="AO174" s="32" t="s">
        <v>81</v>
      </c>
      <c r="AP174" s="39"/>
      <c r="AQ174">
        <v>0</v>
      </c>
      <c r="AR174">
        <v>0</v>
      </c>
      <c r="AS174">
        <v>0</v>
      </c>
      <c r="AT174">
        <v>2</v>
      </c>
      <c r="AU174">
        <v>4</v>
      </c>
      <c r="AV174">
        <v>1</v>
      </c>
      <c r="AW174">
        <v>1</v>
      </c>
      <c r="AX174">
        <v>2</v>
      </c>
      <c r="AZ174" t="s">
        <v>953</v>
      </c>
      <c r="BA174" t="s">
        <v>102</v>
      </c>
      <c r="BB174" t="s">
        <v>954</v>
      </c>
      <c r="BC174" t="s">
        <v>132</v>
      </c>
      <c r="BD174" t="s">
        <v>104</v>
      </c>
      <c r="BE174" t="s">
        <v>105</v>
      </c>
      <c r="BF174" t="s">
        <v>115</v>
      </c>
      <c r="BG174" t="str">
        <f t="shared" si="84"/>
        <v>CSLAP</v>
      </c>
      <c r="BH174" s="14" t="s">
        <v>102</v>
      </c>
      <c r="BJ174">
        <f t="shared" si="100"/>
        <v>3</v>
      </c>
      <c r="BK174">
        <f t="shared" si="101"/>
        <v>2</v>
      </c>
      <c r="BL174">
        <f t="shared" si="102"/>
        <v>3</v>
      </c>
      <c r="BM174" t="str">
        <f t="shared" si="103"/>
        <v>CSLAP</v>
      </c>
      <c r="BN174" t="str">
        <f t="shared" si="104"/>
        <v>no</v>
      </c>
      <c r="BO174">
        <v>0.54878048780487809</v>
      </c>
    </row>
    <row r="175" spans="1:77" x14ac:dyDescent="0.3">
      <c r="A175" t="s">
        <v>1622</v>
      </c>
      <c r="B175" t="s">
        <v>1921</v>
      </c>
      <c r="C175" s="16">
        <v>38</v>
      </c>
      <c r="D175" s="16" t="s">
        <v>955</v>
      </c>
      <c r="E175" s="16" t="s">
        <v>243</v>
      </c>
      <c r="F175" s="16" t="s">
        <v>956</v>
      </c>
      <c r="G175" s="17">
        <f t="shared" si="99"/>
        <v>89.700929999999985</v>
      </c>
      <c r="H175" s="17">
        <v>36.299999999999997</v>
      </c>
      <c r="I175" s="18">
        <f t="shared" si="94"/>
        <v>3185.2478999999998</v>
      </c>
      <c r="J175" s="18">
        <v>1289</v>
      </c>
      <c r="K175" s="19">
        <f t="shared" si="79"/>
        <v>35.509641873278241</v>
      </c>
      <c r="L175" s="19">
        <f>3.28*M175</f>
        <v>45.919999999999995</v>
      </c>
      <c r="M175" s="19">
        <v>14</v>
      </c>
      <c r="N175" s="20">
        <f t="shared" si="98"/>
        <v>20.997120000000002</v>
      </c>
      <c r="O175" s="19">
        <v>6.4</v>
      </c>
      <c r="P175" s="21" t="str">
        <f t="shared" si="80"/>
        <v>no</v>
      </c>
      <c r="Q175" s="22">
        <v>0.45058184639255233</v>
      </c>
      <c r="R175" s="18" t="s">
        <v>2178</v>
      </c>
      <c r="S175" s="23">
        <v>42.803321099999998</v>
      </c>
      <c r="T175" s="23">
        <v>-75.606766500000006</v>
      </c>
      <c r="U175" s="18" t="s">
        <v>95</v>
      </c>
      <c r="V175" s="18" t="s">
        <v>78</v>
      </c>
      <c r="W175" t="str">
        <f t="shared" si="82"/>
        <v>no</v>
      </c>
      <c r="X175" t="s">
        <v>957</v>
      </c>
      <c r="Y175" t="str">
        <f t="shared" si="105"/>
        <v>recreation and public bathing</v>
      </c>
      <c r="Z175" t="s">
        <v>79</v>
      </c>
      <c r="AA175" s="40" t="s">
        <v>209</v>
      </c>
      <c r="AB175" s="40" t="s">
        <v>79</v>
      </c>
      <c r="AC175" s="24">
        <f>IF(AND(AA175="none reported",AB175="none reported"),"",0)</f>
        <v>0</v>
      </c>
      <c r="AD175" s="24"/>
      <c r="AF175" t="str">
        <f t="shared" si="81"/>
        <v/>
      </c>
      <c r="AG175" s="26" t="s">
        <v>81</v>
      </c>
      <c r="AH175" s="27" t="s">
        <v>82</v>
      </c>
      <c r="AI175" s="28" t="s">
        <v>83</v>
      </c>
      <c r="AJ175" s="29" t="s">
        <v>257</v>
      </c>
      <c r="AK175" s="30" t="s">
        <v>84</v>
      </c>
      <c r="AL175" s="31" t="s">
        <v>85</v>
      </c>
      <c r="AM175" s="32" t="s">
        <v>82</v>
      </c>
      <c r="AN175" s="33" t="s">
        <v>81</v>
      </c>
      <c r="AO175" s="32" t="s">
        <v>81</v>
      </c>
      <c r="AP175" s="39"/>
      <c r="AQ175">
        <v>3</v>
      </c>
      <c r="AR175">
        <v>1</v>
      </c>
      <c r="AS175">
        <v>0</v>
      </c>
      <c r="AT175">
        <v>0</v>
      </c>
      <c r="AU175">
        <v>0</v>
      </c>
      <c r="AV175">
        <v>0</v>
      </c>
      <c r="AW175">
        <v>0</v>
      </c>
      <c r="AX175">
        <v>0</v>
      </c>
      <c r="AY175" t="s">
        <v>958</v>
      </c>
      <c r="AZ175" t="s">
        <v>959</v>
      </c>
      <c r="BA175" t="s">
        <v>102</v>
      </c>
      <c r="BB175" t="s">
        <v>2179</v>
      </c>
      <c r="BC175" t="s">
        <v>132</v>
      </c>
      <c r="BD175" t="s">
        <v>114</v>
      </c>
      <c r="BE175" t="s">
        <v>247</v>
      </c>
      <c r="BF175" t="s">
        <v>115</v>
      </c>
      <c r="BG175" t="str">
        <f t="shared" si="84"/>
        <v>CSLAP</v>
      </c>
      <c r="BH175" s="14" t="s">
        <v>102</v>
      </c>
      <c r="BJ175">
        <f t="shared" si="100"/>
        <v>0</v>
      </c>
      <c r="BK175">
        <f t="shared" si="101"/>
        <v>0</v>
      </c>
      <c r="BL175">
        <f t="shared" si="102"/>
        <v>0</v>
      </c>
      <c r="BM175" t="str">
        <f t="shared" si="103"/>
        <v>CSLAP</v>
      </c>
      <c r="BN175" t="str">
        <f t="shared" si="104"/>
        <v>no</v>
      </c>
      <c r="BO175">
        <v>0.4</v>
      </c>
      <c r="BV175" t="s">
        <v>958</v>
      </c>
      <c r="BY175" t="s">
        <v>960</v>
      </c>
    </row>
    <row r="176" spans="1:77" x14ac:dyDescent="0.3">
      <c r="A176" t="e">
        <v>#N/A</v>
      </c>
      <c r="B176" t="e">
        <v>#N/A</v>
      </c>
      <c r="C176" s="16">
        <v>97.1</v>
      </c>
      <c r="D176" s="16" t="s">
        <v>961</v>
      </c>
      <c r="E176" s="16" t="s">
        <v>243</v>
      </c>
      <c r="F176" s="16" t="s">
        <v>962</v>
      </c>
      <c r="G176" s="17">
        <f t="shared" si="99"/>
        <v>96.125789999999995</v>
      </c>
      <c r="H176" s="17">
        <v>38.9</v>
      </c>
      <c r="I176" s="18">
        <f t="shared" si="94"/>
        <v>2723.1522</v>
      </c>
      <c r="J176" s="18">
        <v>1102</v>
      </c>
      <c r="K176" s="19">
        <f t="shared" si="79"/>
        <v>28.32904884318766</v>
      </c>
      <c r="L176" s="19" t="s">
        <v>110</v>
      </c>
      <c r="M176" s="19"/>
      <c r="N176" s="20">
        <f t="shared" si="98"/>
        <v>10.170480000000001</v>
      </c>
      <c r="O176" s="19">
        <v>3.1</v>
      </c>
      <c r="P176" s="21" t="str">
        <f t="shared" si="80"/>
        <v>no</v>
      </c>
      <c r="Q176" s="22">
        <v>0.15964982903890537</v>
      </c>
      <c r="R176" s="18" t="s">
        <v>963</v>
      </c>
      <c r="S176" s="23">
        <v>42.879449882199999</v>
      </c>
      <c r="T176" s="23">
        <v>-75.577422831700005</v>
      </c>
      <c r="U176" s="18" t="s">
        <v>78</v>
      </c>
      <c r="V176" s="18" t="s">
        <v>77</v>
      </c>
      <c r="W176" t="str">
        <f t="shared" si="82"/>
        <v>no</v>
      </c>
      <c r="Y176" t="str">
        <f t="shared" si="105"/>
        <v>recreation</v>
      </c>
      <c r="Z176" t="s">
        <v>79</v>
      </c>
      <c r="AA176" s="40" t="s">
        <v>209</v>
      </c>
      <c r="AB176" s="40" t="s">
        <v>139</v>
      </c>
      <c r="AC176" s="24">
        <f>IF(AND(AA176="none reported",AB176="none reported"),"",0)</f>
        <v>0</v>
      </c>
      <c r="AD176" s="24"/>
      <c r="AF176" t="str">
        <f t="shared" si="81"/>
        <v/>
      </c>
      <c r="AG176" s="26" t="s">
        <v>81</v>
      </c>
      <c r="AH176" s="27" t="s">
        <v>81</v>
      </c>
      <c r="AI176" s="28" t="s">
        <v>257</v>
      </c>
      <c r="AJ176" s="29" t="s">
        <v>82</v>
      </c>
      <c r="AK176" s="30" t="s">
        <v>85</v>
      </c>
      <c r="AL176" s="31" t="s">
        <v>85</v>
      </c>
      <c r="AM176" s="32" t="s">
        <v>82</v>
      </c>
      <c r="AN176" s="33" t="s">
        <v>81</v>
      </c>
      <c r="AO176" s="32" t="s">
        <v>81</v>
      </c>
      <c r="AP176" s="39"/>
      <c r="AQ176">
        <v>0</v>
      </c>
      <c r="AR176">
        <v>0</v>
      </c>
      <c r="AS176">
        <v>0</v>
      </c>
      <c r="AT176">
        <v>0</v>
      </c>
      <c r="AU176">
        <v>0</v>
      </c>
      <c r="AV176">
        <v>0</v>
      </c>
      <c r="AW176">
        <v>0</v>
      </c>
      <c r="AX176">
        <v>0</v>
      </c>
      <c r="AY176" t="s">
        <v>964</v>
      </c>
      <c r="AZ176" t="s">
        <v>965</v>
      </c>
      <c r="BD176" t="s">
        <v>114</v>
      </c>
      <c r="BF176" t="s">
        <v>115</v>
      </c>
      <c r="BG176" t="str">
        <f t="shared" si="84"/>
        <v>CSLAP</v>
      </c>
      <c r="BH176" s="14" t="str">
        <f>IF(RIGHT(CM176,4)="2011","yes","no")</f>
        <v>no</v>
      </c>
      <c r="BJ176">
        <f t="shared" si="100"/>
        <v>0</v>
      </c>
      <c r="BK176">
        <f t="shared" si="101"/>
        <v>0</v>
      </c>
      <c r="BL176">
        <f t="shared" si="102"/>
        <v>0</v>
      </c>
      <c r="BM176" t="str">
        <f t="shared" si="103"/>
        <v>CSLAP</v>
      </c>
      <c r="BN176" t="str">
        <f t="shared" si="104"/>
        <v>yes</v>
      </c>
      <c r="BO176">
        <v>0.52832105664211337</v>
      </c>
      <c r="BV176" t="s">
        <v>964</v>
      </c>
      <c r="BY176" t="s">
        <v>966</v>
      </c>
    </row>
    <row r="177" spans="1:77" x14ac:dyDescent="0.3">
      <c r="A177" t="e">
        <v>#N/A</v>
      </c>
      <c r="B177" t="e">
        <v>#N/A</v>
      </c>
      <c r="C177" s="16">
        <v>97.2</v>
      </c>
      <c r="D177" s="16" t="s">
        <v>967</v>
      </c>
      <c r="E177" s="16" t="s">
        <v>243</v>
      </c>
      <c r="F177" s="16" t="s">
        <v>962</v>
      </c>
      <c r="G177" s="17"/>
      <c r="H177" s="17"/>
      <c r="I177" s="18"/>
      <c r="J177" s="18"/>
      <c r="K177" s="19"/>
      <c r="L177" s="19"/>
      <c r="M177" s="19"/>
      <c r="N177" s="20"/>
      <c r="O177" s="19"/>
      <c r="Q177" s="22">
        <v>0</v>
      </c>
      <c r="R177" s="18" t="s">
        <v>963</v>
      </c>
      <c r="S177" s="23">
        <v>42.874302213999997</v>
      </c>
      <c r="T177" s="23">
        <v>-75.573225609900007</v>
      </c>
      <c r="U177" s="18"/>
      <c r="V177" s="18"/>
      <c r="AA177" s="40"/>
      <c r="AB177" s="40"/>
      <c r="AC177" s="24"/>
      <c r="AD177" s="24"/>
      <c r="AE177" s="25">
        <v>2019</v>
      </c>
      <c r="AF177" t="s">
        <v>99</v>
      </c>
      <c r="AG177" s="26"/>
      <c r="AH177" s="27"/>
      <c r="AI177" s="28"/>
      <c r="AJ177" s="29"/>
      <c r="AK177" s="30"/>
      <c r="AL177" s="31"/>
      <c r="AM177" s="32"/>
      <c r="AP177" s="39"/>
      <c r="AT177"/>
      <c r="AU177"/>
      <c r="AV177"/>
      <c r="AW177"/>
      <c r="AX177"/>
      <c r="BH177" s="14"/>
      <c r="BO177">
        <v>0.52832105664211337</v>
      </c>
    </row>
    <row r="178" spans="1:77" x14ac:dyDescent="0.3">
      <c r="A178" t="s">
        <v>1623</v>
      </c>
      <c r="B178" t="s">
        <v>1922</v>
      </c>
      <c r="C178" s="16">
        <v>219</v>
      </c>
      <c r="D178" s="16" t="s">
        <v>968</v>
      </c>
      <c r="E178" s="16" t="s">
        <v>198</v>
      </c>
      <c r="F178" s="16" t="s">
        <v>199</v>
      </c>
      <c r="G178" s="17">
        <f t="shared" si="99"/>
        <v>4.6950899999999995</v>
      </c>
      <c r="H178" s="17">
        <v>1.9</v>
      </c>
      <c r="I178" s="18">
        <f t="shared" ref="I178:I185" si="106">IF(J178="","",J178*2.4711)</f>
        <v>95.137349999999998</v>
      </c>
      <c r="J178" s="18">
        <v>38.5</v>
      </c>
      <c r="K178" s="19">
        <f t="shared" si="79"/>
        <v>20.263157894736842</v>
      </c>
      <c r="L178" s="19">
        <v>6.8896800000000002</v>
      </c>
      <c r="M178" s="19">
        <v>2.1</v>
      </c>
      <c r="N178" s="20">
        <f t="shared" ref="N178:N185" si="107">IF(O178="", "",O178*3.2808)</f>
        <v>3.2381496000000003</v>
      </c>
      <c r="O178" s="19">
        <v>0.98699999999999999</v>
      </c>
      <c r="P178" s="21" t="str">
        <f t="shared" si="80"/>
        <v>no</v>
      </c>
      <c r="Q178" s="22">
        <v>0.16796238244514108</v>
      </c>
      <c r="R178" s="18" t="s">
        <v>218</v>
      </c>
      <c r="S178" s="23">
        <v>40.938293969999997</v>
      </c>
      <c r="T178" s="23">
        <v>-72.212883869999999</v>
      </c>
      <c r="U178" s="18" t="s">
        <v>78</v>
      </c>
      <c r="V178" s="18"/>
      <c r="W178" t="str">
        <f t="shared" ref="W178:W241" si="108">IF(OR(U178="A",U178="AA",U178="AAspec",U178="A(T)",U178="AA(T)"),"yes","no")</f>
        <v>no</v>
      </c>
      <c r="Y178" t="str">
        <f t="shared" si="105"/>
        <v>recreation</v>
      </c>
      <c r="Z178" t="s">
        <v>79</v>
      </c>
      <c r="AA178" s="24" t="s">
        <v>79</v>
      </c>
      <c r="AB178" s="24" t="s">
        <v>79</v>
      </c>
      <c r="AC178" s="35">
        <v>5.6638337144107469</v>
      </c>
      <c r="AD178" s="35" t="s">
        <v>219</v>
      </c>
      <c r="AF178" t="str">
        <f t="shared" si="81"/>
        <v/>
      </c>
      <c r="AG178" s="26" t="s">
        <v>81</v>
      </c>
      <c r="AH178" s="27" t="s">
        <v>81</v>
      </c>
      <c r="AI178" s="28" t="s">
        <v>156</v>
      </c>
      <c r="AJ178" s="28" t="s">
        <v>156</v>
      </c>
      <c r="AK178" s="28" t="s">
        <v>156</v>
      </c>
      <c r="AL178" s="28" t="s">
        <v>156</v>
      </c>
      <c r="AM178" s="28" t="s">
        <v>156</v>
      </c>
      <c r="AN178" s="33" t="s">
        <v>81</v>
      </c>
      <c r="AO178" s="32" t="s">
        <v>81</v>
      </c>
      <c r="AP178" s="39"/>
      <c r="AQ178">
        <v>0</v>
      </c>
      <c r="AR178">
        <v>0</v>
      </c>
      <c r="AS178">
        <v>0</v>
      </c>
      <c r="AT178">
        <v>0</v>
      </c>
      <c r="AU178">
        <v>0</v>
      </c>
      <c r="AV178">
        <v>0</v>
      </c>
      <c r="AW178">
        <v>0</v>
      </c>
      <c r="AX178">
        <v>0</v>
      </c>
      <c r="BC178" t="s">
        <v>103</v>
      </c>
      <c r="BD178" t="s">
        <v>202</v>
      </c>
      <c r="BE178" t="s">
        <v>203</v>
      </c>
      <c r="BF178" t="s">
        <v>203</v>
      </c>
      <c r="BG178" t="str">
        <f t="shared" si="84"/>
        <v>CSLAP</v>
      </c>
      <c r="BH178" s="14" t="s">
        <v>99</v>
      </c>
      <c r="BJ178">
        <f t="shared" si="100"/>
        <v>0</v>
      </c>
      <c r="BK178">
        <f t="shared" si="101"/>
        <v>0</v>
      </c>
      <c r="BL178">
        <f t="shared" si="102"/>
        <v>0</v>
      </c>
      <c r="BM178" t="str">
        <f t="shared" si="103"/>
        <v>CSLAP</v>
      </c>
      <c r="BN178" t="str">
        <f t="shared" si="104"/>
        <v>no</v>
      </c>
      <c r="BO178">
        <v>0.28999999999999998</v>
      </c>
    </row>
    <row r="179" spans="1:77" x14ac:dyDescent="0.3">
      <c r="A179" t="s">
        <v>1625</v>
      </c>
      <c r="B179" t="s">
        <v>1923</v>
      </c>
      <c r="C179" s="16">
        <v>134</v>
      </c>
      <c r="D179" s="16" t="s">
        <v>969</v>
      </c>
      <c r="E179" s="16" t="s">
        <v>970</v>
      </c>
      <c r="F179" s="16" t="s">
        <v>971</v>
      </c>
      <c r="G179" s="17">
        <f t="shared" si="99"/>
        <v>153.70241999999999</v>
      </c>
      <c r="H179" s="17">
        <v>62.2</v>
      </c>
      <c r="I179" s="18">
        <f t="shared" si="106"/>
        <v>960.02234999999996</v>
      </c>
      <c r="J179" s="18">
        <v>388.5</v>
      </c>
      <c r="K179" s="19">
        <f t="shared" si="79"/>
        <v>6.245980707395498</v>
      </c>
      <c r="L179" s="19">
        <f>3.28*M179</f>
        <v>36.08</v>
      </c>
      <c r="M179" s="19">
        <v>11</v>
      </c>
      <c r="N179" s="20">
        <f t="shared" si="107"/>
        <v>18.0444</v>
      </c>
      <c r="O179" s="19">
        <v>5.5</v>
      </c>
      <c r="P179" s="21" t="str">
        <f t="shared" si="80"/>
        <v>no</v>
      </c>
      <c r="Q179" s="22">
        <v>1.3863635521235522</v>
      </c>
      <c r="R179" s="18" t="s">
        <v>2180</v>
      </c>
      <c r="S179" s="23">
        <v>42.427569320000003</v>
      </c>
      <c r="T179" s="23">
        <v>-78.480041540000002</v>
      </c>
      <c r="U179" s="18" t="s">
        <v>77</v>
      </c>
      <c r="V179" s="18" t="s">
        <v>77</v>
      </c>
      <c r="W179" t="str">
        <f t="shared" si="108"/>
        <v>no</v>
      </c>
      <c r="Y179" t="str">
        <f t="shared" si="105"/>
        <v>recreation</v>
      </c>
      <c r="Z179" t="s">
        <v>79</v>
      </c>
      <c r="AA179" s="24" t="s">
        <v>120</v>
      </c>
      <c r="AB179" s="24" t="s">
        <v>139</v>
      </c>
      <c r="AC179" s="24">
        <f t="shared" ref="AC179:AC184" si="109">IF(AND(AA179="none reported",AB179="none reported"),"",0)</f>
        <v>0</v>
      </c>
      <c r="AD179" s="24"/>
      <c r="AE179" s="25" t="s">
        <v>972</v>
      </c>
      <c r="AF179" t="str">
        <f t="shared" si="81"/>
        <v>yes</v>
      </c>
      <c r="AG179" s="26" t="s">
        <v>81</v>
      </c>
      <c r="AH179" s="27" t="s">
        <v>83</v>
      </c>
      <c r="AI179" s="28" t="s">
        <v>141</v>
      </c>
      <c r="AJ179" s="29" t="s">
        <v>82</v>
      </c>
      <c r="AK179" s="30" t="s">
        <v>121</v>
      </c>
      <c r="AL179" s="31" t="s">
        <v>84</v>
      </c>
      <c r="AM179" s="32" t="s">
        <v>82</v>
      </c>
      <c r="AN179" s="33" t="s">
        <v>81</v>
      </c>
      <c r="AO179" s="32" t="s">
        <v>81</v>
      </c>
      <c r="AP179" s="39"/>
      <c r="AQ179">
        <v>0</v>
      </c>
      <c r="AR179">
        <v>0</v>
      </c>
      <c r="AS179">
        <v>2</v>
      </c>
      <c r="AT179">
        <v>0</v>
      </c>
      <c r="AU179">
        <v>0</v>
      </c>
      <c r="AV179">
        <v>1</v>
      </c>
      <c r="AW179">
        <v>2</v>
      </c>
      <c r="AX179">
        <v>5</v>
      </c>
      <c r="AY179" t="s">
        <v>973</v>
      </c>
      <c r="AZ179" t="s">
        <v>974</v>
      </c>
      <c r="BA179" t="s">
        <v>102</v>
      </c>
      <c r="BB179" t="s">
        <v>2181</v>
      </c>
      <c r="BC179" t="s">
        <v>226</v>
      </c>
      <c r="BD179" t="s">
        <v>677</v>
      </c>
      <c r="BE179" t="s">
        <v>365</v>
      </c>
      <c r="BF179" t="s">
        <v>365</v>
      </c>
      <c r="BG179" t="str">
        <f t="shared" si="84"/>
        <v>CSLAP</v>
      </c>
      <c r="BH179" s="14" t="s">
        <v>102</v>
      </c>
      <c r="BJ179">
        <f t="shared" si="100"/>
        <v>4</v>
      </c>
      <c r="BK179">
        <f t="shared" si="101"/>
        <v>2</v>
      </c>
      <c r="BL179">
        <f t="shared" si="102"/>
        <v>3</v>
      </c>
      <c r="BM179" t="str">
        <f t="shared" si="103"/>
        <v>CSLAP</v>
      </c>
      <c r="BN179" t="str">
        <f t="shared" si="104"/>
        <v>yes</v>
      </c>
      <c r="BO179">
        <v>0.63516260162601623</v>
      </c>
      <c r="BV179" t="s">
        <v>973</v>
      </c>
    </row>
    <row r="180" spans="1:77" x14ac:dyDescent="0.3">
      <c r="A180" t="s">
        <v>1626</v>
      </c>
      <c r="B180" t="s">
        <v>1924</v>
      </c>
      <c r="C180" s="16">
        <v>135</v>
      </c>
      <c r="D180" s="16" t="s">
        <v>975</v>
      </c>
      <c r="E180" s="16" t="s">
        <v>117</v>
      </c>
      <c r="F180" s="16" t="s">
        <v>976</v>
      </c>
      <c r="G180" s="17">
        <f t="shared" si="99"/>
        <v>720.81986999999992</v>
      </c>
      <c r="H180" s="17">
        <v>291.7</v>
      </c>
      <c r="I180" s="18">
        <f t="shared" si="106"/>
        <v>9884.4</v>
      </c>
      <c r="J180" s="18">
        <v>4000</v>
      </c>
      <c r="K180" s="19">
        <f t="shared" si="79"/>
        <v>13.712718546451834</v>
      </c>
      <c r="L180" s="19">
        <v>25.262160000000002</v>
      </c>
      <c r="M180" s="19">
        <v>7.7</v>
      </c>
      <c r="N180" s="20">
        <f t="shared" si="107"/>
        <v>9.8424000000000014</v>
      </c>
      <c r="O180" s="19">
        <v>3</v>
      </c>
      <c r="P180" s="21" t="str">
        <f t="shared" si="80"/>
        <v>no</v>
      </c>
      <c r="Q180" s="22">
        <v>0.6907834710743801</v>
      </c>
      <c r="R180" s="18" t="s">
        <v>2182</v>
      </c>
      <c r="S180" s="23">
        <v>44.143099999999997</v>
      </c>
      <c r="T180" s="23">
        <v>-73.573179999999994</v>
      </c>
      <c r="U180" s="18" t="s">
        <v>95</v>
      </c>
      <c r="V180" s="18" t="s">
        <v>77</v>
      </c>
      <c r="W180" t="str">
        <f t="shared" si="108"/>
        <v>no</v>
      </c>
      <c r="Y180" t="str">
        <f t="shared" si="105"/>
        <v>recreation</v>
      </c>
      <c r="Z180" t="s">
        <v>79</v>
      </c>
      <c r="AA180" s="24" t="s">
        <v>120</v>
      </c>
      <c r="AB180" s="24" t="s">
        <v>79</v>
      </c>
      <c r="AC180" s="24">
        <f t="shared" si="109"/>
        <v>0</v>
      </c>
      <c r="AD180" s="24"/>
      <c r="AF180" t="str">
        <f t="shared" si="81"/>
        <v/>
      </c>
      <c r="AG180" s="26" t="s">
        <v>81</v>
      </c>
      <c r="AH180" s="27" t="s">
        <v>82</v>
      </c>
      <c r="AI180" s="28" t="s">
        <v>141</v>
      </c>
      <c r="AJ180" s="29" t="s">
        <v>82</v>
      </c>
      <c r="AK180" s="30" t="s">
        <v>85</v>
      </c>
      <c r="AL180" s="31" t="s">
        <v>121</v>
      </c>
      <c r="AM180" s="32" t="s">
        <v>141</v>
      </c>
      <c r="AN180" s="33" t="s">
        <v>81</v>
      </c>
      <c r="AO180" s="32" t="s">
        <v>81</v>
      </c>
      <c r="AP180" s="39"/>
      <c r="AQ180">
        <v>0</v>
      </c>
      <c r="AR180">
        <v>0</v>
      </c>
      <c r="AS180">
        <v>0</v>
      </c>
      <c r="AT180">
        <v>0</v>
      </c>
      <c r="AU180">
        <v>0</v>
      </c>
      <c r="AV180">
        <v>0</v>
      </c>
      <c r="AW180">
        <v>0</v>
      </c>
      <c r="AX180">
        <v>0</v>
      </c>
      <c r="AZ180" t="s">
        <v>977</v>
      </c>
      <c r="BA180" t="s">
        <v>102</v>
      </c>
      <c r="BB180" t="s">
        <v>978</v>
      </c>
      <c r="BC180" t="s">
        <v>87</v>
      </c>
      <c r="BD180" t="s">
        <v>124</v>
      </c>
      <c r="BE180" t="s">
        <v>89</v>
      </c>
      <c r="BF180" t="s">
        <v>89</v>
      </c>
      <c r="BG180" t="str">
        <f t="shared" si="84"/>
        <v>CSLAP</v>
      </c>
      <c r="BH180" s="14" t="s">
        <v>102</v>
      </c>
      <c r="BJ180">
        <f t="shared" si="100"/>
        <v>0</v>
      </c>
      <c r="BK180">
        <f t="shared" si="101"/>
        <v>0</v>
      </c>
      <c r="BL180">
        <f t="shared" si="102"/>
        <v>0</v>
      </c>
      <c r="BM180" t="str">
        <f t="shared" si="103"/>
        <v>CSLAP</v>
      </c>
      <c r="BN180" t="str">
        <f t="shared" si="104"/>
        <v>no</v>
      </c>
      <c r="BO180">
        <v>0.3167056091538174</v>
      </c>
      <c r="BY180" t="s">
        <v>979</v>
      </c>
    </row>
    <row r="181" spans="1:77" x14ac:dyDescent="0.3">
      <c r="A181" t="s">
        <v>1627</v>
      </c>
      <c r="B181" t="s">
        <v>1925</v>
      </c>
      <c r="C181" s="16">
        <v>58</v>
      </c>
      <c r="D181" s="16" t="s">
        <v>200</v>
      </c>
      <c r="E181" s="16" t="s">
        <v>198</v>
      </c>
      <c r="F181" s="16" t="s">
        <v>199</v>
      </c>
      <c r="G181" s="17">
        <f t="shared" si="99"/>
        <v>19.274579999999997</v>
      </c>
      <c r="H181" s="17">
        <v>7.8</v>
      </c>
      <c r="I181" s="18">
        <f t="shared" si="106"/>
        <v>553.52639999999997</v>
      </c>
      <c r="J181" s="18">
        <v>224</v>
      </c>
      <c r="K181" s="19">
        <f t="shared" si="79"/>
        <v>28.717948717948719</v>
      </c>
      <c r="L181" s="19">
        <v>19.684800000000003</v>
      </c>
      <c r="M181" s="19">
        <v>6</v>
      </c>
      <c r="N181" s="20">
        <f t="shared" si="107"/>
        <v>9.8424000000000014</v>
      </c>
      <c r="O181" s="19">
        <v>3</v>
      </c>
      <c r="P181" s="21" t="str">
        <f t="shared" si="80"/>
        <v>no</v>
      </c>
      <c r="Q181" s="22">
        <v>0.36022167487684731</v>
      </c>
      <c r="R181" s="18" t="s">
        <v>2185</v>
      </c>
      <c r="S181" s="23">
        <v>40.918170510000003</v>
      </c>
      <c r="T181" s="23">
        <v>-72.408428999999998</v>
      </c>
      <c r="U181" s="18" t="s">
        <v>77</v>
      </c>
      <c r="V181" s="18"/>
      <c r="W181" t="str">
        <f t="shared" si="108"/>
        <v>no</v>
      </c>
      <c r="Y181" t="str">
        <f t="shared" si="105"/>
        <v>recreation</v>
      </c>
      <c r="Z181" t="s">
        <v>79</v>
      </c>
      <c r="AA181" s="24" t="s">
        <v>980</v>
      </c>
      <c r="AB181" s="24" t="s">
        <v>79</v>
      </c>
      <c r="AC181" s="24">
        <f t="shared" si="109"/>
        <v>0</v>
      </c>
      <c r="AD181" s="24"/>
      <c r="AE181" s="25" t="s">
        <v>432</v>
      </c>
      <c r="AF181" t="str">
        <f t="shared" si="81"/>
        <v>yes</v>
      </c>
      <c r="AG181" s="16" t="s">
        <v>81</v>
      </c>
      <c r="AH181" s="16" t="s">
        <v>83</v>
      </c>
      <c r="AI181" s="16" t="s">
        <v>141</v>
      </c>
      <c r="AJ181" s="16" t="s">
        <v>82</v>
      </c>
      <c r="AK181" s="16" t="s">
        <v>156</v>
      </c>
      <c r="AL181" s="16" t="s">
        <v>156</v>
      </c>
      <c r="AM181" s="16" t="s">
        <v>82</v>
      </c>
      <c r="AN181" s="39">
        <v>43718</v>
      </c>
      <c r="AO181" s="39">
        <v>43718</v>
      </c>
      <c r="AP181" s="39"/>
      <c r="AQ181">
        <v>2</v>
      </c>
      <c r="AR181">
        <v>2</v>
      </c>
      <c r="AS181">
        <v>0</v>
      </c>
      <c r="AT181">
        <v>0</v>
      </c>
      <c r="AU181">
        <v>2</v>
      </c>
      <c r="AV181">
        <v>0</v>
      </c>
      <c r="AW181">
        <v>0</v>
      </c>
      <c r="AX181">
        <v>0</v>
      </c>
      <c r="AZ181" t="s">
        <v>981</v>
      </c>
      <c r="BA181" t="s">
        <v>102</v>
      </c>
      <c r="BB181" t="s">
        <v>982</v>
      </c>
      <c r="BC181" t="s">
        <v>103</v>
      </c>
      <c r="BD181" t="s">
        <v>202</v>
      </c>
      <c r="BE181" t="s">
        <v>203</v>
      </c>
      <c r="BF181" t="s">
        <v>203</v>
      </c>
      <c r="BG181" t="str">
        <f t="shared" si="84"/>
        <v>CSLAP</v>
      </c>
      <c r="BH181" s="14" t="s">
        <v>102</v>
      </c>
      <c r="BJ181">
        <f t="shared" si="100"/>
        <v>2</v>
      </c>
      <c r="BK181">
        <f t="shared" si="101"/>
        <v>2</v>
      </c>
      <c r="BL181">
        <f t="shared" si="102"/>
        <v>1</v>
      </c>
      <c r="BM181" t="str">
        <f t="shared" si="103"/>
        <v>CSLAP</v>
      </c>
      <c r="BN181" t="str">
        <f t="shared" si="104"/>
        <v>no</v>
      </c>
      <c r="BO181">
        <v>0.28999999999999998</v>
      </c>
    </row>
    <row r="182" spans="1:77" x14ac:dyDescent="0.3">
      <c r="A182" t="s">
        <v>1926</v>
      </c>
      <c r="B182" t="s">
        <v>1927</v>
      </c>
      <c r="C182" s="16">
        <v>210</v>
      </c>
      <c r="D182" s="16" t="s">
        <v>219</v>
      </c>
      <c r="E182" s="16" t="s">
        <v>198</v>
      </c>
      <c r="F182" s="16" t="s">
        <v>983</v>
      </c>
      <c r="G182" s="17">
        <f t="shared" si="99"/>
        <v>12.84972</v>
      </c>
      <c r="H182" s="17">
        <v>5.2</v>
      </c>
      <c r="I182" s="18">
        <f t="shared" si="106"/>
        <v>240.93224999999998</v>
      </c>
      <c r="J182" s="18">
        <v>97.5</v>
      </c>
      <c r="K182" s="19">
        <f t="shared" si="79"/>
        <v>18.75</v>
      </c>
      <c r="L182" s="19">
        <v>20.012879999999999</v>
      </c>
      <c r="M182" s="19">
        <v>6.1</v>
      </c>
      <c r="N182" s="20">
        <f t="shared" si="107"/>
        <v>9.4060535999999981</v>
      </c>
      <c r="O182" s="19">
        <v>2.8669999999999995</v>
      </c>
      <c r="P182" s="21" t="str">
        <f t="shared" si="80"/>
        <v>no</v>
      </c>
      <c r="Q182" s="22">
        <v>0.52726436781609198</v>
      </c>
      <c r="R182" s="18" t="s">
        <v>2186</v>
      </c>
      <c r="S182" s="23">
        <v>40.93326184</v>
      </c>
      <c r="T182" s="23">
        <v>-72.320886430000002</v>
      </c>
      <c r="U182" s="18" t="s">
        <v>78</v>
      </c>
      <c r="V182" s="18" t="s">
        <v>314</v>
      </c>
      <c r="W182" t="str">
        <f t="shared" si="108"/>
        <v>no</v>
      </c>
      <c r="Y182" t="str">
        <f t="shared" si="105"/>
        <v>recreation</v>
      </c>
      <c r="Z182" t="s">
        <v>79</v>
      </c>
      <c r="AA182" s="24" t="s">
        <v>521</v>
      </c>
      <c r="AB182" s="24" t="s">
        <v>79</v>
      </c>
      <c r="AC182" s="24">
        <f t="shared" si="109"/>
        <v>0</v>
      </c>
      <c r="AD182" s="24"/>
      <c r="AF182" t="str">
        <f t="shared" si="81"/>
        <v/>
      </c>
      <c r="AG182" s="26" t="s">
        <v>81</v>
      </c>
      <c r="AH182" s="27" t="s">
        <v>81</v>
      </c>
      <c r="AI182" s="28" t="s">
        <v>82</v>
      </c>
      <c r="AJ182" s="29" t="s">
        <v>82</v>
      </c>
      <c r="AK182" s="16" t="s">
        <v>85</v>
      </c>
      <c r="AL182" s="31" t="s">
        <v>85</v>
      </c>
      <c r="AM182" s="16" t="s">
        <v>82</v>
      </c>
      <c r="AN182" s="33" t="s">
        <v>81</v>
      </c>
      <c r="AO182" s="32" t="s">
        <v>81</v>
      </c>
      <c r="AP182" s="39"/>
      <c r="AQ182">
        <v>0</v>
      </c>
      <c r="AR182">
        <v>0</v>
      </c>
      <c r="AS182">
        <v>0</v>
      </c>
      <c r="AT182">
        <v>0</v>
      </c>
      <c r="AU182">
        <v>0</v>
      </c>
      <c r="AV182">
        <v>0</v>
      </c>
      <c r="AW182">
        <v>0</v>
      </c>
      <c r="AX182">
        <v>0</v>
      </c>
      <c r="AZ182" t="s">
        <v>984</v>
      </c>
      <c r="BA182" t="s">
        <v>102</v>
      </c>
      <c r="BB182" t="s">
        <v>985</v>
      </c>
      <c r="BC182" t="s">
        <v>103</v>
      </c>
      <c r="BD182" t="s">
        <v>202</v>
      </c>
      <c r="BE182" t="s">
        <v>203</v>
      </c>
      <c r="BF182" t="s">
        <v>203</v>
      </c>
      <c r="BG182" t="str">
        <f t="shared" si="84"/>
        <v>CSLAP</v>
      </c>
      <c r="BH182" s="14" t="s">
        <v>102</v>
      </c>
      <c r="BJ182">
        <f t="shared" si="100"/>
        <v>0</v>
      </c>
      <c r="BK182">
        <f t="shared" si="101"/>
        <v>0</v>
      </c>
      <c r="BL182">
        <f t="shared" si="102"/>
        <v>0</v>
      </c>
      <c r="BM182" t="str">
        <f t="shared" si="103"/>
        <v>CSLAP</v>
      </c>
      <c r="BN182" t="str">
        <f t="shared" si="104"/>
        <v>no</v>
      </c>
      <c r="BO182">
        <v>0.28999999999999998</v>
      </c>
    </row>
    <row r="183" spans="1:77" x14ac:dyDescent="0.3">
      <c r="A183" t="s">
        <v>1628</v>
      </c>
      <c r="B183" t="s">
        <v>1928</v>
      </c>
      <c r="C183" s="16">
        <v>43</v>
      </c>
      <c r="D183" s="16" t="s">
        <v>225</v>
      </c>
      <c r="E183" s="16" t="s">
        <v>416</v>
      </c>
      <c r="F183" s="16" t="s">
        <v>986</v>
      </c>
      <c r="G183" s="17">
        <f t="shared" si="99"/>
        <v>715.38344999999993</v>
      </c>
      <c r="H183" s="17">
        <v>289.5</v>
      </c>
      <c r="I183" s="18">
        <f t="shared" si="106"/>
        <v>1674.4173599999999</v>
      </c>
      <c r="J183" s="18">
        <v>677.6</v>
      </c>
      <c r="K183" s="19">
        <f t="shared" si="79"/>
        <v>2.3405872193436963</v>
      </c>
      <c r="L183" s="19">
        <f>3.28*M183</f>
        <v>38.375999999999998</v>
      </c>
      <c r="M183" s="19">
        <v>11.7</v>
      </c>
      <c r="N183" s="20">
        <f t="shared" si="107"/>
        <v>14.7636</v>
      </c>
      <c r="O183" s="19">
        <v>4.5</v>
      </c>
      <c r="P183" s="21" t="str">
        <f t="shared" si="80"/>
        <v>no</v>
      </c>
      <c r="Q183" s="22">
        <v>5.0448878394332937</v>
      </c>
      <c r="R183" s="18" t="s">
        <v>987</v>
      </c>
      <c r="S183" s="23">
        <v>43.329765160000001</v>
      </c>
      <c r="T183" s="23">
        <v>-76.709495039999993</v>
      </c>
      <c r="U183" s="18" t="s">
        <v>77</v>
      </c>
      <c r="V183" s="18"/>
      <c r="W183" t="str">
        <f t="shared" si="108"/>
        <v>no</v>
      </c>
      <c r="Y183" t="str">
        <f t="shared" si="105"/>
        <v>recreation</v>
      </c>
      <c r="Z183" t="s">
        <v>79</v>
      </c>
      <c r="AA183" s="45" t="s">
        <v>988</v>
      </c>
      <c r="AB183" s="40" t="s">
        <v>139</v>
      </c>
      <c r="AC183" s="24">
        <f t="shared" si="109"/>
        <v>0</v>
      </c>
      <c r="AD183" s="24"/>
      <c r="AF183" t="str">
        <f t="shared" si="81"/>
        <v/>
      </c>
      <c r="AG183" s="26" t="s">
        <v>81</v>
      </c>
      <c r="AH183" s="27" t="s">
        <v>141</v>
      </c>
      <c r="AI183" s="28" t="s">
        <v>141</v>
      </c>
      <c r="AJ183" s="29" t="s">
        <v>83</v>
      </c>
      <c r="AK183" s="30" t="s">
        <v>121</v>
      </c>
      <c r="AL183" s="31" t="s">
        <v>121</v>
      </c>
      <c r="AM183" s="32" t="s">
        <v>83</v>
      </c>
      <c r="AN183" s="33" t="s">
        <v>81</v>
      </c>
      <c r="AO183" s="32" t="s">
        <v>81</v>
      </c>
      <c r="AP183" s="39"/>
      <c r="AQ183">
        <v>0</v>
      </c>
      <c r="AR183">
        <v>0</v>
      </c>
      <c r="AS183">
        <v>0</v>
      </c>
      <c r="AT183">
        <v>0</v>
      </c>
      <c r="AU183">
        <v>0</v>
      </c>
      <c r="AV183">
        <v>0</v>
      </c>
      <c r="AW183">
        <v>0</v>
      </c>
      <c r="AX183">
        <v>0</v>
      </c>
      <c r="BA183" t="s">
        <v>102</v>
      </c>
      <c r="BC183" t="s">
        <v>226</v>
      </c>
      <c r="BD183" t="s">
        <v>227</v>
      </c>
      <c r="BE183" t="s">
        <v>228</v>
      </c>
      <c r="BF183" t="s">
        <v>229</v>
      </c>
      <c r="BG183" t="str">
        <f t="shared" si="84"/>
        <v>CSLAP</v>
      </c>
      <c r="BH183" s="14" t="str">
        <f>IF(RIGHT(CM183,4)="2011","yes","no")</f>
        <v>no</v>
      </c>
      <c r="BJ183">
        <f t="shared" si="100"/>
        <v>0</v>
      </c>
      <c r="BK183">
        <f t="shared" si="101"/>
        <v>0</v>
      </c>
      <c r="BL183">
        <f t="shared" si="102"/>
        <v>0</v>
      </c>
      <c r="BM183" t="str">
        <f t="shared" si="103"/>
        <v>CSLAP</v>
      </c>
      <c r="BN183" t="str">
        <f t="shared" si="104"/>
        <v>yes</v>
      </c>
      <c r="BO183">
        <v>0.38109756097560976</v>
      </c>
    </row>
    <row r="184" spans="1:77" x14ac:dyDescent="0.3">
      <c r="A184" t="s">
        <v>1629</v>
      </c>
      <c r="B184" t="s">
        <v>1929</v>
      </c>
      <c r="C184" s="16">
        <v>221</v>
      </c>
      <c r="D184" s="16" t="s">
        <v>989</v>
      </c>
      <c r="E184" s="16" t="s">
        <v>165</v>
      </c>
      <c r="F184" s="16" t="s">
        <v>990</v>
      </c>
      <c r="G184" s="17">
        <f t="shared" si="99"/>
        <v>11.119949999999999</v>
      </c>
      <c r="H184" s="17">
        <v>4.5</v>
      </c>
      <c r="I184" s="18">
        <f t="shared" si="106"/>
        <v>3874.6848</v>
      </c>
      <c r="J184" s="18">
        <v>1568</v>
      </c>
      <c r="K184" s="19">
        <f t="shared" si="79"/>
        <v>348.44444444444446</v>
      </c>
      <c r="L184" s="19">
        <v>15.09168</v>
      </c>
      <c r="M184" s="19">
        <v>4.5999999999999996</v>
      </c>
      <c r="N184" s="20">
        <f t="shared" si="107"/>
        <v>7.0930895999999999</v>
      </c>
      <c r="O184" s="19">
        <v>2.1619999999999999</v>
      </c>
      <c r="P184" s="21" t="str">
        <f t="shared" si="80"/>
        <v>no</v>
      </c>
      <c r="Q184" s="22">
        <v>1.0171671127467379E-2</v>
      </c>
      <c r="R184" s="18" t="s">
        <v>2187</v>
      </c>
      <c r="S184" s="23">
        <v>41.2106108535</v>
      </c>
      <c r="T184" s="23">
        <v>-74.200454708999999</v>
      </c>
      <c r="U184" s="18" t="s">
        <v>77</v>
      </c>
      <c r="V184" s="18" t="s">
        <v>77</v>
      </c>
      <c r="W184" t="str">
        <f t="shared" si="108"/>
        <v>no</v>
      </c>
      <c r="Y184" t="str">
        <f t="shared" si="105"/>
        <v>recreation</v>
      </c>
      <c r="Z184" t="s">
        <v>79</v>
      </c>
      <c r="AA184" s="24" t="s">
        <v>120</v>
      </c>
      <c r="AB184" s="24" t="s">
        <v>79</v>
      </c>
      <c r="AC184" s="24">
        <f t="shared" si="109"/>
        <v>0</v>
      </c>
      <c r="AD184" s="24"/>
      <c r="AE184" s="25" t="s">
        <v>991</v>
      </c>
      <c r="AF184" t="str">
        <f t="shared" si="81"/>
        <v>yes</v>
      </c>
      <c r="AG184" s="26" t="s">
        <v>81</v>
      </c>
      <c r="AH184" s="27" t="s">
        <v>156</v>
      </c>
      <c r="AI184" s="28" t="s">
        <v>156</v>
      </c>
      <c r="AJ184" s="29" t="s">
        <v>156</v>
      </c>
      <c r="AK184" s="30" t="s">
        <v>156</v>
      </c>
      <c r="AL184" s="31" t="s">
        <v>156</v>
      </c>
      <c r="AM184" s="32" t="s">
        <v>156</v>
      </c>
      <c r="AN184" s="33">
        <v>43670</v>
      </c>
      <c r="AO184" s="33">
        <v>43670</v>
      </c>
      <c r="AP184" s="39"/>
      <c r="AQ184">
        <v>0</v>
      </c>
      <c r="AR184">
        <v>0</v>
      </c>
      <c r="AS184">
        <v>2</v>
      </c>
      <c r="AT184">
        <v>1</v>
      </c>
      <c r="AU184">
        <v>0</v>
      </c>
      <c r="AV184">
        <v>2</v>
      </c>
      <c r="AW184">
        <v>0</v>
      </c>
      <c r="AX184">
        <v>3</v>
      </c>
      <c r="AY184" t="s">
        <v>992</v>
      </c>
      <c r="AZ184" t="s">
        <v>993</v>
      </c>
      <c r="BA184" t="s">
        <v>102</v>
      </c>
      <c r="BB184" t="s">
        <v>2188</v>
      </c>
      <c r="BC184" t="s">
        <v>103</v>
      </c>
      <c r="BD184" t="s">
        <v>152</v>
      </c>
      <c r="BE184" t="s">
        <v>105</v>
      </c>
      <c r="BF184" t="s">
        <v>160</v>
      </c>
      <c r="BG184" t="str">
        <f t="shared" si="84"/>
        <v>CSLAP</v>
      </c>
      <c r="BH184" s="14" t="s">
        <v>102</v>
      </c>
      <c r="BJ184">
        <f t="shared" si="100"/>
        <v>4</v>
      </c>
      <c r="BK184">
        <f t="shared" si="101"/>
        <v>2</v>
      </c>
      <c r="BL184">
        <f t="shared" si="102"/>
        <v>3</v>
      </c>
      <c r="BM184" t="str">
        <f t="shared" si="103"/>
        <v>CSLAP</v>
      </c>
      <c r="BN184" t="str">
        <f t="shared" si="104"/>
        <v>no</v>
      </c>
      <c r="BO184">
        <v>0.61</v>
      </c>
      <c r="BV184" t="s">
        <v>992</v>
      </c>
    </row>
    <row r="185" spans="1:77" x14ac:dyDescent="0.3">
      <c r="A185" t="s">
        <v>1631</v>
      </c>
      <c r="B185" t="s">
        <v>1930</v>
      </c>
      <c r="C185" s="16">
        <v>148</v>
      </c>
      <c r="D185" s="16" t="s">
        <v>994</v>
      </c>
      <c r="E185" s="16" t="s">
        <v>448</v>
      </c>
      <c r="F185" s="16" t="s">
        <v>482</v>
      </c>
      <c r="G185" s="17">
        <f t="shared" si="99"/>
        <v>160.12727999999998</v>
      </c>
      <c r="H185" s="17">
        <v>64.8</v>
      </c>
      <c r="I185" s="18">
        <f t="shared" si="106"/>
        <v>6919.08</v>
      </c>
      <c r="J185" s="18">
        <v>2800</v>
      </c>
      <c r="K185" s="19">
        <f t="shared" si="79"/>
        <v>43.20987654320988</v>
      </c>
      <c r="L185" s="19">
        <f>3.28*M185</f>
        <v>26.24</v>
      </c>
      <c r="M185" s="19">
        <v>8</v>
      </c>
      <c r="N185" s="20">
        <f t="shared" si="107"/>
        <v>16.404</v>
      </c>
      <c r="O185" s="19">
        <v>5</v>
      </c>
      <c r="P185" s="21" t="str">
        <f t="shared" si="80"/>
        <v>no</v>
      </c>
      <c r="Q185" s="22">
        <v>0.18080357142857142</v>
      </c>
      <c r="R185" s="18" t="s">
        <v>995</v>
      </c>
      <c r="S185" s="23">
        <v>44.253480000000003</v>
      </c>
      <c r="T185" s="23">
        <v>-74.47927</v>
      </c>
      <c r="U185" s="18" t="s">
        <v>77</v>
      </c>
      <c r="V185" s="18" t="s">
        <v>96</v>
      </c>
      <c r="W185" t="str">
        <f t="shared" si="108"/>
        <v>no</v>
      </c>
      <c r="Y185" t="str">
        <f t="shared" si="105"/>
        <v>recreation</v>
      </c>
      <c r="Z185" t="s">
        <v>79</v>
      </c>
      <c r="AA185" s="40" t="s">
        <v>79</v>
      </c>
      <c r="AB185" s="40" t="s">
        <v>79</v>
      </c>
      <c r="AC185" s="35">
        <v>7.2549173070761697</v>
      </c>
      <c r="AD185" s="35" t="s">
        <v>484</v>
      </c>
      <c r="AF185" t="str">
        <f t="shared" si="81"/>
        <v/>
      </c>
      <c r="AG185" s="26" t="s">
        <v>81</v>
      </c>
      <c r="AH185" s="27" t="s">
        <v>83</v>
      </c>
      <c r="AI185" s="28" t="s">
        <v>83</v>
      </c>
      <c r="AJ185" s="29" t="s">
        <v>82</v>
      </c>
      <c r="AK185" s="30" t="s">
        <v>84</v>
      </c>
      <c r="AL185" s="31" t="s">
        <v>85</v>
      </c>
      <c r="AM185" s="32" t="s">
        <v>82</v>
      </c>
      <c r="AN185" s="33" t="s">
        <v>81</v>
      </c>
      <c r="AO185" s="32" t="s">
        <v>81</v>
      </c>
      <c r="AP185" s="39"/>
      <c r="AQ185">
        <v>0</v>
      </c>
      <c r="AR185">
        <v>0</v>
      </c>
      <c r="AS185">
        <v>0</v>
      </c>
      <c r="AT185">
        <v>0</v>
      </c>
      <c r="AU185">
        <v>0</v>
      </c>
      <c r="AV185">
        <v>0</v>
      </c>
      <c r="AW185">
        <v>0</v>
      </c>
      <c r="AX185">
        <v>0</v>
      </c>
      <c r="BD185" t="s">
        <v>215</v>
      </c>
      <c r="BE185" t="s">
        <v>216</v>
      </c>
      <c r="BF185" t="s">
        <v>89</v>
      </c>
      <c r="BG185" t="str">
        <f t="shared" si="84"/>
        <v>CSLAP</v>
      </c>
      <c r="BH185" s="14" t="str">
        <f>IF(RIGHT(CM185,4)="2011","yes","no")</f>
        <v>no</v>
      </c>
      <c r="BJ185">
        <f t="shared" si="100"/>
        <v>0</v>
      </c>
      <c r="BK185">
        <f t="shared" si="101"/>
        <v>0</v>
      </c>
      <c r="BL185">
        <f t="shared" si="102"/>
        <v>0</v>
      </c>
      <c r="BM185" t="str">
        <f t="shared" si="103"/>
        <v>CSLAP</v>
      </c>
      <c r="BN185" t="str">
        <f t="shared" si="104"/>
        <v>no</v>
      </c>
      <c r="BO185">
        <v>0.64</v>
      </c>
      <c r="BW185" t="s">
        <v>996</v>
      </c>
    </row>
    <row r="186" spans="1:77" x14ac:dyDescent="0.3">
      <c r="A186" t="s">
        <v>1931</v>
      </c>
      <c r="B186" t="s">
        <v>1932</v>
      </c>
      <c r="C186" s="16">
        <v>209</v>
      </c>
      <c r="D186" s="16" t="s">
        <v>130</v>
      </c>
      <c r="E186" s="16" t="s">
        <v>198</v>
      </c>
      <c r="F186" s="16" t="s">
        <v>983</v>
      </c>
      <c r="G186" s="17">
        <f>H186*2.4711</f>
        <v>26.68788</v>
      </c>
      <c r="H186" s="36">
        <v>10.8</v>
      </c>
      <c r="I186" s="18">
        <v>1136.4435936285936</v>
      </c>
      <c r="J186" s="18">
        <v>459.89380989380987</v>
      </c>
      <c r="K186" s="19">
        <f>J186/H186</f>
        <v>42.58276017535276</v>
      </c>
      <c r="L186" s="19">
        <f>3.28*M186</f>
        <v>8.1999999999999993</v>
      </c>
      <c r="M186" s="19">
        <v>2.5</v>
      </c>
      <c r="N186" s="20">
        <f>0.46*L186</f>
        <v>3.7719999999999998</v>
      </c>
      <c r="O186" s="20">
        <f>0.46*M186</f>
        <v>1.1500000000000001</v>
      </c>
      <c r="P186" s="21" t="str">
        <f>IF(O186=(M186*0.46),"yes","no")</f>
        <v>yes</v>
      </c>
      <c r="Q186" s="22">
        <v>0</v>
      </c>
      <c r="R186" s="18" t="s">
        <v>2167</v>
      </c>
      <c r="S186" s="38">
        <v>40.937259415</v>
      </c>
      <c r="T186" s="38">
        <v>-72.323724940000005</v>
      </c>
      <c r="U186" s="18" t="s">
        <v>77</v>
      </c>
      <c r="V186" s="18"/>
      <c r="W186" t="str">
        <f>IF(OR(U186="A",U186="AA",U186="AAspec",U186="A(T)",U186="AA(T)"),"yes","no")</f>
        <v>no</v>
      </c>
      <c r="Y186" t="str">
        <f>IF(W186="yes",IF(X186="","potable water and recreation","potable water, recreation, and public bathing"),IF(X186="","recreation","recreation and public bathing"))</f>
        <v>recreation</v>
      </c>
      <c r="AA186" s="40" t="s">
        <v>551</v>
      </c>
      <c r="AB186" s="40" t="s">
        <v>79</v>
      </c>
      <c r="AC186" s="24">
        <v>0</v>
      </c>
      <c r="AD186" s="24"/>
      <c r="AF186" t="str">
        <f>IF(AE186="","",IF(IFERROR(SEARCH(",",AE186,1)&gt;1,0),"yes","no"))</f>
        <v/>
      </c>
      <c r="AG186" s="26" t="s">
        <v>81</v>
      </c>
      <c r="AH186" s="16" t="s">
        <v>81</v>
      </c>
      <c r="AI186" s="16" t="s">
        <v>82</v>
      </c>
      <c r="AJ186" s="16" t="s">
        <v>82</v>
      </c>
      <c r="AK186" s="16" t="s">
        <v>85</v>
      </c>
      <c r="AL186" s="16" t="s">
        <v>85</v>
      </c>
      <c r="AM186" s="16" t="s">
        <v>82</v>
      </c>
      <c r="AN186" s="33" t="s">
        <v>81</v>
      </c>
      <c r="AO186" s="32" t="s">
        <v>81</v>
      </c>
      <c r="AP186" s="39"/>
      <c r="AQ186">
        <v>0</v>
      </c>
      <c r="AR186">
        <v>0</v>
      </c>
      <c r="AS186">
        <v>0</v>
      </c>
      <c r="AT186">
        <v>0</v>
      </c>
      <c r="AU186">
        <v>0</v>
      </c>
      <c r="AV186">
        <v>0</v>
      </c>
      <c r="AW186">
        <v>2</v>
      </c>
      <c r="AX186">
        <v>0</v>
      </c>
      <c r="AZ186" t="s">
        <v>984</v>
      </c>
      <c r="BA186" t="s">
        <v>102</v>
      </c>
      <c r="BB186" t="s">
        <v>985</v>
      </c>
      <c r="BC186" t="s">
        <v>103</v>
      </c>
      <c r="BD186" t="s">
        <v>202</v>
      </c>
      <c r="BE186" t="s">
        <v>203</v>
      </c>
      <c r="BF186" t="s">
        <v>203</v>
      </c>
      <c r="BG186" t="str">
        <f>IF(C186="","LCI","CSLAP")</f>
        <v>CSLAP</v>
      </c>
      <c r="BH186" s="14"/>
      <c r="BJ186">
        <f>IF(MAX(AT186:AX186)=0,0,IF(MAX(AT186:AX186)=1,1,LEN(AE186)-LEN(SUBSTITUTE(UPPER(AE186),",",""))+1))</f>
        <v>1</v>
      </c>
      <c r="BK186">
        <f>IF(BJ186&gt;1,2,IF(BJ186&gt;0,1,0))</f>
        <v>1</v>
      </c>
      <c r="BL186">
        <f>IF(BJ186&gt;2,3,IF(BJ186&gt;2,2,IF(BJ186&gt;1,1,0)))</f>
        <v>0</v>
      </c>
      <c r="BM186" t="str">
        <f>IF(C186="","LCI","CSLAP")</f>
        <v>CSLAP</v>
      </c>
      <c r="BN186" t="str">
        <f>IF(LEFT(AB186,13)="zebra mussels","yes","no")</f>
        <v>no</v>
      </c>
      <c r="BO186">
        <v>0.28999999999999998</v>
      </c>
    </row>
    <row r="187" spans="1:77" x14ac:dyDescent="0.3">
      <c r="A187" t="e">
        <v>#N/A</v>
      </c>
      <c r="B187" t="e">
        <v>#N/A</v>
      </c>
      <c r="C187" s="16">
        <v>1001</v>
      </c>
      <c r="D187" s="16" t="s">
        <v>130</v>
      </c>
      <c r="E187" s="16" t="s">
        <v>127</v>
      </c>
      <c r="F187" s="16" t="s">
        <v>128</v>
      </c>
      <c r="G187" s="17">
        <f>H187*2.4711</f>
        <v>115.15326</v>
      </c>
      <c r="H187" s="17">
        <v>46.6</v>
      </c>
      <c r="I187" s="18">
        <f>IF(J187="","",J187*2.4711)</f>
        <v>543.64199999999994</v>
      </c>
      <c r="J187" s="18">
        <v>220</v>
      </c>
      <c r="K187" s="19">
        <f>J187/H187</f>
        <v>4.7210300429184544</v>
      </c>
      <c r="L187" s="19">
        <v>30</v>
      </c>
      <c r="M187" s="19">
        <v>9.1</v>
      </c>
      <c r="N187" s="20">
        <v>14</v>
      </c>
      <c r="O187" s="19">
        <v>4.2</v>
      </c>
      <c r="P187" s="21" t="str">
        <f>IF(O187=(M187*0.46),"yes","no")</f>
        <v>no</v>
      </c>
      <c r="Q187" s="22">
        <v>2.5</v>
      </c>
      <c r="R187" s="18" t="s">
        <v>997</v>
      </c>
      <c r="S187" s="23">
        <v>42.7885066694</v>
      </c>
      <c r="T187" s="23">
        <v>-73.442490031999995</v>
      </c>
      <c r="U187" s="18" t="s">
        <v>458</v>
      </c>
      <c r="V187" s="18" t="s">
        <v>77</v>
      </c>
      <c r="W187" t="str">
        <f>IF(OR(U187="A",U187="AA",U187="AAspec",U187="A(T)",U187="AA(T)"),"yes","no")</f>
        <v>yes</v>
      </c>
      <c r="X187" t="s">
        <v>998</v>
      </c>
      <c r="Y187" t="str">
        <f>IF(W187="yes",IF(X187="","potable water and recreation","potable water, recreation, and public bathing"),IF(X187="","recreation","recreation and public bathing"))</f>
        <v>potable water, recreation, and public bathing</v>
      </c>
      <c r="Z187" t="s">
        <v>79</v>
      </c>
      <c r="AA187" s="40" t="s">
        <v>120</v>
      </c>
      <c r="AB187" s="40" t="s">
        <v>79</v>
      </c>
      <c r="AC187" s="24">
        <f>IF(AND(AA187="none reported",AB187="none reported"),"",0)</f>
        <v>0</v>
      </c>
      <c r="AD187" s="24"/>
      <c r="AF187" t="str">
        <f>IF(AE187="","",IF(IFERROR(SEARCH(",",AE187,1)&gt;1,0),"yes","no"))</f>
        <v/>
      </c>
      <c r="AG187" s="26" t="s">
        <v>82</v>
      </c>
      <c r="AH187" s="16" t="s">
        <v>82</v>
      </c>
      <c r="AI187" s="16" t="s">
        <v>82</v>
      </c>
      <c r="AJ187" s="16" t="s">
        <v>82</v>
      </c>
      <c r="AK187" s="16" t="s">
        <v>85</v>
      </c>
      <c r="AL187" s="16" t="s">
        <v>85</v>
      </c>
      <c r="AM187" s="16" t="s">
        <v>82</v>
      </c>
      <c r="AN187" s="33" t="s">
        <v>81</v>
      </c>
      <c r="AO187" s="32" t="s">
        <v>81</v>
      </c>
      <c r="AP187" s="39"/>
      <c r="AQ187">
        <v>0</v>
      </c>
      <c r="AR187">
        <v>0</v>
      </c>
      <c r="AS187">
        <v>0</v>
      </c>
      <c r="AT187">
        <v>0</v>
      </c>
      <c r="AU187">
        <v>0</v>
      </c>
      <c r="AV187">
        <v>0</v>
      </c>
      <c r="AW187">
        <v>0</v>
      </c>
      <c r="AX187">
        <v>0</v>
      </c>
      <c r="BD187" t="s">
        <v>152</v>
      </c>
      <c r="BF187" t="s">
        <v>133</v>
      </c>
      <c r="BG187" t="str">
        <f>IF(C187="","LCI","CSLAP")</f>
        <v>CSLAP</v>
      </c>
      <c r="BH187" s="14" t="str">
        <f>IF(RIGHT(CM187,4)="2011","yes","no")</f>
        <v>no</v>
      </c>
      <c r="BJ187">
        <f>IF(MAX(AT187:AX187)=0,0,IF(MAX(AT187:AX187)=1,1,LEN(AE187)-LEN(SUBSTITUTE(UPPER(AE187),",",""))+1))</f>
        <v>0</v>
      </c>
      <c r="BK187">
        <f>IF(BJ187&gt;1,2,IF(BJ187&gt;0,1,0))</f>
        <v>0</v>
      </c>
      <c r="BL187">
        <f>IF(BJ187&gt;2,3,IF(BJ187&gt;2,2,IF(BJ187&gt;1,1,0)))</f>
        <v>0</v>
      </c>
      <c r="BM187" t="str">
        <f>IF(C187="","LCI","CSLAP")</f>
        <v>CSLAP</v>
      </c>
      <c r="BN187" t="str">
        <f>IF(LEFT(AB187,13)="zebra mussels","yes","no")</f>
        <v>no</v>
      </c>
      <c r="BO187">
        <v>0.45752727272727273</v>
      </c>
    </row>
    <row r="188" spans="1:77" x14ac:dyDescent="0.3">
      <c r="A188" t="s">
        <v>1633</v>
      </c>
      <c r="B188" t="s">
        <v>1933</v>
      </c>
      <c r="C188" s="37">
        <v>249</v>
      </c>
      <c r="D188" s="37" t="s">
        <v>130</v>
      </c>
      <c r="E188" s="42" t="s">
        <v>386</v>
      </c>
      <c r="F188" t="s">
        <v>999</v>
      </c>
      <c r="G188" s="36">
        <f t="shared" si="99"/>
        <v>11.719492174674382</v>
      </c>
      <c r="H188" s="36">
        <v>4.7426215752799896</v>
      </c>
      <c r="I188" s="37">
        <v>1971.2</v>
      </c>
      <c r="J188" s="37">
        <f>I188/2.4711</f>
        <v>797.70142851361743</v>
      </c>
      <c r="K188" s="21">
        <f t="shared" si="79"/>
        <v>168.19841428451386</v>
      </c>
      <c r="L188" s="21">
        <f>3.28*M188</f>
        <v>25.911999999999999</v>
      </c>
      <c r="M188" s="21">
        <v>7.9</v>
      </c>
      <c r="N188" s="65"/>
      <c r="P188" s="21" t="str">
        <f t="shared" si="80"/>
        <v>no</v>
      </c>
      <c r="Q188" s="43">
        <v>0</v>
      </c>
      <c r="R188" s="37" t="s">
        <v>2109</v>
      </c>
      <c r="S188">
        <v>42.420229999999997</v>
      </c>
      <c r="T188">
        <v>-75.848129999999998</v>
      </c>
      <c r="U188" t="s">
        <v>77</v>
      </c>
      <c r="V188" t="s">
        <v>818</v>
      </c>
      <c r="W188" t="str">
        <f t="shared" si="108"/>
        <v>no</v>
      </c>
      <c r="Y188" t="str">
        <f t="shared" si="105"/>
        <v>recreation</v>
      </c>
      <c r="AA188" t="s">
        <v>1000</v>
      </c>
      <c r="AB188" t="s">
        <v>79</v>
      </c>
      <c r="AC188">
        <v>0</v>
      </c>
      <c r="AF188" t="str">
        <f t="shared" si="81"/>
        <v/>
      </c>
      <c r="AG188" t="s">
        <v>81</v>
      </c>
      <c r="AH188" t="s">
        <v>156</v>
      </c>
      <c r="AI188" t="s">
        <v>156</v>
      </c>
      <c r="AJ188" t="s">
        <v>156</v>
      </c>
      <c r="AK188" t="s">
        <v>156</v>
      </c>
      <c r="AL188" t="s">
        <v>156</v>
      </c>
      <c r="AM188" t="s">
        <v>156</v>
      </c>
      <c r="AN188" s="33" t="s">
        <v>81</v>
      </c>
      <c r="AO188" s="32" t="s">
        <v>81</v>
      </c>
      <c r="AP188" s="39"/>
      <c r="AQ188">
        <v>0</v>
      </c>
      <c r="AR188">
        <v>0</v>
      </c>
      <c r="AS188">
        <v>0</v>
      </c>
      <c r="AT188">
        <v>0</v>
      </c>
      <c r="AU188">
        <v>0</v>
      </c>
      <c r="AV188">
        <v>0</v>
      </c>
      <c r="AW188">
        <v>0</v>
      </c>
      <c r="AX188">
        <v>0</v>
      </c>
      <c r="AZ188" t="s">
        <v>1001</v>
      </c>
      <c r="BA188" t="s">
        <v>102</v>
      </c>
      <c r="BB188" t="s">
        <v>1002</v>
      </c>
      <c r="BD188" t="s">
        <v>152</v>
      </c>
      <c r="BG188" t="s">
        <v>54</v>
      </c>
      <c r="BH188" s="14"/>
      <c r="BM188" t="s">
        <v>54</v>
      </c>
      <c r="BN188" t="s">
        <v>99</v>
      </c>
      <c r="BO188">
        <v>0.55372110744221492</v>
      </c>
    </row>
    <row r="189" spans="1:77" x14ac:dyDescent="0.3">
      <c r="A189" t="s">
        <v>1634</v>
      </c>
      <c r="B189" t="s">
        <v>1934</v>
      </c>
      <c r="C189" s="16">
        <v>136</v>
      </c>
      <c r="D189" s="16" t="s">
        <v>1003</v>
      </c>
      <c r="E189" s="16" t="s">
        <v>762</v>
      </c>
      <c r="F189" s="16" t="s">
        <v>1004</v>
      </c>
      <c r="G189" s="17">
        <f t="shared" si="99"/>
        <v>166.30502999999999</v>
      </c>
      <c r="H189" s="17">
        <v>67.3</v>
      </c>
      <c r="I189" s="18">
        <f>IF(J189="","",J189*2.4711)</f>
        <v>1487.8493100000001</v>
      </c>
      <c r="J189" s="18">
        <v>602.1</v>
      </c>
      <c r="K189" s="19">
        <f t="shared" si="79"/>
        <v>8.9465081723625559</v>
      </c>
      <c r="L189" s="19">
        <v>42.650400000000005</v>
      </c>
      <c r="M189" s="19">
        <v>13</v>
      </c>
      <c r="N189" s="20">
        <f>IF(O189="", "",O189*3.2808)</f>
        <v>20.045687999999998</v>
      </c>
      <c r="O189" s="19">
        <v>6.1099999999999994</v>
      </c>
      <c r="P189" s="21" t="str">
        <f t="shared" si="80"/>
        <v>no</v>
      </c>
      <c r="Q189" s="22">
        <v>1.792055592094336</v>
      </c>
      <c r="R189" s="18" t="s">
        <v>2189</v>
      </c>
      <c r="S189" s="23">
        <v>42.492762740000003</v>
      </c>
      <c r="T189" s="23">
        <v>-77.567236629999996</v>
      </c>
      <c r="U189" s="18" t="s">
        <v>77</v>
      </c>
      <c r="V189" s="18"/>
      <c r="W189" t="str">
        <f t="shared" si="108"/>
        <v>no</v>
      </c>
      <c r="Y189" t="str">
        <f t="shared" si="105"/>
        <v>recreation</v>
      </c>
      <c r="Z189" t="s">
        <v>79</v>
      </c>
      <c r="AA189" s="40" t="s">
        <v>209</v>
      </c>
      <c r="AB189" s="40" t="s">
        <v>79</v>
      </c>
      <c r="AC189" s="24">
        <f>IF(AND(AA189="none reported",AB189="none reported"),"",0)</f>
        <v>0</v>
      </c>
      <c r="AD189" s="24"/>
      <c r="AE189" s="25">
        <v>2019</v>
      </c>
      <c r="AF189" t="str">
        <f t="shared" si="81"/>
        <v>no</v>
      </c>
      <c r="AG189" s="26" t="s">
        <v>81</v>
      </c>
      <c r="AH189" s="27" t="s">
        <v>82</v>
      </c>
      <c r="AI189" s="28" t="s">
        <v>82</v>
      </c>
      <c r="AJ189" s="29" t="s">
        <v>82</v>
      </c>
      <c r="AK189" s="30" t="s">
        <v>85</v>
      </c>
      <c r="AL189" s="31" t="s">
        <v>84</v>
      </c>
      <c r="AM189" s="32" t="s">
        <v>82</v>
      </c>
      <c r="AN189" s="33">
        <v>43642</v>
      </c>
      <c r="AO189" s="33">
        <v>43729</v>
      </c>
      <c r="AP189" s="39"/>
      <c r="AQ189">
        <v>0</v>
      </c>
      <c r="AT189">
        <v>0</v>
      </c>
      <c r="AU189">
        <v>1</v>
      </c>
      <c r="AV189">
        <v>0</v>
      </c>
      <c r="AW189">
        <v>0</v>
      </c>
      <c r="AX189">
        <v>1</v>
      </c>
      <c r="AY189" t="s">
        <v>1005</v>
      </c>
      <c r="AZ189" t="s">
        <v>1006</v>
      </c>
      <c r="BA189" t="s">
        <v>102</v>
      </c>
      <c r="BB189" t="s">
        <v>1007</v>
      </c>
      <c r="BC189" t="s">
        <v>226</v>
      </c>
      <c r="BD189" t="s">
        <v>310</v>
      </c>
      <c r="BE189" t="s">
        <v>229</v>
      </c>
      <c r="BF189" t="s">
        <v>229</v>
      </c>
      <c r="BG189" t="str">
        <f>IF(C189="","LCI","CSLAP")</f>
        <v>CSLAP</v>
      </c>
      <c r="BH189" s="14" t="str">
        <f>IF(RIGHT(CM189,4)="2011","yes","no")</f>
        <v>no</v>
      </c>
      <c r="BJ189">
        <f>IF(MAX(AT189:AX189)=0,0,IF(MAX(AT189:AX189)=1,1,LEN(AE189)-LEN(SUBSTITUTE(UPPER(AE189),",",""))+1))</f>
        <v>1</v>
      </c>
      <c r="BK189">
        <f>IF(BJ189&gt;1,2,IF(BJ189&gt;0,1,0))</f>
        <v>1</v>
      </c>
      <c r="BL189">
        <f>IF(BJ189&gt;2,3,IF(BJ189&gt;2,2,IF(BJ189&gt;1,1,0)))</f>
        <v>0</v>
      </c>
      <c r="BM189" t="str">
        <f>IF(C189="","LCI","CSLAP")</f>
        <v>CSLAP</v>
      </c>
      <c r="BN189" t="str">
        <f>IF(LEFT(AB189,13)="zebra mussels","yes","no")</f>
        <v>no</v>
      </c>
      <c r="BO189">
        <v>0.38109756097560976</v>
      </c>
    </row>
    <row r="190" spans="1:77" x14ac:dyDescent="0.3">
      <c r="A190" t="s">
        <v>1635</v>
      </c>
      <c r="B190" t="s">
        <v>1935</v>
      </c>
      <c r="C190" s="16">
        <v>10</v>
      </c>
      <c r="D190" s="16" t="s">
        <v>1003</v>
      </c>
      <c r="E190" s="16" t="s">
        <v>254</v>
      </c>
      <c r="F190" s="16" t="s">
        <v>1008</v>
      </c>
      <c r="G190" s="17">
        <f t="shared" si="99"/>
        <v>601.71285</v>
      </c>
      <c r="H190" s="17">
        <v>243.5</v>
      </c>
      <c r="I190" s="18">
        <f>IF(J190="","",J190*2.4711)</f>
        <v>8401.74</v>
      </c>
      <c r="J190" s="18">
        <v>3400</v>
      </c>
      <c r="K190" s="19">
        <f t="shared" si="79"/>
        <v>13.963039014373717</v>
      </c>
      <c r="L190" s="19">
        <v>32</v>
      </c>
      <c r="M190" s="19">
        <v>9.8000000000000007</v>
      </c>
      <c r="N190" s="20">
        <f>IF(O190="", "",O190*3.2808)</f>
        <v>15.09168</v>
      </c>
      <c r="O190" s="19">
        <v>4.5999999999999996</v>
      </c>
      <c r="P190" s="21" t="str">
        <f t="shared" si="80"/>
        <v>no</v>
      </c>
      <c r="Q190" s="22">
        <v>0.6</v>
      </c>
      <c r="R190" s="18" t="s">
        <v>1009</v>
      </c>
      <c r="S190" s="23">
        <v>43.678570000000001</v>
      </c>
      <c r="T190" s="23">
        <v>-73.854349999999997</v>
      </c>
      <c r="U190" s="18" t="s">
        <v>255</v>
      </c>
      <c r="V190" s="18" t="s">
        <v>78</v>
      </c>
      <c r="W190" t="str">
        <f t="shared" si="108"/>
        <v>yes</v>
      </c>
      <c r="X190" t="s">
        <v>1010</v>
      </c>
      <c r="Y190" t="str">
        <f t="shared" si="105"/>
        <v>potable water, recreation, and public bathing</v>
      </c>
      <c r="Z190" t="s">
        <v>79</v>
      </c>
      <c r="AA190" s="24" t="s">
        <v>1011</v>
      </c>
      <c r="AB190" s="24" t="s">
        <v>79</v>
      </c>
      <c r="AC190" s="24">
        <f>IF(AND(AA190="none reported",AB190="none reported"),"",0)</f>
        <v>0</v>
      </c>
      <c r="AD190" s="24"/>
      <c r="AF190" t="str">
        <f t="shared" si="81"/>
        <v/>
      </c>
      <c r="AG190" s="26" t="s">
        <v>156</v>
      </c>
      <c r="AH190" s="27" t="s">
        <v>156</v>
      </c>
      <c r="AI190" s="28" t="s">
        <v>156</v>
      </c>
      <c r="AJ190" s="29" t="s">
        <v>156</v>
      </c>
      <c r="AK190" s="30" t="s">
        <v>156</v>
      </c>
      <c r="AL190" s="31" t="s">
        <v>156</v>
      </c>
      <c r="AM190" s="32" t="s">
        <v>156</v>
      </c>
      <c r="AN190" s="33" t="s">
        <v>81</v>
      </c>
      <c r="AO190" s="32" t="s">
        <v>81</v>
      </c>
      <c r="AP190" s="39"/>
      <c r="AQ190">
        <v>0</v>
      </c>
      <c r="AR190">
        <v>0</v>
      </c>
      <c r="AS190">
        <v>0</v>
      </c>
      <c r="AT190">
        <v>0</v>
      </c>
      <c r="AU190">
        <v>0</v>
      </c>
      <c r="AV190">
        <v>0</v>
      </c>
      <c r="AW190">
        <v>0</v>
      </c>
      <c r="AX190">
        <v>0</v>
      </c>
      <c r="AY190" t="s">
        <v>1012</v>
      </c>
      <c r="AZ190" t="s">
        <v>1013</v>
      </c>
      <c r="BD190" t="s">
        <v>88</v>
      </c>
      <c r="BE190" t="s">
        <v>89</v>
      </c>
      <c r="BF190" t="s">
        <v>89</v>
      </c>
      <c r="BG190" t="str">
        <f>IF(C190="","LCI","CSLAP")</f>
        <v>CSLAP</v>
      </c>
      <c r="BH190" s="14" t="str">
        <f>IF(RIGHT(CM190,4)="2011","yes","no")</f>
        <v>no</v>
      </c>
      <c r="BJ190">
        <f>IF(MAX(AT190:AX190)=0,0,IF(MAX(AT190:AX190)=1,1,LEN(AE190)-LEN(SUBSTITUTE(UPPER(AE190),",",""))+1))</f>
        <v>0</v>
      </c>
      <c r="BK190">
        <f>IF(BJ190&gt;1,2,IF(BJ190&gt;0,1,0))</f>
        <v>0</v>
      </c>
      <c r="BL190">
        <f>IF(BJ190&gt;2,3,IF(BJ190&gt;2,2,IF(BJ190&gt;1,1,0)))</f>
        <v>0</v>
      </c>
      <c r="BM190" t="str">
        <f>IF(C190="","LCI","CSLAP")</f>
        <v>CSLAP</v>
      </c>
      <c r="BN190" t="str">
        <f>IF(LEFT(AB190,13)="zebra mussels","yes","no")</f>
        <v>no</v>
      </c>
      <c r="BO190">
        <v>0.5490686274509804</v>
      </c>
      <c r="BV190" t="s">
        <v>1012</v>
      </c>
    </row>
    <row r="191" spans="1:77" x14ac:dyDescent="0.3">
      <c r="A191" t="s">
        <v>1936</v>
      </c>
      <c r="B191" t="s">
        <v>1937</v>
      </c>
      <c r="C191" s="16">
        <v>72</v>
      </c>
      <c r="D191" s="16" t="s">
        <v>1014</v>
      </c>
      <c r="E191" s="16" t="s">
        <v>684</v>
      </c>
      <c r="F191" s="16" t="s">
        <v>1015</v>
      </c>
      <c r="G191" s="17">
        <f t="shared" si="99"/>
        <v>45.020040485829952</v>
      </c>
      <c r="H191" s="17">
        <v>18.218623481781375</v>
      </c>
      <c r="I191" s="18">
        <f>IF(J191="","",J191*2.4711)</f>
        <v>3054.2795999999998</v>
      </c>
      <c r="J191" s="18">
        <v>1236</v>
      </c>
      <c r="K191" s="19">
        <f t="shared" si="79"/>
        <v>67.842666666666673</v>
      </c>
      <c r="L191" s="19">
        <v>9.5143199999999997</v>
      </c>
      <c r="M191" s="19">
        <v>2.9</v>
      </c>
      <c r="N191" s="20">
        <f>IF(O191="", "",O191*3.2808)</f>
        <v>4.5931199999999999</v>
      </c>
      <c r="O191" s="19">
        <v>1.4</v>
      </c>
      <c r="P191" s="21" t="str">
        <f t="shared" si="80"/>
        <v>no</v>
      </c>
      <c r="Q191" s="22">
        <v>3.3463967611336028E-2</v>
      </c>
      <c r="R191" s="18" t="s">
        <v>2190</v>
      </c>
      <c r="S191" s="23">
        <v>43.503740999999998</v>
      </c>
      <c r="T191" s="23">
        <v>-75.890789999999996</v>
      </c>
      <c r="U191" s="18" t="s">
        <v>78</v>
      </c>
      <c r="V191" s="18" t="s">
        <v>77</v>
      </c>
      <c r="W191" t="str">
        <f t="shared" si="108"/>
        <v>no</v>
      </c>
      <c r="Y191" t="str">
        <f t="shared" si="105"/>
        <v>recreation</v>
      </c>
      <c r="Z191" t="s">
        <v>79</v>
      </c>
      <c r="AA191" s="40" t="s">
        <v>1016</v>
      </c>
      <c r="AB191" s="40" t="s">
        <v>79</v>
      </c>
      <c r="AC191" s="24">
        <f>IF(AND(AA191="none reported",AB191="none reported"),"",0)</f>
        <v>0</v>
      </c>
      <c r="AD191" s="24"/>
      <c r="AE191" s="25">
        <v>2012</v>
      </c>
      <c r="AF191" t="str">
        <f t="shared" si="81"/>
        <v>no</v>
      </c>
      <c r="AG191" s="26" t="s">
        <v>81</v>
      </c>
      <c r="AH191" s="27" t="s">
        <v>81</v>
      </c>
      <c r="AI191" s="28" t="s">
        <v>156</v>
      </c>
      <c r="AJ191" s="29" t="s">
        <v>156</v>
      </c>
      <c r="AK191" s="30" t="s">
        <v>156</v>
      </c>
      <c r="AL191" s="31" t="s">
        <v>156</v>
      </c>
      <c r="AM191" s="32" t="s">
        <v>156</v>
      </c>
      <c r="AN191" s="33" t="s">
        <v>81</v>
      </c>
      <c r="AO191" s="32" t="s">
        <v>81</v>
      </c>
      <c r="AP191" s="39"/>
      <c r="AQ191">
        <v>0</v>
      </c>
      <c r="AR191">
        <v>0</v>
      </c>
      <c r="AS191">
        <v>0</v>
      </c>
      <c r="AT191">
        <v>0</v>
      </c>
      <c r="AU191">
        <v>0</v>
      </c>
      <c r="AV191">
        <v>0</v>
      </c>
      <c r="AW191">
        <v>0</v>
      </c>
      <c r="AX191">
        <v>2</v>
      </c>
      <c r="AY191" t="s">
        <v>489</v>
      </c>
      <c r="AZ191" t="s">
        <v>1017</v>
      </c>
      <c r="BA191" t="s">
        <v>102</v>
      </c>
      <c r="BB191" t="s">
        <v>2191</v>
      </c>
      <c r="BC191" t="s">
        <v>132</v>
      </c>
      <c r="BD191" t="s">
        <v>227</v>
      </c>
      <c r="BE191" t="s">
        <v>228</v>
      </c>
      <c r="BF191" t="s">
        <v>115</v>
      </c>
      <c r="BG191" t="str">
        <f>IF(C191="","LCI","CSLAP")</f>
        <v>CSLAP</v>
      </c>
      <c r="BH191" s="14" t="s">
        <v>99</v>
      </c>
      <c r="BJ191">
        <f>IF(MAX(AT191:AX191)=0,0,IF(MAX(AT191:AX191)=1,1,LEN(AE191)-LEN(SUBSTITUTE(UPPER(AE191),",",""))+1))</f>
        <v>1</v>
      </c>
      <c r="BK191">
        <f>IF(BJ191&gt;1,2,IF(BJ191&gt;0,1,0))</f>
        <v>1</v>
      </c>
      <c r="BL191">
        <f>IF(BJ191&gt;2,3,IF(BJ191&gt;2,2,IF(BJ191&gt;1,1,0)))</f>
        <v>0</v>
      </c>
      <c r="BM191" t="str">
        <f>IF(C191="","LCI","CSLAP")</f>
        <v>CSLAP</v>
      </c>
      <c r="BN191" t="str">
        <f>IF(LEFT(AB191,13)="zebra mussels","yes","no")</f>
        <v>no</v>
      </c>
      <c r="BO191">
        <v>0.76219512195121952</v>
      </c>
      <c r="BV191" t="s">
        <v>489</v>
      </c>
      <c r="BY191" t="s">
        <v>1018</v>
      </c>
    </row>
    <row r="192" spans="1:77" x14ac:dyDescent="0.3">
      <c r="A192" t="s">
        <v>1636</v>
      </c>
      <c r="B192" t="s">
        <v>1938</v>
      </c>
      <c r="C192" s="16">
        <v>63</v>
      </c>
      <c r="D192" s="16" t="s">
        <v>1019</v>
      </c>
      <c r="E192" s="16" t="s">
        <v>356</v>
      </c>
      <c r="F192" s="16" t="s">
        <v>1020</v>
      </c>
      <c r="G192" s="17">
        <f t="shared" si="99"/>
        <v>102.30353999999998</v>
      </c>
      <c r="H192" s="17">
        <v>41.4</v>
      </c>
      <c r="I192" s="18">
        <f>IF(J192="","",J192*2.4711)</f>
        <v>3607.8059999999996</v>
      </c>
      <c r="J192" s="18">
        <v>1460</v>
      </c>
      <c r="K192" s="19">
        <f t="shared" si="79"/>
        <v>35.265700483091791</v>
      </c>
      <c r="L192" s="19" t="s">
        <v>110</v>
      </c>
      <c r="M192" s="19"/>
      <c r="N192" s="20">
        <f>IF(O192="", "",O192*3.2808)</f>
        <v>23.621760000000002</v>
      </c>
      <c r="O192" s="19">
        <v>7.2</v>
      </c>
      <c r="P192" s="21" t="str">
        <f t="shared" si="80"/>
        <v>no</v>
      </c>
      <c r="Q192" s="22">
        <v>0.69078347107438021</v>
      </c>
      <c r="R192" s="18">
        <v>1990</v>
      </c>
      <c r="S192" s="23">
        <v>42.344477349999998</v>
      </c>
      <c r="T192" s="23">
        <v>-79.317243120000001</v>
      </c>
      <c r="U192" s="18" t="s">
        <v>77</v>
      </c>
      <c r="V192" s="18"/>
      <c r="W192" t="str">
        <f t="shared" si="108"/>
        <v>no</v>
      </c>
      <c r="X192" t="s">
        <v>1021</v>
      </c>
      <c r="Y192" t="str">
        <f t="shared" si="105"/>
        <v>recreation and public bathing</v>
      </c>
      <c r="Z192" t="s">
        <v>79</v>
      </c>
      <c r="AA192" s="40" t="s">
        <v>420</v>
      </c>
      <c r="AB192" s="40" t="s">
        <v>431</v>
      </c>
      <c r="AC192" s="24">
        <f>IF(AND(AA192="none reported",AB192="none reported"),"",0)</f>
        <v>0</v>
      </c>
      <c r="AD192" s="24"/>
      <c r="AF192" t="str">
        <f t="shared" si="81"/>
        <v/>
      </c>
      <c r="AG192" s="26" t="s">
        <v>81</v>
      </c>
      <c r="AH192" s="27" t="s">
        <v>83</v>
      </c>
      <c r="AI192" s="28" t="s">
        <v>141</v>
      </c>
      <c r="AJ192" s="29" t="s">
        <v>83</v>
      </c>
      <c r="AK192" s="30" t="s">
        <v>121</v>
      </c>
      <c r="AL192" s="31" t="s">
        <v>121</v>
      </c>
      <c r="AM192" s="32" t="s">
        <v>82</v>
      </c>
      <c r="AN192" s="33" t="s">
        <v>81</v>
      </c>
      <c r="AO192" s="32" t="s">
        <v>81</v>
      </c>
      <c r="AP192" s="39"/>
      <c r="AQ192">
        <v>0</v>
      </c>
      <c r="AR192">
        <v>0</v>
      </c>
      <c r="AS192">
        <v>0</v>
      </c>
      <c r="AT192">
        <v>0</v>
      </c>
      <c r="AU192">
        <v>0</v>
      </c>
      <c r="AV192">
        <v>0</v>
      </c>
      <c r="AW192">
        <v>0</v>
      </c>
      <c r="AX192">
        <v>0</v>
      </c>
      <c r="AZ192" t="s">
        <v>1022</v>
      </c>
      <c r="BD192" t="s">
        <v>364</v>
      </c>
      <c r="BE192" t="s">
        <v>365</v>
      </c>
      <c r="BF192" t="s">
        <v>365</v>
      </c>
      <c r="BG192" t="str">
        <f>IF(C192="","LCI","CSLAP")</f>
        <v>CSLAP</v>
      </c>
      <c r="BH192" s="14" t="str">
        <f>IF(RIGHT(CM192,4)="2011","yes","no")</f>
        <v>no</v>
      </c>
      <c r="BJ192">
        <f>IF(MAX(AT192:AX192)=0,0,IF(MAX(AT192:AX192)=1,1,LEN(AE192)-LEN(SUBSTITUTE(UPPER(AE192),",",""))+1))</f>
        <v>0</v>
      </c>
      <c r="BK192">
        <f>IF(BJ192&gt;1,2,IF(BJ192&gt;0,1,0))</f>
        <v>0</v>
      </c>
      <c r="BL192">
        <f>IF(BJ192&gt;2,3,IF(BJ192&gt;2,2,IF(BJ192&gt;1,1,0)))</f>
        <v>0</v>
      </c>
      <c r="BM192" t="str">
        <f>IF(C192="","LCI","CSLAP")</f>
        <v>CSLAP</v>
      </c>
      <c r="BN192" t="str">
        <f>IF(LEFT(AB192,13)="zebra mussels","yes","no")</f>
        <v>no</v>
      </c>
      <c r="BO192">
        <v>0.29555481871056583</v>
      </c>
      <c r="BW192" t="s">
        <v>1023</v>
      </c>
    </row>
    <row r="193" spans="1:77" x14ac:dyDescent="0.3">
      <c r="A193" t="s">
        <v>1939</v>
      </c>
      <c r="B193" t="s">
        <v>1940</v>
      </c>
      <c r="C193" s="16">
        <v>79</v>
      </c>
      <c r="D193" s="16" t="s">
        <v>1024</v>
      </c>
      <c r="E193" s="16" t="s">
        <v>448</v>
      </c>
      <c r="F193" s="16" t="s">
        <v>1025</v>
      </c>
      <c r="G193" s="17">
        <f t="shared" si="99"/>
        <v>576.01340999999991</v>
      </c>
      <c r="H193" s="17">
        <v>233.1</v>
      </c>
      <c r="I193" s="18">
        <f>IF(J193="","",J193*2.4711)</f>
        <v>64495.71</v>
      </c>
      <c r="J193" s="18">
        <v>26100</v>
      </c>
      <c r="K193" s="19">
        <f t="shared" si="79"/>
        <v>111.96911196911198</v>
      </c>
      <c r="L193" s="19">
        <v>25</v>
      </c>
      <c r="M193" s="19">
        <v>7.6</v>
      </c>
      <c r="N193" s="20">
        <f>IF(O193="", "",O193*3.2808)</f>
        <v>12.138960000000001</v>
      </c>
      <c r="O193" s="19">
        <v>3.7</v>
      </c>
      <c r="P193" s="21" t="str">
        <f t="shared" si="80"/>
        <v>no</v>
      </c>
      <c r="Q193" s="22">
        <v>6.0000000000000005E-2</v>
      </c>
      <c r="R193" s="18" t="s">
        <v>730</v>
      </c>
      <c r="S193" s="23">
        <v>44.81927572</v>
      </c>
      <c r="T193" s="23">
        <v>-74.018726459999996</v>
      </c>
      <c r="U193" s="18" t="s">
        <v>95</v>
      </c>
      <c r="V193" s="18"/>
      <c r="W193" t="str">
        <f t="shared" si="108"/>
        <v>no</v>
      </c>
      <c r="Y193" t="str">
        <f t="shared" si="105"/>
        <v>recreation</v>
      </c>
      <c r="Z193" t="s">
        <v>79</v>
      </c>
      <c r="AA193" s="40" t="s">
        <v>209</v>
      </c>
      <c r="AB193" s="40" t="s">
        <v>79</v>
      </c>
      <c r="AC193" s="24">
        <f>IF(AND(AA193="none reported",AB193="none reported"),"",0)</f>
        <v>0</v>
      </c>
      <c r="AD193" s="24"/>
      <c r="AF193" t="str">
        <f t="shared" si="81"/>
        <v/>
      </c>
      <c r="AG193" s="26" t="s">
        <v>81</v>
      </c>
      <c r="AH193" s="27" t="s">
        <v>83</v>
      </c>
      <c r="AI193" s="28" t="s">
        <v>83</v>
      </c>
      <c r="AJ193" s="29" t="s">
        <v>82</v>
      </c>
      <c r="AK193" s="30" t="s">
        <v>85</v>
      </c>
      <c r="AL193" s="31" t="s">
        <v>85</v>
      </c>
      <c r="AM193" s="32" t="s">
        <v>82</v>
      </c>
      <c r="AN193" s="33" t="s">
        <v>81</v>
      </c>
      <c r="AO193" s="32" t="s">
        <v>81</v>
      </c>
      <c r="AP193" s="39"/>
      <c r="AQ193">
        <v>0</v>
      </c>
      <c r="AR193">
        <v>0</v>
      </c>
      <c r="AS193">
        <v>0</v>
      </c>
      <c r="AT193">
        <v>0</v>
      </c>
      <c r="AU193">
        <v>0</v>
      </c>
      <c r="AV193">
        <v>0</v>
      </c>
      <c r="AW193">
        <v>0</v>
      </c>
      <c r="AX193">
        <v>0</v>
      </c>
      <c r="AZ193" t="s">
        <v>1026</v>
      </c>
      <c r="BD193" t="s">
        <v>215</v>
      </c>
      <c r="BE193" t="s">
        <v>216</v>
      </c>
      <c r="BF193" t="s">
        <v>89</v>
      </c>
      <c r="BG193" t="str">
        <f>IF(C193="","LCI","CSLAP")</f>
        <v>CSLAP</v>
      </c>
      <c r="BH193" s="14" t="str">
        <f>IF(RIGHT(CM193,4)="2011","yes","no")</f>
        <v>no</v>
      </c>
      <c r="BJ193">
        <f>IF(MAX(AT193:AX193)=0,0,IF(MAX(AT193:AX193)=1,1,LEN(AE193)-LEN(SUBSTITUTE(UPPER(AE193),",",""))+1))</f>
        <v>0</v>
      </c>
      <c r="BK193">
        <f>IF(BJ193&gt;1,2,IF(BJ193&gt;0,1,0))</f>
        <v>0</v>
      </c>
      <c r="BL193">
        <f>IF(BJ193&gt;2,3,IF(BJ193&gt;2,2,IF(BJ193&gt;1,1,0)))</f>
        <v>0</v>
      </c>
      <c r="BM193" t="str">
        <f>IF(C193="","LCI","CSLAP")</f>
        <v>CSLAP</v>
      </c>
      <c r="BN193" t="str">
        <f>IF(LEFT(AB193,13)="zebra mussels","yes","no")</f>
        <v>no</v>
      </c>
      <c r="BO193">
        <v>0.55074712643678159</v>
      </c>
    </row>
    <row r="194" spans="1:77" x14ac:dyDescent="0.3">
      <c r="A194" t="s">
        <v>1637</v>
      </c>
      <c r="B194" t="s">
        <v>1941</v>
      </c>
      <c r="C194" s="37">
        <v>250</v>
      </c>
      <c r="D194" s="37" t="s">
        <v>1027</v>
      </c>
      <c r="E194" s="42" t="s">
        <v>386</v>
      </c>
      <c r="F194" t="s">
        <v>1028</v>
      </c>
      <c r="G194" s="36">
        <v>58</v>
      </c>
      <c r="H194" s="36">
        <f>G194/2.4711</f>
        <v>23.471328558132008</v>
      </c>
      <c r="I194" s="37">
        <v>1760</v>
      </c>
      <c r="J194" s="37">
        <f>I194/2.4711</f>
        <v>712.23341831572986</v>
      </c>
      <c r="K194" s="21">
        <f t="shared" ref="K194:K257" si="110">J194/H194</f>
        <v>30.344827586206897</v>
      </c>
      <c r="L194" s="21">
        <f>3.28*M194</f>
        <v>64.616</v>
      </c>
      <c r="M194" s="21">
        <v>19.7</v>
      </c>
      <c r="N194" s="65"/>
      <c r="P194" s="21" t="str">
        <f t="shared" ref="P194:P257" si="111">IF(O194=(M194*0.46),"yes","no")</f>
        <v>no</v>
      </c>
      <c r="Q194" s="43">
        <v>0</v>
      </c>
      <c r="R194" s="37" t="s">
        <v>2109</v>
      </c>
      <c r="S194">
        <v>42.079317532099999</v>
      </c>
      <c r="T194">
        <v>-73.594109501299997</v>
      </c>
      <c r="U194" t="s">
        <v>77</v>
      </c>
      <c r="V194" t="s">
        <v>818</v>
      </c>
      <c r="W194" t="str">
        <f t="shared" si="108"/>
        <v>no</v>
      </c>
      <c r="X194" t="s">
        <v>1029</v>
      </c>
      <c r="Y194" t="str">
        <f t="shared" si="105"/>
        <v>recreation and public bathing</v>
      </c>
      <c r="AA194" t="s">
        <v>1030</v>
      </c>
      <c r="AB194" t="s">
        <v>79</v>
      </c>
      <c r="AC194">
        <v>0</v>
      </c>
      <c r="AF194" t="str">
        <f t="shared" ref="AF194:AF257" si="112">IF(AE194="","",IF(IFERROR(SEARCH(",",AE194,1)&gt;1,0),"yes","no"))</f>
        <v/>
      </c>
      <c r="AG194" t="s">
        <v>81</v>
      </c>
      <c r="AH194" t="s">
        <v>156</v>
      </c>
      <c r="AI194" t="s">
        <v>156</v>
      </c>
      <c r="AJ194" t="s">
        <v>156</v>
      </c>
      <c r="AK194" t="s">
        <v>156</v>
      </c>
      <c r="AL194" t="s">
        <v>156</v>
      </c>
      <c r="AM194" t="s">
        <v>156</v>
      </c>
      <c r="AN194" s="33" t="s">
        <v>81</v>
      </c>
      <c r="AO194" s="32" t="s">
        <v>81</v>
      </c>
      <c r="AP194" s="39"/>
      <c r="AQ194">
        <v>0</v>
      </c>
      <c r="AR194">
        <v>0</v>
      </c>
      <c r="AS194">
        <v>0</v>
      </c>
      <c r="AT194">
        <v>0</v>
      </c>
      <c r="AU194">
        <v>0</v>
      </c>
      <c r="AV194">
        <v>0</v>
      </c>
      <c r="AW194">
        <v>0</v>
      </c>
      <c r="AX194">
        <v>0</v>
      </c>
      <c r="AY194" t="s">
        <v>1031</v>
      </c>
      <c r="AZ194" t="s">
        <v>1032</v>
      </c>
      <c r="BA194" t="s">
        <v>102</v>
      </c>
      <c r="BB194" t="s">
        <v>1033</v>
      </c>
      <c r="BD194" t="s">
        <v>152</v>
      </c>
      <c r="BG194" t="s">
        <v>54</v>
      </c>
      <c r="BH194" s="14"/>
      <c r="BM194" t="s">
        <v>54</v>
      </c>
      <c r="BN194" t="s">
        <v>99</v>
      </c>
      <c r="BO194">
        <v>0.55372110744221492</v>
      </c>
      <c r="BV194" t="s">
        <v>1034</v>
      </c>
    </row>
    <row r="195" spans="1:77" x14ac:dyDescent="0.3">
      <c r="A195" t="s">
        <v>1942</v>
      </c>
      <c r="B195" t="s">
        <v>1943</v>
      </c>
      <c r="C195" s="16">
        <v>172</v>
      </c>
      <c r="D195" s="16" t="s">
        <v>1035</v>
      </c>
      <c r="E195" s="16" t="s">
        <v>448</v>
      </c>
      <c r="F195" s="16" t="s">
        <v>746</v>
      </c>
      <c r="G195" s="17">
        <f>H195*2.4711</f>
        <v>454.43529000000001</v>
      </c>
      <c r="H195" s="17">
        <v>183.9</v>
      </c>
      <c r="I195" s="18">
        <f>IF(J195="","",J195*2.4711)</f>
        <v>1297.3274999999999</v>
      </c>
      <c r="J195" s="18">
        <v>525</v>
      </c>
      <c r="K195" s="19">
        <f t="shared" si="110"/>
        <v>2.854812398042414</v>
      </c>
      <c r="L195" s="19" t="s">
        <v>110</v>
      </c>
      <c r="M195" s="19"/>
      <c r="N195" s="20">
        <f>IF(O195="", "",O195*3.2808)</f>
        <v>16.73208</v>
      </c>
      <c r="O195" s="19">
        <v>5.0999999999999996</v>
      </c>
      <c r="P195" s="21" t="str">
        <f t="shared" si="111"/>
        <v>no</v>
      </c>
      <c r="Q195" s="22">
        <v>2.7913392857142858</v>
      </c>
      <c r="R195" s="18" t="s">
        <v>1036</v>
      </c>
      <c r="S195" s="23">
        <v>44.429398818499998</v>
      </c>
      <c r="T195" s="23">
        <v>-74.257511346399994</v>
      </c>
      <c r="U195" s="18" t="s">
        <v>77</v>
      </c>
      <c r="V195" s="18"/>
      <c r="W195" t="str">
        <f t="shared" si="108"/>
        <v>no</v>
      </c>
      <c r="X195" t="s">
        <v>1037</v>
      </c>
      <c r="Y195" t="str">
        <f t="shared" si="105"/>
        <v>recreation and public bathing</v>
      </c>
      <c r="Z195" t="s">
        <v>79</v>
      </c>
      <c r="AA195" s="40" t="s">
        <v>79</v>
      </c>
      <c r="AB195" s="40" t="s">
        <v>79</v>
      </c>
      <c r="AC195" s="35">
        <v>7.8742008460975068</v>
      </c>
      <c r="AD195" s="35" t="s">
        <v>749</v>
      </c>
      <c r="AF195" t="str">
        <f t="shared" si="112"/>
        <v/>
      </c>
      <c r="AG195" s="26" t="s">
        <v>81</v>
      </c>
      <c r="AH195" s="27" t="s">
        <v>83</v>
      </c>
      <c r="AI195" s="28" t="s">
        <v>83</v>
      </c>
      <c r="AJ195" s="29" t="s">
        <v>82</v>
      </c>
      <c r="AK195" s="30" t="s">
        <v>84</v>
      </c>
      <c r="AL195" s="31" t="s">
        <v>85</v>
      </c>
      <c r="AM195" s="32" t="s">
        <v>82</v>
      </c>
      <c r="AN195" s="33" t="s">
        <v>81</v>
      </c>
      <c r="AO195" s="32" t="s">
        <v>81</v>
      </c>
      <c r="AP195" s="39"/>
      <c r="AQ195">
        <v>0</v>
      </c>
      <c r="AR195">
        <v>0</v>
      </c>
      <c r="AS195">
        <v>0</v>
      </c>
      <c r="AT195">
        <v>0</v>
      </c>
      <c r="AU195">
        <v>0</v>
      </c>
      <c r="AV195">
        <v>0</v>
      </c>
      <c r="AW195">
        <v>0</v>
      </c>
      <c r="AX195">
        <v>0</v>
      </c>
      <c r="AZ195" t="s">
        <v>1038</v>
      </c>
      <c r="BD195" t="s">
        <v>215</v>
      </c>
      <c r="BE195" t="s">
        <v>216</v>
      </c>
      <c r="BF195" t="s">
        <v>89</v>
      </c>
      <c r="BG195" t="str">
        <f>IF(C195="","LCI","CSLAP")</f>
        <v>CSLAP</v>
      </c>
      <c r="BH195" s="14" t="str">
        <f>IF(RIGHT(CM195,4)="2011","yes","no")</f>
        <v>no</v>
      </c>
      <c r="BJ195">
        <f>IF(MAX(AT195:AX195)=0,0,IF(MAX(AT195:AX195)=1,1,LEN(AE195)-LEN(SUBSTITUTE(UPPER(AE195),",",""))+1))</f>
        <v>0</v>
      </c>
      <c r="BK195">
        <f>IF(BJ195&gt;1,2,IF(BJ195&gt;0,1,0))</f>
        <v>0</v>
      </c>
      <c r="BL195">
        <f>IF(BJ195&gt;2,3,IF(BJ195&gt;2,2,IF(BJ195&gt;1,1,0)))</f>
        <v>0</v>
      </c>
      <c r="BM195" t="str">
        <f>IF(C195="","LCI","CSLAP")</f>
        <v>CSLAP</v>
      </c>
      <c r="BN195" t="str">
        <f>IF(LEFT(AB195,13)="zebra mussels","yes","no")</f>
        <v>no</v>
      </c>
      <c r="BO195">
        <v>0.64</v>
      </c>
    </row>
    <row r="196" spans="1:77" x14ac:dyDescent="0.3">
      <c r="A196" t="s">
        <v>1944</v>
      </c>
      <c r="B196" t="s">
        <v>1945</v>
      </c>
      <c r="C196" s="16">
        <v>47</v>
      </c>
      <c r="D196" s="16" t="s">
        <v>1039</v>
      </c>
      <c r="E196" s="16" t="s">
        <v>243</v>
      </c>
      <c r="F196" s="16" t="s">
        <v>243</v>
      </c>
      <c r="G196" s="17">
        <f>H196*2.4711</f>
        <v>32.124299999999998</v>
      </c>
      <c r="H196" s="17">
        <v>13</v>
      </c>
      <c r="I196" s="18">
        <f>IF(J196="","",J196*2.4711)</f>
        <v>1432.00245</v>
      </c>
      <c r="J196" s="18">
        <v>579.5</v>
      </c>
      <c r="K196" s="19">
        <f t="shared" si="110"/>
        <v>44.57692307692308</v>
      </c>
      <c r="L196" s="19">
        <v>76.442640000000011</v>
      </c>
      <c r="M196" s="19">
        <v>23.3</v>
      </c>
      <c r="N196" s="20">
        <f>IF(O196="", "",O196*3.2808)</f>
        <v>23.293679999999998</v>
      </c>
      <c r="O196" s="19">
        <v>7.1</v>
      </c>
      <c r="P196" s="21" t="str">
        <f t="shared" si="111"/>
        <v>no</v>
      </c>
      <c r="Q196" s="22">
        <v>0.39818809318377907</v>
      </c>
      <c r="R196" s="18" t="s">
        <v>1040</v>
      </c>
      <c r="S196" s="23">
        <v>42.901330489999999</v>
      </c>
      <c r="T196" s="23">
        <v>-75.523889780000005</v>
      </c>
      <c r="U196" s="18" t="s">
        <v>78</v>
      </c>
      <c r="V196" s="18"/>
      <c r="W196" t="str">
        <f t="shared" si="108"/>
        <v>no</v>
      </c>
      <c r="X196" t="s">
        <v>1041</v>
      </c>
      <c r="Y196" t="str">
        <f t="shared" si="105"/>
        <v>recreation and public bathing</v>
      </c>
      <c r="Z196" t="s">
        <v>79</v>
      </c>
      <c r="AA196" s="24" t="s">
        <v>120</v>
      </c>
      <c r="AB196" s="24" t="s">
        <v>79</v>
      </c>
      <c r="AC196" s="24">
        <f>IF(AND(AA196="none reported",AB196="none reported"),"",0)</f>
        <v>0</v>
      </c>
      <c r="AD196" s="24"/>
      <c r="AF196" t="str">
        <f t="shared" si="112"/>
        <v/>
      </c>
      <c r="AG196" s="26" t="s">
        <v>81</v>
      </c>
      <c r="AH196" s="27" t="s">
        <v>81</v>
      </c>
      <c r="AI196" s="28" t="s">
        <v>82</v>
      </c>
      <c r="AJ196" s="29" t="s">
        <v>82</v>
      </c>
      <c r="AK196" s="30" t="s">
        <v>85</v>
      </c>
      <c r="AL196" s="31" t="s">
        <v>85</v>
      </c>
      <c r="AM196" s="32" t="s">
        <v>82</v>
      </c>
      <c r="AN196" s="33" t="s">
        <v>81</v>
      </c>
      <c r="AO196" s="32" t="s">
        <v>81</v>
      </c>
      <c r="AP196" s="39"/>
      <c r="AQ196">
        <v>0</v>
      </c>
      <c r="AR196">
        <v>0</v>
      </c>
      <c r="AS196">
        <v>0</v>
      </c>
      <c r="AT196">
        <v>0</v>
      </c>
      <c r="AU196">
        <v>0</v>
      </c>
      <c r="AV196">
        <v>0</v>
      </c>
      <c r="AW196">
        <v>0</v>
      </c>
      <c r="AX196">
        <v>0</v>
      </c>
      <c r="BA196" t="s">
        <v>102</v>
      </c>
      <c r="BD196" t="s">
        <v>298</v>
      </c>
      <c r="BF196" t="s">
        <v>115</v>
      </c>
      <c r="BG196" t="str">
        <f>IF(C196="","LCI","CSLAP")</f>
        <v>CSLAP</v>
      </c>
      <c r="BH196" s="14" t="s">
        <v>99</v>
      </c>
      <c r="BJ196">
        <f>IF(MAX(AT196:AX196)=0,0,IF(MAX(AT196:AX196)=1,1,LEN(AE196)-LEN(SUBSTITUTE(UPPER(AE196),",",""))+1))</f>
        <v>0</v>
      </c>
      <c r="BK196">
        <f>IF(BJ196&gt;1,2,IF(BJ196&gt;0,1,0))</f>
        <v>0</v>
      </c>
      <c r="BL196">
        <f>IF(BJ196&gt;2,3,IF(BJ196&gt;2,2,IF(BJ196&gt;1,1,0)))</f>
        <v>0</v>
      </c>
      <c r="BM196" t="str">
        <f>IF(C196="","LCI","CSLAP")</f>
        <v>CSLAP</v>
      </c>
      <c r="BN196" t="str">
        <f>IF(LEFT(AB196,13)="zebra mussels","yes","no")</f>
        <v>no</v>
      </c>
      <c r="BO196">
        <v>0.4</v>
      </c>
    </row>
    <row r="197" spans="1:77" x14ac:dyDescent="0.3">
      <c r="A197" t="s">
        <v>1639</v>
      </c>
      <c r="B197" t="s">
        <v>1946</v>
      </c>
      <c r="C197" s="16">
        <v>163</v>
      </c>
      <c r="D197" s="16" t="s">
        <v>1042</v>
      </c>
      <c r="E197" s="16" t="s">
        <v>471</v>
      </c>
      <c r="F197" s="16" t="s">
        <v>472</v>
      </c>
      <c r="G197" s="17">
        <f>H197*2.4711</f>
        <v>198.42932999999999</v>
      </c>
      <c r="H197" s="17">
        <v>80.3</v>
      </c>
      <c r="I197" s="18">
        <f>IF(J197="","",J197*2.4711)</f>
        <v>1803.9029999999998</v>
      </c>
      <c r="J197" s="18">
        <v>730</v>
      </c>
      <c r="K197" s="19">
        <f t="shared" si="110"/>
        <v>9.0909090909090917</v>
      </c>
      <c r="L197" s="19">
        <v>12</v>
      </c>
      <c r="M197" s="19">
        <v>3.6</v>
      </c>
      <c r="N197" s="20">
        <v>5.6</v>
      </c>
      <c r="O197" s="19">
        <v>1.7</v>
      </c>
      <c r="P197" s="21" t="str">
        <f t="shared" si="111"/>
        <v>no</v>
      </c>
      <c r="Q197" s="22">
        <v>0.38958333333333334</v>
      </c>
      <c r="R197" s="18" t="s">
        <v>1043</v>
      </c>
      <c r="S197" s="23">
        <v>42.828456369999998</v>
      </c>
      <c r="T197" s="23">
        <v>-74.126321750000002</v>
      </c>
      <c r="U197" s="16" t="s">
        <v>77</v>
      </c>
      <c r="V197" s="16" t="s">
        <v>78</v>
      </c>
      <c r="W197" t="str">
        <f t="shared" si="108"/>
        <v>no</v>
      </c>
      <c r="Y197" t="s">
        <v>1044</v>
      </c>
      <c r="Z197" t="s">
        <v>79</v>
      </c>
      <c r="AA197" s="24" t="s">
        <v>420</v>
      </c>
      <c r="AB197" s="24" t="s">
        <v>79</v>
      </c>
      <c r="AC197" s="24">
        <f>IF(AND(AA197="none reported",AB197="none reported"),"",0)</f>
        <v>0</v>
      </c>
      <c r="AD197" s="24"/>
      <c r="AE197" s="25" t="s">
        <v>739</v>
      </c>
      <c r="AF197" t="str">
        <f t="shared" si="112"/>
        <v>yes</v>
      </c>
      <c r="AG197" s="26" t="s">
        <v>81</v>
      </c>
      <c r="AH197" s="27" t="s">
        <v>83</v>
      </c>
      <c r="AI197" s="28" t="s">
        <v>141</v>
      </c>
      <c r="AJ197" s="29" t="s">
        <v>82</v>
      </c>
      <c r="AK197" s="30" t="s">
        <v>121</v>
      </c>
      <c r="AL197" s="31" t="s">
        <v>84</v>
      </c>
      <c r="AM197" s="32" t="s">
        <v>82</v>
      </c>
      <c r="AN197" s="33" t="s">
        <v>81</v>
      </c>
      <c r="AO197" s="32" t="s">
        <v>81</v>
      </c>
      <c r="AP197" s="39"/>
      <c r="AQ197">
        <v>10</v>
      </c>
      <c r="AR197">
        <v>3</v>
      </c>
      <c r="AS197">
        <v>3</v>
      </c>
      <c r="AT197">
        <v>2</v>
      </c>
      <c r="AU197">
        <v>3</v>
      </c>
      <c r="AV197">
        <v>1</v>
      </c>
      <c r="AW197">
        <v>0</v>
      </c>
      <c r="AX197">
        <v>0</v>
      </c>
      <c r="AY197" t="s">
        <v>505</v>
      </c>
      <c r="AZ197" t="s">
        <v>1045</v>
      </c>
      <c r="BA197" t="s">
        <v>102</v>
      </c>
      <c r="BB197" t="s">
        <v>1046</v>
      </c>
      <c r="BC197" t="s">
        <v>132</v>
      </c>
      <c r="BD197" t="s">
        <v>298</v>
      </c>
      <c r="BE197" t="s">
        <v>196</v>
      </c>
      <c r="BF197" t="s">
        <v>143</v>
      </c>
      <c r="BG197" t="str">
        <f>IF(C197="","LCI","CSLAP")</f>
        <v>CSLAP</v>
      </c>
      <c r="BH197" s="14" t="s">
        <v>102</v>
      </c>
      <c r="BJ197">
        <f>IF(MAX(AT197:AX197)=0,0,IF(MAX(AT197:AX197)=1,1,LEN(AE197)-LEN(SUBSTITUTE(UPPER(AE197),",",""))+1))</f>
        <v>3</v>
      </c>
      <c r="BK197">
        <f>IF(BJ197&gt;1,2,IF(BJ197&gt;0,1,0))</f>
        <v>2</v>
      </c>
      <c r="BL197">
        <f>IF(BJ197&gt;2,3,IF(BJ197&gt;2,2,IF(BJ197&gt;1,1,0)))</f>
        <v>3</v>
      </c>
      <c r="BM197" t="str">
        <f>IF(C197="","LCI","CSLAP")</f>
        <v>CSLAP</v>
      </c>
      <c r="BN197" t="str">
        <f>IF(LEFT(AB197,13)="zebra mussels","yes","no")</f>
        <v>no</v>
      </c>
      <c r="BO197">
        <v>0.48</v>
      </c>
    </row>
    <row r="198" spans="1:77" x14ac:dyDescent="0.3">
      <c r="A198" t="s">
        <v>1640</v>
      </c>
      <c r="B198" t="s">
        <v>1947</v>
      </c>
      <c r="C198" s="16">
        <v>173</v>
      </c>
      <c r="D198" s="16" t="s">
        <v>1047</v>
      </c>
      <c r="E198" s="16" t="s">
        <v>293</v>
      </c>
      <c r="F198" s="16" t="s">
        <v>1048</v>
      </c>
      <c r="G198" s="17">
        <f>H198*2.4711</f>
        <v>140.11136999999999</v>
      </c>
      <c r="H198" s="17">
        <v>56.7</v>
      </c>
      <c r="I198" s="18">
        <f>IF(J198="","",J198*2.4711)</f>
        <v>19904.710499999997</v>
      </c>
      <c r="J198" s="18">
        <v>8055</v>
      </c>
      <c r="K198" s="19">
        <f t="shared" si="110"/>
        <v>142.06349206349205</v>
      </c>
      <c r="L198" s="19">
        <v>16.404</v>
      </c>
      <c r="M198" s="19">
        <v>5</v>
      </c>
      <c r="N198" s="20">
        <f>IF(O198="", "",O198*3.2808)</f>
        <v>7.7098799999999992</v>
      </c>
      <c r="O198" s="19">
        <v>2.3499999999999996</v>
      </c>
      <c r="P198" s="21" t="str">
        <f t="shared" si="111"/>
        <v>no</v>
      </c>
      <c r="Q198" s="22">
        <v>3.3083798882681557E-2</v>
      </c>
      <c r="R198" s="18" t="s">
        <v>1049</v>
      </c>
      <c r="S198" s="23">
        <v>43.096094000000001</v>
      </c>
      <c r="T198" s="23">
        <v>-74.264488</v>
      </c>
      <c r="U198" s="18" t="s">
        <v>77</v>
      </c>
      <c r="V198" s="18" t="s">
        <v>96</v>
      </c>
      <c r="W198" t="str">
        <f t="shared" si="108"/>
        <v>no</v>
      </c>
      <c r="Y198" t="str">
        <f>IF(W198="yes",IF(X198="","potable water and recreation","potable water, recreation, and public bathing"),IF(X198="","recreation","recreation and public bathing"))</f>
        <v>recreation</v>
      </c>
      <c r="Z198" t="s">
        <v>79</v>
      </c>
      <c r="AA198" s="40" t="s">
        <v>430</v>
      </c>
      <c r="AB198" s="40" t="s">
        <v>79</v>
      </c>
      <c r="AC198" s="24">
        <f>IF(AND(AA198="none reported",AB198="none reported"),"",0)</f>
        <v>0</v>
      </c>
      <c r="AD198" s="24"/>
      <c r="AF198" t="str">
        <f t="shared" si="112"/>
        <v/>
      </c>
      <c r="AG198" s="26" t="s">
        <v>81</v>
      </c>
      <c r="AH198" s="27" t="s">
        <v>156</v>
      </c>
      <c r="AI198" s="28" t="s">
        <v>156</v>
      </c>
      <c r="AJ198" s="29" t="s">
        <v>156</v>
      </c>
      <c r="AK198" s="30" t="s">
        <v>156</v>
      </c>
      <c r="AL198" s="31" t="s">
        <v>156</v>
      </c>
      <c r="AM198" s="32" t="s">
        <v>156</v>
      </c>
      <c r="AN198" s="33" t="s">
        <v>81</v>
      </c>
      <c r="AO198" s="32" t="s">
        <v>81</v>
      </c>
      <c r="AP198" s="39"/>
      <c r="AQ198">
        <v>0</v>
      </c>
      <c r="AR198">
        <v>0</v>
      </c>
      <c r="AS198">
        <v>0</v>
      </c>
      <c r="AT198">
        <v>0</v>
      </c>
      <c r="AU198">
        <v>0</v>
      </c>
      <c r="AV198">
        <v>0</v>
      </c>
      <c r="AW198">
        <v>0</v>
      </c>
      <c r="AX198">
        <v>0</v>
      </c>
      <c r="AZ198" t="s">
        <v>1050</v>
      </c>
      <c r="BD198" t="s">
        <v>88</v>
      </c>
      <c r="BE198" t="s">
        <v>89</v>
      </c>
      <c r="BF198" t="s">
        <v>89</v>
      </c>
      <c r="BG198" t="str">
        <f>IF(C198="","LCI","CSLAP")</f>
        <v>CSLAP</v>
      </c>
      <c r="BH198" s="14" t="str">
        <f>IF(RIGHT(CM198,4)="2011","yes","no")</f>
        <v>no</v>
      </c>
      <c r="BJ198">
        <f>IF(MAX(AT198:AX198)=0,0,IF(MAX(AT198:AX198)=1,1,LEN(AE198)-LEN(SUBSTITUTE(UPPER(AE198),",",""))+1))</f>
        <v>0</v>
      </c>
      <c r="BK198">
        <f>IF(BJ198&gt;1,2,IF(BJ198&gt;0,1,0))</f>
        <v>0</v>
      </c>
      <c r="BL198">
        <f>IF(BJ198&gt;2,3,IF(BJ198&gt;2,2,IF(BJ198&gt;1,1,0)))</f>
        <v>0</v>
      </c>
      <c r="BM198" t="str">
        <f>IF(C198="","LCI","CSLAP")</f>
        <v>CSLAP</v>
      </c>
      <c r="BN198" t="str">
        <f>IF(LEFT(AB198,13)="zebra mussels","yes","no")</f>
        <v>no</v>
      </c>
      <c r="BO198">
        <v>0.5</v>
      </c>
    </row>
    <row r="199" spans="1:77" x14ac:dyDescent="0.3">
      <c r="A199" t="s">
        <v>1641</v>
      </c>
      <c r="B199" t="s">
        <v>1948</v>
      </c>
      <c r="C199" s="16">
        <v>31</v>
      </c>
      <c r="D199" s="16" t="s">
        <v>440</v>
      </c>
      <c r="E199" s="16" t="s">
        <v>437</v>
      </c>
      <c r="F199" s="16" t="s">
        <v>1051</v>
      </c>
      <c r="G199" s="17">
        <f>H199*2.4711</f>
        <v>38.302049999999994</v>
      </c>
      <c r="H199" s="17">
        <v>15.5</v>
      </c>
      <c r="I199" s="18">
        <f>IF(J199="","",J199*2.4711)</f>
        <v>1235.55</v>
      </c>
      <c r="J199" s="18">
        <v>500</v>
      </c>
      <c r="K199" s="19">
        <f t="shared" si="110"/>
        <v>32.258064516129032</v>
      </c>
      <c r="L199" s="19">
        <v>15.419760000000002</v>
      </c>
      <c r="M199" s="19">
        <v>4.7</v>
      </c>
      <c r="N199" s="20">
        <f>IF(O199="", "",O199*3.2808)</f>
        <v>6.8896800000000002</v>
      </c>
      <c r="O199" s="19">
        <v>2.1</v>
      </c>
      <c r="P199" s="21" t="str">
        <f t="shared" si="111"/>
        <v>no</v>
      </c>
      <c r="Q199" s="22">
        <v>0.16275000000000003</v>
      </c>
      <c r="R199" s="18" t="s">
        <v>2195</v>
      </c>
      <c r="S199" s="23">
        <v>42.470198000000003</v>
      </c>
      <c r="T199" s="23">
        <v>-75.874421999999996</v>
      </c>
      <c r="U199" s="68" t="s">
        <v>78</v>
      </c>
      <c r="V199" s="18" t="s">
        <v>78</v>
      </c>
      <c r="W199" t="str">
        <f t="shared" si="108"/>
        <v>no</v>
      </c>
      <c r="Y199" t="str">
        <f>IF(W199="yes",IF(X199="","potable water and recreation","potable water, recreation, and public bathing"),IF(X199="","recreation","recreation and public bathing"))</f>
        <v>recreation</v>
      </c>
      <c r="Z199" t="s">
        <v>79</v>
      </c>
      <c r="AA199" s="24" t="s">
        <v>120</v>
      </c>
      <c r="AB199" s="24" t="s">
        <v>79</v>
      </c>
      <c r="AC199" s="24">
        <f>IF(AND(AA199="none reported",AB199="none reported"),"",0)</f>
        <v>0</v>
      </c>
      <c r="AD199" s="24"/>
      <c r="AE199" s="25">
        <v>2013</v>
      </c>
      <c r="AF199" t="str">
        <f t="shared" si="112"/>
        <v>no</v>
      </c>
      <c r="AG199" s="26" t="s">
        <v>81</v>
      </c>
      <c r="AH199" s="27" t="s">
        <v>81</v>
      </c>
      <c r="AI199" s="28" t="s">
        <v>83</v>
      </c>
      <c r="AJ199" s="29" t="s">
        <v>82</v>
      </c>
      <c r="AK199" s="30" t="s">
        <v>84</v>
      </c>
      <c r="AL199" s="31" t="s">
        <v>84</v>
      </c>
      <c r="AM199" s="32" t="s">
        <v>82</v>
      </c>
      <c r="AN199" s="33" t="s">
        <v>81</v>
      </c>
      <c r="AO199" s="32" t="s">
        <v>81</v>
      </c>
      <c r="AP199" s="39"/>
      <c r="AQ199">
        <v>0</v>
      </c>
      <c r="AR199">
        <v>0</v>
      </c>
      <c r="AS199">
        <v>0</v>
      </c>
      <c r="AT199">
        <v>0</v>
      </c>
      <c r="AU199">
        <v>0</v>
      </c>
      <c r="AV199">
        <v>0</v>
      </c>
      <c r="AW199">
        <v>3</v>
      </c>
      <c r="AX199">
        <v>0</v>
      </c>
      <c r="AY199" t="s">
        <v>1052</v>
      </c>
      <c r="AZ199" t="s">
        <v>1053</v>
      </c>
      <c r="BA199" t="s">
        <v>102</v>
      </c>
      <c r="BB199" t="s">
        <v>2196</v>
      </c>
      <c r="BC199" t="s">
        <v>132</v>
      </c>
      <c r="BD199" t="s">
        <v>114</v>
      </c>
      <c r="BE199" t="s">
        <v>247</v>
      </c>
      <c r="BF199" t="s">
        <v>115</v>
      </c>
      <c r="BG199" t="str">
        <f>IF(C199="","LCI","CSLAP")</f>
        <v>CSLAP</v>
      </c>
      <c r="BH199" s="14" t="s">
        <v>102</v>
      </c>
      <c r="BJ199">
        <f>IF(MAX(AT199:AX199)=0,0,IF(MAX(AT199:AX199)=1,1,LEN(AE199)-LEN(SUBSTITUTE(UPPER(AE199),",",""))+1))</f>
        <v>1</v>
      </c>
      <c r="BK199">
        <f>IF(BJ199&gt;1,2,IF(BJ199&gt;0,1,0))</f>
        <v>1</v>
      </c>
      <c r="BL199">
        <f>IF(BJ199&gt;2,3,IF(BJ199&gt;2,2,IF(BJ199&gt;1,1,0)))</f>
        <v>0</v>
      </c>
      <c r="BM199" t="str">
        <f>IF(C199="","LCI","CSLAP")</f>
        <v>CSLAP</v>
      </c>
      <c r="BN199" t="str">
        <f>IF(LEFT(AB199,13)="zebra mussels","yes","no")</f>
        <v>no</v>
      </c>
      <c r="BO199">
        <v>0.4</v>
      </c>
      <c r="BY199" t="s">
        <v>1054</v>
      </c>
    </row>
    <row r="200" spans="1:77" x14ac:dyDescent="0.3">
      <c r="A200" t="s">
        <v>1642</v>
      </c>
      <c r="B200" t="s">
        <v>1949</v>
      </c>
      <c r="C200" s="16">
        <v>137</v>
      </c>
      <c r="D200" s="16" t="s">
        <v>1055</v>
      </c>
      <c r="E200" s="16" t="s">
        <v>237</v>
      </c>
      <c r="F200" s="16" t="s">
        <v>653</v>
      </c>
      <c r="G200" s="17">
        <f t="shared" ref="G200:G208" si="113">H200*2.4711</f>
        <v>505.58705999999995</v>
      </c>
      <c r="H200" s="17">
        <v>204.6</v>
      </c>
      <c r="I200" s="18">
        <v>2240.0543900543903</v>
      </c>
      <c r="J200" s="18">
        <v>906.50090650090658</v>
      </c>
      <c r="K200" s="19">
        <f t="shared" si="110"/>
        <v>4.4306007160357117</v>
      </c>
      <c r="L200" s="19">
        <v>76.099999999999994</v>
      </c>
      <c r="M200" s="19">
        <v>23.2</v>
      </c>
      <c r="N200" s="20">
        <f t="shared" ref="N200:N211" si="114">IF(O200="", "",O200*3.2808)</f>
        <v>41.994240000000005</v>
      </c>
      <c r="O200" s="19">
        <v>12.8</v>
      </c>
      <c r="P200" s="21" t="str">
        <f t="shared" si="111"/>
        <v>no</v>
      </c>
      <c r="Q200" s="22">
        <v>12.470857142857144</v>
      </c>
      <c r="R200" s="18" t="s">
        <v>2197</v>
      </c>
      <c r="S200" s="23">
        <v>44.290940329999998</v>
      </c>
      <c r="T200" s="23">
        <v>-75.775775379999999</v>
      </c>
      <c r="U200" s="18" t="s">
        <v>77</v>
      </c>
      <c r="V200" s="18"/>
      <c r="W200" t="str">
        <f t="shared" si="108"/>
        <v>no</v>
      </c>
      <c r="X200" t="s">
        <v>1056</v>
      </c>
      <c r="Y200" t="str">
        <f t="shared" ref="Y200:Y258" si="115">IF(W200="yes",IF(X200="","potable water and recreation","potable water, recreation, and public bathing"),IF(X200="","recreation","recreation and public bathing"))</f>
        <v>recreation and public bathing</v>
      </c>
      <c r="Z200" t="s">
        <v>79</v>
      </c>
      <c r="AA200" s="24" t="s">
        <v>120</v>
      </c>
      <c r="AB200" s="24" t="s">
        <v>80</v>
      </c>
      <c r="AC200" s="24">
        <f>IF(AND(AA200="none reported",AB200="none reported"),"",0)</f>
        <v>0</v>
      </c>
      <c r="AD200" s="24"/>
      <c r="AF200" t="str">
        <f t="shared" si="112"/>
        <v/>
      </c>
      <c r="AG200" s="26" t="s">
        <v>81</v>
      </c>
      <c r="AH200" s="27" t="s">
        <v>82</v>
      </c>
      <c r="AI200" s="28" t="s">
        <v>257</v>
      </c>
      <c r="AJ200" s="29" t="s">
        <v>82</v>
      </c>
      <c r="AK200" s="30" t="s">
        <v>85</v>
      </c>
      <c r="AL200" s="31" t="s">
        <v>84</v>
      </c>
      <c r="AM200" s="32" t="s">
        <v>82</v>
      </c>
      <c r="AN200" s="33" t="s">
        <v>81</v>
      </c>
      <c r="AO200" s="32" t="s">
        <v>81</v>
      </c>
      <c r="AP200" s="39"/>
      <c r="AQ200">
        <v>1</v>
      </c>
      <c r="AR200">
        <v>1</v>
      </c>
      <c r="AS200">
        <v>1</v>
      </c>
      <c r="AT200">
        <v>0</v>
      </c>
      <c r="AU200">
        <v>0</v>
      </c>
      <c r="AV200">
        <v>0</v>
      </c>
      <c r="AW200">
        <v>0</v>
      </c>
      <c r="AX200">
        <v>0</v>
      </c>
      <c r="AY200" t="s">
        <v>1057</v>
      </c>
      <c r="AZ200" t="s">
        <v>1058</v>
      </c>
      <c r="BA200" t="s">
        <v>102</v>
      </c>
      <c r="BB200" t="s">
        <v>1059</v>
      </c>
      <c r="BC200" t="s">
        <v>87</v>
      </c>
      <c r="BD200" t="s">
        <v>215</v>
      </c>
      <c r="BE200" t="s">
        <v>216</v>
      </c>
      <c r="BF200" t="s">
        <v>216</v>
      </c>
      <c r="BG200" t="str">
        <f t="shared" ref="BG200:BG208" si="116">IF(C200="","LCI","CSLAP")</f>
        <v>CSLAP</v>
      </c>
      <c r="BH200" s="14" t="s">
        <v>102</v>
      </c>
      <c r="BJ200">
        <f t="shared" ref="BJ200:BJ208" si="117">IF(MAX(AT200:AX200)=0,0,IF(MAX(AT200:AX200)=1,1,LEN(AE200)-LEN(SUBSTITUTE(UPPER(AE200),",",""))+1))</f>
        <v>0</v>
      </c>
      <c r="BK200">
        <f t="shared" ref="BK200:BK208" si="118">IF(BJ200&gt;1,2,IF(BJ200&gt;0,1,0))</f>
        <v>0</v>
      </c>
      <c r="BL200">
        <f t="shared" ref="BL200:BL208" si="119">IF(BJ200&gt;2,3,IF(BJ200&gt;2,2,IF(BJ200&gt;1,1,0)))</f>
        <v>0</v>
      </c>
      <c r="BM200" t="str">
        <f t="shared" ref="BM200:BM208" si="120">IF(C200="","LCI","CSLAP")</f>
        <v>CSLAP</v>
      </c>
      <c r="BN200" t="str">
        <f t="shared" ref="BN200:BN208" si="121">IF(LEFT(AB200,13)="zebra mussels","yes","no")</f>
        <v>no</v>
      </c>
      <c r="BO200">
        <v>0.5</v>
      </c>
      <c r="BS200" s="41">
        <f>4/1</f>
        <v>4</v>
      </c>
    </row>
    <row r="201" spans="1:77" x14ac:dyDescent="0.3">
      <c r="A201" t="s">
        <v>1643</v>
      </c>
      <c r="B201" t="s">
        <v>1950</v>
      </c>
      <c r="C201" s="16">
        <v>149</v>
      </c>
      <c r="D201" s="16" t="s">
        <v>1060</v>
      </c>
      <c r="E201" t="s">
        <v>117</v>
      </c>
      <c r="F201" t="s">
        <v>900</v>
      </c>
      <c r="G201" s="17">
        <v>122.07233999999998</v>
      </c>
      <c r="H201" s="36">
        <v>49.4</v>
      </c>
      <c r="I201" s="37">
        <v>988.43999999999994</v>
      </c>
      <c r="J201" s="37">
        <v>400</v>
      </c>
      <c r="K201" s="21">
        <v>8.097165991902834</v>
      </c>
      <c r="L201" s="19">
        <v>60</v>
      </c>
      <c r="M201" s="21">
        <v>18</v>
      </c>
      <c r="N201" s="34">
        <v>13.77936</v>
      </c>
      <c r="O201" s="21">
        <v>4.2</v>
      </c>
      <c r="P201" s="21" t="str">
        <f>IF(O201=(M201*0.46),"yes","no")</f>
        <v>no</v>
      </c>
      <c r="Q201" s="43">
        <v>1.0373999999999999</v>
      </c>
      <c r="R201" s="37" t="s">
        <v>2198</v>
      </c>
      <c r="S201">
        <v>44.290430000000001</v>
      </c>
      <c r="T201">
        <v>-73.980109999999996</v>
      </c>
      <c r="U201" s="25" t="s">
        <v>95</v>
      </c>
      <c r="V201" t="s">
        <v>96</v>
      </c>
      <c r="W201" t="str">
        <f t="shared" si="108"/>
        <v>no</v>
      </c>
      <c r="X201" t="s">
        <v>1061</v>
      </c>
      <c r="Y201" t="str">
        <f t="shared" si="115"/>
        <v>recreation and public bathing</v>
      </c>
      <c r="Z201" t="s">
        <v>79</v>
      </c>
      <c r="AA201" s="24" t="s">
        <v>79</v>
      </c>
      <c r="AB201" s="45" t="s">
        <v>80</v>
      </c>
      <c r="AC201" s="35">
        <v>0</v>
      </c>
      <c r="AD201" s="35"/>
      <c r="AF201" t="s">
        <v>99</v>
      </c>
      <c r="AG201" t="s">
        <v>81</v>
      </c>
      <c r="AH201" t="s">
        <v>82</v>
      </c>
      <c r="AI201" t="s">
        <v>82</v>
      </c>
      <c r="AJ201" t="s">
        <v>82</v>
      </c>
      <c r="AK201" t="s">
        <v>85</v>
      </c>
      <c r="AL201" t="s">
        <v>85</v>
      </c>
      <c r="AM201" s="32" t="s">
        <v>82</v>
      </c>
      <c r="AN201" s="33" t="s">
        <v>81</v>
      </c>
      <c r="AO201" s="32" t="s">
        <v>81</v>
      </c>
      <c r="AP201" s="39"/>
      <c r="AQ201">
        <v>0</v>
      </c>
      <c r="AR201">
        <v>0</v>
      </c>
      <c r="AS201">
        <v>0</v>
      </c>
      <c r="AT201">
        <v>0</v>
      </c>
      <c r="AU201">
        <v>0</v>
      </c>
      <c r="AV201">
        <v>0</v>
      </c>
      <c r="AW201">
        <v>0</v>
      </c>
      <c r="AX201">
        <v>0</v>
      </c>
      <c r="AY201" t="s">
        <v>212</v>
      </c>
      <c r="AZ201" s="63" t="s">
        <v>1062</v>
      </c>
      <c r="BA201" t="s">
        <v>102</v>
      </c>
      <c r="BB201" t="s">
        <v>2199</v>
      </c>
      <c r="BC201" t="s">
        <v>87</v>
      </c>
      <c r="BD201" t="s">
        <v>124</v>
      </c>
      <c r="BE201" t="s">
        <v>89</v>
      </c>
      <c r="BF201" t="s">
        <v>89</v>
      </c>
      <c r="BG201" t="str">
        <f>IF(C201="","LCI","CSLAP")</f>
        <v>CSLAP</v>
      </c>
      <c r="BH201" s="14" t="s">
        <v>102</v>
      </c>
      <c r="BJ201">
        <f>IF(MAX(AT201:AX201)=0,0,IF(MAX(AT201:AX201)=1,1,LEN(AE201)-LEN(SUBSTITUTE(UPPER(AE201),",",""))+1))</f>
        <v>0</v>
      </c>
      <c r="BK201">
        <f>IF(BJ201&gt;1,2,IF(BJ201&gt;0,1,0))</f>
        <v>0</v>
      </c>
      <c r="BL201">
        <f>IF(BJ201&gt;2,3,IF(BJ201&gt;2,2,IF(BJ201&gt;1,1,0)))</f>
        <v>0</v>
      </c>
      <c r="BM201" t="str">
        <f>IF(C201="","LCI","CSLAP")</f>
        <v>CSLAP</v>
      </c>
      <c r="BN201" t="str">
        <f>IF(LEFT(AB201,13)="zebra mussels","yes","no")</f>
        <v>no</v>
      </c>
      <c r="BO201">
        <v>0.5</v>
      </c>
    </row>
    <row r="202" spans="1:77" x14ac:dyDescent="0.3">
      <c r="A202" t="s">
        <v>1951</v>
      </c>
      <c r="B202" t="s">
        <v>1952</v>
      </c>
      <c r="C202" s="16">
        <v>186</v>
      </c>
      <c r="D202" s="16" t="s">
        <v>1063</v>
      </c>
      <c r="E202" s="16" t="s">
        <v>165</v>
      </c>
      <c r="F202" s="16" t="s">
        <v>631</v>
      </c>
      <c r="G202" s="17">
        <f t="shared" si="113"/>
        <v>64.00148999999999</v>
      </c>
      <c r="H202" s="17">
        <v>25.9</v>
      </c>
      <c r="I202" s="18">
        <f t="shared" ref="I202:I211" si="122">IF(J202="","",J202*2.4711)</f>
        <v>385.24448999999998</v>
      </c>
      <c r="J202" s="18">
        <v>155.9</v>
      </c>
      <c r="K202" s="19">
        <f t="shared" si="110"/>
        <v>6.0193050193050199</v>
      </c>
      <c r="L202" s="19">
        <f>3.28*M202</f>
        <v>23.616</v>
      </c>
      <c r="M202" s="19">
        <v>7.2</v>
      </c>
      <c r="N202" s="20">
        <f t="shared" si="114"/>
        <v>11.810880000000001</v>
      </c>
      <c r="O202" s="19">
        <v>3.6</v>
      </c>
      <c r="P202" s="21" t="str">
        <f t="shared" si="111"/>
        <v>no</v>
      </c>
      <c r="Q202" s="22">
        <v>0.98045195007308161</v>
      </c>
      <c r="R202" s="18" t="s">
        <v>632</v>
      </c>
      <c r="S202" s="23">
        <v>41.458436110000001</v>
      </c>
      <c r="T202" s="23">
        <v>-74.454025529999996</v>
      </c>
      <c r="U202" s="18" t="s">
        <v>379</v>
      </c>
      <c r="V202" s="18" t="s">
        <v>77</v>
      </c>
      <c r="W202" t="str">
        <f t="shared" si="108"/>
        <v>yes</v>
      </c>
      <c r="Y202" t="str">
        <f t="shared" si="115"/>
        <v>potable water and recreation</v>
      </c>
      <c r="Z202" t="s">
        <v>79</v>
      </c>
      <c r="AA202" s="24" t="s">
        <v>79</v>
      </c>
      <c r="AB202" s="24" t="s">
        <v>79</v>
      </c>
      <c r="AC202" s="35">
        <v>7.8101918516578515</v>
      </c>
      <c r="AD202" s="35" t="s">
        <v>807</v>
      </c>
      <c r="AF202" t="str">
        <f t="shared" si="112"/>
        <v/>
      </c>
      <c r="AG202" s="26" t="s">
        <v>82</v>
      </c>
      <c r="AH202" s="27" t="s">
        <v>82</v>
      </c>
      <c r="AI202" s="28" t="s">
        <v>82</v>
      </c>
      <c r="AJ202" s="29" t="s">
        <v>82</v>
      </c>
      <c r="AK202" s="30" t="s">
        <v>85</v>
      </c>
      <c r="AL202" s="31" t="s">
        <v>85</v>
      </c>
      <c r="AM202" s="32" t="s">
        <v>82</v>
      </c>
      <c r="AN202" s="33" t="s">
        <v>81</v>
      </c>
      <c r="AO202" s="32" t="s">
        <v>81</v>
      </c>
      <c r="AP202" s="39"/>
      <c r="AQ202">
        <v>0</v>
      </c>
      <c r="AR202">
        <v>0</v>
      </c>
      <c r="AS202">
        <v>0</v>
      </c>
      <c r="AT202">
        <v>0</v>
      </c>
      <c r="AU202">
        <v>0</v>
      </c>
      <c r="AV202">
        <v>0</v>
      </c>
      <c r="AW202">
        <v>0</v>
      </c>
      <c r="AX202">
        <v>0</v>
      </c>
      <c r="BA202" t="s">
        <v>102</v>
      </c>
      <c r="BD202" t="s">
        <v>152</v>
      </c>
      <c r="BF202" t="s">
        <v>160</v>
      </c>
      <c r="BG202" t="str">
        <f t="shared" si="116"/>
        <v>CSLAP</v>
      </c>
      <c r="BH202" s="14" t="str">
        <f>IF(RIGHT(CM202,4)="2011","yes","no")</f>
        <v>no</v>
      </c>
      <c r="BJ202">
        <f t="shared" si="117"/>
        <v>0</v>
      </c>
      <c r="BK202">
        <f t="shared" si="118"/>
        <v>0</v>
      </c>
      <c r="BL202">
        <f t="shared" si="119"/>
        <v>0</v>
      </c>
      <c r="BM202" t="str">
        <f t="shared" si="120"/>
        <v>CSLAP</v>
      </c>
      <c r="BN202" t="str">
        <f t="shared" si="121"/>
        <v>no</v>
      </c>
      <c r="BO202">
        <v>0.61</v>
      </c>
      <c r="BY202" t="s">
        <v>636</v>
      </c>
    </row>
    <row r="203" spans="1:77" x14ac:dyDescent="0.3">
      <c r="A203" t="s">
        <v>1644</v>
      </c>
      <c r="B203" t="s">
        <v>1953</v>
      </c>
      <c r="C203" s="16">
        <v>236</v>
      </c>
      <c r="D203" s="16" t="s">
        <v>1064</v>
      </c>
      <c r="E203" s="16" t="s">
        <v>93</v>
      </c>
      <c r="F203" s="16" t="s">
        <v>1065</v>
      </c>
      <c r="G203" s="17">
        <f t="shared" si="113"/>
        <v>19.274579999999997</v>
      </c>
      <c r="H203" s="17">
        <v>7.8</v>
      </c>
      <c r="I203" s="18">
        <f t="shared" si="122"/>
        <v>170.5059</v>
      </c>
      <c r="J203" s="18">
        <v>69</v>
      </c>
      <c r="K203" s="19">
        <f t="shared" si="110"/>
        <v>8.8461538461538467</v>
      </c>
      <c r="L203" s="19">
        <f>3.28*M203</f>
        <v>32.799999999999997</v>
      </c>
      <c r="M203" s="19">
        <v>10</v>
      </c>
      <c r="N203" s="20">
        <f t="shared" si="114"/>
        <v>15.419760000000002</v>
      </c>
      <c r="O203" s="19">
        <v>4.7</v>
      </c>
      <c r="P203" s="21" t="str">
        <f t="shared" si="111"/>
        <v>no</v>
      </c>
      <c r="Q203" s="22">
        <v>0.87099073414112638</v>
      </c>
      <c r="R203" s="18" t="s">
        <v>2202</v>
      </c>
      <c r="S203" s="23">
        <v>41.52539582</v>
      </c>
      <c r="T203" s="23">
        <v>-74.917190969999993</v>
      </c>
      <c r="U203" s="16" t="s">
        <v>77</v>
      </c>
      <c r="V203" s="16"/>
      <c r="W203" t="str">
        <f t="shared" si="108"/>
        <v>no</v>
      </c>
      <c r="Y203" t="str">
        <f t="shared" si="115"/>
        <v>recreation</v>
      </c>
      <c r="Z203" t="s">
        <v>79</v>
      </c>
      <c r="AA203" s="40" t="s">
        <v>79</v>
      </c>
      <c r="AB203" s="40" t="s">
        <v>79</v>
      </c>
      <c r="AC203" s="35">
        <v>9.2059296271864159</v>
      </c>
      <c r="AD203" s="35" t="s">
        <v>634</v>
      </c>
      <c r="AE203" s="25" t="s">
        <v>1066</v>
      </c>
      <c r="AF203" t="str">
        <f t="shared" si="112"/>
        <v>yes</v>
      </c>
      <c r="AG203" s="26" t="s">
        <v>81</v>
      </c>
      <c r="AH203" s="27" t="s">
        <v>156</v>
      </c>
      <c r="AI203" s="27" t="s">
        <v>141</v>
      </c>
      <c r="AJ203" s="27" t="s">
        <v>156</v>
      </c>
      <c r="AK203" s="27" t="s">
        <v>156</v>
      </c>
      <c r="AL203" s="27" t="s">
        <v>156</v>
      </c>
      <c r="AM203" s="27" t="s">
        <v>156</v>
      </c>
      <c r="AN203" s="39">
        <v>43660</v>
      </c>
      <c r="AO203" s="39">
        <v>43723</v>
      </c>
      <c r="AP203" s="39"/>
      <c r="AQ203">
        <v>11</v>
      </c>
      <c r="AR203">
        <v>6</v>
      </c>
      <c r="AS203">
        <v>6</v>
      </c>
      <c r="AT203">
        <v>7</v>
      </c>
      <c r="AU203">
        <v>4</v>
      </c>
      <c r="AV203">
        <v>1</v>
      </c>
      <c r="AW203">
        <v>8</v>
      </c>
      <c r="AX203">
        <v>4</v>
      </c>
      <c r="AZ203" t="s">
        <v>1067</v>
      </c>
      <c r="BA203" t="s">
        <v>102</v>
      </c>
      <c r="BB203" t="s">
        <v>2203</v>
      </c>
      <c r="BC203" t="s">
        <v>103</v>
      </c>
      <c r="BD203" t="s">
        <v>104</v>
      </c>
      <c r="BE203" t="s">
        <v>105</v>
      </c>
      <c r="BF203" t="s">
        <v>106</v>
      </c>
      <c r="BG203" t="str">
        <f t="shared" si="116"/>
        <v>CSLAP</v>
      </c>
      <c r="BH203" s="14" t="s">
        <v>102</v>
      </c>
      <c r="BJ203">
        <f t="shared" si="117"/>
        <v>6</v>
      </c>
      <c r="BK203">
        <f t="shared" si="118"/>
        <v>2</v>
      </c>
      <c r="BL203">
        <f t="shared" si="119"/>
        <v>3</v>
      </c>
      <c r="BM203" t="str">
        <f t="shared" si="120"/>
        <v>CSLAP</v>
      </c>
      <c r="BN203" t="str">
        <f t="shared" si="121"/>
        <v>no</v>
      </c>
      <c r="BO203">
        <v>0.61</v>
      </c>
    </row>
    <row r="204" spans="1:77" x14ac:dyDescent="0.3">
      <c r="A204" t="s">
        <v>1645</v>
      </c>
      <c r="B204" t="s">
        <v>1954</v>
      </c>
      <c r="C204" s="16">
        <v>98</v>
      </c>
      <c r="D204" s="16" t="s">
        <v>1068</v>
      </c>
      <c r="E204" s="16" t="s">
        <v>237</v>
      </c>
      <c r="F204" s="16" t="s">
        <v>653</v>
      </c>
      <c r="G204" s="17">
        <f t="shared" si="113"/>
        <v>217.70390999999998</v>
      </c>
      <c r="H204" s="17">
        <v>88.1</v>
      </c>
      <c r="I204" s="18">
        <f t="shared" si="122"/>
        <v>914.3069999999999</v>
      </c>
      <c r="J204" s="18">
        <v>370</v>
      </c>
      <c r="K204" s="19">
        <f t="shared" si="110"/>
        <v>4.1997729852440413</v>
      </c>
      <c r="L204" s="19">
        <v>20</v>
      </c>
      <c r="M204" s="19">
        <v>6.1</v>
      </c>
      <c r="N204" s="20">
        <f t="shared" si="114"/>
        <v>12.138960000000001</v>
      </c>
      <c r="O204" s="19">
        <v>3.7</v>
      </c>
      <c r="P204" s="21" t="str">
        <f t="shared" si="111"/>
        <v>no</v>
      </c>
      <c r="Q204" s="22">
        <v>0.6907834710743801</v>
      </c>
      <c r="R204" s="18" t="s">
        <v>963</v>
      </c>
      <c r="S204" s="23">
        <v>44.252470199999998</v>
      </c>
      <c r="T204" s="23">
        <v>-75.737808689999994</v>
      </c>
      <c r="U204" s="18" t="s">
        <v>78</v>
      </c>
      <c r="V204" s="18"/>
      <c r="W204" t="str">
        <f t="shared" si="108"/>
        <v>no</v>
      </c>
      <c r="Y204" t="str">
        <f t="shared" si="115"/>
        <v>recreation</v>
      </c>
      <c r="Z204" t="s">
        <v>79</v>
      </c>
      <c r="AA204" s="24" t="s">
        <v>209</v>
      </c>
      <c r="AB204" s="24" t="s">
        <v>79</v>
      </c>
      <c r="AC204" s="24">
        <f>IF(AND(AA204="none reported",AB204="none reported"),"",0)</f>
        <v>0</v>
      </c>
      <c r="AD204" s="24"/>
      <c r="AE204" s="25" t="s">
        <v>1069</v>
      </c>
      <c r="AF204" t="str">
        <f t="shared" si="112"/>
        <v>yes</v>
      </c>
      <c r="AG204" s="26" t="s">
        <v>81</v>
      </c>
      <c r="AH204" s="27" t="s">
        <v>81</v>
      </c>
      <c r="AI204" s="28" t="s">
        <v>141</v>
      </c>
      <c r="AJ204" s="29" t="s">
        <v>83</v>
      </c>
      <c r="AK204" s="30" t="s">
        <v>121</v>
      </c>
      <c r="AL204" s="31" t="s">
        <v>84</v>
      </c>
      <c r="AM204" s="32" t="s">
        <v>82</v>
      </c>
      <c r="AN204" s="33" t="s">
        <v>81</v>
      </c>
      <c r="AO204" s="32" t="s">
        <v>81</v>
      </c>
      <c r="AP204" s="39"/>
      <c r="AQ204">
        <v>6</v>
      </c>
      <c r="AR204">
        <v>2</v>
      </c>
      <c r="AS204">
        <v>1</v>
      </c>
      <c r="AT204">
        <v>6</v>
      </c>
      <c r="AU204">
        <v>7</v>
      </c>
      <c r="AV204">
        <v>0</v>
      </c>
      <c r="AW204">
        <v>0</v>
      </c>
      <c r="AX204">
        <v>0</v>
      </c>
      <c r="BD204" t="s">
        <v>215</v>
      </c>
      <c r="BE204" t="s">
        <v>216</v>
      </c>
      <c r="BF204" t="s">
        <v>216</v>
      </c>
      <c r="BG204" t="str">
        <f t="shared" si="116"/>
        <v>CSLAP</v>
      </c>
      <c r="BH204" s="14" t="str">
        <f t="shared" ref="BH204:BH209" si="123">IF(RIGHT(CM204,4)="2011","yes","no")</f>
        <v>no</v>
      </c>
      <c r="BJ204">
        <f t="shared" si="117"/>
        <v>2</v>
      </c>
      <c r="BK204">
        <f t="shared" si="118"/>
        <v>2</v>
      </c>
      <c r="BL204">
        <f t="shared" si="119"/>
        <v>1</v>
      </c>
      <c r="BM204" t="str">
        <f t="shared" si="120"/>
        <v>CSLAP</v>
      </c>
      <c r="BN204" t="str">
        <f t="shared" si="121"/>
        <v>no</v>
      </c>
      <c r="BO204">
        <v>1.2753634632134072</v>
      </c>
      <c r="BW204" t="s">
        <v>1070</v>
      </c>
    </row>
    <row r="205" spans="1:77" x14ac:dyDescent="0.3">
      <c r="A205" t="e">
        <v>#N/A</v>
      </c>
      <c r="B205" t="e">
        <v>#N/A</v>
      </c>
      <c r="C205" s="16">
        <v>1003</v>
      </c>
      <c r="D205" s="16" t="s">
        <v>1071</v>
      </c>
      <c r="E205" s="16" t="s">
        <v>136</v>
      </c>
      <c r="F205" s="16" t="s">
        <v>1072</v>
      </c>
      <c r="G205" s="17">
        <f t="shared" si="113"/>
        <v>128.00297999999998</v>
      </c>
      <c r="H205" s="17">
        <v>51.8</v>
      </c>
      <c r="I205" s="18">
        <f t="shared" si="122"/>
        <v>469.50899999999996</v>
      </c>
      <c r="J205" s="18">
        <v>190</v>
      </c>
      <c r="K205" s="19">
        <f t="shared" si="110"/>
        <v>3.6679536679536682</v>
      </c>
      <c r="L205" s="19">
        <v>50</v>
      </c>
      <c r="M205" s="19">
        <v>15.4</v>
      </c>
      <c r="N205" s="20">
        <f t="shared" si="114"/>
        <v>32.151840000000007</v>
      </c>
      <c r="O205" s="19">
        <v>9.8000000000000007</v>
      </c>
      <c r="P205" s="21" t="str">
        <f t="shared" si="111"/>
        <v>no</v>
      </c>
      <c r="Q205" s="22">
        <v>5.343578947368421</v>
      </c>
      <c r="R205" s="18" t="s">
        <v>1073</v>
      </c>
      <c r="S205" s="23">
        <v>43.231252310000002</v>
      </c>
      <c r="T205" s="23">
        <v>-73.711950479999999</v>
      </c>
      <c r="U205" s="18" t="s">
        <v>458</v>
      </c>
      <c r="V205" s="18" t="s">
        <v>96</v>
      </c>
      <c r="W205" t="str">
        <f t="shared" si="108"/>
        <v>yes</v>
      </c>
      <c r="X205" t="s">
        <v>1074</v>
      </c>
      <c r="Y205" t="str">
        <f t="shared" si="115"/>
        <v>potable water, recreation, and public bathing</v>
      </c>
      <c r="Z205" t="s">
        <v>79</v>
      </c>
      <c r="AA205" s="24" t="s">
        <v>120</v>
      </c>
      <c r="AB205" s="24" t="s">
        <v>79</v>
      </c>
      <c r="AC205" s="24">
        <f>IF(AND(AA205="none reported",AB205="none reported"),"",0)</f>
        <v>0</v>
      </c>
      <c r="AD205" s="24"/>
      <c r="AF205" t="str">
        <f t="shared" si="112"/>
        <v/>
      </c>
      <c r="AG205" s="26" t="s">
        <v>82</v>
      </c>
      <c r="AH205" s="16" t="s">
        <v>82</v>
      </c>
      <c r="AI205" s="16" t="s">
        <v>82</v>
      </c>
      <c r="AJ205" s="16" t="s">
        <v>82</v>
      </c>
      <c r="AK205" s="16" t="s">
        <v>85</v>
      </c>
      <c r="AL205" s="16" t="s">
        <v>85</v>
      </c>
      <c r="AM205" s="16" t="s">
        <v>82</v>
      </c>
      <c r="AN205" s="33" t="s">
        <v>81</v>
      </c>
      <c r="AO205" s="32" t="s">
        <v>81</v>
      </c>
      <c r="AP205" s="39"/>
      <c r="AQ205">
        <v>5</v>
      </c>
      <c r="AR205">
        <v>2</v>
      </c>
      <c r="AS205">
        <v>0</v>
      </c>
      <c r="AT205">
        <v>0</v>
      </c>
      <c r="AU205">
        <v>0</v>
      </c>
      <c r="AV205">
        <v>0</v>
      </c>
      <c r="AW205">
        <v>0</v>
      </c>
      <c r="AX205">
        <v>0</v>
      </c>
      <c r="BD205" t="s">
        <v>88</v>
      </c>
      <c r="BE205" t="s">
        <v>89</v>
      </c>
      <c r="BF205" t="s">
        <v>143</v>
      </c>
      <c r="BG205" t="str">
        <f t="shared" si="116"/>
        <v>CSLAP</v>
      </c>
      <c r="BH205" s="14" t="str">
        <f t="shared" si="123"/>
        <v>no</v>
      </c>
      <c r="BJ205">
        <f t="shared" si="117"/>
        <v>0</v>
      </c>
      <c r="BK205">
        <f t="shared" si="118"/>
        <v>0</v>
      </c>
      <c r="BL205">
        <f t="shared" si="119"/>
        <v>0</v>
      </c>
      <c r="BM205" t="str">
        <f t="shared" si="120"/>
        <v>CSLAP</v>
      </c>
      <c r="BN205" t="str">
        <f t="shared" si="121"/>
        <v>no</v>
      </c>
      <c r="BO205">
        <v>0.5</v>
      </c>
      <c r="BS205" s="41">
        <f>6/1</f>
        <v>6</v>
      </c>
    </row>
    <row r="206" spans="1:77" x14ac:dyDescent="0.3">
      <c r="A206" t="s">
        <v>1647</v>
      </c>
      <c r="B206" t="s">
        <v>1955</v>
      </c>
      <c r="C206" s="16">
        <v>151</v>
      </c>
      <c r="D206" s="16" t="s">
        <v>1075</v>
      </c>
      <c r="E206" s="16" t="s">
        <v>293</v>
      </c>
      <c r="F206" s="16" t="s">
        <v>1076</v>
      </c>
      <c r="G206" s="17">
        <f t="shared" si="113"/>
        <v>32.124299999999998</v>
      </c>
      <c r="H206" s="17">
        <v>13</v>
      </c>
      <c r="I206" s="18">
        <f t="shared" si="122"/>
        <v>313.8297</v>
      </c>
      <c r="J206" s="18">
        <v>127</v>
      </c>
      <c r="K206" s="19">
        <f t="shared" si="110"/>
        <v>9.7692307692307701</v>
      </c>
      <c r="L206" s="19">
        <v>14.435520000000002</v>
      </c>
      <c r="M206" s="19">
        <v>4.4000000000000004</v>
      </c>
      <c r="N206" s="20">
        <f t="shared" si="114"/>
        <v>6.7846944000000002</v>
      </c>
      <c r="O206" s="19">
        <v>2.0680000000000001</v>
      </c>
      <c r="P206" s="21" t="str">
        <f t="shared" si="111"/>
        <v>no</v>
      </c>
      <c r="Q206" s="22">
        <v>0.26150097513289527</v>
      </c>
      <c r="R206" s="18" t="s">
        <v>1077</v>
      </c>
      <c r="S206" s="23">
        <v>43.106430000000003</v>
      </c>
      <c r="T206" s="23">
        <v>-74.370109999999997</v>
      </c>
      <c r="U206" s="68" t="s">
        <v>78</v>
      </c>
      <c r="V206" s="18" t="s">
        <v>96</v>
      </c>
      <c r="W206" t="str">
        <f t="shared" si="108"/>
        <v>no</v>
      </c>
      <c r="Y206" t="str">
        <f t="shared" si="115"/>
        <v>recreation</v>
      </c>
      <c r="Z206" t="s">
        <v>79</v>
      </c>
      <c r="AA206" s="40" t="s">
        <v>79</v>
      </c>
      <c r="AB206" s="40" t="s">
        <v>79</v>
      </c>
      <c r="AC206" s="35">
        <v>2.2085091437098301</v>
      </c>
      <c r="AD206" s="35" t="s">
        <v>1078</v>
      </c>
      <c r="AF206" t="str">
        <f t="shared" si="112"/>
        <v/>
      </c>
      <c r="AG206" s="26" t="s">
        <v>81</v>
      </c>
      <c r="AH206" s="27" t="s">
        <v>81</v>
      </c>
      <c r="AI206" s="28" t="s">
        <v>82</v>
      </c>
      <c r="AJ206" s="29" t="s">
        <v>82</v>
      </c>
      <c r="AK206" s="30" t="s">
        <v>85</v>
      </c>
      <c r="AL206" s="31" t="s">
        <v>85</v>
      </c>
      <c r="AM206" s="32" t="s">
        <v>82</v>
      </c>
      <c r="AN206" s="33" t="s">
        <v>81</v>
      </c>
      <c r="AO206" s="32" t="s">
        <v>81</v>
      </c>
      <c r="AP206" s="39"/>
      <c r="AQ206">
        <v>0</v>
      </c>
      <c r="AR206">
        <v>0</v>
      </c>
      <c r="AS206">
        <v>0</v>
      </c>
      <c r="AT206">
        <v>0</v>
      </c>
      <c r="AU206">
        <v>0</v>
      </c>
      <c r="AV206">
        <v>0</v>
      </c>
      <c r="AW206">
        <v>0</v>
      </c>
      <c r="AX206">
        <v>0</v>
      </c>
      <c r="BD206" t="s">
        <v>298</v>
      </c>
      <c r="BF206" t="s">
        <v>89</v>
      </c>
      <c r="BG206" t="str">
        <f t="shared" si="116"/>
        <v>CSLAP</v>
      </c>
      <c r="BH206" s="14" t="str">
        <f t="shared" si="123"/>
        <v>no</v>
      </c>
      <c r="BJ206">
        <f t="shared" si="117"/>
        <v>0</v>
      </c>
      <c r="BK206">
        <f t="shared" si="118"/>
        <v>0</v>
      </c>
      <c r="BL206">
        <f t="shared" si="119"/>
        <v>0</v>
      </c>
      <c r="BM206" t="str">
        <f t="shared" si="120"/>
        <v>CSLAP</v>
      </c>
      <c r="BN206" t="str">
        <f t="shared" si="121"/>
        <v>no</v>
      </c>
      <c r="BO206">
        <v>0.8095</v>
      </c>
    </row>
    <row r="207" spans="1:77" x14ac:dyDescent="0.3">
      <c r="A207" t="s">
        <v>1649</v>
      </c>
      <c r="B207" t="s">
        <v>1956</v>
      </c>
      <c r="C207" s="16">
        <v>85</v>
      </c>
      <c r="D207" s="16" t="s">
        <v>1079</v>
      </c>
      <c r="E207" s="16" t="s">
        <v>448</v>
      </c>
      <c r="F207" s="16" t="s">
        <v>1080</v>
      </c>
      <c r="G207" s="17">
        <f t="shared" si="113"/>
        <v>198.42932999999999</v>
      </c>
      <c r="H207" s="17">
        <v>80.3</v>
      </c>
      <c r="I207" s="18">
        <f t="shared" si="122"/>
        <v>283521.65849999996</v>
      </c>
      <c r="J207" s="18">
        <v>114735</v>
      </c>
      <c r="K207" s="19">
        <f t="shared" si="110"/>
        <v>1428.8293897882938</v>
      </c>
      <c r="L207" s="19" t="s">
        <v>110</v>
      </c>
      <c r="M207" s="19"/>
      <c r="N207" s="20">
        <f t="shared" si="114"/>
        <v>3.93696</v>
      </c>
      <c r="O207" s="19">
        <v>1.2</v>
      </c>
      <c r="P207" s="21" t="str">
        <f t="shared" si="111"/>
        <v>no</v>
      </c>
      <c r="Q207" s="22">
        <v>1.3122630409203816E-3</v>
      </c>
      <c r="R207" s="18" t="s">
        <v>1081</v>
      </c>
      <c r="S207" s="23">
        <v>44.69896404</v>
      </c>
      <c r="T207" s="23">
        <v>-74.125168169999995</v>
      </c>
      <c r="U207" s="18" t="s">
        <v>95</v>
      </c>
      <c r="V207" s="18" t="s">
        <v>96</v>
      </c>
      <c r="W207" t="str">
        <f t="shared" si="108"/>
        <v>no</v>
      </c>
      <c r="Y207" t="str">
        <f t="shared" si="115"/>
        <v>recreation</v>
      </c>
      <c r="Z207" t="s">
        <v>79</v>
      </c>
      <c r="AA207" s="24" t="s">
        <v>120</v>
      </c>
      <c r="AB207" s="24" t="s">
        <v>79</v>
      </c>
      <c r="AC207" s="24">
        <f>IF(AND(AA207="none reported",AB207="none reported"),"",0)</f>
        <v>0</v>
      </c>
      <c r="AD207" s="24"/>
      <c r="AF207" t="str">
        <f t="shared" si="112"/>
        <v/>
      </c>
      <c r="AG207" s="26" t="s">
        <v>81</v>
      </c>
      <c r="AH207" s="27" t="s">
        <v>82</v>
      </c>
      <c r="AI207" s="28" t="s">
        <v>83</v>
      </c>
      <c r="AJ207" s="29" t="s">
        <v>83</v>
      </c>
      <c r="AK207" s="30" t="s">
        <v>85</v>
      </c>
      <c r="AL207" s="31" t="s">
        <v>84</v>
      </c>
      <c r="AM207" s="32" t="s">
        <v>82</v>
      </c>
      <c r="AN207" s="33" t="s">
        <v>81</v>
      </c>
      <c r="AO207" s="32" t="s">
        <v>81</v>
      </c>
      <c r="AP207" s="39"/>
      <c r="AQ207">
        <v>0</v>
      </c>
      <c r="AR207">
        <v>0</v>
      </c>
      <c r="AS207">
        <v>0</v>
      </c>
      <c r="AT207">
        <v>0</v>
      </c>
      <c r="AU207">
        <v>0</v>
      </c>
      <c r="AV207">
        <v>0</v>
      </c>
      <c r="AW207">
        <v>0</v>
      </c>
      <c r="AX207">
        <v>0</v>
      </c>
      <c r="AY207" t="s">
        <v>212</v>
      </c>
      <c r="AZ207" t="s">
        <v>1082</v>
      </c>
      <c r="BD207" t="s">
        <v>215</v>
      </c>
      <c r="BE207" t="s">
        <v>216</v>
      </c>
      <c r="BF207" t="s">
        <v>89</v>
      </c>
      <c r="BG207" t="str">
        <f t="shared" si="116"/>
        <v>CSLAP</v>
      </c>
      <c r="BH207" s="14" t="str">
        <f t="shared" si="123"/>
        <v>no</v>
      </c>
      <c r="BJ207">
        <f t="shared" si="117"/>
        <v>0</v>
      </c>
      <c r="BK207">
        <f t="shared" si="118"/>
        <v>0</v>
      </c>
      <c r="BL207">
        <f t="shared" si="119"/>
        <v>0</v>
      </c>
      <c r="BM207" t="str">
        <f t="shared" si="120"/>
        <v>CSLAP</v>
      </c>
      <c r="BN207" t="str">
        <f t="shared" si="121"/>
        <v>no</v>
      </c>
      <c r="BO207">
        <v>0.64</v>
      </c>
    </row>
    <row r="208" spans="1:77" x14ac:dyDescent="0.3">
      <c r="A208" t="s">
        <v>1651</v>
      </c>
      <c r="B208" t="s">
        <v>1957</v>
      </c>
      <c r="C208" s="16">
        <v>6</v>
      </c>
      <c r="D208" s="16" t="s">
        <v>1083</v>
      </c>
      <c r="E208" s="16" t="s">
        <v>127</v>
      </c>
      <c r="F208" s="16" t="s">
        <v>1084</v>
      </c>
      <c r="G208" s="17">
        <f t="shared" si="113"/>
        <v>172.72989000000001</v>
      </c>
      <c r="H208" s="17">
        <v>69.900000000000006</v>
      </c>
      <c r="I208" s="18">
        <f t="shared" si="122"/>
        <v>8520.3527999999988</v>
      </c>
      <c r="J208" s="18">
        <v>3448</v>
      </c>
      <c r="K208" s="19">
        <f t="shared" si="110"/>
        <v>49.327610872675244</v>
      </c>
      <c r="L208" s="19">
        <f>3.28*M208</f>
        <v>11.479999999999999</v>
      </c>
      <c r="M208" s="19">
        <v>3.5</v>
      </c>
      <c r="N208" s="20">
        <f t="shared" si="114"/>
        <v>5.9054400000000005</v>
      </c>
      <c r="O208" s="19">
        <v>1.8</v>
      </c>
      <c r="P208" s="21" t="str">
        <f t="shared" si="111"/>
        <v>no</v>
      </c>
      <c r="Q208" s="22">
        <v>7.1813735498839903E-2</v>
      </c>
      <c r="R208" s="18" t="s">
        <v>2206</v>
      </c>
      <c r="S208" s="23">
        <v>42.537846500000001</v>
      </c>
      <c r="T208" s="23">
        <v>-73.603790439999997</v>
      </c>
      <c r="U208" s="18" t="s">
        <v>77</v>
      </c>
      <c r="V208" s="18" t="s">
        <v>77</v>
      </c>
      <c r="W208" t="str">
        <f t="shared" si="108"/>
        <v>no</v>
      </c>
      <c r="Y208" t="str">
        <f t="shared" si="115"/>
        <v>recreation</v>
      </c>
      <c r="Z208" t="s">
        <v>79</v>
      </c>
      <c r="AA208" s="45" t="s">
        <v>1085</v>
      </c>
      <c r="AB208" s="40" t="s">
        <v>79</v>
      </c>
      <c r="AC208" s="24">
        <f>IF(AND(AA208="none reported",AB208="none reported"),"",0)</f>
        <v>0</v>
      </c>
      <c r="AD208" s="24"/>
      <c r="AE208" s="25" t="s">
        <v>1086</v>
      </c>
      <c r="AF208" t="str">
        <f t="shared" si="112"/>
        <v>yes</v>
      </c>
      <c r="AG208" s="26" t="s">
        <v>81</v>
      </c>
      <c r="AH208" s="27" t="s">
        <v>83</v>
      </c>
      <c r="AI208" s="28" t="s">
        <v>141</v>
      </c>
      <c r="AJ208" s="29" t="s">
        <v>83</v>
      </c>
      <c r="AK208" s="30" t="s">
        <v>121</v>
      </c>
      <c r="AL208" s="31" t="s">
        <v>84</v>
      </c>
      <c r="AM208" s="32" t="s">
        <v>1087</v>
      </c>
      <c r="AN208" s="39">
        <v>43663</v>
      </c>
      <c r="AO208" s="39">
        <v>43733</v>
      </c>
      <c r="AP208" s="39"/>
      <c r="AQ208">
        <v>8</v>
      </c>
      <c r="AR208">
        <v>3</v>
      </c>
      <c r="AS208">
        <v>8</v>
      </c>
      <c r="AT208">
        <v>5</v>
      </c>
      <c r="AU208">
        <v>0</v>
      </c>
      <c r="AV208">
        <v>3</v>
      </c>
      <c r="AW208">
        <v>2</v>
      </c>
      <c r="AX208">
        <v>8</v>
      </c>
      <c r="AZ208" t="s">
        <v>1088</v>
      </c>
      <c r="BA208" t="s">
        <v>102</v>
      </c>
      <c r="BB208" t="s">
        <v>2207</v>
      </c>
      <c r="BD208" t="s">
        <v>152</v>
      </c>
      <c r="BF208" t="s">
        <v>133</v>
      </c>
      <c r="BG208" t="str">
        <f t="shared" si="116"/>
        <v>CSLAP</v>
      </c>
      <c r="BH208" s="14" t="str">
        <f t="shared" si="123"/>
        <v>no</v>
      </c>
      <c r="BJ208">
        <f t="shared" si="117"/>
        <v>6</v>
      </c>
      <c r="BK208">
        <f t="shared" si="118"/>
        <v>2</v>
      </c>
      <c r="BL208">
        <f t="shared" si="119"/>
        <v>3</v>
      </c>
      <c r="BM208" t="str">
        <f t="shared" si="120"/>
        <v>CSLAP</v>
      </c>
      <c r="BN208" t="str">
        <f t="shared" si="121"/>
        <v>no</v>
      </c>
      <c r="BO208">
        <v>0.50813008130081305</v>
      </c>
      <c r="BU208" t="s">
        <v>392</v>
      </c>
      <c r="BW208" t="s">
        <v>1089</v>
      </c>
      <c r="BY208" t="s">
        <v>1090</v>
      </c>
    </row>
    <row r="209" spans="1:77" x14ac:dyDescent="0.3">
      <c r="A209" t="s">
        <v>1652</v>
      </c>
      <c r="B209" t="s">
        <v>1958</v>
      </c>
      <c r="C209" s="16">
        <v>19</v>
      </c>
      <c r="D209" s="16" t="s">
        <v>1091</v>
      </c>
      <c r="E209" s="16" t="s">
        <v>684</v>
      </c>
      <c r="F209" s="16" t="s">
        <v>1092</v>
      </c>
      <c r="G209" s="17">
        <f>H209*2.4711</f>
        <v>2400.1794299999997</v>
      </c>
      <c r="H209" s="17">
        <v>971.3</v>
      </c>
      <c r="I209" s="18">
        <f t="shared" si="122"/>
        <v>47652.6924</v>
      </c>
      <c r="J209" s="18">
        <v>19284</v>
      </c>
      <c r="K209" s="19">
        <f t="shared" si="110"/>
        <v>19.853804179964996</v>
      </c>
      <c r="L209" s="19">
        <v>13.451279999999999</v>
      </c>
      <c r="M209" s="19">
        <v>4.0999999999999996</v>
      </c>
      <c r="N209" s="20">
        <f t="shared" si="114"/>
        <v>7.87392</v>
      </c>
      <c r="O209" s="19">
        <v>2.4</v>
      </c>
      <c r="P209" s="21" t="str">
        <f t="shared" si="111"/>
        <v>no</v>
      </c>
      <c r="Q209" s="22">
        <v>0.31719865588052271</v>
      </c>
      <c r="R209" s="18" t="s">
        <v>682</v>
      </c>
      <c r="S209" s="23">
        <v>43.656770000000002</v>
      </c>
      <c r="T209" s="23">
        <v>-76.179550000000006</v>
      </c>
      <c r="U209" s="18" t="s">
        <v>77</v>
      </c>
      <c r="V209" s="18"/>
      <c r="W209" t="str">
        <f t="shared" si="108"/>
        <v>no</v>
      </c>
      <c r="Y209" t="str">
        <f t="shared" si="115"/>
        <v>recreation</v>
      </c>
      <c r="Z209" t="s">
        <v>79</v>
      </c>
      <c r="AA209" s="45" t="s">
        <v>1093</v>
      </c>
      <c r="AB209" s="40" t="s">
        <v>139</v>
      </c>
      <c r="AC209" s="24">
        <f>IF(AND(AA209="none reported",AB209="none reported"),"",0)</f>
        <v>0</v>
      </c>
      <c r="AD209" s="24"/>
      <c r="AE209" s="25" t="s">
        <v>1069</v>
      </c>
      <c r="AF209" t="str">
        <f t="shared" si="112"/>
        <v>yes</v>
      </c>
      <c r="AG209" s="26" t="s">
        <v>81</v>
      </c>
      <c r="AH209" s="27" t="s">
        <v>83</v>
      </c>
      <c r="AI209" s="28" t="s">
        <v>141</v>
      </c>
      <c r="AJ209" s="29" t="s">
        <v>156</v>
      </c>
      <c r="AK209" s="30" t="s">
        <v>156</v>
      </c>
      <c r="AL209" s="31" t="s">
        <v>84</v>
      </c>
      <c r="AM209" s="32" t="s">
        <v>83</v>
      </c>
      <c r="AN209" s="33" t="s">
        <v>81</v>
      </c>
      <c r="AO209" s="32" t="s">
        <v>81</v>
      </c>
      <c r="AP209" s="39"/>
      <c r="AQ209">
        <v>6</v>
      </c>
      <c r="AR209">
        <v>2</v>
      </c>
      <c r="AS209">
        <v>0</v>
      </c>
      <c r="AT209">
        <v>4</v>
      </c>
      <c r="AU209">
        <v>2</v>
      </c>
      <c r="AV209">
        <v>0</v>
      </c>
      <c r="AW209">
        <v>0</v>
      </c>
      <c r="AX209">
        <v>0</v>
      </c>
      <c r="BC209" t="s">
        <v>132</v>
      </c>
      <c r="BD209" t="s">
        <v>227</v>
      </c>
      <c r="BE209" t="s">
        <v>228</v>
      </c>
      <c r="BF209" t="s">
        <v>115</v>
      </c>
      <c r="BG209" t="str">
        <f>IF(C209="","LCI","CSLAP")</f>
        <v>CSLAP</v>
      </c>
      <c r="BH209" s="14" t="str">
        <f t="shared" si="123"/>
        <v>no</v>
      </c>
      <c r="BJ209">
        <f>IF(MAX(AT209:AX209)=0,0,IF(MAX(AT209:AX209)=1,1,LEN(AE209)-LEN(SUBSTITUTE(UPPER(AE209),",",""))+1))</f>
        <v>2</v>
      </c>
      <c r="BK209">
        <f>IF(BJ209&gt;1,2,IF(BJ209&gt;0,1,0))</f>
        <v>2</v>
      </c>
      <c r="BL209">
        <f>IF(BJ209&gt;2,3,IF(BJ209&gt;2,2,IF(BJ209&gt;1,1,0)))</f>
        <v>1</v>
      </c>
      <c r="BM209" t="str">
        <f>IF(C209="","LCI","CSLAP")</f>
        <v>CSLAP</v>
      </c>
      <c r="BN209" t="str">
        <f>IF(LEFT(AB209,13)="zebra mussels","yes","no")</f>
        <v>yes</v>
      </c>
      <c r="BO209">
        <v>0.38109756097560976</v>
      </c>
      <c r="BW209" t="s">
        <v>1094</v>
      </c>
    </row>
    <row r="210" spans="1:77" x14ac:dyDescent="0.3">
      <c r="A210" t="s">
        <v>1653</v>
      </c>
      <c r="B210" t="s">
        <v>1959</v>
      </c>
      <c r="C210" s="16">
        <v>30</v>
      </c>
      <c r="D210" s="16" t="s">
        <v>1095</v>
      </c>
      <c r="E210" s="16" t="s">
        <v>176</v>
      </c>
      <c r="F210" s="16" t="s">
        <v>425</v>
      </c>
      <c r="G210" s="17">
        <f>H210*2.4711</f>
        <v>134.42783999999997</v>
      </c>
      <c r="H210" s="17">
        <v>54.4</v>
      </c>
      <c r="I210" s="18">
        <f t="shared" si="122"/>
        <v>1556.7929999999999</v>
      </c>
      <c r="J210" s="18">
        <v>630</v>
      </c>
      <c r="K210" s="19">
        <f t="shared" si="110"/>
        <v>11.580882352941178</v>
      </c>
      <c r="L210" s="19">
        <v>114.828</v>
      </c>
      <c r="M210" s="19">
        <v>35</v>
      </c>
      <c r="N210" s="20">
        <f t="shared" si="114"/>
        <v>45.603120000000004</v>
      </c>
      <c r="O210" s="19">
        <v>13.9</v>
      </c>
      <c r="P210" s="21" t="str">
        <f t="shared" si="111"/>
        <v>no</v>
      </c>
      <c r="Q210" s="22">
        <v>3.3340388007054673</v>
      </c>
      <c r="R210" s="18" t="s">
        <v>2208</v>
      </c>
      <c r="S210" s="23">
        <v>42.022362029999996</v>
      </c>
      <c r="T210" s="23">
        <v>-75.45929366</v>
      </c>
      <c r="U210" s="18" t="s">
        <v>379</v>
      </c>
      <c r="V210" s="18" t="s">
        <v>96</v>
      </c>
      <c r="W210" t="str">
        <f t="shared" si="108"/>
        <v>yes</v>
      </c>
      <c r="X210" t="s">
        <v>1096</v>
      </c>
      <c r="Y210" t="str">
        <f t="shared" si="115"/>
        <v>potable water, recreation, and public bathing</v>
      </c>
      <c r="Z210" t="s">
        <v>79</v>
      </c>
      <c r="AA210" s="24" t="s">
        <v>79</v>
      </c>
      <c r="AB210" s="24" t="s">
        <v>79</v>
      </c>
      <c r="AC210" s="35">
        <v>5.4953117108035689</v>
      </c>
      <c r="AD210" s="35" t="s">
        <v>442</v>
      </c>
      <c r="AF210" t="str">
        <f t="shared" si="112"/>
        <v/>
      </c>
      <c r="AG210" s="26" t="s">
        <v>1097</v>
      </c>
      <c r="AH210" s="26" t="s">
        <v>1097</v>
      </c>
      <c r="AI210" s="26" t="s">
        <v>1097</v>
      </c>
      <c r="AJ210" s="26" t="s">
        <v>1097</v>
      </c>
      <c r="AK210" s="27" t="s">
        <v>100</v>
      </c>
      <c r="AL210" s="27" t="s">
        <v>100</v>
      </c>
      <c r="AM210" s="27" t="s">
        <v>1097</v>
      </c>
      <c r="AN210" s="33" t="s">
        <v>81</v>
      </c>
      <c r="AO210" s="32" t="s">
        <v>81</v>
      </c>
      <c r="AP210" s="39"/>
      <c r="AQ210">
        <v>0</v>
      </c>
      <c r="AR210">
        <v>0</v>
      </c>
      <c r="AS210">
        <v>0</v>
      </c>
      <c r="AT210">
        <v>0</v>
      </c>
      <c r="AU210">
        <v>0</v>
      </c>
      <c r="AV210">
        <v>0</v>
      </c>
      <c r="AW210">
        <v>0</v>
      </c>
      <c r="AX210">
        <v>0</v>
      </c>
      <c r="AZ210" t="s">
        <v>1098</v>
      </c>
      <c r="BA210" t="s">
        <v>102</v>
      </c>
      <c r="BB210" t="s">
        <v>1099</v>
      </c>
      <c r="BC210" t="s">
        <v>132</v>
      </c>
      <c r="BD210" t="s">
        <v>104</v>
      </c>
      <c r="BE210" t="s">
        <v>105</v>
      </c>
      <c r="BF210" t="s">
        <v>115</v>
      </c>
      <c r="BG210" t="str">
        <f>IF(C210="","LCI","CSLAP")</f>
        <v>CSLAP</v>
      </c>
      <c r="BH210" s="14" t="s">
        <v>102</v>
      </c>
      <c r="BJ210">
        <f>IF(MAX(AT210:AX210)=0,0,IF(MAX(AT210:AX210)=1,1,LEN(AE210)-LEN(SUBSTITUTE(UPPER(AE210),",",""))+1))</f>
        <v>0</v>
      </c>
      <c r="BK210">
        <f>IF(BJ210&gt;1,2,IF(BJ210&gt;0,1,0))</f>
        <v>0</v>
      </c>
      <c r="BL210">
        <f>IF(BJ210&gt;2,3,IF(BJ210&gt;2,2,IF(BJ210&gt;1,1,0)))</f>
        <v>0</v>
      </c>
      <c r="BM210" t="str">
        <f>IF(C210="","LCI","CSLAP")</f>
        <v>CSLAP</v>
      </c>
      <c r="BN210" t="str">
        <f>IF(LEFT(AB210,13)="zebra mussels","yes","no")</f>
        <v>no</v>
      </c>
      <c r="BO210">
        <v>0.36</v>
      </c>
    </row>
    <row r="211" spans="1:77" x14ac:dyDescent="0.3">
      <c r="A211" t="s">
        <v>1654</v>
      </c>
      <c r="B211" t="s">
        <v>1960</v>
      </c>
      <c r="C211" s="16">
        <v>109</v>
      </c>
      <c r="D211" s="16" t="s">
        <v>1100</v>
      </c>
      <c r="E211" s="16" t="s">
        <v>165</v>
      </c>
      <c r="F211" s="16" t="s">
        <v>1101</v>
      </c>
      <c r="G211" s="17">
        <f>H211*2.4711</f>
        <v>409.70837999999998</v>
      </c>
      <c r="H211" s="17">
        <v>165.8</v>
      </c>
      <c r="I211" s="18">
        <f t="shared" si="122"/>
        <v>6679.3832999999995</v>
      </c>
      <c r="J211" s="18">
        <v>2703</v>
      </c>
      <c r="K211" s="19">
        <f t="shared" si="110"/>
        <v>16.302774427020505</v>
      </c>
      <c r="L211" s="19">
        <f>3.28*M211</f>
        <v>20.992000000000001</v>
      </c>
      <c r="M211" s="19">
        <v>6.4</v>
      </c>
      <c r="N211" s="20">
        <f t="shared" si="114"/>
        <v>8.202</v>
      </c>
      <c r="O211" s="19">
        <v>2.5</v>
      </c>
      <c r="P211" s="21" t="str">
        <f t="shared" si="111"/>
        <v>no</v>
      </c>
      <c r="Q211" s="22">
        <v>0.27027027027027023</v>
      </c>
      <c r="R211" s="18" t="s">
        <v>2209</v>
      </c>
      <c r="S211" s="23">
        <v>41.548738950000001</v>
      </c>
      <c r="T211" s="23">
        <v>-74.1035787</v>
      </c>
      <c r="U211" s="18" t="s">
        <v>77</v>
      </c>
      <c r="V211" s="18" t="s">
        <v>96</v>
      </c>
      <c r="W211" t="str">
        <f t="shared" si="108"/>
        <v>no</v>
      </c>
      <c r="Y211" t="str">
        <f t="shared" si="115"/>
        <v>recreation</v>
      </c>
      <c r="Z211" t="s">
        <v>79</v>
      </c>
      <c r="AA211" s="24" t="s">
        <v>120</v>
      </c>
      <c r="AB211" s="24" t="s">
        <v>79</v>
      </c>
      <c r="AC211" s="24">
        <f>IF(AND(AA211="none reported",AB211="none reported"),"",0)</f>
        <v>0</v>
      </c>
      <c r="AD211" s="24"/>
      <c r="AE211" s="25" t="s">
        <v>211</v>
      </c>
      <c r="AF211" t="str">
        <f t="shared" si="112"/>
        <v>yes</v>
      </c>
      <c r="AG211" s="26" t="s">
        <v>81</v>
      </c>
      <c r="AH211" s="27" t="s">
        <v>83</v>
      </c>
      <c r="AI211" s="28" t="s">
        <v>141</v>
      </c>
      <c r="AJ211" s="29" t="s">
        <v>83</v>
      </c>
      <c r="AK211" s="30" t="s">
        <v>121</v>
      </c>
      <c r="AL211" s="31" t="s">
        <v>84</v>
      </c>
      <c r="AM211" s="32" t="s">
        <v>82</v>
      </c>
      <c r="AN211" s="39">
        <v>43674</v>
      </c>
      <c r="AO211" s="39">
        <v>408965</v>
      </c>
      <c r="AP211" s="39"/>
      <c r="AQ211">
        <v>15</v>
      </c>
      <c r="AR211">
        <v>6</v>
      </c>
      <c r="AS211">
        <v>5</v>
      </c>
      <c r="AT211">
        <v>4</v>
      </c>
      <c r="AU211">
        <v>10</v>
      </c>
      <c r="AV211">
        <v>8</v>
      </c>
      <c r="AW211">
        <v>2</v>
      </c>
      <c r="AX211">
        <v>4</v>
      </c>
      <c r="AY211" t="s">
        <v>1052</v>
      </c>
      <c r="AZ211" t="s">
        <v>1102</v>
      </c>
      <c r="BA211" t="s">
        <v>102</v>
      </c>
      <c r="BB211" t="s">
        <v>1103</v>
      </c>
      <c r="BC211" t="s">
        <v>103</v>
      </c>
      <c r="BD211" t="s">
        <v>152</v>
      </c>
      <c r="BE211" t="s">
        <v>159</v>
      </c>
      <c r="BF211" t="s">
        <v>160</v>
      </c>
      <c r="BG211" t="str">
        <f>IF(C211="","LCI","CSLAP")</f>
        <v>CSLAP</v>
      </c>
      <c r="BH211" s="14" t="s">
        <v>102</v>
      </c>
      <c r="BJ211">
        <f>IF(MAX(AT211:AX211)=0,0,IF(MAX(AT211:AX211)=1,1,LEN(AE211)-LEN(SUBSTITUTE(UPPER(AE211),",",""))+1))</f>
        <v>7</v>
      </c>
      <c r="BK211">
        <f>IF(BJ211&gt;1,2,IF(BJ211&gt;0,1,0))</f>
        <v>2</v>
      </c>
      <c r="BL211">
        <f>IF(BJ211&gt;2,3,IF(BJ211&gt;2,2,IF(BJ211&gt;1,1,0)))</f>
        <v>3</v>
      </c>
      <c r="BM211" t="str">
        <f>IF(C211="","LCI","CSLAP")</f>
        <v>CSLAP</v>
      </c>
      <c r="BN211" t="str">
        <f>IF(LEFT(AB211,13)="zebra mussels","yes","no")</f>
        <v>no</v>
      </c>
      <c r="BO211">
        <v>0.56738808731039592</v>
      </c>
    </row>
    <row r="212" spans="1:77" x14ac:dyDescent="0.3">
      <c r="A212" t="s">
        <v>1656</v>
      </c>
      <c r="B212" t="s">
        <v>1961</v>
      </c>
      <c r="C212" s="37">
        <v>256.10000000000002</v>
      </c>
      <c r="D212" s="37" t="s">
        <v>1104</v>
      </c>
      <c r="E212" s="42" t="s">
        <v>410</v>
      </c>
      <c r="F212" t="s">
        <v>1105</v>
      </c>
      <c r="G212" s="36">
        <v>2210.3000000000002</v>
      </c>
      <c r="H212" s="36">
        <f>G212/2.4711</f>
        <v>894.45995710412376</v>
      </c>
      <c r="I212" s="37">
        <v>27136</v>
      </c>
      <c r="J212" s="37">
        <f>I212/2.4711</f>
        <v>10981.344340577072</v>
      </c>
      <c r="K212" s="21">
        <f t="shared" si="110"/>
        <v>12.277066461566303</v>
      </c>
      <c r="L212" s="21">
        <f>3.28*M212</f>
        <v>65.927999999999997</v>
      </c>
      <c r="M212" s="21">
        <v>20.100000000000001</v>
      </c>
      <c r="N212" s="21">
        <f>3.28*O212</f>
        <v>33.455999999999996</v>
      </c>
      <c r="O212" s="21">
        <v>10.199999999999999</v>
      </c>
      <c r="P212" s="21" t="str">
        <f t="shared" si="111"/>
        <v>no</v>
      </c>
      <c r="Q212" s="43">
        <v>1.7398552997823413</v>
      </c>
      <c r="R212" s="37" t="s">
        <v>2109</v>
      </c>
      <c r="S212">
        <v>42.874499999999998</v>
      </c>
      <c r="T212">
        <v>-76.296329999999998</v>
      </c>
      <c r="U212" s="76" t="s">
        <v>379</v>
      </c>
      <c r="V212" t="s">
        <v>78</v>
      </c>
      <c r="W212" t="str">
        <f t="shared" si="108"/>
        <v>yes</v>
      </c>
      <c r="Y212" t="str">
        <f t="shared" si="115"/>
        <v>potable water and recreation</v>
      </c>
      <c r="AA212" t="s">
        <v>1106</v>
      </c>
      <c r="AB212" t="s">
        <v>1107</v>
      </c>
      <c r="AC212">
        <v>0</v>
      </c>
      <c r="AE212" s="25" t="s">
        <v>432</v>
      </c>
      <c r="AF212" t="str">
        <f t="shared" si="112"/>
        <v>yes</v>
      </c>
      <c r="AG212" t="s">
        <v>257</v>
      </c>
      <c r="AH212" t="s">
        <v>156</v>
      </c>
      <c r="AI212" t="s">
        <v>83</v>
      </c>
      <c r="AJ212" t="s">
        <v>83</v>
      </c>
      <c r="AK212" t="s">
        <v>156</v>
      </c>
      <c r="AL212" t="s">
        <v>156</v>
      </c>
      <c r="AM212" t="s">
        <v>156</v>
      </c>
      <c r="AN212" s="39">
        <v>43631</v>
      </c>
      <c r="AO212" s="39">
        <v>43690</v>
      </c>
      <c r="AP212" s="39"/>
      <c r="AQ212">
        <v>1</v>
      </c>
      <c r="AR212">
        <v>1</v>
      </c>
      <c r="AS212">
        <v>1</v>
      </c>
      <c r="AT212">
        <v>0</v>
      </c>
      <c r="AU212">
        <v>0</v>
      </c>
      <c r="AV212">
        <v>0</v>
      </c>
      <c r="AW212">
        <v>0</v>
      </c>
      <c r="AX212">
        <v>0</v>
      </c>
      <c r="AZ212" t="s">
        <v>1108</v>
      </c>
      <c r="BA212" t="s">
        <v>102</v>
      </c>
      <c r="BB212" t="s">
        <v>1109</v>
      </c>
      <c r="BD212" t="s">
        <v>320</v>
      </c>
      <c r="BG212" t="s">
        <v>54</v>
      </c>
      <c r="BH212" s="14" t="s">
        <v>102</v>
      </c>
      <c r="BM212" t="s">
        <v>54</v>
      </c>
      <c r="BN212" t="s">
        <v>102</v>
      </c>
      <c r="BO212">
        <v>0.47752095504191011</v>
      </c>
    </row>
    <row r="213" spans="1:77" x14ac:dyDescent="0.3">
      <c r="A213" t="s">
        <v>1656</v>
      </c>
      <c r="B213" t="s">
        <v>1962</v>
      </c>
      <c r="C213" s="37">
        <v>256.2</v>
      </c>
      <c r="D213" s="37" t="s">
        <v>1110</v>
      </c>
      <c r="E213" s="42" t="s">
        <v>410</v>
      </c>
      <c r="F213" t="s">
        <v>1105</v>
      </c>
      <c r="G213" s="36">
        <v>2210.3000000000002</v>
      </c>
      <c r="H213" s="36">
        <f>G213/2.4711</f>
        <v>894.45995710412376</v>
      </c>
      <c r="I213" s="37">
        <v>27136</v>
      </c>
      <c r="J213" s="37">
        <f>I213/2.4711</f>
        <v>10981.344340577072</v>
      </c>
      <c r="K213" s="21">
        <f t="shared" si="110"/>
        <v>12.277066461566303</v>
      </c>
      <c r="L213" s="21">
        <f>3.28*M213</f>
        <v>65.927999999999997</v>
      </c>
      <c r="M213" s="21">
        <v>20.100000000000001</v>
      </c>
      <c r="N213" s="21">
        <f>3.28*O213</f>
        <v>33.455999999999996</v>
      </c>
      <c r="O213" s="21">
        <v>10.199999999999999</v>
      </c>
      <c r="P213" s="21" t="str">
        <f t="shared" si="111"/>
        <v>no</v>
      </c>
      <c r="Q213" s="43">
        <v>1.7398552997823413</v>
      </c>
      <c r="R213" s="37" t="s">
        <v>2109</v>
      </c>
      <c r="S213">
        <v>42.874499999999998</v>
      </c>
      <c r="T213">
        <v>-76.296329999999998</v>
      </c>
      <c r="U213" s="76" t="s">
        <v>379</v>
      </c>
      <c r="V213" t="s">
        <v>78</v>
      </c>
      <c r="W213" t="str">
        <f t="shared" si="108"/>
        <v>yes</v>
      </c>
      <c r="Y213" t="str">
        <f t="shared" si="115"/>
        <v>potable water and recreation</v>
      </c>
      <c r="AA213" t="s">
        <v>1106</v>
      </c>
      <c r="AB213" t="s">
        <v>1107</v>
      </c>
      <c r="AC213">
        <v>0</v>
      </c>
      <c r="AE213" s="25" t="s">
        <v>432</v>
      </c>
      <c r="AF213" t="str">
        <f t="shared" si="112"/>
        <v>yes</v>
      </c>
      <c r="AG213" t="s">
        <v>257</v>
      </c>
      <c r="AH213" t="s">
        <v>156</v>
      </c>
      <c r="AI213" t="s">
        <v>83</v>
      </c>
      <c r="AJ213" t="s">
        <v>83</v>
      </c>
      <c r="AK213" t="s">
        <v>156</v>
      </c>
      <c r="AL213" t="s">
        <v>156</v>
      </c>
      <c r="AM213" t="s">
        <v>156</v>
      </c>
      <c r="AN213" s="39">
        <v>43631</v>
      </c>
      <c r="AO213" s="39">
        <v>43690</v>
      </c>
      <c r="AP213" s="39"/>
      <c r="AQ213">
        <v>1</v>
      </c>
      <c r="AR213">
        <v>1</v>
      </c>
      <c r="AS213">
        <v>1</v>
      </c>
      <c r="AT213">
        <v>0</v>
      </c>
      <c r="AU213">
        <v>0</v>
      </c>
      <c r="AV213">
        <v>0</v>
      </c>
      <c r="AW213">
        <v>0</v>
      </c>
      <c r="AX213">
        <v>0</v>
      </c>
      <c r="AZ213" t="s">
        <v>1108</v>
      </c>
      <c r="BA213" t="s">
        <v>102</v>
      </c>
      <c r="BB213" t="s">
        <v>1109</v>
      </c>
      <c r="BD213" t="s">
        <v>320</v>
      </c>
      <c r="BG213" t="s">
        <v>54</v>
      </c>
      <c r="BH213" s="14" t="s">
        <v>102</v>
      </c>
      <c r="BM213" t="s">
        <v>54</v>
      </c>
      <c r="BN213" t="s">
        <v>102</v>
      </c>
      <c r="BO213">
        <v>0.47752095504191011</v>
      </c>
    </row>
    <row r="214" spans="1:77" x14ac:dyDescent="0.3">
      <c r="A214" t="s">
        <v>1657</v>
      </c>
      <c r="B214" t="s">
        <v>1963</v>
      </c>
      <c r="C214" s="16">
        <v>99</v>
      </c>
      <c r="D214" s="16" t="s">
        <v>1111</v>
      </c>
      <c r="E214" s="16" t="s">
        <v>455</v>
      </c>
      <c r="F214" s="16" t="s">
        <v>699</v>
      </c>
      <c r="G214" s="17">
        <f t="shared" ref="G214:G277" si="124">H214*2.4711</f>
        <v>281.7054</v>
      </c>
      <c r="H214" s="17">
        <v>114</v>
      </c>
      <c r="I214" s="18">
        <f>IF(J214="","",J214*2.4711)</f>
        <v>1477.7177999999999</v>
      </c>
      <c r="J214" s="18">
        <v>598</v>
      </c>
      <c r="K214" s="19">
        <f t="shared" si="110"/>
        <v>5.2456140350877192</v>
      </c>
      <c r="L214" s="19">
        <v>9.8424000000000014</v>
      </c>
      <c r="M214" s="19">
        <v>3</v>
      </c>
      <c r="N214" s="20">
        <f>IF(O214="", "",O214*3.2808)</f>
        <v>4.5931199999999999</v>
      </c>
      <c r="O214" s="19">
        <v>1.4</v>
      </c>
      <c r="P214" s="21" t="str">
        <f t="shared" si="111"/>
        <v>no</v>
      </c>
      <c r="Q214" s="22">
        <v>0.35015919732441469</v>
      </c>
      <c r="R214" s="18" t="s">
        <v>2211</v>
      </c>
      <c r="S214" s="23">
        <v>43.591775778799999</v>
      </c>
      <c r="T214" s="23">
        <v>-75.118089862100007</v>
      </c>
      <c r="U214" s="18" t="s">
        <v>96</v>
      </c>
      <c r="V214" s="18" t="s">
        <v>96</v>
      </c>
      <c r="W214" t="str">
        <f t="shared" si="108"/>
        <v>yes</v>
      </c>
      <c r="Y214" t="str">
        <f t="shared" si="115"/>
        <v>potable water and recreation</v>
      </c>
      <c r="Z214" t="s">
        <v>79</v>
      </c>
      <c r="AA214" s="24" t="s">
        <v>79</v>
      </c>
      <c r="AB214" s="24" t="s">
        <v>79</v>
      </c>
      <c r="AC214" s="35">
        <v>13.671827040303757</v>
      </c>
      <c r="AD214" s="35" t="s">
        <v>548</v>
      </c>
      <c r="AE214" s="25">
        <v>2019</v>
      </c>
      <c r="AF214" t="str">
        <f t="shared" si="112"/>
        <v>no</v>
      </c>
      <c r="AG214" s="26" t="s">
        <v>82</v>
      </c>
      <c r="AH214" s="27" t="s">
        <v>82</v>
      </c>
      <c r="AI214" s="28" t="s">
        <v>83</v>
      </c>
      <c r="AJ214" s="29" t="s">
        <v>82</v>
      </c>
      <c r="AK214" s="30" t="s">
        <v>85</v>
      </c>
      <c r="AL214" s="16" t="s">
        <v>85</v>
      </c>
      <c r="AM214" s="32" t="s">
        <v>82</v>
      </c>
      <c r="AN214" s="39">
        <v>43675</v>
      </c>
      <c r="AO214" s="39">
        <v>43675</v>
      </c>
      <c r="AP214" s="39"/>
      <c r="AQ214">
        <v>2</v>
      </c>
      <c r="AR214">
        <v>1</v>
      </c>
      <c r="AS214">
        <v>0</v>
      </c>
      <c r="AT214">
        <v>0</v>
      </c>
      <c r="AU214">
        <v>0</v>
      </c>
      <c r="AV214">
        <v>0</v>
      </c>
      <c r="AW214">
        <v>0</v>
      </c>
      <c r="AX214">
        <v>0</v>
      </c>
      <c r="AY214" t="s">
        <v>1052</v>
      </c>
      <c r="AZ214" t="s">
        <v>1112</v>
      </c>
      <c r="BA214" t="s">
        <v>102</v>
      </c>
      <c r="BB214" t="s">
        <v>2212</v>
      </c>
      <c r="BC214" t="s">
        <v>87</v>
      </c>
      <c r="BD214" t="s">
        <v>267</v>
      </c>
      <c r="BE214" t="s">
        <v>216</v>
      </c>
      <c r="BF214" t="s">
        <v>216</v>
      </c>
      <c r="BG214" t="str">
        <f t="shared" ref="BG214:BG277" si="125">IF(C214="","LCI","CSLAP")</f>
        <v>CSLAP</v>
      </c>
      <c r="BH214" s="14" t="s">
        <v>99</v>
      </c>
      <c r="BJ214">
        <f t="shared" ref="BJ214:BJ277" si="126">IF(MAX(AT214:AX214)=0,0,IF(MAX(AT214:AX214)=1,1,LEN(AE214)-LEN(SUBSTITUTE(UPPER(AE214),",",""))+1))</f>
        <v>0</v>
      </c>
      <c r="BK214">
        <f t="shared" ref="BK214:BK277" si="127">IF(BJ214&gt;1,2,IF(BJ214&gt;0,1,0))</f>
        <v>0</v>
      </c>
      <c r="BL214">
        <f t="shared" ref="BL214:BL277" si="128">IF(BJ214&gt;2,3,IF(BJ214&gt;2,2,IF(BJ214&gt;1,1,0)))</f>
        <v>0</v>
      </c>
      <c r="BM214" t="str">
        <f t="shared" ref="BM214:BM277" si="129">IF(C214="","LCI","CSLAP")</f>
        <v>CSLAP</v>
      </c>
      <c r="BN214" t="str">
        <f t="shared" ref="BN214:BN277" si="130">IF(LEFT(AB214,13)="zebra mussels","yes","no")</f>
        <v>no</v>
      </c>
      <c r="BO214">
        <v>0.76219512195121952</v>
      </c>
      <c r="BY214" t="s">
        <v>1113</v>
      </c>
    </row>
    <row r="215" spans="1:77" x14ac:dyDescent="0.3">
      <c r="A215" t="s">
        <v>1658</v>
      </c>
      <c r="B215" t="s">
        <v>1964</v>
      </c>
      <c r="C215" s="16">
        <v>61.1</v>
      </c>
      <c r="D215" s="16" t="s">
        <v>1114</v>
      </c>
      <c r="E215" s="16" t="s">
        <v>416</v>
      </c>
      <c r="F215" s="16" t="s">
        <v>1115</v>
      </c>
      <c r="G215" s="17">
        <f t="shared" si="124"/>
        <v>6784.1579400000001</v>
      </c>
      <c r="H215" s="17">
        <v>2745.4</v>
      </c>
      <c r="I215" s="18">
        <f>IF(J215="","",J215*2.4711)</f>
        <v>129683.32799999999</v>
      </c>
      <c r="J215" s="18">
        <v>52480</v>
      </c>
      <c r="K215" s="19">
        <f t="shared" si="110"/>
        <v>19.115611568441757</v>
      </c>
      <c r="L215" s="19">
        <v>166.00848000000002</v>
      </c>
      <c r="M215" s="19">
        <v>50.6</v>
      </c>
      <c r="N215" s="20">
        <f>IF(O215="", "",O215*3.2808)</f>
        <v>95.471280000000007</v>
      </c>
      <c r="O215" s="19">
        <v>29.1</v>
      </c>
      <c r="P215" s="21" t="str">
        <f t="shared" si="111"/>
        <v>no</v>
      </c>
      <c r="Q215" s="22">
        <v>3.1</v>
      </c>
      <c r="R215" s="18" t="s">
        <v>2213</v>
      </c>
      <c r="S215" s="23">
        <v>42.831349189999997</v>
      </c>
      <c r="T215" s="23">
        <v>-76.507665250000002</v>
      </c>
      <c r="U215" s="18" t="s">
        <v>163</v>
      </c>
      <c r="V215" s="18" t="s">
        <v>78</v>
      </c>
      <c r="W215" t="str">
        <f t="shared" si="108"/>
        <v>yes</v>
      </c>
      <c r="X215" t="s">
        <v>1116</v>
      </c>
      <c r="Y215" t="str">
        <f t="shared" si="115"/>
        <v>potable water, recreation, and public bathing</v>
      </c>
      <c r="Z215" t="s">
        <v>79</v>
      </c>
      <c r="AA215" s="45" t="s">
        <v>879</v>
      </c>
      <c r="AB215" s="40" t="s">
        <v>1117</v>
      </c>
      <c r="AC215" s="24">
        <f>IF(AND(AA215="none reported",AB215="none reported"),"",0)</f>
        <v>0</v>
      </c>
      <c r="AD215" s="24"/>
      <c r="AE215" s="25" t="s">
        <v>1118</v>
      </c>
      <c r="AF215" t="str">
        <f t="shared" si="112"/>
        <v>yes</v>
      </c>
      <c r="AG215" s="26" t="s">
        <v>141</v>
      </c>
      <c r="AH215" s="27" t="s">
        <v>141</v>
      </c>
      <c r="AI215" s="28" t="s">
        <v>141</v>
      </c>
      <c r="AJ215" s="29" t="s">
        <v>82</v>
      </c>
      <c r="AK215" s="30" t="s">
        <v>84</v>
      </c>
      <c r="AL215" s="31" t="s">
        <v>84</v>
      </c>
      <c r="AM215" s="32" t="s">
        <v>82</v>
      </c>
      <c r="AN215" s="39">
        <v>43677</v>
      </c>
      <c r="AO215" s="39">
        <v>43749</v>
      </c>
      <c r="AP215" s="39"/>
      <c r="AQ215">
        <v>4</v>
      </c>
      <c r="AR215">
        <v>4</v>
      </c>
      <c r="AS215">
        <v>10</v>
      </c>
      <c r="AT215">
        <v>7</v>
      </c>
      <c r="AU215">
        <v>9</v>
      </c>
      <c r="AV215">
        <v>6</v>
      </c>
      <c r="AW215">
        <v>2</v>
      </c>
      <c r="AX215">
        <v>1</v>
      </c>
      <c r="AZ215" t="s">
        <v>1119</v>
      </c>
      <c r="BA215" t="s">
        <v>102</v>
      </c>
      <c r="BB215" t="s">
        <v>1120</v>
      </c>
      <c r="BD215" t="s">
        <v>320</v>
      </c>
      <c r="BF215" t="s">
        <v>229</v>
      </c>
      <c r="BG215" t="str">
        <f t="shared" si="125"/>
        <v>CSLAP</v>
      </c>
      <c r="BH215" s="14" t="str">
        <f>IF(RIGHT(CM215,4)="2011","yes","no")</f>
        <v>no</v>
      </c>
      <c r="BJ215">
        <f t="shared" si="126"/>
        <v>6</v>
      </c>
      <c r="BK215">
        <f t="shared" si="127"/>
        <v>2</v>
      </c>
      <c r="BL215">
        <f t="shared" si="128"/>
        <v>3</v>
      </c>
      <c r="BM215" t="str">
        <f t="shared" si="129"/>
        <v>CSLAP</v>
      </c>
      <c r="BN215" t="str">
        <f t="shared" si="130"/>
        <v>yes</v>
      </c>
      <c r="BO215">
        <v>0.49106965479937059</v>
      </c>
      <c r="BS215" s="41">
        <f>(6+5+8)/3</f>
        <v>6.333333333333333</v>
      </c>
    </row>
    <row r="216" spans="1:77" x14ac:dyDescent="0.3">
      <c r="A216" t="s">
        <v>1658</v>
      </c>
      <c r="B216" t="s">
        <v>1965</v>
      </c>
      <c r="C216" s="16">
        <v>61.2</v>
      </c>
      <c r="D216" s="16" t="s">
        <v>1121</v>
      </c>
      <c r="E216" s="16" t="s">
        <v>416</v>
      </c>
      <c r="F216" s="16" t="s">
        <v>1115</v>
      </c>
      <c r="G216" s="17">
        <f t="shared" si="124"/>
        <v>6784.1579400000001</v>
      </c>
      <c r="H216" s="17">
        <v>2745.4</v>
      </c>
      <c r="I216" s="18">
        <f>IF(J216="","",J216*2.4711)</f>
        <v>129683.32799999999</v>
      </c>
      <c r="J216" s="18">
        <v>52480</v>
      </c>
      <c r="K216" s="19">
        <f t="shared" si="110"/>
        <v>19.115611568441757</v>
      </c>
      <c r="L216" s="19">
        <v>166.00848000000002</v>
      </c>
      <c r="M216" s="19">
        <v>50.6</v>
      </c>
      <c r="N216" s="20">
        <f>IF(O216="", "",O216*3.2808)</f>
        <v>95.471280000000007</v>
      </c>
      <c r="O216" s="19">
        <v>29.1</v>
      </c>
      <c r="P216" s="21" t="str">
        <f t="shared" si="111"/>
        <v>no</v>
      </c>
      <c r="Q216" s="22">
        <v>3.1</v>
      </c>
      <c r="R216" s="18" t="s">
        <v>2109</v>
      </c>
      <c r="S216" s="23">
        <v>42.831349189999997</v>
      </c>
      <c r="T216" s="23">
        <v>-76.507665250000002</v>
      </c>
      <c r="U216" s="18" t="s">
        <v>163</v>
      </c>
      <c r="V216" s="18" t="s">
        <v>78</v>
      </c>
      <c r="W216" t="str">
        <f t="shared" si="108"/>
        <v>yes</v>
      </c>
      <c r="X216" t="s">
        <v>1116</v>
      </c>
      <c r="Y216" t="str">
        <f t="shared" si="115"/>
        <v>potable water, recreation, and public bathing</v>
      </c>
      <c r="Z216" t="s">
        <v>79</v>
      </c>
      <c r="AA216" s="45" t="s">
        <v>879</v>
      </c>
      <c r="AB216" s="40" t="s">
        <v>1117</v>
      </c>
      <c r="AC216" s="24">
        <f>IF(AND(AA216="none reported",AB216="none reported"),"",0)</f>
        <v>0</v>
      </c>
      <c r="AD216" s="24"/>
      <c r="AE216" s="25" t="s">
        <v>1118</v>
      </c>
      <c r="AF216" t="str">
        <f t="shared" si="112"/>
        <v>yes</v>
      </c>
      <c r="AG216" s="26" t="s">
        <v>141</v>
      </c>
      <c r="AH216" s="27" t="s">
        <v>141</v>
      </c>
      <c r="AI216" s="28" t="s">
        <v>141</v>
      </c>
      <c r="AJ216" s="29" t="s">
        <v>82</v>
      </c>
      <c r="AK216" s="30" t="s">
        <v>84</v>
      </c>
      <c r="AL216" s="31" t="s">
        <v>84</v>
      </c>
      <c r="AM216" s="32" t="s">
        <v>82</v>
      </c>
      <c r="AN216" s="39">
        <v>43677</v>
      </c>
      <c r="AO216" s="39">
        <v>43749</v>
      </c>
      <c r="AP216" s="39"/>
      <c r="AQ216">
        <v>4</v>
      </c>
      <c r="AR216">
        <v>4</v>
      </c>
      <c r="AS216">
        <v>10</v>
      </c>
      <c r="AT216">
        <v>7</v>
      </c>
      <c r="AU216">
        <v>9</v>
      </c>
      <c r="AV216">
        <v>6</v>
      </c>
      <c r="AW216">
        <v>2</v>
      </c>
      <c r="AX216">
        <v>1</v>
      </c>
      <c r="AZ216" t="s">
        <v>1119</v>
      </c>
      <c r="BA216" t="s">
        <v>102</v>
      </c>
      <c r="BB216" t="s">
        <v>1120</v>
      </c>
      <c r="BD216" t="s">
        <v>320</v>
      </c>
      <c r="BF216" t="s">
        <v>229</v>
      </c>
      <c r="BG216" t="str">
        <f t="shared" si="125"/>
        <v>CSLAP</v>
      </c>
      <c r="BH216" s="14" t="str">
        <f>IF(RIGHT(CM216,4)="2011","yes","no")</f>
        <v>no</v>
      </c>
      <c r="BJ216">
        <f t="shared" si="126"/>
        <v>6</v>
      </c>
      <c r="BK216">
        <f t="shared" si="127"/>
        <v>2</v>
      </c>
      <c r="BL216">
        <f t="shared" si="128"/>
        <v>3</v>
      </c>
      <c r="BM216" t="str">
        <f t="shared" si="129"/>
        <v>CSLAP</v>
      </c>
      <c r="BN216" t="str">
        <f t="shared" si="130"/>
        <v>yes</v>
      </c>
      <c r="BO216">
        <v>0.49106965479937059</v>
      </c>
      <c r="BS216" s="41">
        <f>(6+5+8)/3</f>
        <v>6.333333333333333</v>
      </c>
    </row>
    <row r="217" spans="1:77" x14ac:dyDescent="0.3">
      <c r="A217" t="s">
        <v>1659</v>
      </c>
      <c r="B217" t="s">
        <v>1966</v>
      </c>
      <c r="C217">
        <v>246</v>
      </c>
      <c r="D217" t="s">
        <v>1122</v>
      </c>
      <c r="E217" t="s">
        <v>147</v>
      </c>
      <c r="F217" t="s">
        <v>722</v>
      </c>
      <c r="G217" s="17">
        <f t="shared" si="124"/>
        <v>14.006234817813763</v>
      </c>
      <c r="H217" s="36">
        <v>5.6680161943319831</v>
      </c>
      <c r="I217" s="18">
        <f t="shared" ref="I217:I229" si="131">IF(J217="","",J217*2.4711)</f>
        <v>459.62459999999999</v>
      </c>
      <c r="J217" s="37">
        <v>186</v>
      </c>
      <c r="K217" s="19">
        <f t="shared" si="110"/>
        <v>32.815714285714293</v>
      </c>
      <c r="L217" s="19">
        <f>3.28*M217</f>
        <v>6.8879999999999999</v>
      </c>
      <c r="M217" s="21">
        <v>2.1</v>
      </c>
      <c r="N217" s="20">
        <f t="shared" ref="N217:N223" si="132">IF(O217="", "",O217*3.2808)</f>
        <v>4.0009756097560976</v>
      </c>
      <c r="O217" s="21">
        <v>1.2195121951219512</v>
      </c>
      <c r="P217" s="21" t="str">
        <f t="shared" si="111"/>
        <v>no</v>
      </c>
      <c r="Q217" s="43">
        <v>0</v>
      </c>
      <c r="R217" s="37" t="s">
        <v>2167</v>
      </c>
      <c r="S217">
        <v>42.794580000000003</v>
      </c>
      <c r="T217">
        <v>-76.493172999999999</v>
      </c>
      <c r="U217" s="76" t="s">
        <v>77</v>
      </c>
      <c r="V217" t="s">
        <v>96</v>
      </c>
      <c r="W217" t="str">
        <f t="shared" si="108"/>
        <v>no</v>
      </c>
      <c r="Y217" t="str">
        <f t="shared" si="115"/>
        <v>recreation</v>
      </c>
      <c r="AA217" t="s">
        <v>833</v>
      </c>
      <c r="AB217" t="s">
        <v>79</v>
      </c>
      <c r="AC217" s="24">
        <f t="shared" ref="AC217:AC222" si="133">IF(AND(AA217="none reported",AB217="none reported"),"",0)</f>
        <v>0</v>
      </c>
      <c r="AD217" s="24"/>
      <c r="AE217" s="25">
        <v>2019</v>
      </c>
      <c r="AF217" t="str">
        <f t="shared" si="112"/>
        <v>no</v>
      </c>
      <c r="AG217" t="s">
        <v>81</v>
      </c>
      <c r="AH217" t="s">
        <v>83</v>
      </c>
      <c r="AI217" t="s">
        <v>141</v>
      </c>
      <c r="AJ217" t="s">
        <v>82</v>
      </c>
      <c r="AK217" t="s">
        <v>85</v>
      </c>
      <c r="AL217" t="s">
        <v>85</v>
      </c>
      <c r="AM217" t="s">
        <v>82</v>
      </c>
      <c r="AN217" s="33">
        <v>43653</v>
      </c>
      <c r="AO217" s="33">
        <v>43653</v>
      </c>
      <c r="AP217" s="39"/>
      <c r="AQ217">
        <v>0</v>
      </c>
      <c r="AR217">
        <v>0</v>
      </c>
      <c r="AS217">
        <v>1</v>
      </c>
      <c r="AT217">
        <v>0</v>
      </c>
      <c r="AU217">
        <v>0</v>
      </c>
      <c r="AV217">
        <v>0</v>
      </c>
      <c r="AW217">
        <v>0</v>
      </c>
      <c r="AX217">
        <v>0</v>
      </c>
      <c r="AZ217" t="s">
        <v>1123</v>
      </c>
      <c r="BA217" t="s">
        <v>102</v>
      </c>
      <c r="BB217" t="s">
        <v>2214</v>
      </c>
      <c r="BC217" t="s">
        <v>103</v>
      </c>
      <c r="BD217" t="s">
        <v>152</v>
      </c>
      <c r="BE217" t="s">
        <v>159</v>
      </c>
      <c r="BF217" t="s">
        <v>160</v>
      </c>
      <c r="BG217" t="str">
        <f t="shared" si="125"/>
        <v>CSLAP</v>
      </c>
      <c r="BH217" s="14" t="s">
        <v>102</v>
      </c>
      <c r="BJ217">
        <f t="shared" si="126"/>
        <v>0</v>
      </c>
      <c r="BK217">
        <f t="shared" si="127"/>
        <v>0</v>
      </c>
      <c r="BL217">
        <f t="shared" si="128"/>
        <v>0</v>
      </c>
      <c r="BM217" t="str">
        <f t="shared" si="129"/>
        <v>CSLAP</v>
      </c>
      <c r="BN217" t="str">
        <f t="shared" si="130"/>
        <v>no</v>
      </c>
      <c r="BO217">
        <v>0.63516260162601623</v>
      </c>
      <c r="BW217" t="s">
        <v>1124</v>
      </c>
    </row>
    <row r="218" spans="1:77" x14ac:dyDescent="0.3">
      <c r="A218" t="s">
        <v>1660</v>
      </c>
      <c r="B218" t="s">
        <v>1967</v>
      </c>
      <c r="C218" s="16">
        <v>103</v>
      </c>
      <c r="D218" s="16" t="s">
        <v>1125</v>
      </c>
      <c r="E218" s="16" t="s">
        <v>684</v>
      </c>
      <c r="F218" s="16" t="s">
        <v>1126</v>
      </c>
      <c r="G218" s="17">
        <f t="shared" si="124"/>
        <v>121.57812</v>
      </c>
      <c r="H218" s="17">
        <v>49.2</v>
      </c>
      <c r="I218" s="18">
        <f t="shared" si="131"/>
        <v>983.49779999999998</v>
      </c>
      <c r="J218" s="18">
        <v>398</v>
      </c>
      <c r="K218" s="19">
        <f t="shared" si="110"/>
        <v>8.0894308943089435</v>
      </c>
      <c r="L218" s="19">
        <f>3.28*M218</f>
        <v>18.04</v>
      </c>
      <c r="M218" s="19">
        <v>5.5</v>
      </c>
      <c r="N218" s="20">
        <f t="shared" si="132"/>
        <v>8.4513408000000005</v>
      </c>
      <c r="O218" s="19">
        <v>2.5760000000000001</v>
      </c>
      <c r="P218" s="21" t="str">
        <f t="shared" si="111"/>
        <v>no</v>
      </c>
      <c r="Q218" s="22">
        <v>0.35810875175879398</v>
      </c>
      <c r="R218" s="18" t="s">
        <v>2215</v>
      </c>
      <c r="S218" s="23">
        <v>43.329379760000002</v>
      </c>
      <c r="T218" s="23">
        <v>-75.908726599999994</v>
      </c>
      <c r="U218" s="18" t="s">
        <v>77</v>
      </c>
      <c r="V218" s="18" t="s">
        <v>96</v>
      </c>
      <c r="W218" t="str">
        <f t="shared" si="108"/>
        <v>no</v>
      </c>
      <c r="Y218" t="str">
        <f t="shared" si="115"/>
        <v>recreation</v>
      </c>
      <c r="Z218" t="s">
        <v>79</v>
      </c>
      <c r="AA218" s="24" t="s">
        <v>120</v>
      </c>
      <c r="AB218" s="24" t="s">
        <v>79</v>
      </c>
      <c r="AC218" s="24">
        <f t="shared" si="133"/>
        <v>0</v>
      </c>
      <c r="AD218" s="24"/>
      <c r="AF218" t="str">
        <f t="shared" si="112"/>
        <v/>
      </c>
      <c r="AG218" s="26" t="s">
        <v>81</v>
      </c>
      <c r="AH218" s="27" t="s">
        <v>156</v>
      </c>
      <c r="AI218" s="28" t="s">
        <v>156</v>
      </c>
      <c r="AJ218" s="29" t="s">
        <v>156</v>
      </c>
      <c r="AK218" s="30" t="s">
        <v>156</v>
      </c>
      <c r="AL218" s="31" t="s">
        <v>156</v>
      </c>
      <c r="AM218" s="32" t="s">
        <v>156</v>
      </c>
      <c r="AN218" s="33" t="s">
        <v>81</v>
      </c>
      <c r="AO218" s="32" t="s">
        <v>81</v>
      </c>
      <c r="AP218" s="39"/>
      <c r="AQ218">
        <v>0</v>
      </c>
      <c r="AR218">
        <v>0</v>
      </c>
      <c r="AS218">
        <v>2</v>
      </c>
      <c r="AT218">
        <v>0</v>
      </c>
      <c r="AU218">
        <v>0</v>
      </c>
      <c r="AV218">
        <v>0</v>
      </c>
      <c r="AW218">
        <v>0</v>
      </c>
      <c r="AX218">
        <v>0</v>
      </c>
      <c r="AZ218" t="s">
        <v>1127</v>
      </c>
      <c r="BA218" t="s">
        <v>102</v>
      </c>
      <c r="BB218" t="s">
        <v>2216</v>
      </c>
      <c r="BC218" t="s">
        <v>132</v>
      </c>
      <c r="BD218" t="s">
        <v>320</v>
      </c>
      <c r="BE218" t="s">
        <v>247</v>
      </c>
      <c r="BF218" t="s">
        <v>115</v>
      </c>
      <c r="BG218" t="str">
        <f t="shared" si="125"/>
        <v>CSLAP</v>
      </c>
      <c r="BH218" s="14" t="s">
        <v>102</v>
      </c>
      <c r="BJ218">
        <f t="shared" si="126"/>
        <v>0</v>
      </c>
      <c r="BK218">
        <f t="shared" si="127"/>
        <v>0</v>
      </c>
      <c r="BL218">
        <f t="shared" si="128"/>
        <v>0</v>
      </c>
      <c r="BM218" t="str">
        <f t="shared" si="129"/>
        <v>CSLAP</v>
      </c>
      <c r="BN218" t="str">
        <f t="shared" si="130"/>
        <v>no</v>
      </c>
      <c r="BO218">
        <v>0.88922764227642281</v>
      </c>
      <c r="BU218" t="s">
        <v>1128</v>
      </c>
    </row>
    <row r="219" spans="1:77" x14ac:dyDescent="0.3">
      <c r="A219" t="s">
        <v>1968</v>
      </c>
      <c r="B219" t="s">
        <v>1969</v>
      </c>
      <c r="C219" s="16">
        <v>184</v>
      </c>
      <c r="D219" s="16" t="s">
        <v>1129</v>
      </c>
      <c r="E219" s="16" t="s">
        <v>117</v>
      </c>
      <c r="F219" s="16" t="s">
        <v>1130</v>
      </c>
      <c r="G219" s="17">
        <f t="shared" si="124"/>
        <v>844.86908999999991</v>
      </c>
      <c r="H219" s="17">
        <v>341.9</v>
      </c>
      <c r="I219" s="18">
        <f t="shared" si="131"/>
        <v>4965.4283399999995</v>
      </c>
      <c r="J219" s="18">
        <v>2009.4</v>
      </c>
      <c r="K219" s="19">
        <f t="shared" si="110"/>
        <v>5.877157063468851</v>
      </c>
      <c r="L219" s="19">
        <v>60.694800000000001</v>
      </c>
      <c r="M219" s="19">
        <v>18.5</v>
      </c>
      <c r="N219" s="20">
        <f t="shared" si="132"/>
        <v>28.526556000000003</v>
      </c>
      <c r="O219" s="19">
        <v>8.6950000000000003</v>
      </c>
      <c r="P219" s="21" t="str">
        <f t="shared" si="111"/>
        <v>no</v>
      </c>
      <c r="Q219" s="22">
        <v>2.834208434915285</v>
      </c>
      <c r="R219" s="18" t="s">
        <v>1131</v>
      </c>
      <c r="S219" s="23">
        <v>43.886013699999999</v>
      </c>
      <c r="T219" s="23">
        <v>-73.69285309</v>
      </c>
      <c r="U219" s="18" t="s">
        <v>379</v>
      </c>
      <c r="V219" s="18">
        <v>0</v>
      </c>
      <c r="W219" t="str">
        <f t="shared" si="108"/>
        <v>yes</v>
      </c>
      <c r="X219" t="s">
        <v>1132</v>
      </c>
      <c r="Y219" t="str">
        <f t="shared" si="115"/>
        <v>potable water, recreation, and public bathing</v>
      </c>
      <c r="Z219" t="s">
        <v>79</v>
      </c>
      <c r="AA219" s="40" t="s">
        <v>209</v>
      </c>
      <c r="AB219" s="40" t="s">
        <v>79</v>
      </c>
      <c r="AC219" s="24">
        <f t="shared" si="133"/>
        <v>0</v>
      </c>
      <c r="AD219" s="24"/>
      <c r="AF219" t="str">
        <f t="shared" si="112"/>
        <v/>
      </c>
      <c r="AG219" s="26" t="s">
        <v>82</v>
      </c>
      <c r="AH219" s="27" t="s">
        <v>82</v>
      </c>
      <c r="AI219" s="28" t="s">
        <v>82</v>
      </c>
      <c r="AJ219" s="29" t="s">
        <v>82</v>
      </c>
      <c r="AK219" s="30" t="s">
        <v>85</v>
      </c>
      <c r="AL219" s="31" t="s">
        <v>85</v>
      </c>
      <c r="AM219" s="32" t="s">
        <v>82</v>
      </c>
      <c r="AN219" s="33" t="s">
        <v>81</v>
      </c>
      <c r="AO219" s="32" t="s">
        <v>81</v>
      </c>
      <c r="AP219" s="39"/>
      <c r="AQ219">
        <v>0</v>
      </c>
      <c r="AR219">
        <v>0</v>
      </c>
      <c r="AS219">
        <v>0</v>
      </c>
      <c r="AT219">
        <v>0</v>
      </c>
      <c r="AU219">
        <v>0</v>
      </c>
      <c r="AV219">
        <v>0</v>
      </c>
      <c r="AW219">
        <v>0</v>
      </c>
      <c r="AX219">
        <v>0</v>
      </c>
      <c r="BA219" t="s">
        <v>102</v>
      </c>
      <c r="BD219" t="s">
        <v>88</v>
      </c>
      <c r="BE219" t="s">
        <v>89</v>
      </c>
      <c r="BF219" t="s">
        <v>89</v>
      </c>
      <c r="BG219" t="str">
        <f t="shared" si="125"/>
        <v>CSLAP</v>
      </c>
      <c r="BH219" s="14" t="s">
        <v>99</v>
      </c>
      <c r="BJ219">
        <f t="shared" si="126"/>
        <v>0</v>
      </c>
      <c r="BK219">
        <f t="shared" si="127"/>
        <v>0</v>
      </c>
      <c r="BL219">
        <f t="shared" si="128"/>
        <v>0</v>
      </c>
      <c r="BM219" t="str">
        <f t="shared" si="129"/>
        <v>CSLAP</v>
      </c>
      <c r="BN219" t="str">
        <f t="shared" si="130"/>
        <v>no</v>
      </c>
      <c r="BO219">
        <v>0.52200000000000002</v>
      </c>
    </row>
    <row r="220" spans="1:77" x14ac:dyDescent="0.3">
      <c r="A220" t="s">
        <v>1968</v>
      </c>
      <c r="B220" t="e">
        <v>#N/A</v>
      </c>
      <c r="C220" s="46">
        <v>184.2</v>
      </c>
      <c r="D220" s="47" t="s">
        <v>1133</v>
      </c>
      <c r="E220" s="16" t="s">
        <v>117</v>
      </c>
      <c r="F220" s="16" t="s">
        <v>1130</v>
      </c>
      <c r="G220" s="17">
        <f t="shared" si="124"/>
        <v>844.86908999999991</v>
      </c>
      <c r="H220" s="17">
        <v>341.9</v>
      </c>
      <c r="I220" s="18">
        <f t="shared" si="131"/>
        <v>4965.4283399999995</v>
      </c>
      <c r="J220" s="18">
        <v>2009.4</v>
      </c>
      <c r="K220" s="19">
        <f t="shared" si="110"/>
        <v>5.877157063468851</v>
      </c>
      <c r="L220" s="19">
        <v>60.694800000000001</v>
      </c>
      <c r="M220" s="19">
        <v>18.5</v>
      </c>
      <c r="N220" s="20">
        <f t="shared" si="132"/>
        <v>28.526556000000003</v>
      </c>
      <c r="O220" s="19">
        <v>8.6950000000000003</v>
      </c>
      <c r="P220" s="21" t="str">
        <f t="shared" si="111"/>
        <v>no</v>
      </c>
      <c r="Q220" s="22">
        <v>0</v>
      </c>
      <c r="R220" s="18" t="s">
        <v>1131</v>
      </c>
      <c r="S220" s="23">
        <v>43.890371000000002</v>
      </c>
      <c r="T220" s="23">
        <v>-73.670631999999998</v>
      </c>
      <c r="U220" s="18" t="s">
        <v>379</v>
      </c>
      <c r="V220" s="18">
        <v>0</v>
      </c>
      <c r="W220" t="str">
        <f t="shared" si="108"/>
        <v>yes</v>
      </c>
      <c r="X220" t="s">
        <v>1132</v>
      </c>
      <c r="Y220" t="str">
        <f t="shared" si="115"/>
        <v>potable water, recreation, and public bathing</v>
      </c>
      <c r="Z220" t="s">
        <v>79</v>
      </c>
      <c r="AA220" s="40" t="s">
        <v>420</v>
      </c>
      <c r="AB220" s="40" t="s">
        <v>79</v>
      </c>
      <c r="AC220" s="24">
        <f t="shared" si="133"/>
        <v>0</v>
      </c>
      <c r="AD220" s="24"/>
      <c r="AF220" t="str">
        <f t="shared" si="112"/>
        <v/>
      </c>
      <c r="AG220" s="26" t="s">
        <v>82</v>
      </c>
      <c r="AH220" s="27" t="s">
        <v>82</v>
      </c>
      <c r="AI220" s="28" t="s">
        <v>82</v>
      </c>
      <c r="AJ220" s="29" t="s">
        <v>82</v>
      </c>
      <c r="AK220" s="30" t="s">
        <v>85</v>
      </c>
      <c r="AL220" s="31" t="s">
        <v>85</v>
      </c>
      <c r="AM220" s="32" t="s">
        <v>82</v>
      </c>
      <c r="AN220" s="33" t="s">
        <v>81</v>
      </c>
      <c r="AO220" s="32" t="s">
        <v>81</v>
      </c>
      <c r="AP220" s="39"/>
      <c r="AQ220">
        <v>0</v>
      </c>
      <c r="AR220">
        <v>0</v>
      </c>
      <c r="AS220">
        <v>0</v>
      </c>
      <c r="AT220">
        <v>0</v>
      </c>
      <c r="AU220">
        <v>0</v>
      </c>
      <c r="AV220">
        <v>0</v>
      </c>
      <c r="AW220">
        <v>0</v>
      </c>
      <c r="AX220">
        <v>0</v>
      </c>
      <c r="BD220" t="s">
        <v>88</v>
      </c>
      <c r="BE220" t="s">
        <v>89</v>
      </c>
      <c r="BF220" t="s">
        <v>89</v>
      </c>
      <c r="BG220" t="str">
        <f t="shared" si="125"/>
        <v>CSLAP</v>
      </c>
      <c r="BH220" s="14" t="s">
        <v>99</v>
      </c>
      <c r="BJ220">
        <f t="shared" si="126"/>
        <v>0</v>
      </c>
      <c r="BK220">
        <f t="shared" si="127"/>
        <v>0</v>
      </c>
      <c r="BL220">
        <f t="shared" si="128"/>
        <v>0</v>
      </c>
      <c r="BM220" t="str">
        <f t="shared" si="129"/>
        <v>CSLAP</v>
      </c>
      <c r="BN220" t="str">
        <f t="shared" si="130"/>
        <v>no</v>
      </c>
      <c r="BO220">
        <v>0.52200000000000002</v>
      </c>
    </row>
    <row r="221" spans="1:77" x14ac:dyDescent="0.3">
      <c r="A221" t="s">
        <v>1661</v>
      </c>
      <c r="B221" t="s">
        <v>1970</v>
      </c>
      <c r="C221" s="16">
        <v>164</v>
      </c>
      <c r="D221" s="16" t="s">
        <v>1134</v>
      </c>
      <c r="E221" s="16" t="s">
        <v>1135</v>
      </c>
      <c r="F221" s="16" t="s">
        <v>1136</v>
      </c>
      <c r="G221" s="17">
        <f t="shared" si="124"/>
        <v>249.58109999999999</v>
      </c>
      <c r="H221" s="17">
        <v>101</v>
      </c>
      <c r="I221" s="18">
        <f t="shared" si="131"/>
        <v>1096.67418</v>
      </c>
      <c r="J221" s="18">
        <v>443.8</v>
      </c>
      <c r="K221" s="19">
        <f t="shared" si="110"/>
        <v>4.3940594059405944</v>
      </c>
      <c r="L221" s="19">
        <v>29.527200000000001</v>
      </c>
      <c r="M221" s="19">
        <v>9</v>
      </c>
      <c r="N221" s="20">
        <f t="shared" si="132"/>
        <v>12.138960000000001</v>
      </c>
      <c r="O221" s="19">
        <v>3.7</v>
      </c>
      <c r="P221" s="21" t="str">
        <f t="shared" si="111"/>
        <v>no</v>
      </c>
      <c r="Q221" s="22">
        <v>1.5036535118779373</v>
      </c>
      <c r="R221" s="18" t="s">
        <v>2217</v>
      </c>
      <c r="S221" s="23">
        <v>41.36288373</v>
      </c>
      <c r="T221" s="23">
        <v>-73.579874799999999</v>
      </c>
      <c r="U221" s="68" t="s">
        <v>77</v>
      </c>
      <c r="V221" s="18"/>
      <c r="W221" t="str">
        <f t="shared" si="108"/>
        <v>no</v>
      </c>
      <c r="X221" t="s">
        <v>402</v>
      </c>
      <c r="Y221" t="str">
        <f t="shared" si="115"/>
        <v>recreation and public bathing</v>
      </c>
      <c r="Z221" t="s">
        <v>79</v>
      </c>
      <c r="AA221" s="40" t="s">
        <v>120</v>
      </c>
      <c r="AB221" s="40" t="s">
        <v>79</v>
      </c>
      <c r="AC221" s="24">
        <f t="shared" si="133"/>
        <v>0</v>
      </c>
      <c r="AD221" s="24"/>
      <c r="AE221" s="25" t="s">
        <v>1137</v>
      </c>
      <c r="AF221" t="str">
        <f t="shared" si="112"/>
        <v>yes</v>
      </c>
      <c r="AG221" s="26" t="s">
        <v>81</v>
      </c>
      <c r="AH221" s="27" t="s">
        <v>141</v>
      </c>
      <c r="AI221" s="28" t="s">
        <v>141</v>
      </c>
      <c r="AJ221" s="29" t="s">
        <v>83</v>
      </c>
      <c r="AK221" s="30" t="s">
        <v>121</v>
      </c>
      <c r="AL221" s="31" t="s">
        <v>121</v>
      </c>
      <c r="AM221" s="32" t="s">
        <v>82</v>
      </c>
      <c r="AN221" s="39">
        <v>43677</v>
      </c>
      <c r="AO221" s="39">
        <v>43739</v>
      </c>
      <c r="AP221" s="39"/>
      <c r="AQ221">
        <v>5</v>
      </c>
      <c r="AR221">
        <v>2</v>
      </c>
      <c r="AS221">
        <v>2</v>
      </c>
      <c r="AT221">
        <v>3</v>
      </c>
      <c r="AU221">
        <v>2</v>
      </c>
      <c r="AV221">
        <v>0</v>
      </c>
      <c r="AW221">
        <v>9</v>
      </c>
      <c r="AX221">
        <v>0</v>
      </c>
      <c r="AZ221" t="s">
        <v>1138</v>
      </c>
      <c r="BA221" t="s">
        <v>102</v>
      </c>
      <c r="BB221" t="s">
        <v>2218</v>
      </c>
      <c r="BC221" t="s">
        <v>103</v>
      </c>
      <c r="BD221" t="s">
        <v>152</v>
      </c>
      <c r="BE221" t="s">
        <v>159</v>
      </c>
      <c r="BF221" t="s">
        <v>160</v>
      </c>
      <c r="BG221" t="str">
        <f t="shared" si="125"/>
        <v>CSLAP</v>
      </c>
      <c r="BH221" s="14" t="s">
        <v>102</v>
      </c>
      <c r="BJ221">
        <f t="shared" si="126"/>
        <v>5</v>
      </c>
      <c r="BK221">
        <f t="shared" si="127"/>
        <v>2</v>
      </c>
      <c r="BL221">
        <f t="shared" si="128"/>
        <v>3</v>
      </c>
      <c r="BM221" t="str">
        <f t="shared" si="129"/>
        <v>CSLAP</v>
      </c>
      <c r="BN221" t="str">
        <f t="shared" si="130"/>
        <v>no</v>
      </c>
      <c r="BO221">
        <v>0.56000000000000005</v>
      </c>
    </row>
    <row r="222" spans="1:77" x14ac:dyDescent="0.3">
      <c r="A222" t="s">
        <v>1662</v>
      </c>
      <c r="B222" t="s">
        <v>1971</v>
      </c>
      <c r="C222" s="16">
        <v>100</v>
      </c>
      <c r="D222" s="16" t="s">
        <v>1078</v>
      </c>
      <c r="E222" s="16" t="s">
        <v>293</v>
      </c>
      <c r="F222" s="16" t="s">
        <v>1139</v>
      </c>
      <c r="G222" s="17">
        <f t="shared" si="124"/>
        <v>1369.7307299999998</v>
      </c>
      <c r="H222" s="17">
        <v>554.29999999999995</v>
      </c>
      <c r="I222" s="18">
        <f t="shared" si="131"/>
        <v>12256.655999999999</v>
      </c>
      <c r="J222" s="18">
        <v>4960</v>
      </c>
      <c r="K222" s="19">
        <f t="shared" si="110"/>
        <v>8.9482229839437135</v>
      </c>
      <c r="L222" s="19">
        <v>35.104559999999999</v>
      </c>
      <c r="M222" s="19">
        <v>10.7</v>
      </c>
      <c r="N222" s="20">
        <f t="shared" si="132"/>
        <v>19.028639999999999</v>
      </c>
      <c r="O222" s="19">
        <v>5.8</v>
      </c>
      <c r="P222" s="21" t="str">
        <f t="shared" si="111"/>
        <v>no</v>
      </c>
      <c r="Q222" s="22">
        <v>0.85040348387096765</v>
      </c>
      <c r="R222" s="18" t="s">
        <v>2219</v>
      </c>
      <c r="S222" s="23">
        <v>43.114610310000003</v>
      </c>
      <c r="T222" s="23">
        <v>-74.412342120000005</v>
      </c>
      <c r="U222" s="18" t="s">
        <v>78</v>
      </c>
      <c r="V222" s="18" t="s">
        <v>78</v>
      </c>
      <c r="W222" t="str">
        <f t="shared" si="108"/>
        <v>no</v>
      </c>
      <c r="Y222" t="str">
        <f t="shared" si="115"/>
        <v>recreation</v>
      </c>
      <c r="Z222" t="s">
        <v>79</v>
      </c>
      <c r="AA222" s="24" t="s">
        <v>79</v>
      </c>
      <c r="AB222" s="24" t="s">
        <v>908</v>
      </c>
      <c r="AC222" s="24">
        <f t="shared" si="133"/>
        <v>0</v>
      </c>
      <c r="AD222" s="24"/>
      <c r="AF222" t="str">
        <f t="shared" si="112"/>
        <v/>
      </c>
      <c r="AG222" s="26" t="s">
        <v>81</v>
      </c>
      <c r="AH222" s="27" t="s">
        <v>81</v>
      </c>
      <c r="AI222" s="28" t="s">
        <v>82</v>
      </c>
      <c r="AJ222" s="29" t="s">
        <v>82</v>
      </c>
      <c r="AK222" s="30" t="s">
        <v>85</v>
      </c>
      <c r="AL222" s="31" t="s">
        <v>85</v>
      </c>
      <c r="AM222" s="32" t="s">
        <v>82</v>
      </c>
      <c r="AN222" s="33" t="s">
        <v>81</v>
      </c>
      <c r="AO222" s="32" t="s">
        <v>81</v>
      </c>
      <c r="AP222" s="39"/>
      <c r="AQ222">
        <v>0</v>
      </c>
      <c r="AR222">
        <v>0</v>
      </c>
      <c r="AS222">
        <v>0</v>
      </c>
      <c r="AT222">
        <v>0</v>
      </c>
      <c r="AU222">
        <v>0</v>
      </c>
      <c r="AV222">
        <v>0</v>
      </c>
      <c r="AW222">
        <v>0</v>
      </c>
      <c r="AX222">
        <v>0</v>
      </c>
      <c r="AZ222" t="s">
        <v>1140</v>
      </c>
      <c r="BA222" t="s">
        <v>102</v>
      </c>
      <c r="BB222" t="s">
        <v>2220</v>
      </c>
      <c r="BC222" t="s">
        <v>87</v>
      </c>
      <c r="BD222" t="s">
        <v>298</v>
      </c>
      <c r="BE222" t="s">
        <v>89</v>
      </c>
      <c r="BF222" t="s">
        <v>89</v>
      </c>
      <c r="BG222" t="str">
        <f t="shared" si="125"/>
        <v>CSLAP</v>
      </c>
      <c r="BH222" s="14" t="s">
        <v>102</v>
      </c>
      <c r="BJ222">
        <f t="shared" si="126"/>
        <v>0</v>
      </c>
      <c r="BK222">
        <f t="shared" si="127"/>
        <v>0</v>
      </c>
      <c r="BL222">
        <f t="shared" si="128"/>
        <v>0</v>
      </c>
      <c r="BM222" t="str">
        <f t="shared" si="129"/>
        <v>CSLAP</v>
      </c>
      <c r="BN222" t="str">
        <f t="shared" si="130"/>
        <v>no</v>
      </c>
      <c r="BO222">
        <v>0.76219512195121952</v>
      </c>
    </row>
    <row r="223" spans="1:77" x14ac:dyDescent="0.3">
      <c r="A223" t="s">
        <v>1663</v>
      </c>
      <c r="B223" t="s">
        <v>1972</v>
      </c>
      <c r="C223" s="16">
        <v>20</v>
      </c>
      <c r="D223" s="16" t="s">
        <v>1141</v>
      </c>
      <c r="E223" s="16" t="s">
        <v>370</v>
      </c>
      <c r="F223" s="16" t="s">
        <v>1142</v>
      </c>
      <c r="G223" s="17">
        <f t="shared" si="124"/>
        <v>25.699439999999999</v>
      </c>
      <c r="H223" s="17">
        <v>10.4</v>
      </c>
      <c r="I223" s="18">
        <f t="shared" si="131"/>
        <v>442.32689999999997</v>
      </c>
      <c r="J223" s="18">
        <v>179</v>
      </c>
      <c r="K223" s="19">
        <f t="shared" si="110"/>
        <v>17.21153846153846</v>
      </c>
      <c r="L223" s="19">
        <v>30.18336</v>
      </c>
      <c r="M223" s="19">
        <v>9.1999999999999993</v>
      </c>
      <c r="N223" s="20">
        <f t="shared" si="132"/>
        <v>14.7636</v>
      </c>
      <c r="O223" s="19">
        <v>4.5</v>
      </c>
      <c r="P223" s="21" t="str">
        <f t="shared" si="111"/>
        <v>no</v>
      </c>
      <c r="Q223" s="22">
        <v>0.58804405426975259</v>
      </c>
      <c r="R223" s="18" t="s">
        <v>2222</v>
      </c>
      <c r="S223" s="23">
        <v>42.33173</v>
      </c>
      <c r="T223" s="23">
        <v>-75.798469999999995</v>
      </c>
      <c r="U223" s="68" t="s">
        <v>96</v>
      </c>
      <c r="V223" s="18"/>
      <c r="W223" t="str">
        <f t="shared" si="108"/>
        <v>yes</v>
      </c>
      <c r="Y223" t="str">
        <f t="shared" si="115"/>
        <v>potable water and recreation</v>
      </c>
      <c r="Z223" t="s">
        <v>79</v>
      </c>
      <c r="AA223" s="24" t="s">
        <v>79</v>
      </c>
      <c r="AB223" s="24" t="s">
        <v>79</v>
      </c>
      <c r="AC223" s="35">
        <v>6.6137838022738764</v>
      </c>
      <c r="AD223" s="35" t="s">
        <v>130</v>
      </c>
      <c r="AF223" t="str">
        <f t="shared" si="112"/>
        <v/>
      </c>
      <c r="AG223" s="26" t="s">
        <v>82</v>
      </c>
      <c r="AH223" s="27" t="s">
        <v>82</v>
      </c>
      <c r="AI223" s="28" t="s">
        <v>82</v>
      </c>
      <c r="AJ223" s="29" t="s">
        <v>82</v>
      </c>
      <c r="AK223" s="30" t="s">
        <v>85</v>
      </c>
      <c r="AL223" s="31" t="s">
        <v>85</v>
      </c>
      <c r="AM223" s="32" t="s">
        <v>82</v>
      </c>
      <c r="AN223" s="33" t="s">
        <v>81</v>
      </c>
      <c r="AO223" s="32" t="s">
        <v>81</v>
      </c>
      <c r="AP223" s="39"/>
      <c r="AQ223">
        <v>0</v>
      </c>
      <c r="AR223">
        <v>0</v>
      </c>
      <c r="AS223">
        <v>0</v>
      </c>
      <c r="AT223">
        <v>0</v>
      </c>
      <c r="AU223">
        <v>0</v>
      </c>
      <c r="AV223">
        <v>1</v>
      </c>
      <c r="AW223">
        <v>0</v>
      </c>
      <c r="AX223">
        <v>0</v>
      </c>
      <c r="AZ223" t="s">
        <v>1143</v>
      </c>
      <c r="BA223" t="s">
        <v>102</v>
      </c>
      <c r="BB223" t="s">
        <v>2223</v>
      </c>
      <c r="BC223" t="s">
        <v>132</v>
      </c>
      <c r="BD223" t="s">
        <v>114</v>
      </c>
      <c r="BE223" t="s">
        <v>247</v>
      </c>
      <c r="BF223" t="s">
        <v>115</v>
      </c>
      <c r="BG223" t="str">
        <f t="shared" si="125"/>
        <v>CSLAP</v>
      </c>
      <c r="BH223" s="14" t="s">
        <v>102</v>
      </c>
      <c r="BJ223">
        <f t="shared" si="126"/>
        <v>1</v>
      </c>
      <c r="BK223">
        <f t="shared" si="127"/>
        <v>1</v>
      </c>
      <c r="BL223">
        <f t="shared" si="128"/>
        <v>0</v>
      </c>
      <c r="BM223" t="str">
        <f t="shared" si="129"/>
        <v>CSLAP</v>
      </c>
      <c r="BN223" t="str">
        <f t="shared" si="130"/>
        <v>no</v>
      </c>
      <c r="BO223">
        <v>0.44461382113821141</v>
      </c>
      <c r="BV223" t="s">
        <v>1144</v>
      </c>
    </row>
    <row r="224" spans="1:77" x14ac:dyDescent="0.3">
      <c r="A224" t="s">
        <v>1973</v>
      </c>
      <c r="B224" t="s">
        <v>1974</v>
      </c>
      <c r="C224" s="16">
        <v>165</v>
      </c>
      <c r="D224" s="16" t="s">
        <v>1145</v>
      </c>
      <c r="E224" s="16" t="s">
        <v>74</v>
      </c>
      <c r="F224" s="16" t="s">
        <v>1146</v>
      </c>
      <c r="G224" s="17">
        <f t="shared" si="124"/>
        <v>2848.1898599999995</v>
      </c>
      <c r="H224" s="17">
        <v>1152.5999999999999</v>
      </c>
      <c r="I224" s="18">
        <f t="shared" si="131"/>
        <v>37807.829999999994</v>
      </c>
      <c r="J224" s="18">
        <v>15300</v>
      </c>
      <c r="K224" s="19">
        <f t="shared" si="110"/>
        <v>13.274336283185841</v>
      </c>
      <c r="L224" s="19">
        <v>125</v>
      </c>
      <c r="M224" s="19">
        <v>38.1</v>
      </c>
      <c r="N224" s="20">
        <v>58</v>
      </c>
      <c r="O224" s="19">
        <v>17.7</v>
      </c>
      <c r="P224" s="21" t="str">
        <f t="shared" si="111"/>
        <v>no</v>
      </c>
      <c r="Q224" s="22">
        <v>1.5152272727272724</v>
      </c>
      <c r="R224" s="18" t="s">
        <v>1147</v>
      </c>
      <c r="S224" s="23">
        <v>43.411610119999999</v>
      </c>
      <c r="T224" s="23">
        <v>-74.549226950000005</v>
      </c>
      <c r="U224" s="18" t="s">
        <v>77</v>
      </c>
      <c r="V224" s="18" t="s">
        <v>96</v>
      </c>
      <c r="W224" t="str">
        <f t="shared" si="108"/>
        <v>no</v>
      </c>
      <c r="X224" t="s">
        <v>1148</v>
      </c>
      <c r="Y224" t="str">
        <f t="shared" si="115"/>
        <v>recreation and public bathing</v>
      </c>
      <c r="Z224" t="s">
        <v>79</v>
      </c>
      <c r="AA224" s="40" t="s">
        <v>79</v>
      </c>
      <c r="AB224" s="40" t="s">
        <v>908</v>
      </c>
      <c r="AC224" s="24">
        <f>IF(AND(AA224="none reported",AB224="none reported"),"",0)</f>
        <v>0</v>
      </c>
      <c r="AD224" s="24"/>
      <c r="AF224" t="str">
        <f t="shared" si="112"/>
        <v/>
      </c>
      <c r="AG224" s="26" t="s">
        <v>82</v>
      </c>
      <c r="AH224" s="27" t="s">
        <v>82</v>
      </c>
      <c r="AI224" s="28" t="s">
        <v>82</v>
      </c>
      <c r="AJ224" s="29" t="s">
        <v>82</v>
      </c>
      <c r="AK224" s="30" t="s">
        <v>85</v>
      </c>
      <c r="AL224" s="31" t="s">
        <v>85</v>
      </c>
      <c r="AM224" s="32" t="s">
        <v>82</v>
      </c>
      <c r="AN224" s="33" t="s">
        <v>81</v>
      </c>
      <c r="AO224" s="32" t="s">
        <v>81</v>
      </c>
      <c r="AP224" s="39"/>
      <c r="AQ224">
        <v>0</v>
      </c>
      <c r="AR224">
        <v>0</v>
      </c>
      <c r="AS224">
        <v>0</v>
      </c>
      <c r="AT224">
        <v>0</v>
      </c>
      <c r="AU224">
        <v>0</v>
      </c>
      <c r="AV224">
        <v>0</v>
      </c>
      <c r="AW224">
        <v>0</v>
      </c>
      <c r="AX224">
        <v>0</v>
      </c>
      <c r="BD224" t="s">
        <v>88</v>
      </c>
      <c r="BE224" t="s">
        <v>89</v>
      </c>
      <c r="BF224" t="s">
        <v>89</v>
      </c>
      <c r="BG224" t="str">
        <f t="shared" si="125"/>
        <v>CSLAP</v>
      </c>
      <c r="BH224" s="14" t="str">
        <f>IF(RIGHT(CM224,4)="2011","yes","no")</f>
        <v>no</v>
      </c>
      <c r="BJ224">
        <f t="shared" si="126"/>
        <v>0</v>
      </c>
      <c r="BK224">
        <f t="shared" si="127"/>
        <v>0</v>
      </c>
      <c r="BL224">
        <f t="shared" si="128"/>
        <v>0</v>
      </c>
      <c r="BM224" t="str">
        <f t="shared" si="129"/>
        <v>CSLAP</v>
      </c>
      <c r="BN224" t="str">
        <f t="shared" si="130"/>
        <v>no</v>
      </c>
      <c r="BO224">
        <v>0.88</v>
      </c>
    </row>
    <row r="225" spans="1:77" x14ac:dyDescent="0.3">
      <c r="A225" t="s">
        <v>1664</v>
      </c>
      <c r="B225" t="s">
        <v>1975</v>
      </c>
      <c r="C225" s="16">
        <v>174</v>
      </c>
      <c r="D225" s="16" t="s">
        <v>1149</v>
      </c>
      <c r="E225" s="16" t="s">
        <v>293</v>
      </c>
      <c r="F225" s="16" t="s">
        <v>1150</v>
      </c>
      <c r="G225" s="17">
        <f t="shared" si="124"/>
        <v>243.15624</v>
      </c>
      <c r="H225" s="17">
        <v>98.4</v>
      </c>
      <c r="I225" s="18">
        <f t="shared" si="131"/>
        <v>840.86096580000003</v>
      </c>
      <c r="J225" s="18">
        <v>340.27800000000002</v>
      </c>
      <c r="K225" s="19">
        <f t="shared" si="110"/>
        <v>3.4581097560975609</v>
      </c>
      <c r="L225" s="19">
        <v>50</v>
      </c>
      <c r="M225" s="19">
        <v>14.3</v>
      </c>
      <c r="N225" s="20">
        <f t="shared" ref="N225:N230" si="134">IF(O225="", "",O225*3.2808)</f>
        <v>22.0502568</v>
      </c>
      <c r="O225" s="19">
        <v>6.7210000000000001</v>
      </c>
      <c r="P225" s="21" t="str">
        <f t="shared" si="111"/>
        <v>no</v>
      </c>
      <c r="Q225" s="22">
        <v>2.5572991247713555</v>
      </c>
      <c r="R225" s="18" t="s">
        <v>2224</v>
      </c>
      <c r="S225" s="23">
        <v>43.188472446500001</v>
      </c>
      <c r="T225" s="23">
        <v>-74.599857360499996</v>
      </c>
      <c r="U225" s="68" t="s">
        <v>77</v>
      </c>
      <c r="V225" s="18" t="s">
        <v>96</v>
      </c>
      <c r="W225" t="str">
        <f t="shared" si="108"/>
        <v>no</v>
      </c>
      <c r="Y225" t="str">
        <f t="shared" si="115"/>
        <v>recreation</v>
      </c>
      <c r="Z225" t="s">
        <v>79</v>
      </c>
      <c r="AA225" s="24" t="s">
        <v>79</v>
      </c>
      <c r="AB225" s="24" t="s">
        <v>79</v>
      </c>
      <c r="AC225" s="35">
        <v>3.4793442807876751</v>
      </c>
      <c r="AD225" s="35" t="s">
        <v>1151</v>
      </c>
      <c r="AF225" t="str">
        <f t="shared" si="112"/>
        <v/>
      </c>
      <c r="AG225" s="26" t="s">
        <v>81</v>
      </c>
      <c r="AH225" s="27" t="s">
        <v>82</v>
      </c>
      <c r="AI225" s="28" t="s">
        <v>82</v>
      </c>
      <c r="AJ225" s="29" t="s">
        <v>82</v>
      </c>
      <c r="AK225" s="30" t="s">
        <v>85</v>
      </c>
      <c r="AL225" s="31" t="s">
        <v>85</v>
      </c>
      <c r="AM225" s="32" t="s">
        <v>82</v>
      </c>
      <c r="AN225" s="33" t="s">
        <v>81</v>
      </c>
      <c r="AO225" s="32" t="s">
        <v>81</v>
      </c>
      <c r="AP225" s="39"/>
      <c r="AQ225">
        <v>0</v>
      </c>
      <c r="AR225">
        <v>0</v>
      </c>
      <c r="AS225">
        <v>0</v>
      </c>
      <c r="AT225">
        <v>0</v>
      </c>
      <c r="AU225">
        <v>0</v>
      </c>
      <c r="AV225">
        <v>0</v>
      </c>
      <c r="AW225">
        <v>0</v>
      </c>
      <c r="AX225">
        <v>0</v>
      </c>
      <c r="AZ225" t="s">
        <v>1152</v>
      </c>
      <c r="BA225" t="s">
        <v>102</v>
      </c>
      <c r="BB225" t="s">
        <v>2225</v>
      </c>
      <c r="BC225" t="s">
        <v>87</v>
      </c>
      <c r="BD225" t="s">
        <v>298</v>
      </c>
      <c r="BE225" t="s">
        <v>89</v>
      </c>
      <c r="BF225" t="s">
        <v>89</v>
      </c>
      <c r="BG225" t="str">
        <f t="shared" si="125"/>
        <v>CSLAP</v>
      </c>
      <c r="BH225" s="14" t="s">
        <v>102</v>
      </c>
      <c r="BJ225">
        <f t="shared" si="126"/>
        <v>0</v>
      </c>
      <c r="BK225">
        <f t="shared" si="127"/>
        <v>0</v>
      </c>
      <c r="BL225">
        <f t="shared" si="128"/>
        <v>0</v>
      </c>
      <c r="BM225" t="str">
        <f t="shared" si="129"/>
        <v>CSLAP</v>
      </c>
      <c r="BN225" t="str">
        <f t="shared" si="130"/>
        <v>no</v>
      </c>
      <c r="BO225">
        <v>0.76</v>
      </c>
    </row>
    <row r="226" spans="1:77" x14ac:dyDescent="0.3">
      <c r="A226" t="s">
        <v>1666</v>
      </c>
      <c r="B226" t="s">
        <v>1976</v>
      </c>
      <c r="C226" s="16">
        <v>89</v>
      </c>
      <c r="D226" s="16" t="s">
        <v>1149</v>
      </c>
      <c r="E226" s="16" t="s">
        <v>684</v>
      </c>
      <c r="F226" s="16" t="s">
        <v>1153</v>
      </c>
      <c r="G226" s="17">
        <f t="shared" si="124"/>
        <v>38.302049999999994</v>
      </c>
      <c r="H226" s="17">
        <v>15.5</v>
      </c>
      <c r="I226" s="18">
        <f t="shared" si="131"/>
        <v>125.53187999999999</v>
      </c>
      <c r="J226" s="18">
        <v>50.8</v>
      </c>
      <c r="K226" s="19">
        <f t="shared" si="110"/>
        <v>3.2774193548387096</v>
      </c>
      <c r="L226" s="19">
        <v>11.482800000000001</v>
      </c>
      <c r="M226" s="19">
        <v>3.5</v>
      </c>
      <c r="N226" s="20">
        <f t="shared" si="134"/>
        <v>4.5931199999999999</v>
      </c>
      <c r="O226" s="19">
        <v>1.4</v>
      </c>
      <c r="P226" s="21" t="str">
        <f t="shared" si="111"/>
        <v>no</v>
      </c>
      <c r="Q226" s="22">
        <v>0.4803779527559055</v>
      </c>
      <c r="R226" s="18" t="s">
        <v>2228</v>
      </c>
      <c r="S226" s="23">
        <v>43.236159999999998</v>
      </c>
      <c r="T226" s="23">
        <v>-76.224819999999994</v>
      </c>
      <c r="U226" s="68" t="s">
        <v>77</v>
      </c>
      <c r="V226" s="18"/>
      <c r="W226" t="str">
        <f t="shared" si="108"/>
        <v>no</v>
      </c>
      <c r="X226" t="s">
        <v>1154</v>
      </c>
      <c r="Y226" t="str">
        <f t="shared" si="115"/>
        <v>recreation and public bathing</v>
      </c>
      <c r="Z226" t="s">
        <v>79</v>
      </c>
      <c r="AA226" s="24" t="s">
        <v>138</v>
      </c>
      <c r="AB226" s="24" t="s">
        <v>79</v>
      </c>
      <c r="AC226" s="24">
        <f>IF(AND(AA226="none reported",AB226="none reported"),"",0)</f>
        <v>0</v>
      </c>
      <c r="AD226" s="24"/>
      <c r="AE226" s="25" t="s">
        <v>432</v>
      </c>
      <c r="AF226" t="str">
        <f t="shared" si="112"/>
        <v>yes</v>
      </c>
      <c r="AG226" s="26" t="s">
        <v>81</v>
      </c>
      <c r="AH226" s="27" t="s">
        <v>82</v>
      </c>
      <c r="AI226" s="28" t="s">
        <v>82</v>
      </c>
      <c r="AJ226" s="29" t="s">
        <v>82</v>
      </c>
      <c r="AK226" s="30" t="s">
        <v>85</v>
      </c>
      <c r="AL226" s="31" t="s">
        <v>85</v>
      </c>
      <c r="AM226" s="32" t="s">
        <v>82</v>
      </c>
      <c r="AN226" s="33">
        <v>43669</v>
      </c>
      <c r="AO226" s="33">
        <v>43669</v>
      </c>
      <c r="AP226" s="39"/>
      <c r="AQ226">
        <v>0</v>
      </c>
      <c r="AR226">
        <v>0</v>
      </c>
      <c r="AS226">
        <v>0</v>
      </c>
      <c r="AT226">
        <v>1</v>
      </c>
      <c r="AU226">
        <v>2</v>
      </c>
      <c r="AV226">
        <v>0</v>
      </c>
      <c r="AW226">
        <v>0</v>
      </c>
      <c r="AX226">
        <v>1</v>
      </c>
      <c r="AZ226" t="s">
        <v>1155</v>
      </c>
      <c r="BA226" t="s">
        <v>102</v>
      </c>
      <c r="BB226" t="s">
        <v>1156</v>
      </c>
      <c r="BC226" t="s">
        <v>132</v>
      </c>
      <c r="BD226" t="s">
        <v>320</v>
      </c>
      <c r="BE226" t="s">
        <v>247</v>
      </c>
      <c r="BF226" t="s">
        <v>115</v>
      </c>
      <c r="BG226" t="str">
        <f t="shared" si="125"/>
        <v>CSLAP</v>
      </c>
      <c r="BH226" s="14" t="s">
        <v>102</v>
      </c>
      <c r="BJ226">
        <f t="shared" si="126"/>
        <v>2</v>
      </c>
      <c r="BK226">
        <f t="shared" si="127"/>
        <v>2</v>
      </c>
      <c r="BL226">
        <f t="shared" si="128"/>
        <v>1</v>
      </c>
      <c r="BM226" t="str">
        <f t="shared" si="129"/>
        <v>CSLAP</v>
      </c>
      <c r="BN226" t="str">
        <f t="shared" si="130"/>
        <v>no</v>
      </c>
      <c r="BO226">
        <v>0.88922764227642281</v>
      </c>
      <c r="BY226" t="s">
        <v>1157</v>
      </c>
    </row>
    <row r="227" spans="1:77" x14ac:dyDescent="0.3">
      <c r="A227" t="s">
        <v>1668</v>
      </c>
      <c r="B227" t="s">
        <v>1977</v>
      </c>
      <c r="C227" s="16">
        <v>238</v>
      </c>
      <c r="D227" s="16" t="s">
        <v>939</v>
      </c>
      <c r="E227" s="16" t="s">
        <v>93</v>
      </c>
      <c r="F227" s="16" t="s">
        <v>1158</v>
      </c>
      <c r="G227" s="17">
        <f t="shared" si="124"/>
        <v>217.70390999999998</v>
      </c>
      <c r="H227" s="17">
        <v>88.1</v>
      </c>
      <c r="I227" s="18">
        <f t="shared" si="131"/>
        <v>13220.384999999998</v>
      </c>
      <c r="J227" s="18">
        <v>5350</v>
      </c>
      <c r="K227" s="19">
        <f t="shared" si="110"/>
        <v>60.726447219069243</v>
      </c>
      <c r="L227" s="19">
        <f>3.28*M227</f>
        <v>24.271999999999998</v>
      </c>
      <c r="M227" s="19">
        <v>7.4</v>
      </c>
      <c r="N227" s="20">
        <f t="shared" si="134"/>
        <v>10.498560000000001</v>
      </c>
      <c r="O227" s="19">
        <v>3.2</v>
      </c>
      <c r="P227" s="21" t="str">
        <f t="shared" si="111"/>
        <v>no</v>
      </c>
      <c r="Q227" s="22">
        <v>8.7825545171339572E-2</v>
      </c>
      <c r="R227" s="18" t="s">
        <v>2094</v>
      </c>
      <c r="S227" s="23">
        <v>41.696571349999999</v>
      </c>
      <c r="T227" s="23">
        <v>-74.628521739999996</v>
      </c>
      <c r="U227" s="16" t="s">
        <v>77</v>
      </c>
      <c r="V227" s="16" t="s">
        <v>78</v>
      </c>
      <c r="W227" t="str">
        <f t="shared" si="108"/>
        <v>no</v>
      </c>
      <c r="Y227" t="str">
        <f t="shared" si="115"/>
        <v>recreation</v>
      </c>
      <c r="Z227" t="s">
        <v>79</v>
      </c>
      <c r="AA227" s="24" t="s">
        <v>1159</v>
      </c>
      <c r="AB227" s="24" t="s">
        <v>79</v>
      </c>
      <c r="AC227" s="24">
        <f>IF(AND(AA227="none reported",AB227="none reported"),"",0)</f>
        <v>0</v>
      </c>
      <c r="AD227" s="24"/>
      <c r="AE227" s="25" t="s">
        <v>708</v>
      </c>
      <c r="AF227" t="str">
        <f t="shared" si="112"/>
        <v>yes</v>
      </c>
      <c r="AG227" s="26" t="s">
        <v>81</v>
      </c>
      <c r="AH227" s="16" t="s">
        <v>156</v>
      </c>
      <c r="AI227" s="16" t="s">
        <v>141</v>
      </c>
      <c r="AJ227" s="16" t="s">
        <v>156</v>
      </c>
      <c r="AK227" s="16" t="s">
        <v>156</v>
      </c>
      <c r="AL227" s="16" t="s">
        <v>156</v>
      </c>
      <c r="AM227" s="16" t="s">
        <v>156</v>
      </c>
      <c r="AN227" s="39">
        <v>43689</v>
      </c>
      <c r="AO227" s="39">
        <v>43704</v>
      </c>
      <c r="AP227" s="39"/>
      <c r="AQ227">
        <v>9</v>
      </c>
      <c r="AR227">
        <v>4</v>
      </c>
      <c r="AS227">
        <v>2</v>
      </c>
      <c r="AT227">
        <v>0</v>
      </c>
      <c r="AU227">
        <v>0</v>
      </c>
      <c r="AV227">
        <v>0</v>
      </c>
      <c r="AW227">
        <v>0</v>
      </c>
      <c r="AX227">
        <v>0</v>
      </c>
      <c r="AY227" t="s">
        <v>1160</v>
      </c>
      <c r="AZ227" t="s">
        <v>1161</v>
      </c>
      <c r="BA227" t="s">
        <v>102</v>
      </c>
      <c r="BB227" t="s">
        <v>1162</v>
      </c>
      <c r="BC227" t="s">
        <v>103</v>
      </c>
      <c r="BD227" t="s">
        <v>104</v>
      </c>
      <c r="BE227" t="s">
        <v>105</v>
      </c>
      <c r="BF227" t="s">
        <v>106</v>
      </c>
      <c r="BG227" t="str">
        <f t="shared" si="125"/>
        <v>CSLAP</v>
      </c>
      <c r="BH227" s="14" t="s">
        <v>102</v>
      </c>
      <c r="BJ227">
        <f t="shared" si="126"/>
        <v>0</v>
      </c>
      <c r="BK227">
        <f t="shared" si="127"/>
        <v>0</v>
      </c>
      <c r="BL227">
        <f t="shared" si="128"/>
        <v>0</v>
      </c>
      <c r="BM227" t="str">
        <f t="shared" si="129"/>
        <v>CSLAP</v>
      </c>
      <c r="BN227" t="str">
        <f t="shared" si="130"/>
        <v>no</v>
      </c>
      <c r="BO227">
        <v>0.6</v>
      </c>
    </row>
    <row r="228" spans="1:77" x14ac:dyDescent="0.3">
      <c r="A228" t="s">
        <v>1978</v>
      </c>
      <c r="B228" t="s">
        <v>1979</v>
      </c>
      <c r="C228" s="16">
        <v>201</v>
      </c>
      <c r="D228" s="16" t="s">
        <v>1163</v>
      </c>
      <c r="E228" s="16" t="s">
        <v>183</v>
      </c>
      <c r="F228" s="16" t="s">
        <v>831</v>
      </c>
      <c r="G228" s="17">
        <f t="shared" si="124"/>
        <v>6.4248599999999998</v>
      </c>
      <c r="H228" s="17">
        <v>2.6</v>
      </c>
      <c r="I228" s="18">
        <f t="shared" si="131"/>
        <v>3953.7599999999998</v>
      </c>
      <c r="J228" s="18">
        <v>1600</v>
      </c>
      <c r="K228" s="19">
        <f t="shared" si="110"/>
        <v>615.38461538461536</v>
      </c>
      <c r="L228" s="19">
        <v>4.2650399999999999</v>
      </c>
      <c r="M228" s="19">
        <v>1.3</v>
      </c>
      <c r="N228" s="20">
        <f t="shared" si="134"/>
        <v>3.2808000000000002</v>
      </c>
      <c r="O228" s="19">
        <v>1</v>
      </c>
      <c r="P228" s="21" t="str">
        <f t="shared" si="111"/>
        <v>no</v>
      </c>
      <c r="Q228" s="22">
        <v>3.0660377358490568E-3</v>
      </c>
      <c r="R228" s="18" t="s">
        <v>1164</v>
      </c>
      <c r="S228" s="23">
        <v>41.311790999999999</v>
      </c>
      <c r="T228" s="23">
        <v>-73.704014000000001</v>
      </c>
      <c r="U228" s="18" t="s">
        <v>1165</v>
      </c>
      <c r="V228" s="18"/>
      <c r="W228" t="str">
        <f t="shared" si="108"/>
        <v>no</v>
      </c>
      <c r="Y228" t="str">
        <f t="shared" si="115"/>
        <v>recreation</v>
      </c>
      <c r="Z228" t="s">
        <v>79</v>
      </c>
      <c r="AA228" s="40" t="s">
        <v>79</v>
      </c>
      <c r="AB228" s="40" t="s">
        <v>79</v>
      </c>
      <c r="AC228" s="35">
        <v>2.3295630922436135</v>
      </c>
      <c r="AD228" s="35" t="s">
        <v>830</v>
      </c>
      <c r="AF228" t="str">
        <f t="shared" si="112"/>
        <v/>
      </c>
      <c r="AG228" s="26" t="s">
        <v>81</v>
      </c>
      <c r="AH228" s="27" t="s">
        <v>82</v>
      </c>
      <c r="AI228" s="28" t="s">
        <v>82</v>
      </c>
      <c r="AJ228" s="29" t="s">
        <v>82</v>
      </c>
      <c r="AK228" s="30" t="s">
        <v>85</v>
      </c>
      <c r="AL228" s="31" t="s">
        <v>85</v>
      </c>
      <c r="AM228" s="32" t="s">
        <v>82</v>
      </c>
      <c r="AN228" s="33" t="s">
        <v>81</v>
      </c>
      <c r="AO228" s="32" t="s">
        <v>81</v>
      </c>
      <c r="AP228" s="39"/>
      <c r="AQ228">
        <v>0</v>
      </c>
      <c r="AR228">
        <v>0</v>
      </c>
      <c r="AS228">
        <v>0</v>
      </c>
      <c r="AT228">
        <v>0</v>
      </c>
      <c r="AU228">
        <v>0</v>
      </c>
      <c r="AV228">
        <v>0</v>
      </c>
      <c r="AW228">
        <v>0</v>
      </c>
      <c r="AX228">
        <v>0</v>
      </c>
      <c r="BD228" t="s">
        <v>152</v>
      </c>
      <c r="BF228" t="s">
        <v>160</v>
      </c>
      <c r="BG228" t="str">
        <f t="shared" si="125"/>
        <v>CSLAP</v>
      </c>
      <c r="BH228" s="14" t="str">
        <f>IF(RIGHT(CM228,4)="2011","yes","no")</f>
        <v>no</v>
      </c>
      <c r="BJ228">
        <f t="shared" si="126"/>
        <v>0</v>
      </c>
      <c r="BK228">
        <f t="shared" si="127"/>
        <v>0</v>
      </c>
      <c r="BL228">
        <f t="shared" si="128"/>
        <v>0</v>
      </c>
      <c r="BM228" t="str">
        <f t="shared" si="129"/>
        <v>CSLAP</v>
      </c>
      <c r="BN228" t="str">
        <f t="shared" si="130"/>
        <v>no</v>
      </c>
      <c r="BO228">
        <v>0.53</v>
      </c>
    </row>
    <row r="229" spans="1:77" x14ac:dyDescent="0.3">
      <c r="A229" t="s">
        <v>1669</v>
      </c>
      <c r="B229" t="s">
        <v>1980</v>
      </c>
      <c r="C229" s="16">
        <v>90</v>
      </c>
      <c r="D229" s="16" t="s">
        <v>1166</v>
      </c>
      <c r="E229" s="16" t="s">
        <v>370</v>
      </c>
      <c r="F229" s="16" t="s">
        <v>1167</v>
      </c>
      <c r="G229" s="17">
        <f t="shared" si="124"/>
        <v>76.851209999999995</v>
      </c>
      <c r="H229" s="17">
        <v>31.1</v>
      </c>
      <c r="I229" s="18">
        <f t="shared" si="131"/>
        <v>1072.4574</v>
      </c>
      <c r="J229" s="18">
        <v>434</v>
      </c>
      <c r="K229" s="19">
        <f t="shared" si="110"/>
        <v>13.954983922829582</v>
      </c>
      <c r="L229" s="19">
        <v>10.170480000000001</v>
      </c>
      <c r="M229" s="19">
        <v>3.1</v>
      </c>
      <c r="N229" s="20">
        <f t="shared" si="134"/>
        <v>4.2650399999999999</v>
      </c>
      <c r="O229" s="19">
        <v>1.3</v>
      </c>
      <c r="P229" s="21" t="str">
        <f t="shared" si="111"/>
        <v>no</v>
      </c>
      <c r="Q229" s="22">
        <v>0.23289170506912441</v>
      </c>
      <c r="R229" s="18" t="s">
        <v>2229</v>
      </c>
      <c r="S229" s="23">
        <v>42.588101209999998</v>
      </c>
      <c r="T229" s="23">
        <v>-75.651125699999994</v>
      </c>
      <c r="U229" s="18" t="s">
        <v>77</v>
      </c>
      <c r="V229" s="18" t="s">
        <v>96</v>
      </c>
      <c r="W229" t="str">
        <f t="shared" si="108"/>
        <v>no</v>
      </c>
      <c r="Y229" t="str">
        <f t="shared" si="115"/>
        <v>recreation</v>
      </c>
      <c r="Z229" t="s">
        <v>79</v>
      </c>
      <c r="AA229" s="24" t="s">
        <v>120</v>
      </c>
      <c r="AB229" s="24" t="s">
        <v>79</v>
      </c>
      <c r="AC229" s="24">
        <f t="shared" ref="AC229:AC235" si="135">IF(AND(AA229="none reported",AB229="none reported"),"",0)</f>
        <v>0</v>
      </c>
      <c r="AD229" s="24"/>
      <c r="AE229" s="25" t="s">
        <v>1168</v>
      </c>
      <c r="AF229" t="str">
        <f t="shared" si="112"/>
        <v>yes</v>
      </c>
      <c r="AG229" s="26" t="s">
        <v>81</v>
      </c>
      <c r="AH229" s="27" t="s">
        <v>83</v>
      </c>
      <c r="AI229" s="28" t="s">
        <v>83</v>
      </c>
      <c r="AJ229" s="29" t="s">
        <v>82</v>
      </c>
      <c r="AK229" s="30" t="s">
        <v>84</v>
      </c>
      <c r="AL229" s="31" t="s">
        <v>84</v>
      </c>
      <c r="AM229" s="32" t="s">
        <v>82</v>
      </c>
      <c r="AN229" s="39">
        <v>43670</v>
      </c>
      <c r="AO229" s="39">
        <v>43670</v>
      </c>
      <c r="AP229" s="39"/>
      <c r="AQ229">
        <v>3</v>
      </c>
      <c r="AR229">
        <v>2</v>
      </c>
      <c r="AS229">
        <v>12</v>
      </c>
      <c r="AT229">
        <v>2</v>
      </c>
      <c r="AU229">
        <v>0</v>
      </c>
      <c r="AV229">
        <v>0</v>
      </c>
      <c r="AW229">
        <v>0</v>
      </c>
      <c r="AX229">
        <v>0</v>
      </c>
      <c r="AY229" t="s">
        <v>1052</v>
      </c>
      <c r="AZ229" t="s">
        <v>1169</v>
      </c>
      <c r="BA229" t="s">
        <v>102</v>
      </c>
      <c r="BB229" t="s">
        <v>2230</v>
      </c>
      <c r="BC229" t="s">
        <v>132</v>
      </c>
      <c r="BD229" t="s">
        <v>114</v>
      </c>
      <c r="BE229" t="s">
        <v>247</v>
      </c>
      <c r="BF229" t="s">
        <v>115</v>
      </c>
      <c r="BG229" t="str">
        <f t="shared" si="125"/>
        <v>CSLAP</v>
      </c>
      <c r="BH229" s="14" t="s">
        <v>102</v>
      </c>
      <c r="BJ229">
        <f t="shared" si="126"/>
        <v>3</v>
      </c>
      <c r="BK229">
        <f t="shared" si="127"/>
        <v>2</v>
      </c>
      <c r="BL229">
        <f t="shared" si="128"/>
        <v>3</v>
      </c>
      <c r="BM229" t="str">
        <f t="shared" si="129"/>
        <v>CSLAP</v>
      </c>
      <c r="BN229" t="str">
        <f t="shared" si="130"/>
        <v>no</v>
      </c>
      <c r="BO229">
        <v>0.4</v>
      </c>
      <c r="BY229" t="s">
        <v>1170</v>
      </c>
    </row>
    <row r="230" spans="1:77" x14ac:dyDescent="0.3">
      <c r="A230" t="s">
        <v>1981</v>
      </c>
      <c r="B230" t="s">
        <v>1982</v>
      </c>
      <c r="C230" s="16">
        <v>74</v>
      </c>
      <c r="D230" t="s">
        <v>1171</v>
      </c>
      <c r="E230" t="s">
        <v>221</v>
      </c>
      <c r="F230" t="s">
        <v>222</v>
      </c>
      <c r="G230" s="17">
        <f t="shared" si="124"/>
        <v>460.1</v>
      </c>
      <c r="H230" s="36">
        <v>186.19238395856098</v>
      </c>
      <c r="I230" s="37">
        <v>21774.352781594527</v>
      </c>
      <c r="J230" s="37">
        <v>8811.6032461634604</v>
      </c>
      <c r="K230" s="21">
        <f t="shared" si="110"/>
        <v>47.325261424895729</v>
      </c>
      <c r="L230" s="19">
        <f>3.28*M230</f>
        <v>26.895999999999997</v>
      </c>
      <c r="M230" s="21">
        <v>8.1999999999999993</v>
      </c>
      <c r="N230" s="20">
        <f t="shared" si="134"/>
        <v>12.467040000000001</v>
      </c>
      <c r="O230" s="19">
        <v>3.8</v>
      </c>
      <c r="P230" s="21" t="str">
        <f t="shared" si="111"/>
        <v>no</v>
      </c>
      <c r="Q230" s="22">
        <v>2.5250593652090996</v>
      </c>
      <c r="R230" s="18" t="s">
        <v>1172</v>
      </c>
      <c r="S230" s="23">
        <v>43.290806379999999</v>
      </c>
      <c r="T230" s="23">
        <v>-76.831485990000004</v>
      </c>
      <c r="U230" s="68" t="s">
        <v>77</v>
      </c>
      <c r="W230" t="str">
        <f t="shared" si="108"/>
        <v>no</v>
      </c>
      <c r="Y230" t="str">
        <f t="shared" si="115"/>
        <v>recreation</v>
      </c>
      <c r="Z230" t="s">
        <v>79</v>
      </c>
      <c r="AA230" s="24" t="s">
        <v>1173</v>
      </c>
      <c r="AB230" s="24" t="s">
        <v>139</v>
      </c>
      <c r="AC230" s="24">
        <f t="shared" si="135"/>
        <v>0</v>
      </c>
      <c r="AD230" s="24"/>
      <c r="AE230" s="25">
        <v>2016</v>
      </c>
      <c r="AF230" t="str">
        <f t="shared" si="112"/>
        <v>no</v>
      </c>
      <c r="AG230" s="26" t="s">
        <v>81</v>
      </c>
      <c r="AH230" s="27" t="s">
        <v>83</v>
      </c>
      <c r="AI230" s="28" t="s">
        <v>141</v>
      </c>
      <c r="AJ230" s="29" t="s">
        <v>82</v>
      </c>
      <c r="AK230" s="30" t="s">
        <v>84</v>
      </c>
      <c r="AL230" s="31" t="s">
        <v>84</v>
      </c>
      <c r="AM230" s="32" t="s">
        <v>83</v>
      </c>
      <c r="AN230" s="33" t="s">
        <v>81</v>
      </c>
      <c r="AO230" s="32" t="s">
        <v>81</v>
      </c>
      <c r="AP230" s="39"/>
      <c r="AQ230">
        <v>0</v>
      </c>
      <c r="AR230">
        <v>0</v>
      </c>
      <c r="AS230">
        <v>0</v>
      </c>
      <c r="AT230">
        <v>2</v>
      </c>
      <c r="AU230"/>
      <c r="AV230"/>
      <c r="AW230"/>
      <c r="AX230"/>
      <c r="BA230" t="s">
        <v>102</v>
      </c>
      <c r="BB230" t="s">
        <v>1174</v>
      </c>
      <c r="BD230" t="s">
        <v>227</v>
      </c>
      <c r="BE230" t="s">
        <v>228</v>
      </c>
      <c r="BF230" t="s">
        <v>229</v>
      </c>
      <c r="BG230" t="str">
        <f t="shared" si="125"/>
        <v>CSLAP</v>
      </c>
      <c r="BH230" s="14" t="str">
        <f>IF(RIGHT(CM230,4)="2011","yes","no")</f>
        <v>no</v>
      </c>
      <c r="BJ230">
        <f t="shared" si="126"/>
        <v>1</v>
      </c>
      <c r="BK230">
        <f t="shared" si="127"/>
        <v>1</v>
      </c>
      <c r="BL230">
        <f t="shared" si="128"/>
        <v>0</v>
      </c>
      <c r="BM230" t="str">
        <f t="shared" si="129"/>
        <v>CSLAP</v>
      </c>
      <c r="BN230" t="str">
        <f t="shared" si="130"/>
        <v>yes</v>
      </c>
      <c r="BO230">
        <v>0.38109756097560976</v>
      </c>
      <c r="BW230" t="s">
        <v>1175</v>
      </c>
    </row>
    <row r="231" spans="1:77" x14ac:dyDescent="0.3">
      <c r="A231" t="s">
        <v>1670</v>
      </c>
      <c r="B231" t="s">
        <v>1983</v>
      </c>
      <c r="C231" s="16">
        <v>239</v>
      </c>
      <c r="D231" s="16" t="s">
        <v>1176</v>
      </c>
      <c r="E231" s="16" t="s">
        <v>147</v>
      </c>
      <c r="F231" s="16" t="s">
        <v>1177</v>
      </c>
      <c r="G231" s="17">
        <f t="shared" si="124"/>
        <v>226.10565</v>
      </c>
      <c r="H231" s="17">
        <v>91.5</v>
      </c>
      <c r="I231" s="18">
        <f>IF(J231="","",J231*2.4711)</f>
        <v>1717.4144999999999</v>
      </c>
      <c r="J231" s="18">
        <v>695</v>
      </c>
      <c r="K231" s="19">
        <f t="shared" si="110"/>
        <v>7.5956284153005464</v>
      </c>
      <c r="L231" s="19">
        <f>3.28*M231</f>
        <v>17.712</v>
      </c>
      <c r="M231" s="19">
        <v>5.4</v>
      </c>
      <c r="N231" s="20">
        <f>IF(O231="", "",O231*3.2808)</f>
        <v>11.154720000000001</v>
      </c>
      <c r="O231" s="19">
        <v>3.4</v>
      </c>
      <c r="P231" s="21" t="str">
        <f t="shared" si="111"/>
        <v>no</v>
      </c>
      <c r="Q231" s="22">
        <v>0.74604316546762584</v>
      </c>
      <c r="R231" s="18" t="s">
        <v>193</v>
      </c>
      <c r="S231" s="23">
        <v>41.467093740000003</v>
      </c>
      <c r="T231" s="23">
        <v>-73.540075999999999</v>
      </c>
      <c r="U231" s="16" t="s">
        <v>77</v>
      </c>
      <c r="V231" s="16" t="s">
        <v>78</v>
      </c>
      <c r="W231" t="str">
        <f t="shared" si="108"/>
        <v>no</v>
      </c>
      <c r="X231" t="s">
        <v>1178</v>
      </c>
      <c r="Y231" t="str">
        <f t="shared" si="115"/>
        <v>recreation and public bathing</v>
      </c>
      <c r="Z231" t="s">
        <v>79</v>
      </c>
      <c r="AA231" s="24" t="s">
        <v>1179</v>
      </c>
      <c r="AB231" s="24" t="s">
        <v>79</v>
      </c>
      <c r="AC231" s="24">
        <f t="shared" si="135"/>
        <v>0</v>
      </c>
      <c r="AD231" s="24"/>
      <c r="AE231" s="25" t="s">
        <v>1180</v>
      </c>
      <c r="AF231" t="str">
        <f t="shared" si="112"/>
        <v>yes</v>
      </c>
      <c r="AG231" s="26" t="s">
        <v>81</v>
      </c>
      <c r="AH231" s="27" t="s">
        <v>83</v>
      </c>
      <c r="AI231" s="28" t="s">
        <v>83</v>
      </c>
      <c r="AJ231" s="29" t="s">
        <v>82</v>
      </c>
      <c r="AK231" s="30" t="s">
        <v>85</v>
      </c>
      <c r="AL231" s="31" t="s">
        <v>85</v>
      </c>
      <c r="AM231" s="32" t="s">
        <v>82</v>
      </c>
      <c r="AN231" s="33" t="s">
        <v>81</v>
      </c>
      <c r="AO231" s="32" t="s">
        <v>81</v>
      </c>
      <c r="AP231" s="39"/>
      <c r="AQ231">
        <v>16</v>
      </c>
      <c r="AR231">
        <v>6</v>
      </c>
      <c r="AS231">
        <v>1</v>
      </c>
      <c r="AT231">
        <v>3</v>
      </c>
      <c r="AU231">
        <v>2</v>
      </c>
      <c r="AV231">
        <v>2</v>
      </c>
      <c r="AW231">
        <v>9</v>
      </c>
      <c r="AX231">
        <v>0</v>
      </c>
      <c r="AZ231" t="s">
        <v>1181</v>
      </c>
      <c r="BA231" t="s">
        <v>102</v>
      </c>
      <c r="BB231" t="s">
        <v>1182</v>
      </c>
      <c r="BC231" t="s">
        <v>103</v>
      </c>
      <c r="BD231" t="s">
        <v>152</v>
      </c>
      <c r="BE231" t="s">
        <v>159</v>
      </c>
      <c r="BF231" t="s">
        <v>160</v>
      </c>
      <c r="BG231" t="str">
        <f t="shared" si="125"/>
        <v>CSLAP</v>
      </c>
      <c r="BH231" s="14" t="s">
        <v>102</v>
      </c>
      <c r="BJ231">
        <f t="shared" si="126"/>
        <v>4</v>
      </c>
      <c r="BK231">
        <f t="shared" si="127"/>
        <v>2</v>
      </c>
      <c r="BL231">
        <f t="shared" si="128"/>
        <v>3</v>
      </c>
      <c r="BM231" t="str">
        <f t="shared" si="129"/>
        <v>CSLAP</v>
      </c>
      <c r="BN231" t="str">
        <f t="shared" si="130"/>
        <v>no</v>
      </c>
      <c r="BO231">
        <v>0.6</v>
      </c>
      <c r="BS231" s="41">
        <f>37/1</f>
        <v>37</v>
      </c>
      <c r="BU231" t="s">
        <v>1183</v>
      </c>
    </row>
    <row r="232" spans="1:77" x14ac:dyDescent="0.3">
      <c r="A232" t="s">
        <v>1671</v>
      </c>
      <c r="B232" t="s">
        <v>1984</v>
      </c>
      <c r="C232" s="16">
        <v>52</v>
      </c>
      <c r="D232" s="16" t="s">
        <v>1184</v>
      </c>
      <c r="E232" s="16" t="s">
        <v>386</v>
      </c>
      <c r="F232" s="16" t="s">
        <v>1185</v>
      </c>
      <c r="G232" s="17">
        <f t="shared" si="124"/>
        <v>128.00297999999998</v>
      </c>
      <c r="H232" s="17">
        <v>51.8</v>
      </c>
      <c r="I232" s="18">
        <f>IF(J232="","",J232*2.4711)</f>
        <v>543.64199999999994</v>
      </c>
      <c r="J232" s="18">
        <v>220</v>
      </c>
      <c r="K232" s="19">
        <f t="shared" si="110"/>
        <v>4.2471042471042475</v>
      </c>
      <c r="L232" s="19">
        <v>40</v>
      </c>
      <c r="M232" s="19">
        <v>12</v>
      </c>
      <c r="N232" s="20">
        <v>19</v>
      </c>
      <c r="O232" s="19">
        <v>5.6</v>
      </c>
      <c r="P232" s="21" t="str">
        <f t="shared" si="111"/>
        <v>no</v>
      </c>
      <c r="Q232" s="22">
        <v>2.6370909090909089</v>
      </c>
      <c r="R232" s="18" t="s">
        <v>2231</v>
      </c>
      <c r="S232" s="23">
        <v>42.406968900000003</v>
      </c>
      <c r="T232" s="23">
        <v>-73.415886330000006</v>
      </c>
      <c r="U232" s="18" t="s">
        <v>95</v>
      </c>
      <c r="V232" s="18" t="s">
        <v>96</v>
      </c>
      <c r="W232" t="str">
        <f t="shared" si="108"/>
        <v>no</v>
      </c>
      <c r="X232" t="s">
        <v>1186</v>
      </c>
      <c r="Y232" t="str">
        <f t="shared" si="115"/>
        <v>recreation and public bathing</v>
      </c>
      <c r="Z232" t="s">
        <v>79</v>
      </c>
      <c r="AA232" s="40" t="s">
        <v>420</v>
      </c>
      <c r="AB232" s="40" t="s">
        <v>80</v>
      </c>
      <c r="AC232" s="24">
        <f t="shared" si="135"/>
        <v>0</v>
      </c>
      <c r="AD232" s="24"/>
      <c r="AF232" t="str">
        <f t="shared" si="112"/>
        <v/>
      </c>
      <c r="AG232" s="26" t="s">
        <v>81</v>
      </c>
      <c r="AH232" s="27" t="s">
        <v>82</v>
      </c>
      <c r="AI232" s="28" t="s">
        <v>82</v>
      </c>
      <c r="AJ232" s="29" t="s">
        <v>82</v>
      </c>
      <c r="AK232" s="30" t="s">
        <v>85</v>
      </c>
      <c r="AL232" s="31" t="s">
        <v>85</v>
      </c>
      <c r="AM232" s="32" t="s">
        <v>82</v>
      </c>
      <c r="AN232" s="33" t="s">
        <v>81</v>
      </c>
      <c r="AO232" s="32" t="s">
        <v>81</v>
      </c>
      <c r="AP232" s="39"/>
      <c r="AQ232">
        <v>0</v>
      </c>
      <c r="AR232">
        <v>0</v>
      </c>
      <c r="AS232">
        <v>0</v>
      </c>
      <c r="AT232">
        <v>0</v>
      </c>
      <c r="AU232">
        <v>0</v>
      </c>
      <c r="AV232">
        <v>0</v>
      </c>
      <c r="AW232">
        <v>0</v>
      </c>
      <c r="AX232">
        <v>0</v>
      </c>
      <c r="AZ232" t="s">
        <v>1187</v>
      </c>
      <c r="BA232" t="s">
        <v>102</v>
      </c>
      <c r="BB232" t="s">
        <v>2232</v>
      </c>
      <c r="BC232" t="s">
        <v>132</v>
      </c>
      <c r="BD232" t="s">
        <v>152</v>
      </c>
      <c r="BE232" t="s">
        <v>196</v>
      </c>
      <c r="BF232" t="s">
        <v>133</v>
      </c>
      <c r="BG232" t="str">
        <f t="shared" si="125"/>
        <v>CSLAP</v>
      </c>
      <c r="BH232" s="14" t="s">
        <v>102</v>
      </c>
      <c r="BJ232">
        <f t="shared" si="126"/>
        <v>0</v>
      </c>
      <c r="BK232">
        <f t="shared" si="127"/>
        <v>0</v>
      </c>
      <c r="BL232">
        <f t="shared" si="128"/>
        <v>0</v>
      </c>
      <c r="BM232" t="str">
        <f t="shared" si="129"/>
        <v>CSLAP</v>
      </c>
      <c r="BN232" t="str">
        <f t="shared" si="130"/>
        <v>no</v>
      </c>
      <c r="BO232">
        <v>0.5</v>
      </c>
    </row>
    <row r="233" spans="1:77" s="83" customFormat="1" x14ac:dyDescent="0.3">
      <c r="A233" t="s">
        <v>1672</v>
      </c>
      <c r="B233" t="s">
        <v>1985</v>
      </c>
      <c r="C233" s="16">
        <v>262</v>
      </c>
      <c r="D233" s="16" t="s">
        <v>1188</v>
      </c>
      <c r="E233" s="16" t="s">
        <v>74</v>
      </c>
      <c r="F233" s="16" t="s">
        <v>1189</v>
      </c>
      <c r="G233" s="17">
        <f t="shared" si="124"/>
        <v>5397.3766199999991</v>
      </c>
      <c r="H233" s="17">
        <v>2184.1999999999998</v>
      </c>
      <c r="I233" s="18">
        <v>79360.364000000001</v>
      </c>
      <c r="J233" s="18">
        <v>32115.9</v>
      </c>
      <c r="K233" s="19">
        <f>J233/H233</f>
        <v>14.703735921618902</v>
      </c>
      <c r="L233" s="19">
        <v>88.5</v>
      </c>
      <c r="M233" s="19">
        <v>27</v>
      </c>
      <c r="N233" s="20">
        <v>44</v>
      </c>
      <c r="O233" s="19">
        <v>13.414634146341465</v>
      </c>
      <c r="P233" s="21" t="str">
        <f t="shared" si="111"/>
        <v>no</v>
      </c>
      <c r="Q233" s="22">
        <v>1.2873965770536493</v>
      </c>
      <c r="R233" s="18" t="s">
        <v>2233</v>
      </c>
      <c r="S233" s="23">
        <v>43.843135756599999</v>
      </c>
      <c r="T233" s="23">
        <v>-74.635066797799993</v>
      </c>
      <c r="U233" s="18" t="s">
        <v>379</v>
      </c>
      <c r="V233" s="18" t="s">
        <v>96</v>
      </c>
      <c r="W233" t="s">
        <v>102</v>
      </c>
      <c r="X233" t="s">
        <v>1190</v>
      </c>
      <c r="Y233" t="s">
        <v>1191</v>
      </c>
      <c r="Z233"/>
      <c r="AA233" s="45" t="s">
        <v>1192</v>
      </c>
      <c r="AB233" s="45" t="s">
        <v>79</v>
      </c>
      <c r="AC233" s="24">
        <f t="shared" si="135"/>
        <v>0</v>
      </c>
      <c r="AD233" s="24"/>
      <c r="AE233" s="25">
        <v>2019</v>
      </c>
      <c r="AF233" t="str">
        <f>IF(AE233="","",IF(IFERROR(SEARCH(",",AE233,1)&gt;1,0),"yes","no"))</f>
        <v>no</v>
      </c>
      <c r="AG233" s="61" t="s">
        <v>156</v>
      </c>
      <c r="AH233" s="77" t="s">
        <v>156</v>
      </c>
      <c r="AI233" s="78" t="s">
        <v>82</v>
      </c>
      <c r="AJ233" s="79" t="s">
        <v>82</v>
      </c>
      <c r="AK233" s="80" t="s">
        <v>85</v>
      </c>
      <c r="AL233" s="81" t="s">
        <v>85</v>
      </c>
      <c r="AM233" s="82" t="s">
        <v>141</v>
      </c>
      <c r="AN233" s="33">
        <v>43759</v>
      </c>
      <c r="AO233" s="33">
        <v>43759</v>
      </c>
      <c r="AP233" s="39"/>
      <c r="AQ233">
        <v>0</v>
      </c>
      <c r="AR233">
        <v>0</v>
      </c>
      <c r="AS233">
        <v>0</v>
      </c>
      <c r="AT233">
        <v>0</v>
      </c>
      <c r="AU233">
        <v>0</v>
      </c>
      <c r="AV233">
        <v>0</v>
      </c>
      <c r="AW233">
        <v>0</v>
      </c>
      <c r="AX233">
        <v>0</v>
      </c>
      <c r="AY233"/>
      <c r="AZ233" t="s">
        <v>1193</v>
      </c>
      <c r="BA233" t="s">
        <v>102</v>
      </c>
      <c r="BB233" t="s">
        <v>2234</v>
      </c>
      <c r="BC233" t="s">
        <v>87</v>
      </c>
      <c r="BD233" t="s">
        <v>215</v>
      </c>
      <c r="BE233" t="s">
        <v>216</v>
      </c>
      <c r="BF233" t="s">
        <v>216</v>
      </c>
      <c r="BG233" t="s">
        <v>54</v>
      </c>
      <c r="BH233" s="14" t="s">
        <v>102</v>
      </c>
      <c r="BI233"/>
      <c r="BJ233">
        <f t="shared" si="126"/>
        <v>0</v>
      </c>
      <c r="BK233">
        <f t="shared" si="127"/>
        <v>0</v>
      </c>
      <c r="BL233">
        <f t="shared" si="128"/>
        <v>0</v>
      </c>
      <c r="BM233" t="s">
        <v>54</v>
      </c>
      <c r="BN233" t="s">
        <v>99</v>
      </c>
      <c r="BO233">
        <v>0.70866141732283461</v>
      </c>
      <c r="BP233"/>
      <c r="BQ233"/>
      <c r="BR233"/>
      <c r="BS233"/>
      <c r="BT233"/>
      <c r="BU233"/>
      <c r="BV233"/>
      <c r="BW233"/>
      <c r="BX233"/>
      <c r="BY233"/>
    </row>
    <row r="234" spans="1:77" x14ac:dyDescent="0.3">
      <c r="A234" t="s">
        <v>1986</v>
      </c>
      <c r="B234" t="s">
        <v>1987</v>
      </c>
      <c r="C234" s="16">
        <v>225</v>
      </c>
      <c r="D234" s="16" t="s">
        <v>1194</v>
      </c>
      <c r="E234" s="16" t="s">
        <v>147</v>
      </c>
      <c r="F234" s="16" t="s">
        <v>148</v>
      </c>
      <c r="G234" s="17">
        <f t="shared" si="124"/>
        <v>115.15326</v>
      </c>
      <c r="H234" s="17">
        <v>46.6</v>
      </c>
      <c r="I234" s="18">
        <f t="shared" ref="I234:I243" si="136">IF(J234="","",J234*2.4711)</f>
        <v>1152.5210399999999</v>
      </c>
      <c r="J234" s="18">
        <v>466.4</v>
      </c>
      <c r="K234" s="19">
        <f t="shared" si="110"/>
        <v>10.008583690987123</v>
      </c>
      <c r="L234" s="19">
        <v>14.003414634146344</v>
      </c>
      <c r="M234" s="19">
        <v>4.2682926829268295</v>
      </c>
      <c r="N234" s="20">
        <f t="shared" ref="N234:N254" si="137">IF(O234="", "",O234*3.2808)</f>
        <v>6.5816048780487799</v>
      </c>
      <c r="O234" s="19">
        <v>2.0060975609756095</v>
      </c>
      <c r="P234" s="21" t="str">
        <f t="shared" si="111"/>
        <v>no</v>
      </c>
      <c r="Q234" s="22">
        <v>0.34558225269660281</v>
      </c>
      <c r="R234" s="18" t="s">
        <v>2140</v>
      </c>
      <c r="S234" s="23">
        <v>41.439203159999998</v>
      </c>
      <c r="T234" s="23">
        <v>-73.807954469999999</v>
      </c>
      <c r="U234" s="68" t="s">
        <v>77</v>
      </c>
      <c r="V234" s="18" t="s">
        <v>78</v>
      </c>
      <c r="W234" t="str">
        <f t="shared" si="108"/>
        <v>no</v>
      </c>
      <c r="X234" t="s">
        <v>1195</v>
      </c>
      <c r="Y234" t="str">
        <f t="shared" si="115"/>
        <v>recreation and public bathing</v>
      </c>
      <c r="Z234" t="s">
        <v>79</v>
      </c>
      <c r="AA234" s="24" t="s">
        <v>1196</v>
      </c>
      <c r="AB234" s="24" t="s">
        <v>79</v>
      </c>
      <c r="AC234" s="24">
        <f t="shared" si="135"/>
        <v>0</v>
      </c>
      <c r="AD234" s="24"/>
      <c r="AE234" s="25" t="s">
        <v>1197</v>
      </c>
      <c r="AF234" t="str">
        <f t="shared" si="112"/>
        <v>yes</v>
      </c>
      <c r="AG234" s="26" t="s">
        <v>81</v>
      </c>
      <c r="AH234" s="27" t="s">
        <v>82</v>
      </c>
      <c r="AI234" s="28" t="s">
        <v>83</v>
      </c>
      <c r="AJ234" s="29" t="s">
        <v>82</v>
      </c>
      <c r="AK234" s="30" t="s">
        <v>85</v>
      </c>
      <c r="AL234" s="31" t="s">
        <v>85</v>
      </c>
      <c r="AM234" s="32" t="s">
        <v>82</v>
      </c>
      <c r="AN234" s="39">
        <v>43615</v>
      </c>
      <c r="AO234" s="39">
        <v>43723</v>
      </c>
      <c r="AP234" s="39"/>
      <c r="AQ234">
        <v>14</v>
      </c>
      <c r="AR234">
        <v>10</v>
      </c>
      <c r="AS234">
        <v>8</v>
      </c>
      <c r="AT234">
        <v>1</v>
      </c>
      <c r="AU234">
        <v>7</v>
      </c>
      <c r="AV234">
        <v>0</v>
      </c>
      <c r="AW234">
        <v>0</v>
      </c>
      <c r="AX234">
        <v>2</v>
      </c>
      <c r="AY234" t="s">
        <v>1052</v>
      </c>
      <c r="AZ234" t="s">
        <v>1198</v>
      </c>
      <c r="BA234" t="s">
        <v>102</v>
      </c>
      <c r="BB234" t="s">
        <v>1199</v>
      </c>
      <c r="BC234" t="s">
        <v>103</v>
      </c>
      <c r="BD234" t="s">
        <v>152</v>
      </c>
      <c r="BE234" t="s">
        <v>159</v>
      </c>
      <c r="BF234" t="s">
        <v>160</v>
      </c>
      <c r="BG234" t="str">
        <f t="shared" si="125"/>
        <v>CSLAP</v>
      </c>
      <c r="BH234" s="14" t="s">
        <v>99</v>
      </c>
      <c r="BJ234">
        <f t="shared" si="126"/>
        <v>4</v>
      </c>
      <c r="BK234">
        <f t="shared" si="127"/>
        <v>2</v>
      </c>
      <c r="BL234">
        <f t="shared" si="128"/>
        <v>3</v>
      </c>
      <c r="BM234" t="str">
        <f t="shared" si="129"/>
        <v>CSLAP</v>
      </c>
      <c r="BN234" t="str">
        <f t="shared" si="130"/>
        <v>no</v>
      </c>
      <c r="BO234">
        <v>0.57999999999999996</v>
      </c>
      <c r="BS234" s="41">
        <f>(10+0+60)/3</f>
        <v>23.333333333333332</v>
      </c>
    </row>
    <row r="235" spans="1:77" x14ac:dyDescent="0.3">
      <c r="A235" t="s">
        <v>1673</v>
      </c>
      <c r="B235" t="s">
        <v>1988</v>
      </c>
      <c r="C235" s="16">
        <v>59</v>
      </c>
      <c r="D235" s="16" t="s">
        <v>1200</v>
      </c>
      <c r="E235" s="16" t="s">
        <v>386</v>
      </c>
      <c r="F235" s="16" t="s">
        <v>1201</v>
      </c>
      <c r="G235" s="17">
        <f t="shared" si="124"/>
        <v>115.15326</v>
      </c>
      <c r="H235" s="17">
        <v>46.6</v>
      </c>
      <c r="I235" s="18">
        <f t="shared" si="136"/>
        <v>2239.0637099999999</v>
      </c>
      <c r="J235" s="18">
        <v>906.1</v>
      </c>
      <c r="K235" s="19">
        <f t="shared" si="110"/>
        <v>19.444206008583691</v>
      </c>
      <c r="L235" s="19">
        <v>29.527200000000001</v>
      </c>
      <c r="M235" s="19">
        <v>9</v>
      </c>
      <c r="N235" s="20">
        <f t="shared" si="137"/>
        <v>13.123200000000001</v>
      </c>
      <c r="O235" s="19">
        <v>4</v>
      </c>
      <c r="P235" s="21" t="str">
        <f t="shared" si="111"/>
        <v>no</v>
      </c>
      <c r="Q235" s="22">
        <v>0.41143361659860944</v>
      </c>
      <c r="R235" s="18" t="s">
        <v>2235</v>
      </c>
      <c r="S235" s="23">
        <v>42.118760000000002</v>
      </c>
      <c r="T235" s="23">
        <v>-73.555779999999999</v>
      </c>
      <c r="U235" s="18" t="s">
        <v>95</v>
      </c>
      <c r="V235" s="18" t="s">
        <v>77</v>
      </c>
      <c r="W235" t="str">
        <f t="shared" si="108"/>
        <v>no</v>
      </c>
      <c r="Y235" t="str">
        <f t="shared" si="115"/>
        <v>recreation</v>
      </c>
      <c r="Z235" t="s">
        <v>79</v>
      </c>
      <c r="AA235" s="24" t="s">
        <v>359</v>
      </c>
      <c r="AB235" s="24" t="s">
        <v>79</v>
      </c>
      <c r="AC235" s="24">
        <f t="shared" si="135"/>
        <v>0</v>
      </c>
      <c r="AD235" s="24"/>
      <c r="AF235" t="str">
        <f t="shared" si="112"/>
        <v/>
      </c>
      <c r="AG235" s="26" t="s">
        <v>81</v>
      </c>
      <c r="AH235" s="27" t="s">
        <v>83</v>
      </c>
      <c r="AI235" s="28" t="s">
        <v>141</v>
      </c>
      <c r="AJ235" s="29" t="s">
        <v>83</v>
      </c>
      <c r="AK235" s="30" t="s">
        <v>121</v>
      </c>
      <c r="AL235" s="31" t="s">
        <v>121</v>
      </c>
      <c r="AM235" s="32" t="s">
        <v>82</v>
      </c>
      <c r="AN235" s="33" t="s">
        <v>81</v>
      </c>
      <c r="AO235" s="32" t="s">
        <v>81</v>
      </c>
      <c r="AP235" s="39"/>
      <c r="AQ235">
        <v>0</v>
      </c>
      <c r="AR235">
        <v>0</v>
      </c>
      <c r="AS235">
        <v>0</v>
      </c>
      <c r="AT235">
        <v>1</v>
      </c>
      <c r="AU235">
        <v>0</v>
      </c>
      <c r="AV235">
        <v>0</v>
      </c>
      <c r="AW235">
        <v>0</v>
      </c>
      <c r="AX235">
        <v>0</v>
      </c>
      <c r="AY235" t="s">
        <v>1202</v>
      </c>
      <c r="AZ235" t="s">
        <v>1203</v>
      </c>
      <c r="BA235" t="s">
        <v>102</v>
      </c>
      <c r="BB235" t="s">
        <v>1204</v>
      </c>
      <c r="BC235" t="s">
        <v>132</v>
      </c>
      <c r="BD235" t="s">
        <v>152</v>
      </c>
      <c r="BE235" t="s">
        <v>196</v>
      </c>
      <c r="BF235" t="s">
        <v>133</v>
      </c>
      <c r="BG235" t="str">
        <f t="shared" si="125"/>
        <v>CSLAP</v>
      </c>
      <c r="BH235" s="14" t="s">
        <v>102</v>
      </c>
      <c r="BJ235">
        <f t="shared" si="126"/>
        <v>1</v>
      </c>
      <c r="BK235">
        <f t="shared" si="127"/>
        <v>1</v>
      </c>
      <c r="BL235">
        <f t="shared" si="128"/>
        <v>0</v>
      </c>
      <c r="BM235" t="str">
        <f t="shared" si="129"/>
        <v>CSLAP</v>
      </c>
      <c r="BN235" t="str">
        <f t="shared" si="130"/>
        <v>no</v>
      </c>
      <c r="BO235">
        <v>0.5</v>
      </c>
      <c r="BV235" t="s">
        <v>1202</v>
      </c>
      <c r="BY235" t="s">
        <v>1205</v>
      </c>
    </row>
    <row r="236" spans="1:77" x14ac:dyDescent="0.3">
      <c r="A236" t="s">
        <v>1674</v>
      </c>
      <c r="B236" t="s">
        <v>1989</v>
      </c>
      <c r="C236" s="16">
        <v>152</v>
      </c>
      <c r="D236" s="16" t="s">
        <v>1206</v>
      </c>
      <c r="E236" s="16" t="s">
        <v>549</v>
      </c>
      <c r="F236" s="16" t="s">
        <v>1207</v>
      </c>
      <c r="G236" s="17">
        <f t="shared" si="124"/>
        <v>224.12877</v>
      </c>
      <c r="H236" s="17">
        <v>90.7</v>
      </c>
      <c r="I236" s="18">
        <f t="shared" si="136"/>
        <v>35019.193650000001</v>
      </c>
      <c r="J236" s="18">
        <v>14171.5</v>
      </c>
      <c r="K236" s="19">
        <f t="shared" si="110"/>
        <v>156.24586549062843</v>
      </c>
      <c r="L236" s="19" t="s">
        <v>110</v>
      </c>
      <c r="M236" s="19"/>
      <c r="N236" s="20">
        <f t="shared" si="137"/>
        <v>9.8424000000000014</v>
      </c>
      <c r="O236" s="19">
        <v>3</v>
      </c>
      <c r="P236" s="21" t="str">
        <f t="shared" si="111"/>
        <v>no</v>
      </c>
      <c r="Q236" s="22">
        <v>2.526382639730965E-2</v>
      </c>
      <c r="R236" s="18" t="s">
        <v>1077</v>
      </c>
      <c r="S236" s="23">
        <v>43.768179154000002</v>
      </c>
      <c r="T236" s="23">
        <v>-74.900009140199998</v>
      </c>
      <c r="U236" s="68" t="s">
        <v>96</v>
      </c>
      <c r="V236" s="18" t="s">
        <v>96</v>
      </c>
      <c r="W236" t="str">
        <f t="shared" si="108"/>
        <v>yes</v>
      </c>
      <c r="Y236" t="str">
        <f t="shared" si="115"/>
        <v>potable water and recreation</v>
      </c>
      <c r="Z236" t="s">
        <v>79</v>
      </c>
      <c r="AA236" s="40" t="s">
        <v>79</v>
      </c>
      <c r="AB236" s="40" t="s">
        <v>79</v>
      </c>
      <c r="AC236" s="35">
        <v>3.2920703985912532</v>
      </c>
      <c r="AD236" s="35" t="s">
        <v>548</v>
      </c>
      <c r="AF236" t="str">
        <f t="shared" si="112"/>
        <v/>
      </c>
      <c r="AG236" s="26" t="s">
        <v>82</v>
      </c>
      <c r="AH236" s="26" t="s">
        <v>82</v>
      </c>
      <c r="AI236" s="26" t="s">
        <v>82</v>
      </c>
      <c r="AJ236" s="26" t="s">
        <v>82</v>
      </c>
      <c r="AK236" s="30" t="s">
        <v>85</v>
      </c>
      <c r="AL236" s="31" t="s">
        <v>85</v>
      </c>
      <c r="AM236" s="32" t="s">
        <v>82</v>
      </c>
      <c r="AN236" s="33" t="s">
        <v>81</v>
      </c>
      <c r="AO236" s="32" t="s">
        <v>81</v>
      </c>
      <c r="AP236" s="39"/>
      <c r="AQ236">
        <v>0</v>
      </c>
      <c r="AR236">
        <v>0</v>
      </c>
      <c r="AS236">
        <v>0</v>
      </c>
      <c r="AT236">
        <v>0</v>
      </c>
      <c r="AU236">
        <v>0</v>
      </c>
      <c r="AV236">
        <v>0</v>
      </c>
      <c r="AW236">
        <v>0</v>
      </c>
      <c r="AX236">
        <v>0</v>
      </c>
      <c r="AZ236" t="s">
        <v>1208</v>
      </c>
      <c r="BD236" t="s">
        <v>267</v>
      </c>
      <c r="BE236" t="s">
        <v>216</v>
      </c>
      <c r="BF236" t="s">
        <v>216</v>
      </c>
      <c r="BG236" t="str">
        <f t="shared" si="125"/>
        <v>CSLAP</v>
      </c>
      <c r="BH236" s="14" t="str">
        <f>IF(RIGHT(CM236,4)="2011","yes","no")</f>
        <v>no</v>
      </c>
      <c r="BJ236">
        <f t="shared" si="126"/>
        <v>0</v>
      </c>
      <c r="BK236">
        <f t="shared" si="127"/>
        <v>0</v>
      </c>
      <c r="BL236">
        <f t="shared" si="128"/>
        <v>0</v>
      </c>
      <c r="BM236" t="str">
        <f t="shared" si="129"/>
        <v>CSLAP</v>
      </c>
      <c r="BN236" t="str">
        <f t="shared" si="130"/>
        <v>no</v>
      </c>
      <c r="BO236">
        <v>0.76</v>
      </c>
    </row>
    <row r="237" spans="1:77" x14ac:dyDescent="0.3">
      <c r="A237" t="s">
        <v>1990</v>
      </c>
      <c r="B237" t="s">
        <v>1991</v>
      </c>
      <c r="C237" s="16">
        <v>101</v>
      </c>
      <c r="D237" s="16" t="s">
        <v>1209</v>
      </c>
      <c r="E237" s="16" t="s">
        <v>165</v>
      </c>
      <c r="F237" s="16" t="s">
        <v>816</v>
      </c>
      <c r="G237" s="17">
        <f t="shared" si="124"/>
        <v>89.700929999999985</v>
      </c>
      <c r="H237" s="17">
        <v>36.299999999999997</v>
      </c>
      <c r="I237" s="18">
        <f t="shared" si="136"/>
        <v>476.92229999999995</v>
      </c>
      <c r="J237" s="18">
        <v>193</v>
      </c>
      <c r="K237" s="19">
        <f t="shared" si="110"/>
        <v>5.3168044077134988</v>
      </c>
      <c r="L237" s="19">
        <v>22</v>
      </c>
      <c r="M237" s="19">
        <v>6.7</v>
      </c>
      <c r="N237" s="20">
        <f t="shared" si="137"/>
        <v>14.7636</v>
      </c>
      <c r="O237" s="19">
        <v>4.5</v>
      </c>
      <c r="P237" s="21" t="str">
        <f t="shared" si="111"/>
        <v>no</v>
      </c>
      <c r="Q237" s="22">
        <v>0.69078347107438021</v>
      </c>
      <c r="R237" s="18" t="s">
        <v>963</v>
      </c>
      <c r="S237" s="23">
        <v>41.318785290000001</v>
      </c>
      <c r="T237" s="23">
        <v>-74.209090149999994</v>
      </c>
      <c r="U237" s="18" t="s">
        <v>77</v>
      </c>
      <c r="V237" s="18" t="s">
        <v>96</v>
      </c>
      <c r="W237" t="str">
        <f t="shared" si="108"/>
        <v>no</v>
      </c>
      <c r="Y237" t="str">
        <f t="shared" si="115"/>
        <v>recreation</v>
      </c>
      <c r="Z237" t="s">
        <v>79</v>
      </c>
      <c r="AA237" s="40" t="s">
        <v>169</v>
      </c>
      <c r="AB237" s="40" t="s">
        <v>1210</v>
      </c>
      <c r="AC237" s="24">
        <f>IF(AND(AA237="none reported",AB237="none reported"),"",0)</f>
        <v>0</v>
      </c>
      <c r="AD237" s="24"/>
      <c r="AF237" t="str">
        <f t="shared" si="112"/>
        <v/>
      </c>
      <c r="AG237" s="26" t="s">
        <v>81</v>
      </c>
      <c r="AH237" s="27" t="s">
        <v>156</v>
      </c>
      <c r="AI237" s="28" t="s">
        <v>156</v>
      </c>
      <c r="AJ237" s="29" t="s">
        <v>156</v>
      </c>
      <c r="AK237" s="30" t="s">
        <v>156</v>
      </c>
      <c r="AL237" s="31" t="s">
        <v>156</v>
      </c>
      <c r="AM237" s="32" t="s">
        <v>156</v>
      </c>
      <c r="AN237" s="33" t="s">
        <v>81</v>
      </c>
      <c r="AO237" s="32" t="s">
        <v>81</v>
      </c>
      <c r="AP237" s="39"/>
      <c r="AQ237">
        <v>3</v>
      </c>
      <c r="AR237">
        <v>1</v>
      </c>
      <c r="AS237">
        <v>0</v>
      </c>
      <c r="AT237">
        <v>0</v>
      </c>
      <c r="AU237">
        <v>0</v>
      </c>
      <c r="AV237">
        <v>0</v>
      </c>
      <c r="AW237">
        <v>0</v>
      </c>
      <c r="AX237">
        <v>0</v>
      </c>
      <c r="BD237" t="s">
        <v>152</v>
      </c>
      <c r="BE237" t="s">
        <v>105</v>
      </c>
      <c r="BF237" t="s">
        <v>160</v>
      </c>
      <c r="BG237" t="str">
        <f t="shared" si="125"/>
        <v>CSLAP</v>
      </c>
      <c r="BH237" s="14" t="str">
        <f>IF(RIGHT(CM237,4)="2011","yes","no")</f>
        <v>no</v>
      </c>
      <c r="BJ237">
        <f t="shared" si="126"/>
        <v>0</v>
      </c>
      <c r="BK237">
        <f t="shared" si="127"/>
        <v>0</v>
      </c>
      <c r="BL237">
        <f t="shared" si="128"/>
        <v>0</v>
      </c>
      <c r="BM237" t="str">
        <f t="shared" si="129"/>
        <v>CSLAP</v>
      </c>
      <c r="BN237" t="str">
        <f t="shared" si="130"/>
        <v>no</v>
      </c>
      <c r="BO237">
        <v>1.2252364053796032</v>
      </c>
    </row>
    <row r="238" spans="1:77" x14ac:dyDescent="0.3">
      <c r="A238" t="s">
        <v>1677</v>
      </c>
      <c r="B238" t="s">
        <v>1992</v>
      </c>
      <c r="C238" s="16">
        <v>91</v>
      </c>
      <c r="D238" s="16" t="s">
        <v>1211</v>
      </c>
      <c r="E238" s="16" t="s">
        <v>127</v>
      </c>
      <c r="F238" s="16" t="s">
        <v>1212</v>
      </c>
      <c r="G238" s="17">
        <f t="shared" si="124"/>
        <v>12.84972</v>
      </c>
      <c r="H238" s="17">
        <v>5.2</v>
      </c>
      <c r="I238" s="18">
        <f t="shared" si="136"/>
        <v>141.59402999999998</v>
      </c>
      <c r="J238" s="18">
        <v>57.3</v>
      </c>
      <c r="K238" s="19">
        <f t="shared" si="110"/>
        <v>11.019230769230768</v>
      </c>
      <c r="L238" s="19">
        <v>16.73208</v>
      </c>
      <c r="M238" s="19">
        <v>5.0999999999999996</v>
      </c>
      <c r="N238" s="20">
        <f t="shared" si="137"/>
        <v>7.2177600000000011</v>
      </c>
      <c r="O238" s="19">
        <v>2.2000000000000002</v>
      </c>
      <c r="P238" s="21" t="str">
        <f t="shared" si="111"/>
        <v>no</v>
      </c>
      <c r="Q238" s="22">
        <v>0.39291308900523564</v>
      </c>
      <c r="R238" s="18" t="s">
        <v>2236</v>
      </c>
      <c r="S238" s="23">
        <v>42.644599999999997</v>
      </c>
      <c r="T238" s="23">
        <v>-73.435519999999997</v>
      </c>
      <c r="U238" s="18" t="s">
        <v>96</v>
      </c>
      <c r="V238" s="18" t="s">
        <v>1213</v>
      </c>
      <c r="W238" t="str">
        <f t="shared" si="108"/>
        <v>yes</v>
      </c>
      <c r="Y238" t="str">
        <f t="shared" si="115"/>
        <v>potable water and recreation</v>
      </c>
      <c r="Z238" t="s">
        <v>79</v>
      </c>
      <c r="AA238" s="24" t="s">
        <v>79</v>
      </c>
      <c r="AB238" s="24" t="s">
        <v>79</v>
      </c>
      <c r="AC238" s="35">
        <v>7.0876950221348682</v>
      </c>
      <c r="AD238" s="35" t="s">
        <v>194</v>
      </c>
      <c r="AF238" t="str">
        <f t="shared" si="112"/>
        <v/>
      </c>
      <c r="AG238" s="26" t="s">
        <v>82</v>
      </c>
      <c r="AH238" s="27" t="s">
        <v>82</v>
      </c>
      <c r="AI238" s="28" t="s">
        <v>82</v>
      </c>
      <c r="AJ238" s="29" t="s">
        <v>82</v>
      </c>
      <c r="AK238" s="30" t="s">
        <v>85</v>
      </c>
      <c r="AL238" s="31" t="s">
        <v>85</v>
      </c>
      <c r="AM238" s="32" t="s">
        <v>82</v>
      </c>
      <c r="AN238" s="33" t="s">
        <v>81</v>
      </c>
      <c r="AO238" s="32" t="s">
        <v>81</v>
      </c>
      <c r="AP238" s="39"/>
      <c r="AQ238">
        <v>0</v>
      </c>
      <c r="AR238">
        <v>0</v>
      </c>
      <c r="AS238">
        <v>0</v>
      </c>
      <c r="AT238">
        <v>0</v>
      </c>
      <c r="AU238">
        <v>0</v>
      </c>
      <c r="AV238">
        <v>0</v>
      </c>
      <c r="AW238">
        <v>0</v>
      </c>
      <c r="AX238">
        <v>0</v>
      </c>
      <c r="AZ238" t="s">
        <v>1214</v>
      </c>
      <c r="BA238" t="s">
        <v>102</v>
      </c>
      <c r="BB238" t="s">
        <v>1215</v>
      </c>
      <c r="BC238" t="s">
        <v>132</v>
      </c>
      <c r="BD238" t="s">
        <v>152</v>
      </c>
      <c r="BE238" t="s">
        <v>159</v>
      </c>
      <c r="BF238" t="s">
        <v>133</v>
      </c>
      <c r="BG238" t="str">
        <f t="shared" si="125"/>
        <v>CSLAP</v>
      </c>
      <c r="BH238" s="14" t="s">
        <v>102</v>
      </c>
      <c r="BJ238">
        <f t="shared" si="126"/>
        <v>0</v>
      </c>
      <c r="BK238">
        <f t="shared" si="127"/>
        <v>0</v>
      </c>
      <c r="BL238">
        <f t="shared" si="128"/>
        <v>0</v>
      </c>
      <c r="BM238" t="str">
        <f t="shared" si="129"/>
        <v>CSLAP</v>
      </c>
      <c r="BN238" t="str">
        <f t="shared" si="130"/>
        <v>no</v>
      </c>
      <c r="BO238">
        <v>0.50813008130081305</v>
      </c>
      <c r="BY238" t="s">
        <v>1216</v>
      </c>
    </row>
    <row r="239" spans="1:77" x14ac:dyDescent="0.3">
      <c r="A239" t="s">
        <v>1678</v>
      </c>
      <c r="B239" t="s">
        <v>1993</v>
      </c>
      <c r="C239" s="16">
        <v>244</v>
      </c>
      <c r="D239" s="16" t="s">
        <v>1217</v>
      </c>
      <c r="E239" s="16" t="s">
        <v>428</v>
      </c>
      <c r="F239" t="s">
        <v>1218</v>
      </c>
      <c r="G239" s="17">
        <f t="shared" si="124"/>
        <v>569.85366801619432</v>
      </c>
      <c r="H239" s="36">
        <v>230.60728744939271</v>
      </c>
      <c r="I239" s="18">
        <f t="shared" si="136"/>
        <v>39043.379999999997</v>
      </c>
      <c r="J239" s="37">
        <v>15800</v>
      </c>
      <c r="K239" s="19">
        <f t="shared" si="110"/>
        <v>68.514747191011239</v>
      </c>
      <c r="L239" s="19">
        <v>115.02804878048782</v>
      </c>
      <c r="M239" s="19">
        <f>115/3.28</f>
        <v>35.060975609756099</v>
      </c>
      <c r="N239" s="20">
        <f t="shared" si="137"/>
        <v>50.012195121951223</v>
      </c>
      <c r="O239" s="19">
        <v>15.24390243902439</v>
      </c>
      <c r="P239" s="21" t="str">
        <f t="shared" si="111"/>
        <v>no</v>
      </c>
      <c r="Q239" s="22">
        <v>0.50041364365148511</v>
      </c>
      <c r="R239" s="18" t="s">
        <v>2167</v>
      </c>
      <c r="S239" s="23">
        <v>42.380600000000001</v>
      </c>
      <c r="T239" s="23">
        <v>-78.192703199999997</v>
      </c>
      <c r="U239" s="18" t="s">
        <v>95</v>
      </c>
      <c r="V239" s="18" t="s">
        <v>78</v>
      </c>
      <c r="W239" t="str">
        <f t="shared" si="108"/>
        <v>no</v>
      </c>
      <c r="X239" t="s">
        <v>1219</v>
      </c>
      <c r="Y239" t="str">
        <f t="shared" si="115"/>
        <v>recreation and public bathing</v>
      </c>
      <c r="AA239" s="24" t="s">
        <v>185</v>
      </c>
      <c r="AB239" s="24" t="s">
        <v>431</v>
      </c>
      <c r="AC239" s="24">
        <f>IF(AND(AA239="none reported",AB239="none reported"),"",0)</f>
        <v>0</v>
      </c>
      <c r="AD239" s="24"/>
      <c r="AE239" s="25">
        <v>2019</v>
      </c>
      <c r="AF239" t="str">
        <f t="shared" si="112"/>
        <v>no</v>
      </c>
      <c r="AG239" s="26" t="s">
        <v>81</v>
      </c>
      <c r="AH239" s="27" t="s">
        <v>82</v>
      </c>
      <c r="AI239" s="28" t="s">
        <v>82</v>
      </c>
      <c r="AJ239" s="29" t="s">
        <v>82</v>
      </c>
      <c r="AK239" s="30" t="s">
        <v>100</v>
      </c>
      <c r="AL239" s="31" t="s">
        <v>84</v>
      </c>
      <c r="AM239" s="32" t="s">
        <v>141</v>
      </c>
      <c r="AN239" s="33">
        <v>43656</v>
      </c>
      <c r="AO239" s="33">
        <v>43656</v>
      </c>
      <c r="AP239" s="39"/>
      <c r="AQ239">
        <v>0</v>
      </c>
      <c r="AR239">
        <v>0</v>
      </c>
      <c r="AS239">
        <v>0</v>
      </c>
      <c r="AT239">
        <v>0</v>
      </c>
      <c r="AU239">
        <v>0</v>
      </c>
      <c r="AV239">
        <v>0</v>
      </c>
      <c r="AW239">
        <v>0</v>
      </c>
      <c r="AX239">
        <v>0</v>
      </c>
      <c r="AZ239" t="s">
        <v>1220</v>
      </c>
      <c r="BA239" t="s">
        <v>102</v>
      </c>
      <c r="BB239" t="s">
        <v>2237</v>
      </c>
      <c r="BC239" t="s">
        <v>226</v>
      </c>
      <c r="BD239" t="s">
        <v>310</v>
      </c>
      <c r="BE239" t="s">
        <v>229</v>
      </c>
      <c r="BF239" t="s">
        <v>435</v>
      </c>
      <c r="BG239" t="str">
        <f t="shared" si="125"/>
        <v>CSLAP</v>
      </c>
      <c r="BH239" s="14" t="s">
        <v>102</v>
      </c>
      <c r="BJ239">
        <f t="shared" si="126"/>
        <v>0</v>
      </c>
      <c r="BK239">
        <f t="shared" si="127"/>
        <v>0</v>
      </c>
      <c r="BL239">
        <f t="shared" si="128"/>
        <v>0</v>
      </c>
      <c r="BM239" t="str">
        <f t="shared" si="129"/>
        <v>CSLAP</v>
      </c>
      <c r="BN239" t="str">
        <f t="shared" si="130"/>
        <v>no</v>
      </c>
      <c r="BO239">
        <v>0.44461382113821141</v>
      </c>
    </row>
    <row r="240" spans="1:77" x14ac:dyDescent="0.3">
      <c r="A240" t="s">
        <v>1679</v>
      </c>
      <c r="B240" t="s">
        <v>1994</v>
      </c>
      <c r="C240" s="16">
        <v>27</v>
      </c>
      <c r="D240" s="16" t="s">
        <v>1221</v>
      </c>
      <c r="E240" s="16" t="s">
        <v>74</v>
      </c>
      <c r="F240" s="16" t="s">
        <v>906</v>
      </c>
      <c r="G240" s="17">
        <f t="shared" si="124"/>
        <v>1593.3652799999998</v>
      </c>
      <c r="H240" s="17">
        <v>644.79999999999995</v>
      </c>
      <c r="I240" s="18">
        <f t="shared" si="136"/>
        <v>12775.587</v>
      </c>
      <c r="J240" s="18">
        <v>5170</v>
      </c>
      <c r="K240" s="19">
        <f t="shared" si="110"/>
        <v>8.0179900744416877</v>
      </c>
      <c r="L240" s="19">
        <v>60</v>
      </c>
      <c r="M240" s="19">
        <v>19</v>
      </c>
      <c r="N240" s="20">
        <f t="shared" si="137"/>
        <v>27.886800000000001</v>
      </c>
      <c r="O240" s="19">
        <v>8.5</v>
      </c>
      <c r="P240" s="21" t="str">
        <f t="shared" si="111"/>
        <v>no</v>
      </c>
      <c r="Q240" s="22">
        <v>0.6907834710743801</v>
      </c>
      <c r="R240" s="18" t="s">
        <v>1222</v>
      </c>
      <c r="S240" s="23">
        <v>43.48905912</v>
      </c>
      <c r="T240" s="23">
        <v>-74.42242272</v>
      </c>
      <c r="U240" s="18" t="s">
        <v>379</v>
      </c>
      <c r="V240" s="18"/>
      <c r="W240" t="str">
        <f t="shared" si="108"/>
        <v>yes</v>
      </c>
      <c r="X240" t="s">
        <v>1223</v>
      </c>
      <c r="Y240" t="str">
        <f t="shared" si="115"/>
        <v>potable water, recreation, and public bathing</v>
      </c>
      <c r="Z240" t="s">
        <v>79</v>
      </c>
      <c r="AA240" s="24" t="s">
        <v>79</v>
      </c>
      <c r="AB240" s="24" t="s">
        <v>908</v>
      </c>
      <c r="AC240" s="24">
        <f>IF(AND(AA240="none reported",AB240="none reported"),"",0)</f>
        <v>0</v>
      </c>
      <c r="AD240" s="24"/>
      <c r="AF240" t="str">
        <f t="shared" si="112"/>
        <v/>
      </c>
      <c r="AG240" s="26" t="s">
        <v>257</v>
      </c>
      <c r="AH240" s="27" t="s">
        <v>82</v>
      </c>
      <c r="AI240" s="28" t="s">
        <v>82</v>
      </c>
      <c r="AJ240" s="29" t="s">
        <v>82</v>
      </c>
      <c r="AK240" s="30" t="s">
        <v>85</v>
      </c>
      <c r="AL240" s="31" t="s">
        <v>85</v>
      </c>
      <c r="AM240" s="32" t="s">
        <v>141</v>
      </c>
      <c r="AN240" s="33" t="s">
        <v>81</v>
      </c>
      <c r="AO240" s="32" t="s">
        <v>81</v>
      </c>
      <c r="AP240" s="39"/>
      <c r="AQ240">
        <v>0</v>
      </c>
      <c r="AR240">
        <v>0</v>
      </c>
      <c r="AS240">
        <v>0</v>
      </c>
      <c r="AT240">
        <v>0</v>
      </c>
      <c r="AU240">
        <v>0</v>
      </c>
      <c r="AV240">
        <v>0</v>
      </c>
      <c r="AW240">
        <v>0</v>
      </c>
      <c r="AX240">
        <v>0</v>
      </c>
      <c r="AZ240" t="s">
        <v>1224</v>
      </c>
      <c r="BA240" t="s">
        <v>102</v>
      </c>
      <c r="BB240" t="s">
        <v>1225</v>
      </c>
      <c r="BC240" t="s">
        <v>87</v>
      </c>
      <c r="BD240" t="s">
        <v>88</v>
      </c>
      <c r="BE240" t="s">
        <v>89</v>
      </c>
      <c r="BF240" t="s">
        <v>89</v>
      </c>
      <c r="BG240" t="str">
        <f t="shared" si="125"/>
        <v>CSLAP</v>
      </c>
      <c r="BH240" s="14" t="s">
        <v>99</v>
      </c>
      <c r="BJ240">
        <f t="shared" si="126"/>
        <v>0</v>
      </c>
      <c r="BK240">
        <f t="shared" si="127"/>
        <v>0</v>
      </c>
      <c r="BL240">
        <f t="shared" si="128"/>
        <v>0</v>
      </c>
      <c r="BM240" t="str">
        <f t="shared" si="129"/>
        <v>CSLAP</v>
      </c>
      <c r="BN240" t="str">
        <f t="shared" si="130"/>
        <v>no</v>
      </c>
      <c r="BO240">
        <v>1.5346575280815589</v>
      </c>
    </row>
    <row r="241" spans="1:77" x14ac:dyDescent="0.3">
      <c r="A241" t="s">
        <v>1680</v>
      </c>
      <c r="B241" t="s">
        <v>1995</v>
      </c>
      <c r="C241" s="16">
        <v>114</v>
      </c>
      <c r="D241" s="16" t="s">
        <v>1226</v>
      </c>
      <c r="E241" s="16" t="s">
        <v>147</v>
      </c>
      <c r="F241" s="16" t="s">
        <v>154</v>
      </c>
      <c r="G241" s="17">
        <f t="shared" si="124"/>
        <v>115.15326</v>
      </c>
      <c r="H241" s="17">
        <v>46.6</v>
      </c>
      <c r="I241" s="18">
        <f t="shared" si="136"/>
        <v>4220.6387999999997</v>
      </c>
      <c r="J241" s="18">
        <v>1708</v>
      </c>
      <c r="K241" s="19">
        <f t="shared" si="110"/>
        <v>36.652360515021456</v>
      </c>
      <c r="L241" s="19" t="s">
        <v>110</v>
      </c>
      <c r="M241" s="19"/>
      <c r="N241" s="20">
        <f t="shared" si="137"/>
        <v>7.545840000000001</v>
      </c>
      <c r="O241" s="19">
        <v>2.3000000000000003</v>
      </c>
      <c r="P241" s="21" t="str">
        <f t="shared" si="111"/>
        <v>no</v>
      </c>
      <c r="Q241" s="22">
        <v>0.10819268351772594</v>
      </c>
      <c r="R241" s="18" t="s">
        <v>2238</v>
      </c>
      <c r="S241" s="23">
        <v>41.472785809999998</v>
      </c>
      <c r="T241" s="23">
        <v>-73.781458240000006</v>
      </c>
      <c r="U241" s="18" t="s">
        <v>77</v>
      </c>
      <c r="V241" s="18" t="s">
        <v>776</v>
      </c>
      <c r="W241" t="str">
        <f t="shared" si="108"/>
        <v>no</v>
      </c>
      <c r="Y241" t="str">
        <f t="shared" si="115"/>
        <v>recreation</v>
      </c>
      <c r="Z241" t="s">
        <v>79</v>
      </c>
      <c r="AA241" s="40" t="s">
        <v>79</v>
      </c>
      <c r="AB241" s="40" t="s">
        <v>79</v>
      </c>
      <c r="AC241" s="35">
        <v>1.4124411484381985</v>
      </c>
      <c r="AD241" s="35" t="s">
        <v>155</v>
      </c>
      <c r="AF241" t="str">
        <f t="shared" si="112"/>
        <v/>
      </c>
      <c r="AG241" s="26" t="s">
        <v>81</v>
      </c>
      <c r="AH241" s="27" t="s">
        <v>82</v>
      </c>
      <c r="AI241" s="28" t="s">
        <v>82</v>
      </c>
      <c r="AJ241" s="29" t="s">
        <v>82</v>
      </c>
      <c r="AK241" s="30" t="s">
        <v>85</v>
      </c>
      <c r="AL241" s="31" t="s">
        <v>85</v>
      </c>
      <c r="AM241" s="32" t="s">
        <v>82</v>
      </c>
      <c r="AN241" s="33" t="s">
        <v>81</v>
      </c>
      <c r="AO241" s="32" t="s">
        <v>81</v>
      </c>
      <c r="AP241" s="39"/>
      <c r="AQ241">
        <v>0</v>
      </c>
      <c r="AR241">
        <v>0</v>
      </c>
      <c r="AS241">
        <v>0</v>
      </c>
      <c r="AT241">
        <v>0</v>
      </c>
      <c r="AU241">
        <v>0</v>
      </c>
      <c r="AV241">
        <v>0</v>
      </c>
      <c r="AW241">
        <v>0</v>
      </c>
      <c r="AX241">
        <v>0</v>
      </c>
      <c r="AZ241" t="s">
        <v>1227</v>
      </c>
      <c r="BA241" t="s">
        <v>102</v>
      </c>
      <c r="BB241" t="s">
        <v>2239</v>
      </c>
      <c r="BD241" t="s">
        <v>152</v>
      </c>
      <c r="BF241" t="s">
        <v>160</v>
      </c>
      <c r="BG241" t="str">
        <f t="shared" si="125"/>
        <v>CSLAP</v>
      </c>
      <c r="BH241" s="14" t="str">
        <f>IF(RIGHT(CM241,4)="2011","yes","no")</f>
        <v>no</v>
      </c>
      <c r="BJ241">
        <f t="shared" si="126"/>
        <v>0</v>
      </c>
      <c r="BK241">
        <f t="shared" si="127"/>
        <v>0</v>
      </c>
      <c r="BL241">
        <f t="shared" si="128"/>
        <v>0</v>
      </c>
      <c r="BM241" t="str">
        <f t="shared" si="129"/>
        <v>CSLAP</v>
      </c>
      <c r="BN241" t="str">
        <f t="shared" si="130"/>
        <v>no</v>
      </c>
      <c r="BO241">
        <v>0.57999999999999996</v>
      </c>
    </row>
    <row r="242" spans="1:77" x14ac:dyDescent="0.3">
      <c r="A242" t="s">
        <v>1681</v>
      </c>
      <c r="B242" t="s">
        <v>1996</v>
      </c>
      <c r="C242" s="16">
        <v>104</v>
      </c>
      <c r="D242" s="16" t="s">
        <v>1228</v>
      </c>
      <c r="E242" s="16" t="s">
        <v>136</v>
      </c>
      <c r="F242" s="16" t="s">
        <v>1229</v>
      </c>
      <c r="G242" s="17">
        <f t="shared" si="124"/>
        <v>4032.0938699999997</v>
      </c>
      <c r="H242" s="17">
        <v>1631.7</v>
      </c>
      <c r="I242" s="18">
        <f t="shared" si="136"/>
        <v>156173.51999999999</v>
      </c>
      <c r="J242" s="18">
        <v>63200</v>
      </c>
      <c r="K242" s="19">
        <f t="shared" si="110"/>
        <v>38.73261016118159</v>
      </c>
      <c r="L242" s="19">
        <v>94.815119999999993</v>
      </c>
      <c r="M242" s="19">
        <v>28.9</v>
      </c>
      <c r="N242" s="20">
        <f t="shared" si="137"/>
        <v>25.262160000000002</v>
      </c>
      <c r="O242" s="19">
        <v>7.7</v>
      </c>
      <c r="P242" s="21" t="str">
        <f t="shared" si="111"/>
        <v>no</v>
      </c>
      <c r="Q242" s="22">
        <v>0.39999999999999991</v>
      </c>
      <c r="R242" s="18" t="s">
        <v>2241</v>
      </c>
      <c r="S242" s="23">
        <v>43.016430389999996</v>
      </c>
      <c r="T242" s="23">
        <v>-73.740761280000001</v>
      </c>
      <c r="U242" s="18" t="s">
        <v>96</v>
      </c>
      <c r="V242" s="18" t="s">
        <v>96</v>
      </c>
      <c r="W242" t="str">
        <f t="shared" ref="W242:W305" si="138">IF(OR(U242="A",U242="AA",U242="AAspec",U242="A(T)",U242="AA(T)"),"yes","no")</f>
        <v>yes</v>
      </c>
      <c r="X242" t="s">
        <v>1230</v>
      </c>
      <c r="Y242" t="str">
        <f t="shared" si="115"/>
        <v>potable water, recreation, and public bathing</v>
      </c>
      <c r="Z242" t="s">
        <v>79</v>
      </c>
      <c r="AA242" s="24" t="s">
        <v>169</v>
      </c>
      <c r="AB242" s="24" t="s">
        <v>1231</v>
      </c>
      <c r="AC242" s="24">
        <f>IF(AND(AA242="none reported",AB242="none reported"),"",0)</f>
        <v>0</v>
      </c>
      <c r="AD242" s="24"/>
      <c r="AE242" s="25" t="s">
        <v>1232</v>
      </c>
      <c r="AF242" t="str">
        <f t="shared" si="112"/>
        <v>yes</v>
      </c>
      <c r="AG242" s="26" t="s">
        <v>82</v>
      </c>
      <c r="AH242" s="27" t="s">
        <v>82</v>
      </c>
      <c r="AI242" s="28" t="s">
        <v>83</v>
      </c>
      <c r="AJ242" s="29" t="s">
        <v>82</v>
      </c>
      <c r="AK242" s="30" t="s">
        <v>84</v>
      </c>
      <c r="AL242" s="31" t="s">
        <v>121</v>
      </c>
      <c r="AM242" s="32" t="s">
        <v>82</v>
      </c>
      <c r="AN242" s="39">
        <v>43714</v>
      </c>
      <c r="AO242" s="39">
        <v>43714</v>
      </c>
      <c r="AP242" s="39"/>
      <c r="AQ242">
        <v>9</v>
      </c>
      <c r="AR242">
        <v>3</v>
      </c>
      <c r="AS242">
        <v>4</v>
      </c>
      <c r="AT242">
        <v>1</v>
      </c>
      <c r="AU242">
        <v>2</v>
      </c>
      <c r="AV242">
        <v>0</v>
      </c>
      <c r="AW242">
        <v>2</v>
      </c>
      <c r="AX242">
        <v>0</v>
      </c>
      <c r="AY242" t="s">
        <v>1233</v>
      </c>
      <c r="AZ242" s="84" t="s">
        <v>1234</v>
      </c>
      <c r="BA242" t="s">
        <v>102</v>
      </c>
      <c r="BB242" t="s">
        <v>1235</v>
      </c>
      <c r="BC242" t="s">
        <v>132</v>
      </c>
      <c r="BD242" t="s">
        <v>88</v>
      </c>
      <c r="BE242" t="s">
        <v>89</v>
      </c>
      <c r="BF242" t="s">
        <v>115</v>
      </c>
      <c r="BG242" t="str">
        <f t="shared" si="125"/>
        <v>CSLAP</v>
      </c>
      <c r="BH242" s="14" t="s">
        <v>99</v>
      </c>
      <c r="BJ242">
        <f t="shared" si="126"/>
        <v>4</v>
      </c>
      <c r="BK242">
        <f t="shared" si="127"/>
        <v>2</v>
      </c>
      <c r="BL242">
        <f t="shared" si="128"/>
        <v>3</v>
      </c>
      <c r="BM242" t="str">
        <f t="shared" si="129"/>
        <v>CSLAP</v>
      </c>
      <c r="BN242" t="str">
        <f t="shared" si="130"/>
        <v>yes</v>
      </c>
      <c r="BO242">
        <v>0.4969972310126583</v>
      </c>
      <c r="BV242" t="s">
        <v>1233</v>
      </c>
    </row>
    <row r="243" spans="1:77" x14ac:dyDescent="0.3">
      <c r="A243" t="s">
        <v>1682</v>
      </c>
      <c r="B243" t="s">
        <v>1997</v>
      </c>
      <c r="C243" s="16">
        <v>34</v>
      </c>
      <c r="D243" s="16" t="s">
        <v>1236</v>
      </c>
      <c r="E243" s="16" t="s">
        <v>117</v>
      </c>
      <c r="F243" s="16" t="s">
        <v>1237</v>
      </c>
      <c r="G243" s="17">
        <f t="shared" si="124"/>
        <v>4128.2196599999997</v>
      </c>
      <c r="H243" s="17">
        <v>1670.6</v>
      </c>
      <c r="I243" s="18">
        <f t="shared" si="136"/>
        <v>336069.6</v>
      </c>
      <c r="J243" s="18">
        <v>136000</v>
      </c>
      <c r="K243" s="19">
        <f t="shared" si="110"/>
        <v>81.407877409314025</v>
      </c>
      <c r="L243" s="19">
        <v>144.3552</v>
      </c>
      <c r="M243" s="19">
        <v>44</v>
      </c>
      <c r="N243" s="20">
        <f t="shared" si="137"/>
        <v>55.773600000000002</v>
      </c>
      <c r="O243" s="19">
        <v>17</v>
      </c>
      <c r="P243" s="21" t="str">
        <f t="shared" si="111"/>
        <v>no</v>
      </c>
      <c r="Q243" s="22">
        <v>0.69078347107437998</v>
      </c>
      <c r="R243" s="18" t="s">
        <v>2083</v>
      </c>
      <c r="S243" s="23">
        <v>43.739506149999997</v>
      </c>
      <c r="T243" s="23">
        <v>-73.794637309999999</v>
      </c>
      <c r="U243" s="18" t="s">
        <v>379</v>
      </c>
      <c r="V243" s="18"/>
      <c r="W243" t="str">
        <f t="shared" si="138"/>
        <v>yes</v>
      </c>
      <c r="X243" t="s">
        <v>1238</v>
      </c>
      <c r="Y243" t="str">
        <f t="shared" si="115"/>
        <v>potable water, recreation, and public bathing</v>
      </c>
      <c r="Z243" t="s">
        <v>79</v>
      </c>
      <c r="AA243" s="40" t="s">
        <v>420</v>
      </c>
      <c r="AB243" s="40" t="s">
        <v>390</v>
      </c>
      <c r="AC243" s="24">
        <f>IF(AND(AA243="none reported",AB243="none reported"),"",0)</f>
        <v>0</v>
      </c>
      <c r="AD243" s="24"/>
      <c r="AF243" t="str">
        <f t="shared" si="112"/>
        <v/>
      </c>
      <c r="AG243" s="26" t="s">
        <v>82</v>
      </c>
      <c r="AH243" s="27" t="s">
        <v>82</v>
      </c>
      <c r="AI243" s="28" t="s">
        <v>82</v>
      </c>
      <c r="AJ243" s="29" t="s">
        <v>82</v>
      </c>
      <c r="AK243" s="30" t="s">
        <v>85</v>
      </c>
      <c r="AL243" s="31" t="s">
        <v>85</v>
      </c>
      <c r="AM243" s="32" t="s">
        <v>141</v>
      </c>
      <c r="AN243" s="33" t="s">
        <v>81</v>
      </c>
      <c r="AO243" s="32" t="s">
        <v>81</v>
      </c>
      <c r="AP243" s="39"/>
      <c r="AQ243">
        <v>0</v>
      </c>
      <c r="AR243">
        <v>0</v>
      </c>
      <c r="AS243">
        <v>0</v>
      </c>
      <c r="AT243">
        <v>0</v>
      </c>
      <c r="AU243">
        <v>1</v>
      </c>
      <c r="AV243">
        <v>0</v>
      </c>
      <c r="AW243">
        <v>0</v>
      </c>
      <c r="AX243">
        <v>0</v>
      </c>
      <c r="AZ243" t="s">
        <v>1239</v>
      </c>
      <c r="BA243" t="s">
        <v>102</v>
      </c>
      <c r="BB243" t="s">
        <v>2242</v>
      </c>
      <c r="BC243" t="s">
        <v>87</v>
      </c>
      <c r="BD243" t="s">
        <v>88</v>
      </c>
      <c r="BE243" t="s">
        <v>89</v>
      </c>
      <c r="BF243" t="s">
        <v>89</v>
      </c>
      <c r="BG243" t="str">
        <f t="shared" si="125"/>
        <v>CSLAP</v>
      </c>
      <c r="BH243" s="14" t="s">
        <v>99</v>
      </c>
      <c r="BJ243">
        <f t="shared" si="126"/>
        <v>1</v>
      </c>
      <c r="BK243">
        <f t="shared" si="127"/>
        <v>1</v>
      </c>
      <c r="BL243">
        <f t="shared" si="128"/>
        <v>0</v>
      </c>
      <c r="BM243" t="str">
        <f t="shared" si="129"/>
        <v>CSLAP</v>
      </c>
      <c r="BN243" t="str">
        <f t="shared" si="130"/>
        <v>no</v>
      </c>
      <c r="BO243">
        <v>0.30230167446712802</v>
      </c>
    </row>
    <row r="244" spans="1:77" x14ac:dyDescent="0.3">
      <c r="A244" t="s">
        <v>1682</v>
      </c>
      <c r="B244" t="s">
        <v>1998</v>
      </c>
      <c r="C244" s="46">
        <v>34.1</v>
      </c>
      <c r="D244" s="47" t="s">
        <v>1240</v>
      </c>
      <c r="E244" s="47" t="s">
        <v>254</v>
      </c>
      <c r="F244" s="16" t="s">
        <v>1241</v>
      </c>
      <c r="G244" s="17">
        <f t="shared" si="124"/>
        <v>3714.3</v>
      </c>
      <c r="H244" s="36">
        <v>1503.0957873012021</v>
      </c>
      <c r="I244" s="18">
        <v>201995.78639295642</v>
      </c>
      <c r="J244" s="18">
        <v>81743.26672047122</v>
      </c>
      <c r="K244" s="19">
        <f t="shared" si="110"/>
        <v>54.38327178551986</v>
      </c>
      <c r="L244" s="19">
        <f>3.28*M244</f>
        <v>157.44</v>
      </c>
      <c r="M244" s="19">
        <v>48</v>
      </c>
      <c r="N244" s="20" t="str">
        <f t="shared" si="137"/>
        <v/>
      </c>
      <c r="O244" s="19"/>
      <c r="P244" s="21" t="str">
        <f t="shared" si="111"/>
        <v>no</v>
      </c>
      <c r="Q244" s="22">
        <v>0.69078347107437998</v>
      </c>
      <c r="R244" s="18" t="s">
        <v>2083</v>
      </c>
      <c r="S244" s="23">
        <v>43.760258</v>
      </c>
      <c r="T244" s="23">
        <v>-73.779577000000003</v>
      </c>
      <c r="U244" s="18" t="s">
        <v>379</v>
      </c>
      <c r="V244" s="49"/>
      <c r="W244" t="str">
        <f t="shared" si="138"/>
        <v>yes</v>
      </c>
      <c r="X244" t="s">
        <v>1238</v>
      </c>
      <c r="Y244" t="str">
        <f t="shared" si="115"/>
        <v>potable water, recreation, and public bathing</v>
      </c>
      <c r="Z244" t="s">
        <v>79</v>
      </c>
      <c r="AA244" s="40" t="s">
        <v>209</v>
      </c>
      <c r="AB244" s="40" t="s">
        <v>79</v>
      </c>
      <c r="AC244" s="24">
        <f>IF(AND(AA244="none reported",AB244="none reported"),"",0)</f>
        <v>0</v>
      </c>
      <c r="AD244" s="24"/>
      <c r="AF244" t="str">
        <f t="shared" si="112"/>
        <v/>
      </c>
      <c r="AG244" s="26" t="s">
        <v>82</v>
      </c>
      <c r="AH244" s="27" t="s">
        <v>82</v>
      </c>
      <c r="AI244" s="28" t="s">
        <v>82</v>
      </c>
      <c r="AJ244" s="29" t="s">
        <v>82</v>
      </c>
      <c r="AK244" s="30" t="s">
        <v>85</v>
      </c>
      <c r="AL244" s="31" t="s">
        <v>85</v>
      </c>
      <c r="AM244" s="32" t="s">
        <v>141</v>
      </c>
      <c r="AN244" s="33" t="s">
        <v>81</v>
      </c>
      <c r="AO244" s="32" t="s">
        <v>81</v>
      </c>
      <c r="AP244" s="39"/>
      <c r="AQ244">
        <v>0</v>
      </c>
      <c r="AR244">
        <v>0</v>
      </c>
      <c r="AS244">
        <v>0</v>
      </c>
      <c r="AT244">
        <v>0</v>
      </c>
      <c r="AU244">
        <v>1</v>
      </c>
      <c r="AV244">
        <v>0</v>
      </c>
      <c r="AW244">
        <v>0</v>
      </c>
      <c r="AX244">
        <v>0</v>
      </c>
      <c r="AY244" t="s">
        <v>212</v>
      </c>
      <c r="AZ244" t="s">
        <v>1239</v>
      </c>
      <c r="BA244" t="s">
        <v>102</v>
      </c>
      <c r="BB244" t="s">
        <v>2243</v>
      </c>
      <c r="BC244" t="s">
        <v>87</v>
      </c>
      <c r="BD244" t="s">
        <v>88</v>
      </c>
      <c r="BE244" t="s">
        <v>89</v>
      </c>
      <c r="BF244" t="s">
        <v>89</v>
      </c>
      <c r="BG244" t="str">
        <f t="shared" si="125"/>
        <v>CSLAP</v>
      </c>
      <c r="BH244" s="14" t="s">
        <v>102</v>
      </c>
      <c r="BJ244">
        <f t="shared" si="126"/>
        <v>1</v>
      </c>
      <c r="BK244">
        <f t="shared" si="127"/>
        <v>1</v>
      </c>
      <c r="BL244">
        <f t="shared" si="128"/>
        <v>0</v>
      </c>
      <c r="BM244" t="str">
        <f t="shared" si="129"/>
        <v>CSLAP</v>
      </c>
      <c r="BN244" t="str">
        <f t="shared" si="130"/>
        <v>no</v>
      </c>
      <c r="BO244">
        <v>0.30230167446712802</v>
      </c>
    </row>
    <row r="245" spans="1:77" x14ac:dyDescent="0.3">
      <c r="A245" t="s">
        <v>1683</v>
      </c>
      <c r="B245" t="e">
        <v>#N/A</v>
      </c>
      <c r="C245" s="16">
        <v>92.03</v>
      </c>
      <c r="D245" s="16" t="s">
        <v>1242</v>
      </c>
      <c r="E245" s="16" t="s">
        <v>1243</v>
      </c>
      <c r="F245" s="67" t="s">
        <v>1244</v>
      </c>
      <c r="G245" s="17">
        <f t="shared" si="124"/>
        <v>42647.973570000002</v>
      </c>
      <c r="H245" s="85">
        <v>17258.7</v>
      </c>
      <c r="I245" s="18">
        <f t="shared" ref="I245:I283" si="139">IF(J245="","",J245*2.4711)</f>
        <v>452458.41</v>
      </c>
      <c r="J245" s="48">
        <v>183100</v>
      </c>
      <c r="K245" s="19">
        <f t="shared" si="110"/>
        <v>10.609142055890652</v>
      </c>
      <c r="L245" s="19">
        <f>3.28*M245</f>
        <v>650.75199999999995</v>
      </c>
      <c r="M245" s="19">
        <v>198.4</v>
      </c>
      <c r="N245" s="20">
        <f t="shared" si="137"/>
        <v>290.67887999999999</v>
      </c>
      <c r="O245" s="19">
        <v>88.6</v>
      </c>
      <c r="P245" s="21" t="str">
        <f t="shared" si="111"/>
        <v>no</v>
      </c>
      <c r="Q245" s="22">
        <v>16.7</v>
      </c>
      <c r="R245" s="18" t="s">
        <v>1245</v>
      </c>
      <c r="S245" s="23">
        <v>42.755716999999997</v>
      </c>
      <c r="T245" s="23">
        <v>-76.945724999999996</v>
      </c>
      <c r="U245" s="68" t="s">
        <v>1246</v>
      </c>
      <c r="V245" s="18" t="s">
        <v>78</v>
      </c>
      <c r="W245" t="str">
        <f t="shared" si="138"/>
        <v>no</v>
      </c>
      <c r="X245" t="s">
        <v>1247</v>
      </c>
      <c r="Y245" t="str">
        <f t="shared" si="115"/>
        <v>recreation and public bathing</v>
      </c>
      <c r="Z245" t="s">
        <v>79</v>
      </c>
      <c r="AA245" s="45" t="s">
        <v>169</v>
      </c>
      <c r="AB245" s="40" t="s">
        <v>1248</v>
      </c>
      <c r="AC245" s="24">
        <f>IF(AND(AA245="none reported",AB245="none reported"),"",0)</f>
        <v>0</v>
      </c>
      <c r="AD245" s="24"/>
      <c r="AE245" s="25" t="s">
        <v>318</v>
      </c>
      <c r="AF245" t="str">
        <f t="shared" si="112"/>
        <v>yes</v>
      </c>
      <c r="AG245" s="26" t="s">
        <v>257</v>
      </c>
      <c r="AH245" s="27" t="s">
        <v>257</v>
      </c>
      <c r="AI245" s="28" t="s">
        <v>82</v>
      </c>
      <c r="AJ245" s="29" t="s">
        <v>82</v>
      </c>
      <c r="AK245" s="30" t="s">
        <v>85</v>
      </c>
      <c r="AL245" s="31" t="s">
        <v>85</v>
      </c>
      <c r="AM245" s="32" t="s">
        <v>82</v>
      </c>
      <c r="AN245" s="39">
        <v>43740</v>
      </c>
      <c r="AO245" s="39">
        <v>43740</v>
      </c>
      <c r="AP245" s="39"/>
      <c r="AQ245">
        <v>6</v>
      </c>
      <c r="AR245">
        <v>5</v>
      </c>
      <c r="AS245">
        <v>3</v>
      </c>
      <c r="AT245">
        <v>2</v>
      </c>
      <c r="AU245">
        <v>4</v>
      </c>
      <c r="AV245">
        <v>0</v>
      </c>
      <c r="AW245">
        <v>0</v>
      </c>
      <c r="AX245">
        <v>0</v>
      </c>
      <c r="AZ245" t="s">
        <v>1249</v>
      </c>
      <c r="BA245" t="s">
        <v>102</v>
      </c>
      <c r="BB245" t="s">
        <v>1250</v>
      </c>
      <c r="BD245" t="s">
        <v>320</v>
      </c>
      <c r="BF245" t="s">
        <v>229</v>
      </c>
      <c r="BG245" t="str">
        <f t="shared" si="125"/>
        <v>CSLAP</v>
      </c>
      <c r="BH245" s="14" t="str">
        <f>IF(RIGHT(CM245,4)="2011","yes","no")</f>
        <v>no</v>
      </c>
      <c r="BJ245">
        <f t="shared" si="126"/>
        <v>4</v>
      </c>
      <c r="BK245">
        <f t="shared" si="127"/>
        <v>2</v>
      </c>
      <c r="BL245">
        <f t="shared" si="128"/>
        <v>3</v>
      </c>
      <c r="BM245" t="str">
        <f t="shared" si="129"/>
        <v>CSLAP</v>
      </c>
      <c r="BN245" t="str">
        <f t="shared" si="130"/>
        <v>no</v>
      </c>
      <c r="BO245">
        <v>0.50007712156244588</v>
      </c>
      <c r="BS245" s="41">
        <f>(1+0)/1</f>
        <v>1</v>
      </c>
    </row>
    <row r="246" spans="1:77" x14ac:dyDescent="0.3">
      <c r="A246" t="s">
        <v>1683</v>
      </c>
      <c r="B246" t="e">
        <v>#N/A</v>
      </c>
      <c r="C246" s="16">
        <v>92.01</v>
      </c>
      <c r="D246" s="16" t="s">
        <v>1251</v>
      </c>
      <c r="E246" s="16" t="s">
        <v>1243</v>
      </c>
      <c r="F246" s="67" t="s">
        <v>1244</v>
      </c>
      <c r="G246" s="17">
        <f t="shared" si="124"/>
        <v>42647.973570000002</v>
      </c>
      <c r="H246" s="85">
        <v>17258.7</v>
      </c>
      <c r="I246" s="18">
        <f t="shared" si="139"/>
        <v>452458.41</v>
      </c>
      <c r="J246" s="48">
        <v>183100</v>
      </c>
      <c r="K246" s="19">
        <f t="shared" si="110"/>
        <v>10.609142055890652</v>
      </c>
      <c r="L246" s="19">
        <f t="shared" ref="L246:L254" si="140">3.28*M246</f>
        <v>650.75199999999995</v>
      </c>
      <c r="M246" s="19">
        <v>198.4</v>
      </c>
      <c r="N246" s="20">
        <f t="shared" si="137"/>
        <v>290.67887999999999</v>
      </c>
      <c r="O246" s="19">
        <v>88.6</v>
      </c>
      <c r="P246" s="21" t="str">
        <f t="shared" si="111"/>
        <v>no</v>
      </c>
      <c r="Q246" s="22">
        <v>16.7</v>
      </c>
      <c r="R246" s="18" t="s">
        <v>1252</v>
      </c>
      <c r="S246" s="23">
        <v>42.565035999999999</v>
      </c>
      <c r="T246" s="23">
        <v>-76.897000000000006</v>
      </c>
      <c r="U246" s="68" t="s">
        <v>1246</v>
      </c>
      <c r="V246" s="18" t="s">
        <v>78</v>
      </c>
      <c r="W246" t="str">
        <f t="shared" si="138"/>
        <v>no</v>
      </c>
      <c r="X246" t="s">
        <v>1247</v>
      </c>
      <c r="Y246" t="str">
        <f t="shared" si="115"/>
        <v>recreation and public bathing</v>
      </c>
      <c r="Z246" t="s">
        <v>79</v>
      </c>
      <c r="AA246" s="45" t="s">
        <v>169</v>
      </c>
      <c r="AB246" s="40" t="s">
        <v>1248</v>
      </c>
      <c r="AC246" s="24">
        <f t="shared" ref="AC246:AC254" si="141">IF(AND(AA246="none reported",AB246="none reported"),"",0)</f>
        <v>0</v>
      </c>
      <c r="AD246" s="24"/>
      <c r="AE246" s="25" t="s">
        <v>318</v>
      </c>
      <c r="AF246" t="str">
        <f t="shared" si="112"/>
        <v>yes</v>
      </c>
      <c r="AG246" s="26" t="s">
        <v>257</v>
      </c>
      <c r="AH246" s="27" t="s">
        <v>257</v>
      </c>
      <c r="AI246" s="28" t="s">
        <v>82</v>
      </c>
      <c r="AJ246" s="29" t="s">
        <v>82</v>
      </c>
      <c r="AK246" s="30" t="s">
        <v>85</v>
      </c>
      <c r="AL246" s="31" t="s">
        <v>85</v>
      </c>
      <c r="AM246" s="32" t="s">
        <v>82</v>
      </c>
      <c r="AN246" s="39">
        <v>43740</v>
      </c>
      <c r="AO246" s="39">
        <v>43740</v>
      </c>
      <c r="AP246" s="39"/>
      <c r="AQ246">
        <v>6</v>
      </c>
      <c r="AR246">
        <v>5</v>
      </c>
      <c r="AS246">
        <v>3</v>
      </c>
      <c r="AT246">
        <v>2</v>
      </c>
      <c r="AU246">
        <v>4</v>
      </c>
      <c r="AV246">
        <v>0</v>
      </c>
      <c r="AW246">
        <v>0</v>
      </c>
      <c r="AX246">
        <v>0</v>
      </c>
      <c r="AZ246" t="s">
        <v>1249</v>
      </c>
      <c r="BA246" t="s">
        <v>102</v>
      </c>
      <c r="BB246" t="s">
        <v>1250</v>
      </c>
      <c r="BD246" t="s">
        <v>320</v>
      </c>
      <c r="BF246" t="s">
        <v>229</v>
      </c>
      <c r="BG246" t="str">
        <f t="shared" si="125"/>
        <v>CSLAP</v>
      </c>
      <c r="BH246" s="14"/>
      <c r="BJ246">
        <f t="shared" si="126"/>
        <v>4</v>
      </c>
      <c r="BK246">
        <f t="shared" si="127"/>
        <v>2</v>
      </c>
      <c r="BL246">
        <f t="shared" si="128"/>
        <v>3</v>
      </c>
      <c r="BM246" t="str">
        <f t="shared" si="129"/>
        <v>CSLAP</v>
      </c>
      <c r="BN246" t="str">
        <f t="shared" si="130"/>
        <v>no</v>
      </c>
      <c r="BO246">
        <v>0.50007712156244588</v>
      </c>
      <c r="BS246" s="41">
        <f t="shared" ref="BS246:BS254" si="142">(1+0)/1</f>
        <v>1</v>
      </c>
    </row>
    <row r="247" spans="1:77" x14ac:dyDescent="0.3">
      <c r="A247" t="s">
        <v>1683</v>
      </c>
      <c r="B247" t="e">
        <v>#N/A</v>
      </c>
      <c r="C247" s="16">
        <v>92.02</v>
      </c>
      <c r="D247" s="16" t="s">
        <v>1253</v>
      </c>
      <c r="E247" s="16" t="s">
        <v>1243</v>
      </c>
      <c r="F247" s="67" t="s">
        <v>1244</v>
      </c>
      <c r="G247" s="17">
        <f t="shared" si="124"/>
        <v>42647.973570000002</v>
      </c>
      <c r="H247" s="85">
        <v>17258.7</v>
      </c>
      <c r="I247" s="18">
        <f t="shared" si="139"/>
        <v>452458.41</v>
      </c>
      <c r="J247" s="48">
        <v>183100</v>
      </c>
      <c r="K247" s="19">
        <f t="shared" si="110"/>
        <v>10.609142055890652</v>
      </c>
      <c r="L247" s="19">
        <f t="shared" si="140"/>
        <v>650.75199999999995</v>
      </c>
      <c r="M247" s="19">
        <v>198.4</v>
      </c>
      <c r="N247" s="20">
        <f t="shared" si="137"/>
        <v>290.67887999999999</v>
      </c>
      <c r="O247" s="19">
        <v>88.6</v>
      </c>
      <c r="P247" s="21" t="str">
        <f t="shared" si="111"/>
        <v>no</v>
      </c>
      <c r="Q247" s="22">
        <v>16.7</v>
      </c>
      <c r="R247" s="18" t="s">
        <v>1252</v>
      </c>
      <c r="S247" s="23">
        <v>42.842374</v>
      </c>
      <c r="T247" s="23">
        <v>-76.958824000000007</v>
      </c>
      <c r="U247" s="68" t="s">
        <v>1246</v>
      </c>
      <c r="V247" s="18" t="s">
        <v>78</v>
      </c>
      <c r="W247" t="str">
        <f t="shared" si="138"/>
        <v>no</v>
      </c>
      <c r="X247" t="s">
        <v>1247</v>
      </c>
      <c r="Y247" t="str">
        <f t="shared" si="115"/>
        <v>recreation and public bathing</v>
      </c>
      <c r="Z247" t="s">
        <v>79</v>
      </c>
      <c r="AA247" s="45" t="s">
        <v>169</v>
      </c>
      <c r="AB247" s="40" t="s">
        <v>1248</v>
      </c>
      <c r="AC247" s="24">
        <f t="shared" si="141"/>
        <v>0</v>
      </c>
      <c r="AD247" s="24"/>
      <c r="AE247" s="25" t="s">
        <v>318</v>
      </c>
      <c r="AF247" t="str">
        <f t="shared" si="112"/>
        <v>yes</v>
      </c>
      <c r="AG247" s="26" t="s">
        <v>257</v>
      </c>
      <c r="AH247" s="27" t="s">
        <v>257</v>
      </c>
      <c r="AI247" s="28" t="s">
        <v>82</v>
      </c>
      <c r="AJ247" s="29" t="s">
        <v>82</v>
      </c>
      <c r="AK247" s="30" t="s">
        <v>85</v>
      </c>
      <c r="AL247" s="31" t="s">
        <v>85</v>
      </c>
      <c r="AM247" s="32" t="s">
        <v>82</v>
      </c>
      <c r="AN247" s="39">
        <v>43740</v>
      </c>
      <c r="AO247" s="39">
        <v>43740</v>
      </c>
      <c r="AP247" s="39"/>
      <c r="AQ247">
        <v>6</v>
      </c>
      <c r="AR247">
        <v>5</v>
      </c>
      <c r="AS247">
        <v>3</v>
      </c>
      <c r="AT247">
        <v>2</v>
      </c>
      <c r="AU247">
        <v>4</v>
      </c>
      <c r="AV247">
        <v>0</v>
      </c>
      <c r="AW247">
        <v>0</v>
      </c>
      <c r="AX247">
        <v>0</v>
      </c>
      <c r="AZ247" t="s">
        <v>1249</v>
      </c>
      <c r="BA247" t="s">
        <v>102</v>
      </c>
      <c r="BB247" t="s">
        <v>1250</v>
      </c>
      <c r="BD247" t="s">
        <v>320</v>
      </c>
      <c r="BF247" t="s">
        <v>229</v>
      </c>
      <c r="BG247" t="str">
        <f t="shared" si="125"/>
        <v>CSLAP</v>
      </c>
      <c r="BH247" s="14"/>
      <c r="BJ247">
        <f t="shared" si="126"/>
        <v>4</v>
      </c>
      <c r="BK247">
        <f t="shared" si="127"/>
        <v>2</v>
      </c>
      <c r="BL247">
        <f t="shared" si="128"/>
        <v>3</v>
      </c>
      <c r="BM247" t="str">
        <f t="shared" si="129"/>
        <v>CSLAP</v>
      </c>
      <c r="BN247" t="str">
        <f t="shared" si="130"/>
        <v>no</v>
      </c>
      <c r="BO247">
        <v>0.50007712156244588</v>
      </c>
      <c r="BS247" s="41">
        <f t="shared" si="142"/>
        <v>1</v>
      </c>
    </row>
    <row r="248" spans="1:77" x14ac:dyDescent="0.3">
      <c r="A248" t="s">
        <v>1683</v>
      </c>
      <c r="B248" t="e">
        <v>#N/A</v>
      </c>
      <c r="C248" s="16">
        <v>92.04</v>
      </c>
      <c r="D248" s="16" t="s">
        <v>1254</v>
      </c>
      <c r="E248" s="16" t="s">
        <v>1243</v>
      </c>
      <c r="F248" s="67" t="s">
        <v>1244</v>
      </c>
      <c r="G248" s="17">
        <f t="shared" si="124"/>
        <v>42647.973570000002</v>
      </c>
      <c r="H248" s="85">
        <v>17258.7</v>
      </c>
      <c r="I248" s="18">
        <f t="shared" si="139"/>
        <v>452458.41</v>
      </c>
      <c r="J248" s="48">
        <v>183100</v>
      </c>
      <c r="K248" s="19">
        <f t="shared" si="110"/>
        <v>10.609142055890652</v>
      </c>
      <c r="L248" s="19">
        <f t="shared" si="140"/>
        <v>650.75199999999995</v>
      </c>
      <c r="M248" s="19">
        <v>198.4</v>
      </c>
      <c r="N248" s="20">
        <f t="shared" si="137"/>
        <v>290.67887999999999</v>
      </c>
      <c r="O248" s="19">
        <v>88.6</v>
      </c>
      <c r="P248" s="21" t="str">
        <f t="shared" si="111"/>
        <v>no</v>
      </c>
      <c r="Q248" s="22">
        <v>16.7</v>
      </c>
      <c r="R248" s="18" t="s">
        <v>1252</v>
      </c>
      <c r="S248" s="23">
        <v>42.628283000000003</v>
      </c>
      <c r="T248" s="23">
        <v>-76.897540000000006</v>
      </c>
      <c r="U248" s="68" t="s">
        <v>1246</v>
      </c>
      <c r="V248" s="18" t="s">
        <v>78</v>
      </c>
      <c r="W248" t="str">
        <f t="shared" si="138"/>
        <v>no</v>
      </c>
      <c r="X248" t="s">
        <v>1247</v>
      </c>
      <c r="Y248" t="str">
        <f t="shared" si="115"/>
        <v>recreation and public bathing</v>
      </c>
      <c r="Z248" t="s">
        <v>79</v>
      </c>
      <c r="AA248" s="45" t="s">
        <v>169</v>
      </c>
      <c r="AB248" s="40" t="s">
        <v>1248</v>
      </c>
      <c r="AC248" s="24">
        <f t="shared" si="141"/>
        <v>0</v>
      </c>
      <c r="AD248" s="24"/>
      <c r="AE248" s="25" t="s">
        <v>318</v>
      </c>
      <c r="AF248" t="str">
        <f t="shared" si="112"/>
        <v>yes</v>
      </c>
      <c r="AG248" s="26" t="s">
        <v>257</v>
      </c>
      <c r="AH248" s="27" t="s">
        <v>257</v>
      </c>
      <c r="AI248" s="28" t="s">
        <v>82</v>
      </c>
      <c r="AJ248" s="29" t="s">
        <v>82</v>
      </c>
      <c r="AK248" s="30" t="s">
        <v>85</v>
      </c>
      <c r="AL248" s="31" t="s">
        <v>85</v>
      </c>
      <c r="AM248" s="32" t="s">
        <v>82</v>
      </c>
      <c r="AN248" s="39">
        <v>43740</v>
      </c>
      <c r="AO248" s="39">
        <v>43740</v>
      </c>
      <c r="AP248" s="39"/>
      <c r="AQ248">
        <v>6</v>
      </c>
      <c r="AR248">
        <v>5</v>
      </c>
      <c r="AS248">
        <v>3</v>
      </c>
      <c r="AT248">
        <v>2</v>
      </c>
      <c r="AU248">
        <v>4</v>
      </c>
      <c r="AV248">
        <v>0</v>
      </c>
      <c r="AW248">
        <v>0</v>
      </c>
      <c r="AX248">
        <v>0</v>
      </c>
      <c r="AZ248" t="s">
        <v>1249</v>
      </c>
      <c r="BA248" t="s">
        <v>102</v>
      </c>
      <c r="BB248" t="s">
        <v>1250</v>
      </c>
      <c r="BD248" t="s">
        <v>320</v>
      </c>
      <c r="BF248" t="s">
        <v>229</v>
      </c>
      <c r="BG248" t="str">
        <f t="shared" si="125"/>
        <v>CSLAP</v>
      </c>
      <c r="BH248" s="14"/>
      <c r="BJ248">
        <f t="shared" si="126"/>
        <v>4</v>
      </c>
      <c r="BK248">
        <f t="shared" si="127"/>
        <v>2</v>
      </c>
      <c r="BL248">
        <f t="shared" si="128"/>
        <v>3</v>
      </c>
      <c r="BM248" t="str">
        <f t="shared" si="129"/>
        <v>CSLAP</v>
      </c>
      <c r="BN248" t="str">
        <f t="shared" si="130"/>
        <v>no</v>
      </c>
      <c r="BO248">
        <v>0.50007712156244588</v>
      </c>
      <c r="BS248" s="41">
        <f t="shared" si="142"/>
        <v>1</v>
      </c>
    </row>
    <row r="249" spans="1:77" x14ac:dyDescent="0.3">
      <c r="A249" t="s">
        <v>1683</v>
      </c>
      <c r="B249" t="e">
        <v>#N/A</v>
      </c>
      <c r="C249" s="16">
        <v>92.06</v>
      </c>
      <c r="D249" s="16" t="s">
        <v>1255</v>
      </c>
      <c r="E249" s="16" t="s">
        <v>1243</v>
      </c>
      <c r="F249" s="67" t="s">
        <v>1244</v>
      </c>
      <c r="G249" s="17">
        <f t="shared" si="124"/>
        <v>42647.973570000002</v>
      </c>
      <c r="H249" s="85">
        <v>17258.7</v>
      </c>
      <c r="I249" s="18">
        <f t="shared" si="139"/>
        <v>452458.41</v>
      </c>
      <c r="J249" s="48">
        <v>183100</v>
      </c>
      <c r="K249" s="19">
        <f t="shared" si="110"/>
        <v>10.609142055890652</v>
      </c>
      <c r="L249" s="19">
        <f t="shared" si="140"/>
        <v>650.75199999999995</v>
      </c>
      <c r="M249" s="19">
        <v>198.4</v>
      </c>
      <c r="N249" s="20">
        <f t="shared" si="137"/>
        <v>290.67887999999999</v>
      </c>
      <c r="O249" s="19">
        <v>88.6</v>
      </c>
      <c r="P249" s="21" t="str">
        <f t="shared" si="111"/>
        <v>no</v>
      </c>
      <c r="Q249" s="22">
        <v>16.7</v>
      </c>
      <c r="R249" s="18" t="s">
        <v>1252</v>
      </c>
      <c r="S249" s="23">
        <v>42.392701000000002</v>
      </c>
      <c r="T249" s="23">
        <v>-76.869901999999996</v>
      </c>
      <c r="U249" s="68" t="s">
        <v>1246</v>
      </c>
      <c r="V249" s="18" t="s">
        <v>78</v>
      </c>
      <c r="W249" t="str">
        <f t="shared" si="138"/>
        <v>no</v>
      </c>
      <c r="X249" t="s">
        <v>1247</v>
      </c>
      <c r="Y249" t="str">
        <f t="shared" si="115"/>
        <v>recreation and public bathing</v>
      </c>
      <c r="Z249" t="s">
        <v>79</v>
      </c>
      <c r="AA249" s="45" t="s">
        <v>169</v>
      </c>
      <c r="AB249" s="40" t="s">
        <v>1248</v>
      </c>
      <c r="AC249" s="24">
        <f t="shared" si="141"/>
        <v>0</v>
      </c>
      <c r="AD249" s="24"/>
      <c r="AE249" s="25" t="s">
        <v>318</v>
      </c>
      <c r="AF249" t="str">
        <f t="shared" si="112"/>
        <v>yes</v>
      </c>
      <c r="AG249" s="26" t="s">
        <v>257</v>
      </c>
      <c r="AH249" s="27" t="s">
        <v>257</v>
      </c>
      <c r="AI249" s="28" t="s">
        <v>82</v>
      </c>
      <c r="AJ249" s="29" t="s">
        <v>82</v>
      </c>
      <c r="AK249" s="30" t="s">
        <v>85</v>
      </c>
      <c r="AL249" s="31" t="s">
        <v>85</v>
      </c>
      <c r="AM249" s="32" t="s">
        <v>82</v>
      </c>
      <c r="AN249" s="39">
        <v>43740</v>
      </c>
      <c r="AO249" s="39">
        <v>43740</v>
      </c>
      <c r="AP249" s="39"/>
      <c r="AQ249">
        <v>6</v>
      </c>
      <c r="AR249">
        <v>5</v>
      </c>
      <c r="AS249">
        <v>3</v>
      </c>
      <c r="AT249">
        <v>2</v>
      </c>
      <c r="AU249">
        <v>4</v>
      </c>
      <c r="AV249">
        <v>0</v>
      </c>
      <c r="AW249">
        <v>0</v>
      </c>
      <c r="AX249">
        <v>0</v>
      </c>
      <c r="AZ249" t="s">
        <v>1249</v>
      </c>
      <c r="BA249" t="s">
        <v>102</v>
      </c>
      <c r="BB249" t="s">
        <v>1250</v>
      </c>
      <c r="BD249" t="s">
        <v>320</v>
      </c>
      <c r="BF249" t="s">
        <v>229</v>
      </c>
      <c r="BG249" t="str">
        <f t="shared" si="125"/>
        <v>CSLAP</v>
      </c>
      <c r="BH249" s="14"/>
      <c r="BJ249">
        <f t="shared" si="126"/>
        <v>4</v>
      </c>
      <c r="BK249">
        <f t="shared" si="127"/>
        <v>2</v>
      </c>
      <c r="BL249">
        <f t="shared" si="128"/>
        <v>3</v>
      </c>
      <c r="BM249" t="str">
        <f t="shared" si="129"/>
        <v>CSLAP</v>
      </c>
      <c r="BN249" t="str">
        <f t="shared" si="130"/>
        <v>no</v>
      </c>
      <c r="BO249">
        <v>0.50007712156244588</v>
      </c>
      <c r="BS249" s="41">
        <f t="shared" si="142"/>
        <v>1</v>
      </c>
    </row>
    <row r="250" spans="1:77" x14ac:dyDescent="0.3">
      <c r="A250" t="s">
        <v>1683</v>
      </c>
      <c r="B250" t="e">
        <v>#N/A</v>
      </c>
      <c r="C250" s="16">
        <v>92.07</v>
      </c>
      <c r="D250" s="16" t="s">
        <v>1256</v>
      </c>
      <c r="E250" s="16" t="s">
        <v>1243</v>
      </c>
      <c r="F250" s="67" t="s">
        <v>1244</v>
      </c>
      <c r="G250" s="17">
        <f t="shared" si="124"/>
        <v>42647.973570000002</v>
      </c>
      <c r="H250" s="85">
        <v>17258.7</v>
      </c>
      <c r="I250" s="18">
        <f t="shared" si="139"/>
        <v>452458.41</v>
      </c>
      <c r="J250" s="48">
        <v>183100</v>
      </c>
      <c r="K250" s="19">
        <f t="shared" si="110"/>
        <v>10.609142055890652</v>
      </c>
      <c r="L250" s="19">
        <f t="shared" si="140"/>
        <v>650.75199999999995</v>
      </c>
      <c r="M250" s="19">
        <v>198.4</v>
      </c>
      <c r="N250" s="20">
        <f t="shared" si="137"/>
        <v>290.67887999999999</v>
      </c>
      <c r="O250" s="19">
        <v>88.6</v>
      </c>
      <c r="P250" s="21" t="str">
        <f t="shared" si="111"/>
        <v>no</v>
      </c>
      <c r="Q250" s="22">
        <v>16.7</v>
      </c>
      <c r="R250" s="18" t="s">
        <v>1252</v>
      </c>
      <c r="S250" s="23"/>
      <c r="T250" s="23"/>
      <c r="U250" s="68" t="s">
        <v>1246</v>
      </c>
      <c r="V250" s="18" t="s">
        <v>78</v>
      </c>
      <c r="W250" t="str">
        <f t="shared" si="138"/>
        <v>no</v>
      </c>
      <c r="X250" t="s">
        <v>1247</v>
      </c>
      <c r="Y250" t="str">
        <f t="shared" si="115"/>
        <v>recreation and public bathing</v>
      </c>
      <c r="Z250" t="s">
        <v>79</v>
      </c>
      <c r="AA250" s="45" t="s">
        <v>169</v>
      </c>
      <c r="AB250" s="40" t="s">
        <v>1248</v>
      </c>
      <c r="AC250" s="24">
        <f t="shared" si="141"/>
        <v>0</v>
      </c>
      <c r="AD250" s="24"/>
      <c r="AE250" s="25" t="s">
        <v>318</v>
      </c>
      <c r="AF250" t="str">
        <f t="shared" si="112"/>
        <v>yes</v>
      </c>
      <c r="AG250" s="26" t="s">
        <v>257</v>
      </c>
      <c r="AH250" s="27" t="s">
        <v>257</v>
      </c>
      <c r="AI250" s="28" t="s">
        <v>82</v>
      </c>
      <c r="AJ250" s="29" t="s">
        <v>82</v>
      </c>
      <c r="AK250" s="30" t="s">
        <v>85</v>
      </c>
      <c r="AL250" s="31" t="s">
        <v>85</v>
      </c>
      <c r="AM250" s="32" t="s">
        <v>82</v>
      </c>
      <c r="AN250" s="39">
        <v>43740</v>
      </c>
      <c r="AO250" s="39">
        <v>43740</v>
      </c>
      <c r="AP250" s="39"/>
      <c r="AQ250">
        <v>6</v>
      </c>
      <c r="AR250">
        <v>5</v>
      </c>
      <c r="AS250">
        <v>3</v>
      </c>
      <c r="AT250">
        <v>2</v>
      </c>
      <c r="AU250">
        <v>4</v>
      </c>
      <c r="AV250">
        <v>0</v>
      </c>
      <c r="AW250">
        <v>0</v>
      </c>
      <c r="AX250">
        <v>0</v>
      </c>
      <c r="AZ250" t="s">
        <v>1249</v>
      </c>
      <c r="BA250" t="s">
        <v>102</v>
      </c>
      <c r="BB250" t="s">
        <v>1250</v>
      </c>
      <c r="BD250" t="s">
        <v>320</v>
      </c>
      <c r="BF250" t="s">
        <v>229</v>
      </c>
      <c r="BG250" t="str">
        <f t="shared" si="125"/>
        <v>CSLAP</v>
      </c>
      <c r="BH250" s="14"/>
      <c r="BJ250">
        <f t="shared" si="126"/>
        <v>4</v>
      </c>
      <c r="BK250">
        <f t="shared" si="127"/>
        <v>2</v>
      </c>
      <c r="BL250">
        <f t="shared" si="128"/>
        <v>3</v>
      </c>
      <c r="BM250" t="str">
        <f t="shared" si="129"/>
        <v>CSLAP</v>
      </c>
      <c r="BN250" t="str">
        <f t="shared" si="130"/>
        <v>no</v>
      </c>
      <c r="BO250">
        <v>0.50007712156244588</v>
      </c>
      <c r="BS250" s="41">
        <f t="shared" si="142"/>
        <v>1</v>
      </c>
    </row>
    <row r="251" spans="1:77" x14ac:dyDescent="0.3">
      <c r="A251" t="s">
        <v>1683</v>
      </c>
      <c r="B251" t="s">
        <v>1999</v>
      </c>
      <c r="C251" s="16">
        <v>92.1</v>
      </c>
      <c r="D251" s="16" t="s">
        <v>1257</v>
      </c>
      <c r="E251" s="16" t="s">
        <v>1243</v>
      </c>
      <c r="F251" s="67" t="s">
        <v>1244</v>
      </c>
      <c r="G251" s="17">
        <f t="shared" si="124"/>
        <v>42647.973570000002</v>
      </c>
      <c r="H251" s="85">
        <v>17258.7</v>
      </c>
      <c r="I251" s="18">
        <f t="shared" si="139"/>
        <v>452458.41</v>
      </c>
      <c r="J251" s="48">
        <v>183100</v>
      </c>
      <c r="K251" s="19">
        <f t="shared" si="110"/>
        <v>10.609142055890652</v>
      </c>
      <c r="L251" s="19">
        <f t="shared" si="140"/>
        <v>650.75199999999995</v>
      </c>
      <c r="M251" s="19">
        <v>198.4</v>
      </c>
      <c r="N251" s="20">
        <f t="shared" si="137"/>
        <v>290.67887999999999</v>
      </c>
      <c r="O251" s="19">
        <v>88.6</v>
      </c>
      <c r="P251" s="21" t="str">
        <f t="shared" si="111"/>
        <v>no</v>
      </c>
      <c r="Q251" s="22">
        <v>16.7</v>
      </c>
      <c r="R251" s="18" t="s">
        <v>2109</v>
      </c>
      <c r="S251" s="23">
        <v>42.771132999999999</v>
      </c>
      <c r="T251" s="23">
        <v>-76.95</v>
      </c>
      <c r="U251" s="68" t="s">
        <v>1246</v>
      </c>
      <c r="V251" s="18" t="s">
        <v>78</v>
      </c>
      <c r="W251" t="str">
        <f t="shared" si="138"/>
        <v>no</v>
      </c>
      <c r="X251" t="s">
        <v>1247</v>
      </c>
      <c r="Y251" t="str">
        <f t="shared" si="115"/>
        <v>recreation and public bathing</v>
      </c>
      <c r="Z251" t="s">
        <v>79</v>
      </c>
      <c r="AA251" s="45" t="s">
        <v>169</v>
      </c>
      <c r="AB251" s="40" t="s">
        <v>1248</v>
      </c>
      <c r="AC251" s="24">
        <f t="shared" si="141"/>
        <v>0</v>
      </c>
      <c r="AD251" s="24"/>
      <c r="AE251" s="25" t="s">
        <v>318</v>
      </c>
      <c r="AF251" t="str">
        <f t="shared" si="112"/>
        <v>yes</v>
      </c>
      <c r="AG251" s="26" t="s">
        <v>257</v>
      </c>
      <c r="AH251" s="27" t="s">
        <v>257</v>
      </c>
      <c r="AI251" s="28" t="s">
        <v>82</v>
      </c>
      <c r="AJ251" s="29" t="s">
        <v>82</v>
      </c>
      <c r="AK251" s="30" t="s">
        <v>85</v>
      </c>
      <c r="AL251" s="31" t="s">
        <v>85</v>
      </c>
      <c r="AM251" s="32" t="s">
        <v>82</v>
      </c>
      <c r="AN251" s="39">
        <v>43740</v>
      </c>
      <c r="AO251" s="39">
        <v>43740</v>
      </c>
      <c r="AP251" s="39"/>
      <c r="AQ251">
        <v>6</v>
      </c>
      <c r="AR251">
        <v>5</v>
      </c>
      <c r="AS251">
        <v>3</v>
      </c>
      <c r="AT251">
        <v>2</v>
      </c>
      <c r="AU251">
        <v>4</v>
      </c>
      <c r="AV251">
        <v>0</v>
      </c>
      <c r="AW251">
        <v>0</v>
      </c>
      <c r="AX251">
        <v>0</v>
      </c>
      <c r="AZ251" t="s">
        <v>1249</v>
      </c>
      <c r="BA251" t="s">
        <v>102</v>
      </c>
      <c r="BB251" t="s">
        <v>2245</v>
      </c>
      <c r="BD251" t="s">
        <v>320</v>
      </c>
      <c r="BF251" t="s">
        <v>229</v>
      </c>
      <c r="BG251" t="str">
        <f t="shared" si="125"/>
        <v>CSLAP</v>
      </c>
      <c r="BH251" s="14"/>
      <c r="BJ251">
        <f t="shared" si="126"/>
        <v>4</v>
      </c>
      <c r="BK251">
        <f t="shared" si="127"/>
        <v>2</v>
      </c>
      <c r="BL251">
        <f t="shared" si="128"/>
        <v>3</v>
      </c>
      <c r="BM251" t="str">
        <f t="shared" si="129"/>
        <v>CSLAP</v>
      </c>
      <c r="BN251" t="str">
        <f t="shared" si="130"/>
        <v>no</v>
      </c>
      <c r="BO251">
        <v>0.50007712156244588</v>
      </c>
      <c r="BS251" s="41">
        <f t="shared" si="142"/>
        <v>1</v>
      </c>
    </row>
    <row r="252" spans="1:77" x14ac:dyDescent="0.3">
      <c r="A252" t="s">
        <v>1683</v>
      </c>
      <c r="B252" t="s">
        <v>2000</v>
      </c>
      <c r="C252" s="16">
        <v>92.2</v>
      </c>
      <c r="D252" s="16" t="s">
        <v>1258</v>
      </c>
      <c r="E252" s="16" t="s">
        <v>1243</v>
      </c>
      <c r="F252" s="67" t="s">
        <v>1244</v>
      </c>
      <c r="G252" s="17">
        <f t="shared" si="124"/>
        <v>42647.973570000002</v>
      </c>
      <c r="H252" s="85">
        <v>17258.7</v>
      </c>
      <c r="I252" s="18">
        <f t="shared" si="139"/>
        <v>452458.41</v>
      </c>
      <c r="J252" s="48">
        <v>183100</v>
      </c>
      <c r="K252" s="19">
        <f t="shared" si="110"/>
        <v>10.609142055890652</v>
      </c>
      <c r="L252" s="19">
        <f t="shared" si="140"/>
        <v>650.75199999999995</v>
      </c>
      <c r="M252" s="19">
        <v>198.4</v>
      </c>
      <c r="N252" s="20">
        <f t="shared" si="137"/>
        <v>290.67887999999999</v>
      </c>
      <c r="O252" s="19">
        <v>88.6</v>
      </c>
      <c r="P252" s="21" t="str">
        <f t="shared" si="111"/>
        <v>no</v>
      </c>
      <c r="Q252" s="22">
        <v>16.7</v>
      </c>
      <c r="R252" s="18" t="s">
        <v>2109</v>
      </c>
      <c r="S252" s="23">
        <v>42.585357000000002</v>
      </c>
      <c r="T252" s="23">
        <v>-76.897685999999993</v>
      </c>
      <c r="U252" s="68" t="s">
        <v>1246</v>
      </c>
      <c r="V252" s="18" t="s">
        <v>78</v>
      </c>
      <c r="W252" t="str">
        <f t="shared" si="138"/>
        <v>no</v>
      </c>
      <c r="X252" t="s">
        <v>1247</v>
      </c>
      <c r="Y252" t="str">
        <f t="shared" si="115"/>
        <v>recreation and public bathing</v>
      </c>
      <c r="Z252" t="s">
        <v>79</v>
      </c>
      <c r="AA252" s="45" t="s">
        <v>169</v>
      </c>
      <c r="AB252" s="40" t="s">
        <v>1248</v>
      </c>
      <c r="AC252" s="24">
        <f t="shared" si="141"/>
        <v>0</v>
      </c>
      <c r="AD252" s="24"/>
      <c r="AE252" s="25" t="s">
        <v>318</v>
      </c>
      <c r="AF252" t="str">
        <f t="shared" si="112"/>
        <v>yes</v>
      </c>
      <c r="AG252" s="26" t="s">
        <v>257</v>
      </c>
      <c r="AH252" s="27" t="s">
        <v>257</v>
      </c>
      <c r="AI252" s="28" t="s">
        <v>82</v>
      </c>
      <c r="AJ252" s="29" t="s">
        <v>82</v>
      </c>
      <c r="AK252" s="30" t="s">
        <v>85</v>
      </c>
      <c r="AL252" s="31" t="s">
        <v>85</v>
      </c>
      <c r="AM252" s="32" t="s">
        <v>82</v>
      </c>
      <c r="AN252" s="39">
        <v>43740</v>
      </c>
      <c r="AO252" s="39">
        <v>43740</v>
      </c>
      <c r="AP252" s="39"/>
      <c r="AQ252">
        <v>6</v>
      </c>
      <c r="AR252">
        <v>5</v>
      </c>
      <c r="AS252">
        <v>3</v>
      </c>
      <c r="AT252">
        <v>2</v>
      </c>
      <c r="AU252">
        <v>4</v>
      </c>
      <c r="AV252">
        <v>0</v>
      </c>
      <c r="AW252">
        <v>0</v>
      </c>
      <c r="AX252">
        <v>0</v>
      </c>
      <c r="AZ252" t="s">
        <v>1249</v>
      </c>
      <c r="BA252" t="s">
        <v>102</v>
      </c>
      <c r="BB252" t="s">
        <v>2245</v>
      </c>
      <c r="BD252" t="s">
        <v>320</v>
      </c>
      <c r="BF252" t="s">
        <v>229</v>
      </c>
      <c r="BG252" t="str">
        <f t="shared" si="125"/>
        <v>CSLAP</v>
      </c>
      <c r="BH252" s="14"/>
      <c r="BJ252">
        <f t="shared" si="126"/>
        <v>4</v>
      </c>
      <c r="BK252">
        <f t="shared" si="127"/>
        <v>2</v>
      </c>
      <c r="BL252">
        <f t="shared" si="128"/>
        <v>3</v>
      </c>
      <c r="BM252" t="str">
        <f t="shared" si="129"/>
        <v>CSLAP</v>
      </c>
      <c r="BN252" t="str">
        <f t="shared" si="130"/>
        <v>no</v>
      </c>
      <c r="BO252">
        <v>0.50007712156244588</v>
      </c>
      <c r="BS252" s="41">
        <f t="shared" si="142"/>
        <v>1</v>
      </c>
    </row>
    <row r="253" spans="1:77" x14ac:dyDescent="0.3">
      <c r="A253" t="s">
        <v>1683</v>
      </c>
      <c r="B253" t="s">
        <v>2001</v>
      </c>
      <c r="C253" s="16">
        <v>92.3</v>
      </c>
      <c r="D253" s="16" t="s">
        <v>1259</v>
      </c>
      <c r="E253" s="16" t="s">
        <v>1243</v>
      </c>
      <c r="F253" s="67" t="s">
        <v>1244</v>
      </c>
      <c r="G253" s="17">
        <f t="shared" si="124"/>
        <v>42647.973570000002</v>
      </c>
      <c r="H253" s="85">
        <v>17258.7</v>
      </c>
      <c r="I253" s="18">
        <f t="shared" si="139"/>
        <v>452458.41</v>
      </c>
      <c r="J253" s="48">
        <v>183100</v>
      </c>
      <c r="K253" s="19">
        <f t="shared" si="110"/>
        <v>10.609142055890652</v>
      </c>
      <c r="L253" s="19">
        <f t="shared" si="140"/>
        <v>650.75199999999995</v>
      </c>
      <c r="M253" s="19">
        <v>198.4</v>
      </c>
      <c r="N253" s="20">
        <f t="shared" si="137"/>
        <v>290.67887999999999</v>
      </c>
      <c r="O253" s="19">
        <v>88.6</v>
      </c>
      <c r="P253" s="21" t="str">
        <f t="shared" si="111"/>
        <v>no</v>
      </c>
      <c r="Q253" s="22">
        <v>16.7</v>
      </c>
      <c r="R253" s="18" t="s">
        <v>2088</v>
      </c>
      <c r="S253" s="23">
        <v>42.690489999999997</v>
      </c>
      <c r="T253" s="23">
        <v>-76.921837999999994</v>
      </c>
      <c r="U253" s="68" t="s">
        <v>1246</v>
      </c>
      <c r="V253" s="18" t="s">
        <v>78</v>
      </c>
      <c r="W253" t="str">
        <f t="shared" si="138"/>
        <v>no</v>
      </c>
      <c r="X253" t="s">
        <v>1247</v>
      </c>
      <c r="Y253" t="str">
        <f t="shared" si="115"/>
        <v>recreation and public bathing</v>
      </c>
      <c r="Z253" t="s">
        <v>79</v>
      </c>
      <c r="AA253" s="45" t="s">
        <v>169</v>
      </c>
      <c r="AB253" s="40" t="s">
        <v>1248</v>
      </c>
      <c r="AC253" s="24">
        <f t="shared" si="141"/>
        <v>0</v>
      </c>
      <c r="AD253" s="24"/>
      <c r="AE253" s="25" t="s">
        <v>318</v>
      </c>
      <c r="AF253" t="str">
        <f t="shared" si="112"/>
        <v>yes</v>
      </c>
      <c r="AG253" s="26" t="s">
        <v>257</v>
      </c>
      <c r="AH253" s="27" t="s">
        <v>257</v>
      </c>
      <c r="AI253" s="28" t="s">
        <v>82</v>
      </c>
      <c r="AJ253" s="29" t="s">
        <v>82</v>
      </c>
      <c r="AK253" s="30" t="s">
        <v>85</v>
      </c>
      <c r="AL253" s="31" t="s">
        <v>85</v>
      </c>
      <c r="AM253" s="32" t="s">
        <v>82</v>
      </c>
      <c r="AN253" s="39">
        <v>43740</v>
      </c>
      <c r="AO253" s="39">
        <v>43740</v>
      </c>
      <c r="AP253" s="39"/>
      <c r="AQ253">
        <v>6</v>
      </c>
      <c r="AR253">
        <v>5</v>
      </c>
      <c r="AS253">
        <v>3</v>
      </c>
      <c r="AT253">
        <v>2</v>
      </c>
      <c r="AU253">
        <v>4</v>
      </c>
      <c r="AV253">
        <v>0</v>
      </c>
      <c r="AW253">
        <v>0</v>
      </c>
      <c r="AX253">
        <v>0</v>
      </c>
      <c r="AZ253" t="s">
        <v>1249</v>
      </c>
      <c r="BA253" t="s">
        <v>102</v>
      </c>
      <c r="BB253" t="s">
        <v>2245</v>
      </c>
      <c r="BD253" t="s">
        <v>320</v>
      </c>
      <c r="BF253" t="s">
        <v>229</v>
      </c>
      <c r="BG253" t="str">
        <f t="shared" si="125"/>
        <v>CSLAP</v>
      </c>
      <c r="BH253" s="14"/>
      <c r="BJ253">
        <f t="shared" si="126"/>
        <v>4</v>
      </c>
      <c r="BK253">
        <f t="shared" si="127"/>
        <v>2</v>
      </c>
      <c r="BL253">
        <f t="shared" si="128"/>
        <v>3</v>
      </c>
      <c r="BM253" t="str">
        <f t="shared" si="129"/>
        <v>CSLAP</v>
      </c>
      <c r="BN253" t="str">
        <f t="shared" si="130"/>
        <v>no</v>
      </c>
      <c r="BO253">
        <v>0.50007712156244588</v>
      </c>
      <c r="BS253" s="41">
        <f t="shared" si="142"/>
        <v>1</v>
      </c>
    </row>
    <row r="254" spans="1:77" x14ac:dyDescent="0.3">
      <c r="A254" t="s">
        <v>1683</v>
      </c>
      <c r="B254" t="s">
        <v>2002</v>
      </c>
      <c r="C254" s="16">
        <v>92.4</v>
      </c>
      <c r="D254" s="16" t="s">
        <v>1260</v>
      </c>
      <c r="E254" s="16" t="s">
        <v>1243</v>
      </c>
      <c r="F254" s="67" t="s">
        <v>1244</v>
      </c>
      <c r="G254" s="17">
        <f t="shared" si="124"/>
        <v>42647.973570000002</v>
      </c>
      <c r="H254" s="85">
        <v>17258.7</v>
      </c>
      <c r="I254" s="18">
        <f t="shared" si="139"/>
        <v>452458.41</v>
      </c>
      <c r="J254" s="48">
        <v>183100</v>
      </c>
      <c r="K254" s="19">
        <f t="shared" si="110"/>
        <v>10.609142055890652</v>
      </c>
      <c r="L254" s="19">
        <f t="shared" si="140"/>
        <v>650.75199999999995</v>
      </c>
      <c r="M254" s="19">
        <v>198.4</v>
      </c>
      <c r="N254" s="20">
        <f t="shared" si="137"/>
        <v>290.67887999999999</v>
      </c>
      <c r="O254" s="19">
        <v>88.6</v>
      </c>
      <c r="P254" s="21" t="str">
        <f t="shared" si="111"/>
        <v>no</v>
      </c>
      <c r="Q254" s="22">
        <v>16.7</v>
      </c>
      <c r="R254" s="18" t="s">
        <v>2088</v>
      </c>
      <c r="S254" s="23">
        <v>42.453000000000003</v>
      </c>
      <c r="T254" s="23">
        <v>-76.887</v>
      </c>
      <c r="U254" s="68" t="s">
        <v>1246</v>
      </c>
      <c r="V254" s="18" t="s">
        <v>78</v>
      </c>
      <c r="W254" t="str">
        <f t="shared" si="138"/>
        <v>no</v>
      </c>
      <c r="X254" t="s">
        <v>1247</v>
      </c>
      <c r="Y254" t="str">
        <f t="shared" si="115"/>
        <v>recreation and public bathing</v>
      </c>
      <c r="Z254" t="s">
        <v>79</v>
      </c>
      <c r="AA254" s="45" t="s">
        <v>169</v>
      </c>
      <c r="AB254" s="40" t="s">
        <v>1248</v>
      </c>
      <c r="AC254" s="24">
        <f t="shared" si="141"/>
        <v>0</v>
      </c>
      <c r="AD254" s="24"/>
      <c r="AE254" s="25" t="s">
        <v>318</v>
      </c>
      <c r="AF254" t="str">
        <f t="shared" si="112"/>
        <v>yes</v>
      </c>
      <c r="AG254" s="26" t="s">
        <v>257</v>
      </c>
      <c r="AH254" s="27" t="s">
        <v>257</v>
      </c>
      <c r="AI254" s="28" t="s">
        <v>82</v>
      </c>
      <c r="AJ254" s="29" t="s">
        <v>82</v>
      </c>
      <c r="AK254" s="30" t="s">
        <v>85</v>
      </c>
      <c r="AL254" s="31" t="s">
        <v>85</v>
      </c>
      <c r="AM254" s="32" t="s">
        <v>82</v>
      </c>
      <c r="AN254" s="39">
        <v>43740</v>
      </c>
      <c r="AO254" s="39">
        <v>43740</v>
      </c>
      <c r="AP254" s="39"/>
      <c r="AQ254">
        <v>6</v>
      </c>
      <c r="AR254">
        <v>5</v>
      </c>
      <c r="AS254">
        <v>3</v>
      </c>
      <c r="AT254">
        <v>2</v>
      </c>
      <c r="AU254">
        <v>4</v>
      </c>
      <c r="AV254">
        <v>0</v>
      </c>
      <c r="AW254">
        <v>0</v>
      </c>
      <c r="AX254">
        <v>0</v>
      </c>
      <c r="AZ254" t="s">
        <v>1249</v>
      </c>
      <c r="BA254" t="s">
        <v>102</v>
      </c>
      <c r="BB254" t="s">
        <v>2245</v>
      </c>
      <c r="BD254" t="s">
        <v>320</v>
      </c>
      <c r="BF254" t="s">
        <v>229</v>
      </c>
      <c r="BG254" t="str">
        <f t="shared" si="125"/>
        <v>CSLAP</v>
      </c>
      <c r="BH254" s="14"/>
      <c r="BJ254">
        <f t="shared" si="126"/>
        <v>4</v>
      </c>
      <c r="BK254">
        <f t="shared" si="127"/>
        <v>2</v>
      </c>
      <c r="BL254">
        <f t="shared" si="128"/>
        <v>3</v>
      </c>
      <c r="BM254" t="str">
        <f t="shared" si="129"/>
        <v>CSLAP</v>
      </c>
      <c r="BN254" t="str">
        <f t="shared" si="130"/>
        <v>no</v>
      </c>
      <c r="BO254">
        <v>0.50007712156244588</v>
      </c>
      <c r="BS254" s="41">
        <f t="shared" si="142"/>
        <v>1</v>
      </c>
    </row>
    <row r="255" spans="1:77" x14ac:dyDescent="0.3">
      <c r="A255" t="s">
        <v>1684</v>
      </c>
      <c r="B255" t="s">
        <v>2003</v>
      </c>
      <c r="C255" s="16">
        <v>138</v>
      </c>
      <c r="D255" s="16" t="s">
        <v>1261</v>
      </c>
      <c r="E255" s="16" t="s">
        <v>593</v>
      </c>
      <c r="F255" s="16" t="s">
        <v>1262</v>
      </c>
      <c r="G255" s="17">
        <f t="shared" si="124"/>
        <v>25.699439999999999</v>
      </c>
      <c r="H255" s="17">
        <v>10.4</v>
      </c>
      <c r="I255" s="18">
        <f t="shared" si="139"/>
        <v>367.45256999999992</v>
      </c>
      <c r="J255" s="18">
        <v>148.69999999999999</v>
      </c>
      <c r="K255" s="19">
        <f t="shared" si="110"/>
        <v>14.298076923076922</v>
      </c>
      <c r="L255" s="19">
        <v>29.527200000000001</v>
      </c>
      <c r="M255" s="19">
        <v>9</v>
      </c>
      <c r="N255" s="20">
        <f>IF(O255="", "",O255*3.2808)</f>
        <v>13.877783999999998</v>
      </c>
      <c r="O255" s="19">
        <v>4.2299999999999995</v>
      </c>
      <c r="P255" s="21" t="str">
        <f t="shared" si="111"/>
        <v>no</v>
      </c>
      <c r="Q255" s="22">
        <v>0.58222095494283788</v>
      </c>
      <c r="R255" s="18" t="s">
        <v>2246</v>
      </c>
      <c r="S255" s="23">
        <v>41.959468139999998</v>
      </c>
      <c r="T255" s="23">
        <v>-73.838531950000004</v>
      </c>
      <c r="U255" s="68" t="s">
        <v>77</v>
      </c>
      <c r="V255" s="18"/>
      <c r="W255" t="str">
        <f t="shared" si="138"/>
        <v>no</v>
      </c>
      <c r="X255" t="s">
        <v>1263</v>
      </c>
      <c r="Y255" t="str">
        <f t="shared" si="115"/>
        <v>recreation and public bathing</v>
      </c>
      <c r="Z255" t="s">
        <v>79</v>
      </c>
      <c r="AA255" s="24" t="s">
        <v>556</v>
      </c>
      <c r="AB255" s="24" t="s">
        <v>79</v>
      </c>
      <c r="AC255" s="24">
        <f>IF(AND(AA255="none reported",AB255="none reported"),"",0)</f>
        <v>0</v>
      </c>
      <c r="AD255" s="24"/>
      <c r="AE255" s="25">
        <v>2015</v>
      </c>
      <c r="AF255" t="str">
        <f t="shared" si="112"/>
        <v>no</v>
      </c>
      <c r="AG255" s="26" t="s">
        <v>81</v>
      </c>
      <c r="AH255" s="27" t="s">
        <v>82</v>
      </c>
      <c r="AI255" s="28" t="s">
        <v>83</v>
      </c>
      <c r="AJ255" s="29" t="s">
        <v>83</v>
      </c>
      <c r="AK255" s="30" t="s">
        <v>84</v>
      </c>
      <c r="AL255" s="31" t="s">
        <v>121</v>
      </c>
      <c r="AM255" s="32" t="s">
        <v>82</v>
      </c>
      <c r="AN255" s="33" t="s">
        <v>81</v>
      </c>
      <c r="AO255" s="32" t="s">
        <v>81</v>
      </c>
      <c r="AP255" s="39"/>
      <c r="AQ255">
        <v>0</v>
      </c>
      <c r="AR255">
        <v>0</v>
      </c>
      <c r="AS255">
        <v>0</v>
      </c>
      <c r="AT255">
        <v>0</v>
      </c>
      <c r="AU255">
        <v>3</v>
      </c>
      <c r="AV255">
        <v>0</v>
      </c>
      <c r="AW255">
        <v>0</v>
      </c>
      <c r="AX255">
        <v>0</v>
      </c>
      <c r="AY255" t="s">
        <v>1264</v>
      </c>
      <c r="AZ255" t="s">
        <v>1265</v>
      </c>
      <c r="BA255" t="s">
        <v>102</v>
      </c>
      <c r="BB255" t="s">
        <v>1266</v>
      </c>
      <c r="BC255" t="s">
        <v>103</v>
      </c>
      <c r="BD255" t="s">
        <v>152</v>
      </c>
      <c r="BE255" t="s">
        <v>159</v>
      </c>
      <c r="BF255" t="s">
        <v>133</v>
      </c>
      <c r="BG255" t="str">
        <f t="shared" si="125"/>
        <v>CSLAP</v>
      </c>
      <c r="BH255" s="14" t="s">
        <v>102</v>
      </c>
      <c r="BJ255">
        <f t="shared" si="126"/>
        <v>1</v>
      </c>
      <c r="BK255">
        <f t="shared" si="127"/>
        <v>1</v>
      </c>
      <c r="BL255">
        <f t="shared" si="128"/>
        <v>0</v>
      </c>
      <c r="BM255" t="str">
        <f t="shared" si="129"/>
        <v>CSLAP</v>
      </c>
      <c r="BN255" t="str">
        <f t="shared" si="130"/>
        <v>no</v>
      </c>
      <c r="BO255">
        <v>0.50813008130081305</v>
      </c>
    </row>
    <row r="256" spans="1:77" s="83" customFormat="1" x14ac:dyDescent="0.3">
      <c r="A256" t="s">
        <v>1685</v>
      </c>
      <c r="B256" t="s">
        <v>2004</v>
      </c>
      <c r="C256" s="16">
        <v>260</v>
      </c>
      <c r="D256" s="16" t="s">
        <v>1267</v>
      </c>
      <c r="E256" s="16" t="s">
        <v>147</v>
      </c>
      <c r="F256" s="16" t="s">
        <v>154</v>
      </c>
      <c r="G256" s="17">
        <v>46.8</v>
      </c>
      <c r="H256" s="17">
        <v>18.899999999999999</v>
      </c>
      <c r="I256" s="18">
        <v>3737.6</v>
      </c>
      <c r="J256" s="18">
        <v>1512.6</v>
      </c>
      <c r="K256" s="19">
        <f t="shared" si="110"/>
        <v>80.031746031746039</v>
      </c>
      <c r="L256" s="19">
        <v>11.8</v>
      </c>
      <c r="M256" s="19">
        <v>3.9</v>
      </c>
      <c r="N256" s="20">
        <v>5.9</v>
      </c>
      <c r="O256" s="19">
        <v>1.8</v>
      </c>
      <c r="P256" s="21" t="s">
        <v>99</v>
      </c>
      <c r="Q256" s="22">
        <v>3.1196872851381723E-2</v>
      </c>
      <c r="R256" s="18" t="s">
        <v>2233</v>
      </c>
      <c r="S256" s="23">
        <v>41.4860402897</v>
      </c>
      <c r="T256" s="23">
        <v>-73.748919815899995</v>
      </c>
      <c r="U256" s="18" t="s">
        <v>78</v>
      </c>
      <c r="V256" s="18" t="s">
        <v>96</v>
      </c>
      <c r="W256" t="str">
        <f t="shared" si="138"/>
        <v>no</v>
      </c>
      <c r="X256"/>
      <c r="Y256" t="s">
        <v>451</v>
      </c>
      <c r="Z256" t="s">
        <v>79</v>
      </c>
      <c r="AA256" s="40" t="s">
        <v>209</v>
      </c>
      <c r="AB256" s="24" t="s">
        <v>1268</v>
      </c>
      <c r="AC256" s="24">
        <v>0</v>
      </c>
      <c r="AD256" s="24"/>
      <c r="AE256" s="25"/>
      <c r="AF256"/>
      <c r="AG256" s="26" t="s">
        <v>81</v>
      </c>
      <c r="AH256" s="27" t="s">
        <v>156</v>
      </c>
      <c r="AI256" s="28" t="s">
        <v>156</v>
      </c>
      <c r="AJ256" s="29" t="s">
        <v>156</v>
      </c>
      <c r="AK256" s="30" t="s">
        <v>156</v>
      </c>
      <c r="AL256" s="31" t="s">
        <v>156</v>
      </c>
      <c r="AM256" s="32" t="s">
        <v>156</v>
      </c>
      <c r="AN256" s="33" t="s">
        <v>81</v>
      </c>
      <c r="AO256" t="s">
        <v>81</v>
      </c>
      <c r="AP256" s="39"/>
      <c r="AQ256">
        <v>0</v>
      </c>
      <c r="AR256">
        <v>0</v>
      </c>
      <c r="AS256">
        <v>0</v>
      </c>
      <c r="AT256">
        <v>0</v>
      </c>
      <c r="AU256">
        <v>0</v>
      </c>
      <c r="AV256">
        <v>0</v>
      </c>
      <c r="AW256">
        <v>0</v>
      </c>
      <c r="AX256">
        <v>0</v>
      </c>
      <c r="AY256" t="s">
        <v>1269</v>
      </c>
      <c r="AZ256" t="s">
        <v>1270</v>
      </c>
      <c r="BA256" t="s">
        <v>102</v>
      </c>
      <c r="BB256" t="s">
        <v>2247</v>
      </c>
      <c r="BC256" t="s">
        <v>103</v>
      </c>
      <c r="BD256" t="s">
        <v>152</v>
      </c>
      <c r="BE256" t="s">
        <v>159</v>
      </c>
      <c r="BF256" t="s">
        <v>160</v>
      </c>
      <c r="BG256" t="str">
        <f t="shared" si="125"/>
        <v>CSLAP</v>
      </c>
      <c r="BH256" s="14" t="s">
        <v>102</v>
      </c>
      <c r="BI256"/>
      <c r="BJ256">
        <f t="shared" si="126"/>
        <v>0</v>
      </c>
      <c r="BK256">
        <f t="shared" si="127"/>
        <v>0</v>
      </c>
      <c r="BL256">
        <f t="shared" si="128"/>
        <v>0</v>
      </c>
      <c r="BM256" t="str">
        <f t="shared" si="129"/>
        <v>CSLAP</v>
      </c>
      <c r="BN256" t="str">
        <f t="shared" si="130"/>
        <v>no</v>
      </c>
      <c r="BO256">
        <v>0.60960121920243848</v>
      </c>
      <c r="BP256"/>
      <c r="BQ256"/>
      <c r="BR256"/>
      <c r="BS256"/>
      <c r="BT256"/>
      <c r="BU256"/>
      <c r="BV256"/>
      <c r="BW256"/>
      <c r="BX256"/>
      <c r="BY256"/>
    </row>
    <row r="257" spans="1:77" x14ac:dyDescent="0.3">
      <c r="A257" t="s">
        <v>1686</v>
      </c>
      <c r="B257" t="s">
        <v>2005</v>
      </c>
      <c r="C257" s="16">
        <v>214</v>
      </c>
      <c r="D257" s="16" t="s">
        <v>1271</v>
      </c>
      <c r="E257" s="16" t="s">
        <v>183</v>
      </c>
      <c r="F257" s="16" t="s">
        <v>856</v>
      </c>
      <c r="G257" s="17">
        <f t="shared" si="124"/>
        <v>6.4248599999999998</v>
      </c>
      <c r="H257" s="17">
        <v>2.6</v>
      </c>
      <c r="I257" s="18">
        <f t="shared" si="139"/>
        <v>148.26599999999999</v>
      </c>
      <c r="J257" s="18">
        <v>60</v>
      </c>
      <c r="K257" s="19">
        <f t="shared" si="110"/>
        <v>23.076923076923077</v>
      </c>
      <c r="L257" s="19">
        <v>8.8581600000000016</v>
      </c>
      <c r="M257" s="19">
        <v>2.7</v>
      </c>
      <c r="N257" s="20">
        <f>IF(O257="", "",O257*3.2808)</f>
        <v>4.1633351999999997</v>
      </c>
      <c r="O257" s="19">
        <v>1.2689999999999999</v>
      </c>
      <c r="P257" s="21" t="str">
        <f t="shared" si="111"/>
        <v>no</v>
      </c>
      <c r="Q257" s="22">
        <v>9.0147540983606556E-2</v>
      </c>
      <c r="R257" s="18" t="s">
        <v>1272</v>
      </c>
      <c r="S257" s="23">
        <v>41.208098540000002</v>
      </c>
      <c r="T257" s="23">
        <v>-73.819121730000006</v>
      </c>
      <c r="U257" s="18" t="s">
        <v>77</v>
      </c>
      <c r="V257" s="18"/>
      <c r="W257" t="str">
        <f t="shared" si="138"/>
        <v>no</v>
      </c>
      <c r="Y257" t="str">
        <f t="shared" si="115"/>
        <v>recreation</v>
      </c>
      <c r="Z257" t="s">
        <v>79</v>
      </c>
      <c r="AA257" s="24" t="s">
        <v>79</v>
      </c>
      <c r="AB257" s="24" t="s">
        <v>79</v>
      </c>
      <c r="AC257" s="35">
        <v>0.68148697168884842</v>
      </c>
      <c r="AD257" s="35" t="s">
        <v>1273</v>
      </c>
      <c r="AF257" t="str">
        <f t="shared" si="112"/>
        <v/>
      </c>
      <c r="AG257" s="26" t="s">
        <v>81</v>
      </c>
      <c r="AH257" s="27" t="s">
        <v>156</v>
      </c>
      <c r="AI257" s="28" t="s">
        <v>156</v>
      </c>
      <c r="AJ257" s="29" t="s">
        <v>156</v>
      </c>
      <c r="AK257" s="30" t="s">
        <v>156</v>
      </c>
      <c r="AL257" s="31" t="s">
        <v>156</v>
      </c>
      <c r="AM257" s="32" t="s">
        <v>156</v>
      </c>
      <c r="AN257" s="33" t="s">
        <v>81</v>
      </c>
      <c r="AO257" s="32" t="s">
        <v>81</v>
      </c>
      <c r="AP257" s="39"/>
      <c r="AQ257">
        <v>0</v>
      </c>
      <c r="AR257">
        <v>0</v>
      </c>
      <c r="AS257">
        <v>0</v>
      </c>
      <c r="AT257">
        <v>0</v>
      </c>
      <c r="AU257">
        <v>0</v>
      </c>
      <c r="AV257">
        <v>0</v>
      </c>
      <c r="AW257">
        <v>0</v>
      </c>
      <c r="AX257">
        <v>0</v>
      </c>
      <c r="BD257" t="s">
        <v>152</v>
      </c>
      <c r="BF257" t="s">
        <v>160</v>
      </c>
      <c r="BG257" t="str">
        <f t="shared" si="125"/>
        <v>CSLAP</v>
      </c>
      <c r="BH257" s="14" t="str">
        <f>IF(RIGHT(CM257,4)="2011","yes","no")</f>
        <v>no</v>
      </c>
      <c r="BJ257">
        <f t="shared" si="126"/>
        <v>0</v>
      </c>
      <c r="BK257">
        <f t="shared" si="127"/>
        <v>0</v>
      </c>
      <c r="BL257">
        <f t="shared" si="128"/>
        <v>0</v>
      </c>
      <c r="BM257" t="str">
        <f t="shared" si="129"/>
        <v>CSLAP</v>
      </c>
      <c r="BN257" t="str">
        <f t="shared" si="130"/>
        <v>no</v>
      </c>
      <c r="BO257">
        <v>0.61</v>
      </c>
    </row>
    <row r="258" spans="1:77" x14ac:dyDescent="0.3">
      <c r="A258" t="e">
        <v>#N/A</v>
      </c>
      <c r="B258" t="e">
        <v>#N/A</v>
      </c>
      <c r="C258" s="16">
        <v>1002</v>
      </c>
      <c r="D258" s="16" t="s">
        <v>1274</v>
      </c>
      <c r="E258" s="16" t="s">
        <v>127</v>
      </c>
      <c r="F258" s="16" t="s">
        <v>128</v>
      </c>
      <c r="G258" s="17">
        <f t="shared" si="124"/>
        <v>12.84972</v>
      </c>
      <c r="H258" s="17">
        <v>5.2</v>
      </c>
      <c r="I258" s="18">
        <f t="shared" si="139"/>
        <v>345.95399999999995</v>
      </c>
      <c r="J258" s="18">
        <v>140</v>
      </c>
      <c r="K258" s="19">
        <f t="shared" ref="K258:K314" si="143">J258/H258</f>
        <v>26.923076923076923</v>
      </c>
      <c r="L258" s="19">
        <v>60</v>
      </c>
      <c r="M258" s="19">
        <v>18.2</v>
      </c>
      <c r="N258" s="20">
        <v>28</v>
      </c>
      <c r="O258" s="19">
        <v>8.4</v>
      </c>
      <c r="P258" s="21" t="str">
        <f t="shared" ref="P258:P310" si="144">IF(O258=(M258*0.46),"yes","no")</f>
        <v>no</v>
      </c>
      <c r="Q258" s="22">
        <v>0.40857142857142859</v>
      </c>
      <c r="R258" s="18" t="s">
        <v>997</v>
      </c>
      <c r="S258" s="23">
        <v>42.117717949999999</v>
      </c>
      <c r="T258" s="23">
        <v>-73.546123449999996</v>
      </c>
      <c r="U258" s="18" t="s">
        <v>458</v>
      </c>
      <c r="V258" s="18" t="s">
        <v>96</v>
      </c>
      <c r="W258" t="str">
        <f t="shared" si="138"/>
        <v>yes</v>
      </c>
      <c r="Y258" t="str">
        <f t="shared" si="115"/>
        <v>potable water and recreation</v>
      </c>
      <c r="Z258" t="s">
        <v>79</v>
      </c>
      <c r="AA258" s="24" t="s">
        <v>120</v>
      </c>
      <c r="AB258" s="24" t="s">
        <v>79</v>
      </c>
      <c r="AC258" s="24">
        <f>IF(AND(AA258="none reported",AB258="none reported"),"",0)</f>
        <v>0</v>
      </c>
      <c r="AD258" s="24"/>
      <c r="AF258" t="str">
        <f t="shared" ref="AF258:AF310" si="145">IF(AE258="","",IF(IFERROR(SEARCH(",",AE258,1)&gt;1,0),"yes","no"))</f>
        <v/>
      </c>
      <c r="AG258" s="26" t="s">
        <v>81</v>
      </c>
      <c r="AH258" s="16" t="s">
        <v>156</v>
      </c>
      <c r="AI258" s="16" t="s">
        <v>156</v>
      </c>
      <c r="AJ258" s="16" t="s">
        <v>156</v>
      </c>
      <c r="AK258" s="16" t="s">
        <v>156</v>
      </c>
      <c r="AL258" s="16" t="s">
        <v>156</v>
      </c>
      <c r="AM258" s="16" t="s">
        <v>156</v>
      </c>
      <c r="AN258" s="33" t="s">
        <v>81</v>
      </c>
      <c r="AO258" s="32" t="s">
        <v>81</v>
      </c>
      <c r="AP258" s="39"/>
      <c r="AQ258">
        <v>0</v>
      </c>
      <c r="AR258">
        <v>0</v>
      </c>
      <c r="AS258">
        <v>0</v>
      </c>
      <c r="AT258">
        <v>0</v>
      </c>
      <c r="AU258">
        <v>0</v>
      </c>
      <c r="AV258">
        <v>0</v>
      </c>
      <c r="AW258">
        <v>0</v>
      </c>
      <c r="AX258">
        <v>0</v>
      </c>
      <c r="BD258" t="s">
        <v>152</v>
      </c>
      <c r="BF258" t="s">
        <v>106</v>
      </c>
      <c r="BG258" t="str">
        <f t="shared" si="125"/>
        <v>CSLAP</v>
      </c>
      <c r="BH258" s="14" t="str">
        <f>IF(RIGHT(CM258,4)="2011","yes","no")</f>
        <v>no</v>
      </c>
      <c r="BJ258">
        <f t="shared" si="126"/>
        <v>0</v>
      </c>
      <c r="BK258">
        <f t="shared" si="127"/>
        <v>0</v>
      </c>
      <c r="BL258">
        <f t="shared" si="128"/>
        <v>0</v>
      </c>
      <c r="BM258" t="str">
        <f t="shared" si="129"/>
        <v>CSLAP</v>
      </c>
      <c r="BN258" t="str">
        <f t="shared" si="130"/>
        <v>no</v>
      </c>
      <c r="BO258">
        <v>0.5</v>
      </c>
    </row>
    <row r="259" spans="1:77" x14ac:dyDescent="0.3">
      <c r="A259" t="s">
        <v>1688</v>
      </c>
      <c r="B259" t="s">
        <v>2006</v>
      </c>
      <c r="C259" s="16">
        <v>187</v>
      </c>
      <c r="D259" s="16" t="s">
        <v>1275</v>
      </c>
      <c r="E259" s="16" t="s">
        <v>165</v>
      </c>
      <c r="F259" s="16" t="s">
        <v>808</v>
      </c>
      <c r="G259" s="17">
        <f t="shared" si="124"/>
        <v>102.30353999999998</v>
      </c>
      <c r="H259" s="17">
        <v>41.4</v>
      </c>
      <c r="I259" s="18">
        <f t="shared" si="139"/>
        <v>916.77809999999999</v>
      </c>
      <c r="J259" s="18">
        <v>371</v>
      </c>
      <c r="K259" s="19">
        <f t="shared" si="143"/>
        <v>8.9613526570048307</v>
      </c>
      <c r="L259" s="19">
        <v>28.871040000000004</v>
      </c>
      <c r="M259" s="19">
        <v>8.8000000000000007</v>
      </c>
      <c r="N259" s="20">
        <f t="shared" ref="N259:N283" si="146">IF(O259="", "",O259*3.2808)</f>
        <v>10.170480000000001</v>
      </c>
      <c r="O259" s="19">
        <v>3.1</v>
      </c>
      <c r="P259" s="21" t="str">
        <f t="shared" si="144"/>
        <v>no</v>
      </c>
      <c r="Q259" s="22">
        <v>0.56709822809420707</v>
      </c>
      <c r="R259" s="18" t="s">
        <v>632</v>
      </c>
      <c r="S259" s="23">
        <v>41.445022100000003</v>
      </c>
      <c r="T259" s="23">
        <v>-74.50060139</v>
      </c>
      <c r="U259" s="68" t="s">
        <v>379</v>
      </c>
      <c r="V259" s="18" t="s">
        <v>78</v>
      </c>
      <c r="W259" t="str">
        <f t="shared" si="138"/>
        <v>yes</v>
      </c>
      <c r="Y259" t="s">
        <v>633</v>
      </c>
      <c r="Z259" t="s">
        <v>79</v>
      </c>
      <c r="AA259" s="40" t="s">
        <v>79</v>
      </c>
      <c r="AB259" s="40" t="s">
        <v>79</v>
      </c>
      <c r="AC259" s="35">
        <v>5.2429896473366417</v>
      </c>
      <c r="AD259" s="35" t="s">
        <v>807</v>
      </c>
      <c r="AF259" t="str">
        <f t="shared" si="145"/>
        <v/>
      </c>
      <c r="AG259" s="26" t="s">
        <v>257</v>
      </c>
      <c r="AH259" s="27" t="s">
        <v>82</v>
      </c>
      <c r="AI259" s="28" t="s">
        <v>82</v>
      </c>
      <c r="AJ259" s="29" t="s">
        <v>82</v>
      </c>
      <c r="AK259" s="30" t="s">
        <v>85</v>
      </c>
      <c r="AL259" s="31" t="s">
        <v>85</v>
      </c>
      <c r="AM259" s="32" t="s">
        <v>82</v>
      </c>
      <c r="AN259" s="33" t="s">
        <v>81</v>
      </c>
      <c r="AO259" s="32" t="s">
        <v>81</v>
      </c>
      <c r="AP259" s="39"/>
      <c r="AQ259">
        <v>0</v>
      </c>
      <c r="AR259">
        <v>0</v>
      </c>
      <c r="AS259">
        <v>0</v>
      </c>
      <c r="AT259">
        <v>0</v>
      </c>
      <c r="AU259">
        <v>0</v>
      </c>
      <c r="AV259">
        <v>0</v>
      </c>
      <c r="AW259">
        <v>0</v>
      </c>
      <c r="AX259">
        <v>0</v>
      </c>
      <c r="BA259" t="s">
        <v>102</v>
      </c>
      <c r="BD259" t="s">
        <v>152</v>
      </c>
      <c r="BF259" t="s">
        <v>160</v>
      </c>
      <c r="BG259" t="str">
        <f t="shared" si="125"/>
        <v>CSLAP</v>
      </c>
      <c r="BH259" s="14" t="str">
        <f>IF(RIGHT(CM259,4)="2011","yes","no")</f>
        <v>no</v>
      </c>
      <c r="BJ259">
        <f t="shared" si="126"/>
        <v>0</v>
      </c>
      <c r="BK259">
        <f t="shared" si="127"/>
        <v>0</v>
      </c>
      <c r="BL259">
        <f t="shared" si="128"/>
        <v>0</v>
      </c>
      <c r="BM259" t="str">
        <f t="shared" si="129"/>
        <v>CSLAP</v>
      </c>
      <c r="BN259" t="str">
        <f t="shared" si="130"/>
        <v>no</v>
      </c>
      <c r="BO259">
        <v>0.61</v>
      </c>
      <c r="BY259" t="s">
        <v>636</v>
      </c>
    </row>
    <row r="260" spans="1:77" x14ac:dyDescent="0.3">
      <c r="A260" t="s">
        <v>1689</v>
      </c>
      <c r="B260" t="s">
        <v>2007</v>
      </c>
      <c r="C260" s="16">
        <v>193</v>
      </c>
      <c r="D260" s="16" t="s">
        <v>1276</v>
      </c>
      <c r="E260" s="16" t="s">
        <v>183</v>
      </c>
      <c r="F260" s="16" t="s">
        <v>831</v>
      </c>
      <c r="G260" s="17">
        <f t="shared" si="124"/>
        <v>12.84972</v>
      </c>
      <c r="H260" s="17">
        <v>5.2</v>
      </c>
      <c r="I260" s="18">
        <f t="shared" si="139"/>
        <v>988.43999999999994</v>
      </c>
      <c r="J260" s="18">
        <v>400</v>
      </c>
      <c r="K260" s="19">
        <f t="shared" si="143"/>
        <v>76.92307692307692</v>
      </c>
      <c r="L260" s="19">
        <v>7.5458400000000001</v>
      </c>
      <c r="M260" s="19">
        <v>2.2999999999999998</v>
      </c>
      <c r="N260" s="20">
        <f t="shared" si="146"/>
        <v>3.5465447999999999</v>
      </c>
      <c r="O260" s="19">
        <v>1.081</v>
      </c>
      <c r="P260" s="21" t="str">
        <f t="shared" si="144"/>
        <v>no</v>
      </c>
      <c r="Q260" s="22">
        <v>2.21250432E-2</v>
      </c>
      <c r="R260" s="18" t="s">
        <v>1277</v>
      </c>
      <c r="S260" s="23">
        <v>41.328072581999997</v>
      </c>
      <c r="T260" s="23">
        <v>-73.740713269599993</v>
      </c>
      <c r="U260" s="18" t="s">
        <v>77</v>
      </c>
      <c r="V260" s="18" t="s">
        <v>96</v>
      </c>
      <c r="W260" t="str">
        <f t="shared" si="138"/>
        <v>no</v>
      </c>
      <c r="Y260" t="str">
        <f t="shared" ref="Y260:Y270" si="147">IF(W260="yes",IF(X260="","potable water and recreation","potable water, recreation, and public bathing"),IF(X260="","recreation","recreation and public bathing"))</f>
        <v>recreation</v>
      </c>
      <c r="Z260" t="s">
        <v>79</v>
      </c>
      <c r="AA260" s="40" t="s">
        <v>79</v>
      </c>
      <c r="AB260" s="40" t="s">
        <v>79</v>
      </c>
      <c r="AC260" s="35">
        <v>1.2081751050443352</v>
      </c>
      <c r="AD260" s="35" t="s">
        <v>830</v>
      </c>
      <c r="AF260" t="str">
        <f t="shared" si="145"/>
        <v/>
      </c>
      <c r="AG260" s="26" t="s">
        <v>81</v>
      </c>
      <c r="AH260" s="27" t="s">
        <v>83</v>
      </c>
      <c r="AI260" s="28" t="s">
        <v>141</v>
      </c>
      <c r="AJ260" s="29" t="s">
        <v>83</v>
      </c>
      <c r="AK260" s="30" t="s">
        <v>121</v>
      </c>
      <c r="AL260" s="31" t="s">
        <v>84</v>
      </c>
      <c r="AM260" s="32" t="s">
        <v>82</v>
      </c>
      <c r="AN260" s="33" t="s">
        <v>81</v>
      </c>
      <c r="AO260" s="32" t="s">
        <v>81</v>
      </c>
      <c r="AP260" s="39"/>
      <c r="AQ260">
        <v>0</v>
      </c>
      <c r="AR260">
        <v>0</v>
      </c>
      <c r="AS260">
        <v>0</v>
      </c>
      <c r="AT260">
        <v>0</v>
      </c>
      <c r="AU260">
        <v>0</v>
      </c>
      <c r="AV260">
        <v>0</v>
      </c>
      <c r="AW260">
        <v>0</v>
      </c>
      <c r="AX260">
        <v>0</v>
      </c>
      <c r="BD260" t="s">
        <v>152</v>
      </c>
      <c r="BF260" t="s">
        <v>160</v>
      </c>
      <c r="BG260" t="str">
        <f t="shared" si="125"/>
        <v>CSLAP</v>
      </c>
      <c r="BH260" s="14" t="str">
        <f>IF(RIGHT(CM260,4)="2011","yes","no")</f>
        <v>no</v>
      </c>
      <c r="BJ260">
        <f t="shared" si="126"/>
        <v>0</v>
      </c>
      <c r="BK260">
        <f t="shared" si="127"/>
        <v>0</v>
      </c>
      <c r="BL260">
        <f t="shared" si="128"/>
        <v>0</v>
      </c>
      <c r="BM260" t="str">
        <f t="shared" si="129"/>
        <v>CSLAP</v>
      </c>
      <c r="BN260" t="str">
        <f t="shared" si="130"/>
        <v>no</v>
      </c>
      <c r="BO260">
        <v>0.63516260162601623</v>
      </c>
    </row>
    <row r="261" spans="1:77" x14ac:dyDescent="0.3">
      <c r="A261" t="s">
        <v>1690</v>
      </c>
      <c r="B261" t="s">
        <v>2008</v>
      </c>
      <c r="C261" s="16">
        <v>55</v>
      </c>
      <c r="D261" s="16" t="s">
        <v>1278</v>
      </c>
      <c r="E261" s="16" t="s">
        <v>1279</v>
      </c>
      <c r="F261" s="16" t="s">
        <v>1280</v>
      </c>
      <c r="G261" s="17">
        <f t="shared" si="124"/>
        <v>832.01936999999987</v>
      </c>
      <c r="H261" s="17">
        <v>336.7</v>
      </c>
      <c r="I261" s="18">
        <f t="shared" si="139"/>
        <v>3637.9534199999998</v>
      </c>
      <c r="J261" s="18">
        <v>1472.2</v>
      </c>
      <c r="K261" s="19">
        <f t="shared" si="143"/>
        <v>4.3724383724383724</v>
      </c>
      <c r="L261" s="19" t="s">
        <v>110</v>
      </c>
      <c r="M261" s="19"/>
      <c r="N261" s="20">
        <f t="shared" si="146"/>
        <v>21.325200000000002</v>
      </c>
      <c r="O261" s="19">
        <v>6.5</v>
      </c>
      <c r="P261" s="21" t="str">
        <f t="shared" si="144"/>
        <v>no</v>
      </c>
      <c r="Q261" s="22">
        <v>1.9670643153526974</v>
      </c>
      <c r="R261" s="18" t="s">
        <v>1281</v>
      </c>
      <c r="S261" s="23">
        <v>44.226970000000001</v>
      </c>
      <c r="T261" s="23">
        <v>-74.826400000000007</v>
      </c>
      <c r="U261" s="68" t="s">
        <v>96</v>
      </c>
      <c r="V261" s="18"/>
      <c r="W261" t="str">
        <f t="shared" si="138"/>
        <v>yes</v>
      </c>
      <c r="X261" t="s">
        <v>1282</v>
      </c>
      <c r="Y261" t="str">
        <f t="shared" si="147"/>
        <v>potable water, recreation, and public bathing</v>
      </c>
      <c r="Z261" t="s">
        <v>79</v>
      </c>
      <c r="AA261" s="40" t="s">
        <v>79</v>
      </c>
      <c r="AB261" s="40" t="s">
        <v>79</v>
      </c>
      <c r="AC261" s="35">
        <v>1.9542886133161599</v>
      </c>
      <c r="AD261" s="35" t="s">
        <v>1283</v>
      </c>
      <c r="AF261" t="str">
        <f t="shared" si="145"/>
        <v/>
      </c>
      <c r="AG261" s="26" t="s">
        <v>82</v>
      </c>
      <c r="AH261" s="27" t="s">
        <v>82</v>
      </c>
      <c r="AI261" s="28" t="s">
        <v>82</v>
      </c>
      <c r="AJ261" s="29" t="s">
        <v>82</v>
      </c>
      <c r="AK261" s="30" t="s">
        <v>85</v>
      </c>
      <c r="AL261" s="31" t="s">
        <v>85</v>
      </c>
      <c r="AM261" s="32" t="s">
        <v>82</v>
      </c>
      <c r="AN261" s="33" t="s">
        <v>81</v>
      </c>
      <c r="AO261" s="32" t="s">
        <v>81</v>
      </c>
      <c r="AP261" s="39"/>
      <c r="AQ261">
        <v>0</v>
      </c>
      <c r="AR261">
        <v>0</v>
      </c>
      <c r="AS261">
        <v>0</v>
      </c>
      <c r="AT261">
        <v>0</v>
      </c>
      <c r="AU261">
        <v>0</v>
      </c>
      <c r="AV261">
        <v>0</v>
      </c>
      <c r="AW261">
        <v>0</v>
      </c>
      <c r="AX261">
        <v>0</v>
      </c>
      <c r="BD261" s="16" t="s">
        <v>124</v>
      </c>
      <c r="BE261" t="s">
        <v>89</v>
      </c>
      <c r="BF261" t="s">
        <v>89</v>
      </c>
      <c r="BG261" t="str">
        <f t="shared" si="125"/>
        <v>CSLAP</v>
      </c>
      <c r="BH261" s="14" t="s">
        <v>102</v>
      </c>
      <c r="BJ261">
        <f t="shared" si="126"/>
        <v>0</v>
      </c>
      <c r="BK261">
        <f t="shared" si="127"/>
        <v>0</v>
      </c>
      <c r="BL261">
        <f t="shared" si="128"/>
        <v>0</v>
      </c>
      <c r="BM261" t="str">
        <f t="shared" si="129"/>
        <v>CSLAP</v>
      </c>
      <c r="BN261" t="str">
        <f t="shared" si="130"/>
        <v>no</v>
      </c>
      <c r="BO261">
        <v>0.64</v>
      </c>
    </row>
    <row r="262" spans="1:77" x14ac:dyDescent="0.3">
      <c r="A262" t="s">
        <v>1692</v>
      </c>
      <c r="B262" t="s">
        <v>2009</v>
      </c>
      <c r="C262" s="16">
        <v>117</v>
      </c>
      <c r="D262" s="16" t="s">
        <v>1278</v>
      </c>
      <c r="E262" s="16" t="s">
        <v>205</v>
      </c>
      <c r="F262" s="16" t="s">
        <v>1284</v>
      </c>
      <c r="G262" s="17">
        <f t="shared" si="124"/>
        <v>121.57812</v>
      </c>
      <c r="H262" s="17">
        <v>49.2</v>
      </c>
      <c r="I262" s="18">
        <f t="shared" si="139"/>
        <v>357.32105999999999</v>
      </c>
      <c r="J262" s="18">
        <v>144.6</v>
      </c>
      <c r="K262" s="19">
        <f t="shared" si="143"/>
        <v>2.9390243902439019</v>
      </c>
      <c r="L262" s="19">
        <v>16.73208</v>
      </c>
      <c r="M262" s="19">
        <v>5.0999999999999996</v>
      </c>
      <c r="N262" s="20">
        <f t="shared" si="146"/>
        <v>12.138960000000001</v>
      </c>
      <c r="O262" s="19">
        <v>3.7</v>
      </c>
      <c r="P262" s="21" t="str">
        <f t="shared" si="144"/>
        <v>no</v>
      </c>
      <c r="Q262" s="22">
        <v>0.32506652175881895</v>
      </c>
      <c r="R262" s="18" t="s">
        <v>2248</v>
      </c>
      <c r="S262" s="23">
        <v>44.505290000000002</v>
      </c>
      <c r="T262" s="23">
        <v>-73.877219999999994</v>
      </c>
      <c r="U262" s="86" t="s">
        <v>450</v>
      </c>
      <c r="V262" s="16"/>
      <c r="W262" t="str">
        <f t="shared" si="138"/>
        <v>no</v>
      </c>
      <c r="Y262" t="str">
        <f t="shared" si="147"/>
        <v>recreation</v>
      </c>
      <c r="Z262" t="s">
        <v>79</v>
      </c>
      <c r="AA262" s="40" t="s">
        <v>79</v>
      </c>
      <c r="AB262" s="40" t="s">
        <v>79</v>
      </c>
      <c r="AC262" s="35">
        <v>24.501434440960242</v>
      </c>
      <c r="AD262" s="35" t="s">
        <v>1285</v>
      </c>
      <c r="AF262" t="str">
        <f t="shared" si="145"/>
        <v/>
      </c>
      <c r="AG262" s="26" t="s">
        <v>81</v>
      </c>
      <c r="AH262" s="27" t="s">
        <v>81</v>
      </c>
      <c r="AI262" s="28" t="s">
        <v>82</v>
      </c>
      <c r="AJ262" s="29" t="s">
        <v>82</v>
      </c>
      <c r="AK262" s="30" t="s">
        <v>85</v>
      </c>
      <c r="AL262" s="31" t="s">
        <v>85</v>
      </c>
      <c r="AM262" s="32" t="s">
        <v>82</v>
      </c>
      <c r="AN262" s="33" t="s">
        <v>81</v>
      </c>
      <c r="AO262" s="32" t="s">
        <v>81</v>
      </c>
      <c r="AP262" s="39"/>
      <c r="AQ262">
        <v>0</v>
      </c>
      <c r="AR262">
        <v>0</v>
      </c>
      <c r="AS262">
        <v>0</v>
      </c>
      <c r="AT262">
        <v>0</v>
      </c>
      <c r="AU262">
        <v>1</v>
      </c>
      <c r="AV262">
        <v>0</v>
      </c>
      <c r="AW262">
        <v>0</v>
      </c>
      <c r="AX262">
        <v>1</v>
      </c>
      <c r="AZ262" t="s">
        <v>1286</v>
      </c>
      <c r="BA262" t="s">
        <v>102</v>
      </c>
      <c r="BB262" t="s">
        <v>2249</v>
      </c>
      <c r="BC262" t="s">
        <v>87</v>
      </c>
      <c r="BD262" t="s">
        <v>215</v>
      </c>
      <c r="BE262" t="s">
        <v>216</v>
      </c>
      <c r="BF262" t="s">
        <v>216</v>
      </c>
      <c r="BG262" t="str">
        <f t="shared" si="125"/>
        <v>CSLAP</v>
      </c>
      <c r="BH262" s="14" t="s">
        <v>99</v>
      </c>
      <c r="BJ262">
        <f t="shared" si="126"/>
        <v>1</v>
      </c>
      <c r="BK262">
        <f t="shared" si="127"/>
        <v>1</v>
      </c>
      <c r="BL262">
        <f t="shared" si="128"/>
        <v>0</v>
      </c>
      <c r="BM262" t="str">
        <f t="shared" si="129"/>
        <v>CSLAP</v>
      </c>
      <c r="BN262" t="str">
        <f t="shared" si="130"/>
        <v>no</v>
      </c>
      <c r="BO262">
        <v>4.5731707317073171</v>
      </c>
    </row>
    <row r="263" spans="1:77" x14ac:dyDescent="0.3">
      <c r="A263" t="s">
        <v>1694</v>
      </c>
      <c r="B263" t="s">
        <v>2010</v>
      </c>
      <c r="C263" s="16">
        <v>25</v>
      </c>
      <c r="D263" s="16" t="s">
        <v>1278</v>
      </c>
      <c r="E263" s="16" t="s">
        <v>672</v>
      </c>
      <c r="F263" s="16" t="s">
        <v>1287</v>
      </c>
      <c r="G263" s="17">
        <f t="shared" si="124"/>
        <v>812.74478999999985</v>
      </c>
      <c r="H263" s="17">
        <v>328.9</v>
      </c>
      <c r="I263" s="18">
        <f t="shared" si="139"/>
        <v>12923.852999999999</v>
      </c>
      <c r="J263" s="18">
        <v>5230</v>
      </c>
      <c r="K263" s="19">
        <f t="shared" si="143"/>
        <v>15.901489814533294</v>
      </c>
      <c r="L263" s="19">
        <v>38.057279999999999</v>
      </c>
      <c r="M263" s="19">
        <v>11.6</v>
      </c>
      <c r="N263" s="20">
        <f t="shared" si="146"/>
        <v>23.621760000000002</v>
      </c>
      <c r="O263" s="19">
        <v>7.2</v>
      </c>
      <c r="P263" s="21" t="str">
        <f t="shared" si="144"/>
        <v>no</v>
      </c>
      <c r="Q263" s="22">
        <v>0.6907834710743801</v>
      </c>
      <c r="R263" s="18" t="s">
        <v>2250</v>
      </c>
      <c r="S263" s="23">
        <v>42.695610000000002</v>
      </c>
      <c r="T263" s="23">
        <v>-78.034170000000003</v>
      </c>
      <c r="U263" s="68" t="s">
        <v>96</v>
      </c>
      <c r="V263" s="18" t="s">
        <v>77</v>
      </c>
      <c r="W263" t="str">
        <f t="shared" si="138"/>
        <v>yes</v>
      </c>
      <c r="Y263" t="str">
        <f t="shared" si="147"/>
        <v>potable water and recreation</v>
      </c>
      <c r="Z263" t="s">
        <v>79</v>
      </c>
      <c r="AA263" s="40" t="s">
        <v>209</v>
      </c>
      <c r="AB263" s="40" t="s">
        <v>1288</v>
      </c>
      <c r="AC263" s="24">
        <f t="shared" ref="AC263:AC272" si="148">IF(AND(AA263="none reported",AB263="none reported"),"",0)</f>
        <v>0</v>
      </c>
      <c r="AD263" s="24"/>
      <c r="AE263" s="25" t="s">
        <v>1289</v>
      </c>
      <c r="AF263" t="str">
        <f t="shared" si="145"/>
        <v>yes</v>
      </c>
      <c r="AG263" s="26" t="s">
        <v>141</v>
      </c>
      <c r="AH263" s="27" t="s">
        <v>83</v>
      </c>
      <c r="AI263" s="28" t="s">
        <v>141</v>
      </c>
      <c r="AJ263" s="29" t="s">
        <v>82</v>
      </c>
      <c r="AK263" s="30" t="s">
        <v>121</v>
      </c>
      <c r="AL263" s="31" t="s">
        <v>84</v>
      </c>
      <c r="AM263" s="32" t="s">
        <v>82</v>
      </c>
      <c r="AN263" s="39">
        <v>43668</v>
      </c>
      <c r="AO263" s="39">
        <v>43677</v>
      </c>
      <c r="AP263" s="39"/>
      <c r="AQ263">
        <v>3</v>
      </c>
      <c r="AR263">
        <v>1</v>
      </c>
      <c r="AS263">
        <v>6</v>
      </c>
      <c r="AT263">
        <v>0</v>
      </c>
      <c r="AU263">
        <v>5</v>
      </c>
      <c r="AV263">
        <v>2</v>
      </c>
      <c r="AW263">
        <v>0</v>
      </c>
      <c r="AX263">
        <v>0</v>
      </c>
      <c r="AZ263" t="s">
        <v>1290</v>
      </c>
      <c r="BA263" t="s">
        <v>102</v>
      </c>
      <c r="BB263" t="s">
        <v>1291</v>
      </c>
      <c r="BC263" t="s">
        <v>226</v>
      </c>
      <c r="BD263" t="s">
        <v>310</v>
      </c>
      <c r="BE263" t="s">
        <v>229</v>
      </c>
      <c r="BF263" t="s">
        <v>365</v>
      </c>
      <c r="BG263" t="str">
        <f t="shared" si="125"/>
        <v>CSLAP</v>
      </c>
      <c r="BH263" s="14" t="s">
        <v>99</v>
      </c>
      <c r="BJ263">
        <f t="shared" si="126"/>
        <v>4</v>
      </c>
      <c r="BK263">
        <f t="shared" si="127"/>
        <v>2</v>
      </c>
      <c r="BL263">
        <f t="shared" si="128"/>
        <v>3</v>
      </c>
      <c r="BM263" t="str">
        <f t="shared" si="129"/>
        <v>CSLAP</v>
      </c>
      <c r="BN263" t="str">
        <f t="shared" si="130"/>
        <v>yes</v>
      </c>
      <c r="BO263">
        <v>0.65546988581253396</v>
      </c>
      <c r="BS263" s="41">
        <f>(20+0)/2</f>
        <v>10</v>
      </c>
    </row>
    <row r="264" spans="1:77" x14ac:dyDescent="0.3">
      <c r="A264" t="s">
        <v>1696</v>
      </c>
      <c r="B264" t="s">
        <v>2011</v>
      </c>
      <c r="C264" s="16">
        <v>178</v>
      </c>
      <c r="D264" s="16" t="s">
        <v>1292</v>
      </c>
      <c r="E264" s="16" t="s">
        <v>237</v>
      </c>
      <c r="F264" s="16" t="s">
        <v>238</v>
      </c>
      <c r="G264" s="17">
        <f t="shared" si="124"/>
        <v>128.00297999999998</v>
      </c>
      <c r="H264" s="17">
        <v>51.8</v>
      </c>
      <c r="I264" s="18">
        <f t="shared" si="139"/>
        <v>864.88499999999999</v>
      </c>
      <c r="J264" s="18">
        <v>350</v>
      </c>
      <c r="K264" s="19">
        <f t="shared" si="143"/>
        <v>6.756756756756757</v>
      </c>
      <c r="L264" s="19">
        <v>89.9</v>
      </c>
      <c r="M264" s="19">
        <v>27.4</v>
      </c>
      <c r="N264" s="20">
        <f t="shared" si="146"/>
        <v>45.931200000000004</v>
      </c>
      <c r="O264" s="19">
        <v>14</v>
      </c>
      <c r="P264" s="21" t="str">
        <f t="shared" si="144"/>
        <v>no</v>
      </c>
      <c r="Q264" s="22">
        <v>4.5339168490153163</v>
      </c>
      <c r="R264" s="18" t="s">
        <v>1293</v>
      </c>
      <c r="S264" s="23">
        <v>44.279291489999999</v>
      </c>
      <c r="T264" s="23">
        <v>-75.774479909999997</v>
      </c>
      <c r="U264" s="18" t="s">
        <v>77</v>
      </c>
      <c r="V264" s="18"/>
      <c r="W264" t="str">
        <f t="shared" si="138"/>
        <v>no</v>
      </c>
      <c r="Y264" t="str">
        <f t="shared" si="147"/>
        <v>recreation</v>
      </c>
      <c r="Z264" t="s">
        <v>79</v>
      </c>
      <c r="AA264" s="40" t="s">
        <v>120</v>
      </c>
      <c r="AB264" s="40" t="s">
        <v>79</v>
      </c>
      <c r="AC264" s="24">
        <f t="shared" si="148"/>
        <v>0</v>
      </c>
      <c r="AD264" s="24"/>
      <c r="AF264" t="str">
        <f t="shared" si="145"/>
        <v/>
      </c>
      <c r="AG264" s="26" t="s">
        <v>81</v>
      </c>
      <c r="AH264" s="27" t="s">
        <v>82</v>
      </c>
      <c r="AI264" s="28" t="s">
        <v>82</v>
      </c>
      <c r="AJ264" s="29" t="s">
        <v>82</v>
      </c>
      <c r="AK264" s="30" t="s">
        <v>85</v>
      </c>
      <c r="AL264" s="31" t="s">
        <v>85</v>
      </c>
      <c r="AM264" s="32" t="s">
        <v>82</v>
      </c>
      <c r="AN264" s="33" t="s">
        <v>81</v>
      </c>
      <c r="AO264" s="32" t="s">
        <v>81</v>
      </c>
      <c r="AP264" s="39"/>
      <c r="AQ264">
        <v>0</v>
      </c>
      <c r="AR264">
        <v>0</v>
      </c>
      <c r="AS264">
        <v>0</v>
      </c>
      <c r="AT264">
        <v>0</v>
      </c>
      <c r="AU264">
        <v>1</v>
      </c>
      <c r="AV264">
        <v>0</v>
      </c>
      <c r="AW264">
        <v>0</v>
      </c>
      <c r="AX264">
        <v>0</v>
      </c>
      <c r="AY264" t="s">
        <v>376</v>
      </c>
      <c r="AZ264" t="s">
        <v>1294</v>
      </c>
      <c r="BA264" t="s">
        <v>102</v>
      </c>
      <c r="BB264" t="s">
        <v>1295</v>
      </c>
      <c r="BC264" t="s">
        <v>87</v>
      </c>
      <c r="BD264" t="s">
        <v>215</v>
      </c>
      <c r="BE264" t="s">
        <v>216</v>
      </c>
      <c r="BF264" t="s">
        <v>216</v>
      </c>
      <c r="BG264" t="str">
        <f t="shared" si="125"/>
        <v>CSLAP</v>
      </c>
      <c r="BH264" s="14" t="str">
        <f>IF(RIGHT(CM264,4)="2011","yes","no")</f>
        <v>no</v>
      </c>
      <c r="BJ264">
        <f t="shared" si="126"/>
        <v>1</v>
      </c>
      <c r="BK264">
        <f t="shared" si="127"/>
        <v>1</v>
      </c>
      <c r="BL264">
        <f t="shared" si="128"/>
        <v>0</v>
      </c>
      <c r="BM264" t="str">
        <f t="shared" si="129"/>
        <v>CSLAP</v>
      </c>
      <c r="BN264" t="str">
        <f t="shared" si="130"/>
        <v>no</v>
      </c>
      <c r="BO264">
        <v>0.45700000000000002</v>
      </c>
      <c r="BV264" t="s">
        <v>376</v>
      </c>
    </row>
    <row r="265" spans="1:77" x14ac:dyDescent="0.3">
      <c r="A265" t="s">
        <v>1697</v>
      </c>
      <c r="B265" t="s">
        <v>2012</v>
      </c>
      <c r="C265" s="16">
        <v>139</v>
      </c>
      <c r="D265" s="16" t="s">
        <v>1296</v>
      </c>
      <c r="E265" s="16" t="s">
        <v>1297</v>
      </c>
      <c r="F265" s="16" t="s">
        <v>1244</v>
      </c>
      <c r="G265" s="17">
        <f t="shared" si="124"/>
        <v>8704.2026399999995</v>
      </c>
      <c r="H265" s="17">
        <v>3522.4</v>
      </c>
      <c r="I265" s="18">
        <f t="shared" si="139"/>
        <v>47198.009999999995</v>
      </c>
      <c r="J265" s="18">
        <v>19100</v>
      </c>
      <c r="K265" s="19">
        <f t="shared" si="143"/>
        <v>5.4224392459686577</v>
      </c>
      <c r="L265" s="19">
        <f>3.28*M265</f>
        <v>296.83999999999997</v>
      </c>
      <c r="M265" s="19">
        <v>90.5</v>
      </c>
      <c r="N265" s="20">
        <f t="shared" si="146"/>
        <v>145.01136000000002</v>
      </c>
      <c r="O265" s="19">
        <v>44.2</v>
      </c>
      <c r="P265" s="21" t="str">
        <f t="shared" si="144"/>
        <v>no</v>
      </c>
      <c r="Q265" s="22">
        <v>16.302626178010474</v>
      </c>
      <c r="R265" s="18" t="s">
        <v>251</v>
      </c>
      <c r="S265" s="23">
        <v>42.85720345</v>
      </c>
      <c r="T265" s="23">
        <v>-76.357415209999999</v>
      </c>
      <c r="U265" s="18" t="s">
        <v>379</v>
      </c>
      <c r="V265" s="18" t="s">
        <v>78</v>
      </c>
      <c r="W265" t="str">
        <f t="shared" si="138"/>
        <v>yes</v>
      </c>
      <c r="X265" t="s">
        <v>1298</v>
      </c>
      <c r="Y265" t="str">
        <f t="shared" si="147"/>
        <v>potable water, recreation, and public bathing</v>
      </c>
      <c r="Z265" t="s">
        <v>79</v>
      </c>
      <c r="AA265" s="40" t="s">
        <v>209</v>
      </c>
      <c r="AB265" s="40" t="s">
        <v>1299</v>
      </c>
      <c r="AC265" s="24">
        <f t="shared" si="148"/>
        <v>0</v>
      </c>
      <c r="AD265" s="24"/>
      <c r="AE265" s="25" t="s">
        <v>708</v>
      </c>
      <c r="AF265" t="str">
        <f t="shared" si="145"/>
        <v>yes</v>
      </c>
      <c r="AG265" s="26" t="s">
        <v>257</v>
      </c>
      <c r="AH265" s="27" t="s">
        <v>82</v>
      </c>
      <c r="AI265" s="28" t="s">
        <v>82</v>
      </c>
      <c r="AJ265" s="29" t="s">
        <v>82</v>
      </c>
      <c r="AK265" s="30" t="s">
        <v>85</v>
      </c>
      <c r="AL265" s="31" t="s">
        <v>85</v>
      </c>
      <c r="AM265" s="32" t="s">
        <v>82</v>
      </c>
      <c r="AN265" s="39">
        <v>43711</v>
      </c>
      <c r="AO265" s="39">
        <v>43711</v>
      </c>
      <c r="AP265" s="39"/>
      <c r="AQ265">
        <v>5</v>
      </c>
      <c r="AR265">
        <v>4</v>
      </c>
      <c r="AS265">
        <v>4</v>
      </c>
      <c r="AT265">
        <v>0</v>
      </c>
      <c r="AU265">
        <v>0</v>
      </c>
      <c r="AV265">
        <v>0</v>
      </c>
      <c r="AW265">
        <v>0</v>
      </c>
      <c r="AX265">
        <v>0</v>
      </c>
      <c r="AY265" t="s">
        <v>212</v>
      </c>
      <c r="AZ265" t="s">
        <v>1300</v>
      </c>
      <c r="BA265" t="s">
        <v>102</v>
      </c>
      <c r="BB265" t="s">
        <v>1301</v>
      </c>
      <c r="BD265" t="s">
        <v>320</v>
      </c>
      <c r="BF265" t="s">
        <v>229</v>
      </c>
      <c r="BG265" t="str">
        <f t="shared" si="125"/>
        <v>CSLAP</v>
      </c>
      <c r="BH265" s="14" t="str">
        <f>IF(RIGHT(CM265,4)="2011","yes","no")</f>
        <v>no</v>
      </c>
      <c r="BJ265">
        <f t="shared" si="126"/>
        <v>0</v>
      </c>
      <c r="BK265">
        <f t="shared" si="127"/>
        <v>0</v>
      </c>
      <c r="BL265">
        <f t="shared" si="128"/>
        <v>0</v>
      </c>
      <c r="BM265" t="str">
        <f t="shared" si="129"/>
        <v>CSLAP</v>
      </c>
      <c r="BN265" t="str">
        <f t="shared" si="130"/>
        <v>no</v>
      </c>
      <c r="BO265">
        <v>0.5</v>
      </c>
      <c r="BS265" s="41">
        <f>3/1</f>
        <v>3</v>
      </c>
    </row>
    <row r="266" spans="1:77" x14ac:dyDescent="0.3">
      <c r="A266" t="s">
        <v>1697</v>
      </c>
      <c r="B266" t="s">
        <v>2013</v>
      </c>
      <c r="C266" s="16">
        <v>139.1</v>
      </c>
      <c r="D266" s="16" t="s">
        <v>1302</v>
      </c>
      <c r="E266" s="16" t="s">
        <v>1297</v>
      </c>
      <c r="F266" s="16" t="s">
        <v>1244</v>
      </c>
      <c r="G266" s="17">
        <f t="shared" si="124"/>
        <v>8704.2026399999995</v>
      </c>
      <c r="H266" s="17">
        <v>3522.4</v>
      </c>
      <c r="I266" s="18">
        <f t="shared" si="139"/>
        <v>47198.009999999995</v>
      </c>
      <c r="J266" s="18">
        <v>19100</v>
      </c>
      <c r="K266" s="19">
        <f t="shared" si="143"/>
        <v>5.4224392459686577</v>
      </c>
      <c r="L266" s="19">
        <f t="shared" ref="L266:L267" si="149">3.28*M266</f>
        <v>296.83999999999997</v>
      </c>
      <c r="M266" s="19">
        <v>90.5</v>
      </c>
      <c r="N266" s="20">
        <f t="shared" si="146"/>
        <v>145.01136000000002</v>
      </c>
      <c r="O266" s="19">
        <v>44.2</v>
      </c>
      <c r="P266" s="21" t="str">
        <f t="shared" si="144"/>
        <v>no</v>
      </c>
      <c r="Q266" s="22">
        <v>16.100000000000001</v>
      </c>
      <c r="R266" s="18" t="s">
        <v>2109</v>
      </c>
      <c r="S266" s="23">
        <v>42.918061999999999</v>
      </c>
      <c r="T266" s="23">
        <v>-76.415406000000004</v>
      </c>
      <c r="U266" s="18" t="s">
        <v>379</v>
      </c>
      <c r="V266" s="18" t="s">
        <v>78</v>
      </c>
      <c r="W266" t="str">
        <f t="shared" si="138"/>
        <v>yes</v>
      </c>
      <c r="X266" t="s">
        <v>1298</v>
      </c>
      <c r="Y266" t="str">
        <f t="shared" si="147"/>
        <v>potable water, recreation, and public bathing</v>
      </c>
      <c r="Z266" t="s">
        <v>79</v>
      </c>
      <c r="AA266" s="40" t="s">
        <v>209</v>
      </c>
      <c r="AB266" s="40" t="s">
        <v>1299</v>
      </c>
      <c r="AC266" s="24">
        <f t="shared" si="148"/>
        <v>0</v>
      </c>
      <c r="AD266" s="24"/>
      <c r="AE266" s="25" t="s">
        <v>708</v>
      </c>
      <c r="AF266" t="str">
        <f t="shared" si="145"/>
        <v>yes</v>
      </c>
      <c r="AG266" s="26" t="s">
        <v>257</v>
      </c>
      <c r="AH266" s="27" t="s">
        <v>82</v>
      </c>
      <c r="AI266" s="28" t="s">
        <v>82</v>
      </c>
      <c r="AJ266" s="29" t="s">
        <v>82</v>
      </c>
      <c r="AK266" s="30" t="s">
        <v>85</v>
      </c>
      <c r="AL266" s="31" t="s">
        <v>85</v>
      </c>
      <c r="AM266" s="32" t="s">
        <v>82</v>
      </c>
      <c r="AN266" s="39">
        <v>43711</v>
      </c>
      <c r="AO266" s="39">
        <v>43711</v>
      </c>
      <c r="AP266" s="39"/>
      <c r="AQ266">
        <v>5</v>
      </c>
      <c r="AR266">
        <v>4</v>
      </c>
      <c r="AS266">
        <v>4</v>
      </c>
      <c r="AT266">
        <v>0</v>
      </c>
      <c r="AU266">
        <v>0</v>
      </c>
      <c r="AV266">
        <v>0</v>
      </c>
      <c r="AW266">
        <v>0</v>
      </c>
      <c r="AX266">
        <v>0</v>
      </c>
      <c r="AY266" t="s">
        <v>212</v>
      </c>
      <c r="AZ266" t="s">
        <v>1300</v>
      </c>
      <c r="BA266" t="s">
        <v>102</v>
      </c>
      <c r="BB266" t="s">
        <v>1301</v>
      </c>
      <c r="BD266" t="s">
        <v>320</v>
      </c>
      <c r="BF266" t="s">
        <v>229</v>
      </c>
      <c r="BG266" t="str">
        <f t="shared" si="125"/>
        <v>CSLAP</v>
      </c>
      <c r="BH266" s="14" t="s">
        <v>102</v>
      </c>
      <c r="BJ266">
        <f t="shared" si="126"/>
        <v>0</v>
      </c>
      <c r="BK266">
        <f t="shared" si="127"/>
        <v>0</v>
      </c>
      <c r="BL266">
        <f t="shared" si="128"/>
        <v>0</v>
      </c>
      <c r="BM266" t="str">
        <f t="shared" si="129"/>
        <v>CSLAP</v>
      </c>
      <c r="BN266" t="str">
        <f t="shared" si="130"/>
        <v>no</v>
      </c>
      <c r="BO266">
        <v>0.5062927384475302</v>
      </c>
      <c r="BS266" s="41">
        <f t="shared" ref="BS266:BS267" si="150">3/1</f>
        <v>3</v>
      </c>
    </row>
    <row r="267" spans="1:77" x14ac:dyDescent="0.3">
      <c r="A267" t="s">
        <v>1697</v>
      </c>
      <c r="B267" t="s">
        <v>2014</v>
      </c>
      <c r="C267" s="16">
        <v>139.19999999999999</v>
      </c>
      <c r="D267" s="16" t="s">
        <v>1303</v>
      </c>
      <c r="E267" s="16" t="s">
        <v>1297</v>
      </c>
      <c r="F267" s="16" t="s">
        <v>1244</v>
      </c>
      <c r="G267" s="17">
        <f t="shared" si="124"/>
        <v>8704.2026399999995</v>
      </c>
      <c r="H267" s="17">
        <v>3522.4</v>
      </c>
      <c r="I267" s="18">
        <f t="shared" si="139"/>
        <v>47198.009999999995</v>
      </c>
      <c r="J267" s="18">
        <v>19100</v>
      </c>
      <c r="K267" s="19">
        <f t="shared" si="143"/>
        <v>5.4224392459686577</v>
      </c>
      <c r="L267" s="19">
        <f t="shared" si="149"/>
        <v>296.83999999999997</v>
      </c>
      <c r="M267" s="19">
        <v>90.5</v>
      </c>
      <c r="N267" s="20">
        <f t="shared" si="146"/>
        <v>145.01136000000002</v>
      </c>
      <c r="O267" s="19">
        <v>44.2</v>
      </c>
      <c r="P267" s="21" t="str">
        <f t="shared" si="144"/>
        <v>no</v>
      </c>
      <c r="Q267" s="22">
        <v>16.100000000000001</v>
      </c>
      <c r="R267" s="18" t="s">
        <v>2109</v>
      </c>
      <c r="S267" s="23">
        <v>42.801633000000002</v>
      </c>
      <c r="T267" s="23">
        <v>-76.292495000000002</v>
      </c>
      <c r="U267" s="18" t="s">
        <v>379</v>
      </c>
      <c r="V267" s="18" t="s">
        <v>78</v>
      </c>
      <c r="W267" t="str">
        <f t="shared" si="138"/>
        <v>yes</v>
      </c>
      <c r="X267" t="s">
        <v>1298</v>
      </c>
      <c r="Y267" t="str">
        <f t="shared" si="147"/>
        <v>potable water, recreation, and public bathing</v>
      </c>
      <c r="Z267" t="s">
        <v>79</v>
      </c>
      <c r="AA267" s="40" t="s">
        <v>209</v>
      </c>
      <c r="AB267" s="40" t="s">
        <v>1299</v>
      </c>
      <c r="AC267" s="24">
        <f t="shared" si="148"/>
        <v>0</v>
      </c>
      <c r="AD267" s="24"/>
      <c r="AE267" s="25" t="s">
        <v>708</v>
      </c>
      <c r="AF267" t="str">
        <f t="shared" si="145"/>
        <v>yes</v>
      </c>
      <c r="AG267" s="26" t="s">
        <v>257</v>
      </c>
      <c r="AH267" s="27" t="s">
        <v>82</v>
      </c>
      <c r="AI267" s="28" t="s">
        <v>82</v>
      </c>
      <c r="AJ267" s="29" t="s">
        <v>82</v>
      </c>
      <c r="AK267" s="30" t="s">
        <v>85</v>
      </c>
      <c r="AL267" s="31" t="s">
        <v>85</v>
      </c>
      <c r="AM267" s="32" t="s">
        <v>82</v>
      </c>
      <c r="AN267" s="39">
        <v>43711</v>
      </c>
      <c r="AO267" s="39">
        <v>43711</v>
      </c>
      <c r="AP267" s="39"/>
      <c r="AQ267">
        <v>5</v>
      </c>
      <c r="AR267">
        <v>4</v>
      </c>
      <c r="AS267">
        <v>4</v>
      </c>
      <c r="AT267">
        <v>0</v>
      </c>
      <c r="AU267">
        <v>0</v>
      </c>
      <c r="AV267">
        <v>0</v>
      </c>
      <c r="AW267">
        <v>0</v>
      </c>
      <c r="AX267">
        <v>0</v>
      </c>
      <c r="AY267" t="s">
        <v>212</v>
      </c>
      <c r="AZ267" t="s">
        <v>1300</v>
      </c>
      <c r="BA267" t="s">
        <v>102</v>
      </c>
      <c r="BB267" t="s">
        <v>1301</v>
      </c>
      <c r="BD267" t="s">
        <v>320</v>
      </c>
      <c r="BF267" t="s">
        <v>229</v>
      </c>
      <c r="BG267" t="str">
        <f t="shared" si="125"/>
        <v>CSLAP</v>
      </c>
      <c r="BH267" s="14" t="s">
        <v>102</v>
      </c>
      <c r="BJ267">
        <f t="shared" si="126"/>
        <v>0</v>
      </c>
      <c r="BK267">
        <f t="shared" si="127"/>
        <v>0</v>
      </c>
      <c r="BL267">
        <f t="shared" si="128"/>
        <v>0</v>
      </c>
      <c r="BM267" t="str">
        <f t="shared" si="129"/>
        <v>CSLAP</v>
      </c>
      <c r="BN267" t="str">
        <f t="shared" si="130"/>
        <v>no</v>
      </c>
      <c r="BO267">
        <v>0.5062927384475302</v>
      </c>
      <c r="BS267" s="41">
        <f t="shared" si="150"/>
        <v>3</v>
      </c>
    </row>
    <row r="268" spans="1:77" x14ac:dyDescent="0.3">
      <c r="A268" t="s">
        <v>1698</v>
      </c>
      <c r="B268" t="s">
        <v>2015</v>
      </c>
      <c r="C268" s="16">
        <v>223</v>
      </c>
      <c r="D268" s="16" t="s">
        <v>1304</v>
      </c>
      <c r="E268" s="16" t="s">
        <v>1142</v>
      </c>
      <c r="F268" s="16" t="s">
        <v>1305</v>
      </c>
      <c r="G268" s="17">
        <f t="shared" si="124"/>
        <v>325.93808999999999</v>
      </c>
      <c r="H268" s="17">
        <v>131.9</v>
      </c>
      <c r="I268" s="18">
        <f t="shared" si="139"/>
        <v>9019.5149999999994</v>
      </c>
      <c r="J268" s="18">
        <v>3650</v>
      </c>
      <c r="K268" s="19">
        <f t="shared" si="143"/>
        <v>27.672479150871872</v>
      </c>
      <c r="L268" s="19">
        <v>62.3352</v>
      </c>
      <c r="M268" s="19">
        <v>19</v>
      </c>
      <c r="N268" s="20">
        <f t="shared" si="146"/>
        <v>29.297544000000002</v>
      </c>
      <c r="O268" s="19">
        <v>8.93</v>
      </c>
      <c r="P268" s="21" t="str">
        <f t="shared" si="144"/>
        <v>no</v>
      </c>
      <c r="Q268" s="22">
        <v>0.80675821917808221</v>
      </c>
      <c r="R268" s="18" t="s">
        <v>2140</v>
      </c>
      <c r="S268" s="23">
        <v>42.295064369999999</v>
      </c>
      <c r="T268" s="23">
        <v>-73.807247680000003</v>
      </c>
      <c r="U268" s="18" t="s">
        <v>96</v>
      </c>
      <c r="V268" s="18" t="s">
        <v>78</v>
      </c>
      <c r="W268" t="str">
        <f t="shared" si="138"/>
        <v>yes</v>
      </c>
      <c r="X268" t="s">
        <v>1306</v>
      </c>
      <c r="Y268" t="str">
        <f t="shared" si="147"/>
        <v>potable water, recreation, and public bathing</v>
      </c>
      <c r="Z268" t="s">
        <v>79</v>
      </c>
      <c r="AA268" s="24" t="s">
        <v>613</v>
      </c>
      <c r="AB268" s="24" t="s">
        <v>139</v>
      </c>
      <c r="AC268" s="24">
        <f t="shared" si="148"/>
        <v>0</v>
      </c>
      <c r="AD268" s="24"/>
      <c r="AE268" s="25" t="s">
        <v>1307</v>
      </c>
      <c r="AF268" t="str">
        <f t="shared" si="145"/>
        <v>yes</v>
      </c>
      <c r="AG268" s="26" t="s">
        <v>257</v>
      </c>
      <c r="AH268" s="27" t="s">
        <v>141</v>
      </c>
      <c r="AI268" s="28" t="s">
        <v>83</v>
      </c>
      <c r="AJ268" s="29" t="s">
        <v>82</v>
      </c>
      <c r="AK268" s="30" t="s">
        <v>121</v>
      </c>
      <c r="AL268" s="31" t="s">
        <v>84</v>
      </c>
      <c r="AM268" s="32" t="s">
        <v>82</v>
      </c>
      <c r="AN268" s="39">
        <v>43725</v>
      </c>
      <c r="AO268" s="39">
        <v>43725</v>
      </c>
      <c r="AP268" s="39"/>
      <c r="AQ268">
        <v>8</v>
      </c>
      <c r="AR268">
        <v>4</v>
      </c>
      <c r="AS268">
        <v>0</v>
      </c>
      <c r="AT268">
        <v>0</v>
      </c>
      <c r="AU268">
        <v>0</v>
      </c>
      <c r="AV268">
        <v>1</v>
      </c>
      <c r="AW268">
        <v>4</v>
      </c>
      <c r="AX268">
        <v>0</v>
      </c>
      <c r="AY268" t="s">
        <v>1308</v>
      </c>
      <c r="AZ268" t="s">
        <v>1309</v>
      </c>
      <c r="BA268" t="s">
        <v>102</v>
      </c>
      <c r="BB268" t="s">
        <v>2251</v>
      </c>
      <c r="BC268" t="s">
        <v>132</v>
      </c>
      <c r="BD268" t="s">
        <v>152</v>
      </c>
      <c r="BE268" t="s">
        <v>196</v>
      </c>
      <c r="BF268" t="s">
        <v>133</v>
      </c>
      <c r="BG268" t="str">
        <f t="shared" si="125"/>
        <v>CSLAP</v>
      </c>
      <c r="BH268" s="14" t="s">
        <v>99</v>
      </c>
      <c r="BJ268">
        <f t="shared" si="126"/>
        <v>2</v>
      </c>
      <c r="BK268">
        <f t="shared" si="127"/>
        <v>2</v>
      </c>
      <c r="BL268">
        <f t="shared" si="128"/>
        <v>1</v>
      </c>
      <c r="BM268" t="str">
        <f t="shared" si="129"/>
        <v>CSLAP</v>
      </c>
      <c r="BN268" t="str">
        <f t="shared" si="130"/>
        <v>yes</v>
      </c>
      <c r="BO268">
        <v>0.4</v>
      </c>
      <c r="BS268" s="41">
        <f>39/1</f>
        <v>39</v>
      </c>
    </row>
    <row r="269" spans="1:77" x14ac:dyDescent="0.3">
      <c r="A269" t="s">
        <v>1699</v>
      </c>
      <c r="B269" t="s">
        <v>2016</v>
      </c>
      <c r="C269" s="16">
        <v>190</v>
      </c>
      <c r="D269" s="16" t="s">
        <v>765</v>
      </c>
      <c r="E269" s="16" t="s">
        <v>762</v>
      </c>
      <c r="F269" s="16" t="s">
        <v>763</v>
      </c>
      <c r="G269" s="17">
        <f t="shared" si="124"/>
        <v>44.726910000000004</v>
      </c>
      <c r="H269" s="17">
        <v>18.100000000000001</v>
      </c>
      <c r="I269" s="18">
        <f t="shared" si="139"/>
        <v>354.10863000000001</v>
      </c>
      <c r="J269" s="18">
        <v>143.30000000000001</v>
      </c>
      <c r="K269" s="19">
        <f t="shared" si="143"/>
        <v>7.9171270718232041</v>
      </c>
      <c r="L269" s="19">
        <v>26.246400000000001</v>
      </c>
      <c r="M269" s="19">
        <v>8</v>
      </c>
      <c r="N269" s="20">
        <f t="shared" si="146"/>
        <v>12.335808</v>
      </c>
      <c r="O269" s="19">
        <v>3.76</v>
      </c>
      <c r="P269" s="21" t="str">
        <f t="shared" si="144"/>
        <v>no</v>
      </c>
      <c r="Q269" s="22">
        <v>1.2461894207955337</v>
      </c>
      <c r="R269" s="18" t="s">
        <v>2157</v>
      </c>
      <c r="S269" s="23">
        <v>42.388788392899997</v>
      </c>
      <c r="T269" s="23">
        <v>-77.474476354199993</v>
      </c>
      <c r="U269" s="68" t="s">
        <v>77</v>
      </c>
      <c r="V269" s="18"/>
      <c r="W269" t="str">
        <f t="shared" si="138"/>
        <v>no</v>
      </c>
      <c r="Y269" t="str">
        <f t="shared" si="147"/>
        <v>recreation</v>
      </c>
      <c r="Z269" t="s">
        <v>79</v>
      </c>
      <c r="AA269" s="40" t="s">
        <v>209</v>
      </c>
      <c r="AB269" s="40" t="s">
        <v>79</v>
      </c>
      <c r="AC269" s="24">
        <f t="shared" si="148"/>
        <v>0</v>
      </c>
      <c r="AD269" s="24"/>
      <c r="AE269" s="25" t="s">
        <v>724</v>
      </c>
      <c r="AF269" t="str">
        <f t="shared" si="145"/>
        <v>yes</v>
      </c>
      <c r="AG269" s="26" t="s">
        <v>81</v>
      </c>
      <c r="AH269" s="27" t="s">
        <v>141</v>
      </c>
      <c r="AI269" s="28" t="s">
        <v>141</v>
      </c>
      <c r="AJ269" s="29" t="s">
        <v>82</v>
      </c>
      <c r="AK269" s="30" t="s">
        <v>121</v>
      </c>
      <c r="AL269" s="31" t="s">
        <v>121</v>
      </c>
      <c r="AM269" s="32" t="s">
        <v>82</v>
      </c>
      <c r="AN269" s="39">
        <v>43633</v>
      </c>
      <c r="AO269" s="39">
        <v>43696</v>
      </c>
      <c r="AP269" s="39"/>
      <c r="AQ269">
        <v>15</v>
      </c>
      <c r="AR269">
        <v>6</v>
      </c>
      <c r="AS269">
        <v>5</v>
      </c>
      <c r="AT269">
        <v>2</v>
      </c>
      <c r="AU269">
        <v>4</v>
      </c>
      <c r="AV269">
        <v>3</v>
      </c>
      <c r="AW269">
        <v>5</v>
      </c>
      <c r="AX269">
        <v>0</v>
      </c>
      <c r="AZ269" t="s">
        <v>1310</v>
      </c>
      <c r="BA269" t="s">
        <v>102</v>
      </c>
      <c r="BB269" t="s">
        <v>2252</v>
      </c>
      <c r="BC269" t="s">
        <v>226</v>
      </c>
      <c r="BD269" t="s">
        <v>364</v>
      </c>
      <c r="BE269" t="s">
        <v>229</v>
      </c>
      <c r="BF269" t="s">
        <v>229</v>
      </c>
      <c r="BG269" t="str">
        <f t="shared" si="125"/>
        <v>CSLAP</v>
      </c>
      <c r="BH269" s="14" t="s">
        <v>102</v>
      </c>
      <c r="BJ269">
        <f t="shared" si="126"/>
        <v>5</v>
      </c>
      <c r="BK269">
        <f t="shared" si="127"/>
        <v>2</v>
      </c>
      <c r="BL269">
        <f t="shared" si="128"/>
        <v>3</v>
      </c>
      <c r="BM269" t="str">
        <f t="shared" si="129"/>
        <v>CSLAP</v>
      </c>
      <c r="BN269" t="str">
        <f t="shared" si="130"/>
        <v>no</v>
      </c>
      <c r="BO269">
        <v>0.38109756097560976</v>
      </c>
      <c r="BY269" t="s">
        <v>1311</v>
      </c>
    </row>
    <row r="270" spans="1:77" x14ac:dyDescent="0.3">
      <c r="A270" t="s">
        <v>1700</v>
      </c>
      <c r="B270" t="s">
        <v>2017</v>
      </c>
      <c r="C270" s="16">
        <v>140</v>
      </c>
      <c r="D270" s="16" t="s">
        <v>1312</v>
      </c>
      <c r="E270" s="16" t="s">
        <v>127</v>
      </c>
      <c r="F270" s="16" t="s">
        <v>1313</v>
      </c>
      <c r="G270" s="17">
        <f t="shared" si="124"/>
        <v>108.72839999999999</v>
      </c>
      <c r="H270" s="17">
        <v>44</v>
      </c>
      <c r="I270" s="18">
        <f t="shared" si="139"/>
        <v>790.75199999999995</v>
      </c>
      <c r="J270" s="18">
        <v>320</v>
      </c>
      <c r="K270" s="19">
        <f t="shared" si="143"/>
        <v>7.2727272727272725</v>
      </c>
      <c r="L270" s="19">
        <v>39</v>
      </c>
      <c r="M270" s="19">
        <v>12</v>
      </c>
      <c r="N270" s="20">
        <f t="shared" si="146"/>
        <v>18.0444</v>
      </c>
      <c r="O270" s="19">
        <v>5.5</v>
      </c>
      <c r="P270" s="21" t="str">
        <f t="shared" si="144"/>
        <v>no</v>
      </c>
      <c r="Q270" s="22">
        <v>1.6</v>
      </c>
      <c r="R270" s="18" t="s">
        <v>1314</v>
      </c>
      <c r="S270" s="23">
        <v>42.662650309999997</v>
      </c>
      <c r="T270" s="23">
        <v>-73.634631170000006</v>
      </c>
      <c r="U270" s="18" t="s">
        <v>77</v>
      </c>
      <c r="V270" s="18"/>
      <c r="W270" t="str">
        <f t="shared" si="138"/>
        <v>no</v>
      </c>
      <c r="X270" t="s">
        <v>1315</v>
      </c>
      <c r="Y270" t="str">
        <f t="shared" si="147"/>
        <v>recreation and public bathing</v>
      </c>
      <c r="Z270" t="s">
        <v>79</v>
      </c>
      <c r="AA270" s="40" t="s">
        <v>1316</v>
      </c>
      <c r="AB270" s="40" t="s">
        <v>139</v>
      </c>
      <c r="AC270" s="24">
        <f t="shared" si="148"/>
        <v>0</v>
      </c>
      <c r="AD270" s="24"/>
      <c r="AE270" s="25" t="s">
        <v>1317</v>
      </c>
      <c r="AF270" t="str">
        <f t="shared" si="145"/>
        <v>yes</v>
      </c>
      <c r="AG270" s="26" t="s">
        <v>81</v>
      </c>
      <c r="AH270" s="27" t="s">
        <v>82</v>
      </c>
      <c r="AI270" s="28" t="s">
        <v>83</v>
      </c>
      <c r="AJ270" s="29" t="s">
        <v>82</v>
      </c>
      <c r="AK270" s="30" t="s">
        <v>84</v>
      </c>
      <c r="AL270" s="31" t="s">
        <v>121</v>
      </c>
      <c r="AM270" s="32" t="s">
        <v>82</v>
      </c>
      <c r="AN270" s="33" t="s">
        <v>81</v>
      </c>
      <c r="AO270" s="32" t="s">
        <v>81</v>
      </c>
      <c r="AP270" s="39"/>
      <c r="AQ270">
        <v>0</v>
      </c>
      <c r="AR270">
        <v>0</v>
      </c>
      <c r="AS270">
        <v>0</v>
      </c>
      <c r="AT270">
        <v>0</v>
      </c>
      <c r="AU270">
        <v>5</v>
      </c>
      <c r="AV270">
        <v>2</v>
      </c>
      <c r="AW270">
        <v>0</v>
      </c>
      <c r="AX270">
        <v>3</v>
      </c>
      <c r="AZ270" t="s">
        <v>1318</v>
      </c>
      <c r="BD270" t="s">
        <v>152</v>
      </c>
      <c r="BF270" t="s">
        <v>133</v>
      </c>
      <c r="BG270" t="str">
        <f t="shared" si="125"/>
        <v>CSLAP</v>
      </c>
      <c r="BH270" s="14" t="s">
        <v>99</v>
      </c>
      <c r="BJ270">
        <f t="shared" si="126"/>
        <v>3</v>
      </c>
      <c r="BK270">
        <f t="shared" si="127"/>
        <v>2</v>
      </c>
      <c r="BL270">
        <f t="shared" si="128"/>
        <v>3</v>
      </c>
      <c r="BM270" t="str">
        <f t="shared" si="129"/>
        <v>CSLAP</v>
      </c>
      <c r="BN270" t="str">
        <f t="shared" si="130"/>
        <v>yes</v>
      </c>
      <c r="BO270">
        <v>0.47265625</v>
      </c>
    </row>
    <row r="271" spans="1:77" x14ac:dyDescent="0.3">
      <c r="A271" t="s">
        <v>1701</v>
      </c>
      <c r="B271" t="s">
        <v>2018</v>
      </c>
      <c r="C271" s="16">
        <v>49</v>
      </c>
      <c r="D271" s="16" t="s">
        <v>1319</v>
      </c>
      <c r="E271" s="16" t="s">
        <v>221</v>
      </c>
      <c r="F271" s="16" t="s">
        <v>1320</v>
      </c>
      <c r="G271" s="17">
        <f t="shared" si="124"/>
        <v>3356.9893499999998</v>
      </c>
      <c r="H271" s="17">
        <v>1358.5</v>
      </c>
      <c r="I271" s="18">
        <v>33322</v>
      </c>
      <c r="J271" s="18">
        <v>13485</v>
      </c>
      <c r="K271" s="19">
        <f t="shared" si="143"/>
        <v>9.9263894000736101</v>
      </c>
      <c r="L271" s="19">
        <f>3.28*M271</f>
        <v>45.919999999999995</v>
      </c>
      <c r="M271" s="19">
        <v>14</v>
      </c>
      <c r="N271" s="20">
        <f t="shared" si="146"/>
        <v>12.795120000000001</v>
      </c>
      <c r="O271" s="19">
        <v>3.9</v>
      </c>
      <c r="P271" s="21" t="str">
        <f t="shared" si="144"/>
        <v>no</v>
      </c>
      <c r="Q271" s="22">
        <v>1.1000000000000001</v>
      </c>
      <c r="R271" s="18" t="s">
        <v>2253</v>
      </c>
      <c r="S271" s="23">
        <v>43.248530870000003</v>
      </c>
      <c r="T271" s="23">
        <v>-76.958078380000003</v>
      </c>
      <c r="U271" s="68" t="s">
        <v>77</v>
      </c>
      <c r="V271" s="18"/>
      <c r="W271" t="str">
        <f t="shared" si="138"/>
        <v>no</v>
      </c>
      <c r="Y271" t="s">
        <v>1044</v>
      </c>
      <c r="Z271" t="s">
        <v>79</v>
      </c>
      <c r="AA271" s="40" t="s">
        <v>1321</v>
      </c>
      <c r="AB271" s="40" t="s">
        <v>139</v>
      </c>
      <c r="AC271" s="24">
        <f t="shared" si="148"/>
        <v>0</v>
      </c>
      <c r="AD271" s="24"/>
      <c r="AE271" s="25" t="s">
        <v>1322</v>
      </c>
      <c r="AF271" t="str">
        <f t="shared" si="145"/>
        <v>yes</v>
      </c>
      <c r="AG271" s="26" t="s">
        <v>81</v>
      </c>
      <c r="AH271" s="16" t="s">
        <v>83</v>
      </c>
      <c r="AI271" s="16" t="s">
        <v>141</v>
      </c>
      <c r="AJ271" s="16" t="s">
        <v>156</v>
      </c>
      <c r="AK271" s="30" t="s">
        <v>84</v>
      </c>
      <c r="AL271" s="31" t="s">
        <v>156</v>
      </c>
      <c r="AM271" s="32" t="s">
        <v>83</v>
      </c>
      <c r="AN271" s="33" t="s">
        <v>81</v>
      </c>
      <c r="AO271" s="32" t="s">
        <v>81</v>
      </c>
      <c r="AP271" s="39"/>
      <c r="AQ271">
        <v>0</v>
      </c>
      <c r="AR271">
        <v>0</v>
      </c>
      <c r="AS271">
        <v>1</v>
      </c>
      <c r="AT271">
        <v>4</v>
      </c>
      <c r="AU271">
        <v>1</v>
      </c>
      <c r="AV271">
        <v>1</v>
      </c>
      <c r="AW271">
        <v>1</v>
      </c>
      <c r="AX271">
        <v>2</v>
      </c>
      <c r="AY271" t="s">
        <v>466</v>
      </c>
      <c r="AZ271" t="s">
        <v>1323</v>
      </c>
      <c r="BA271" t="s">
        <v>102</v>
      </c>
      <c r="BB271" t="s">
        <v>2254</v>
      </c>
      <c r="BC271" t="s">
        <v>226</v>
      </c>
      <c r="BD271" t="s">
        <v>227</v>
      </c>
      <c r="BE271" t="s">
        <v>228</v>
      </c>
      <c r="BF271" t="s">
        <v>229</v>
      </c>
      <c r="BG271" t="str">
        <f t="shared" si="125"/>
        <v>CSLAP</v>
      </c>
      <c r="BH271" s="14" t="s">
        <v>102</v>
      </c>
      <c r="BJ271">
        <f t="shared" si="126"/>
        <v>2</v>
      </c>
      <c r="BK271">
        <f t="shared" si="127"/>
        <v>2</v>
      </c>
      <c r="BL271">
        <f t="shared" si="128"/>
        <v>1</v>
      </c>
      <c r="BM271" t="str">
        <f t="shared" si="129"/>
        <v>CSLAP</v>
      </c>
      <c r="BN271" t="str">
        <f t="shared" si="130"/>
        <v>yes</v>
      </c>
      <c r="BO271">
        <v>2.5072878709005722E-2</v>
      </c>
      <c r="BV271" t="s">
        <v>466</v>
      </c>
    </row>
    <row r="272" spans="1:77" x14ac:dyDescent="0.3">
      <c r="A272" t="s">
        <v>1702</v>
      </c>
      <c r="B272" t="s">
        <v>2019</v>
      </c>
      <c r="C272" s="16">
        <v>153</v>
      </c>
      <c r="D272" s="16" t="s">
        <v>98</v>
      </c>
      <c r="E272" s="16" t="s">
        <v>424</v>
      </c>
      <c r="F272" s="16" t="s">
        <v>1324</v>
      </c>
      <c r="G272" s="17">
        <f t="shared" si="124"/>
        <v>51.151769999999992</v>
      </c>
      <c r="H272" s="17">
        <v>20.7</v>
      </c>
      <c r="I272" s="18">
        <f t="shared" si="139"/>
        <v>261.68948999999998</v>
      </c>
      <c r="J272" s="18">
        <v>105.9</v>
      </c>
      <c r="K272" s="19">
        <f t="shared" si="143"/>
        <v>5.1159420289855078</v>
      </c>
      <c r="L272" s="19">
        <v>42.650400000000005</v>
      </c>
      <c r="M272" s="19">
        <v>13</v>
      </c>
      <c r="N272" s="20">
        <f t="shared" si="146"/>
        <v>20.045687999999998</v>
      </c>
      <c r="O272" s="19">
        <v>6.1099999999999994</v>
      </c>
      <c r="P272" s="21" t="str">
        <f t="shared" si="144"/>
        <v>no</v>
      </c>
      <c r="Q272" s="22">
        <v>2.6551933059326331</v>
      </c>
      <c r="R272" s="18" t="s">
        <v>2255</v>
      </c>
      <c r="S272" s="23">
        <v>41.910085520000003</v>
      </c>
      <c r="T272" s="23">
        <v>-75.228999830000006</v>
      </c>
      <c r="U272" s="18" t="s">
        <v>77</v>
      </c>
      <c r="V272" s="18"/>
      <c r="W272" t="str">
        <f t="shared" si="138"/>
        <v>no</v>
      </c>
      <c r="Y272" t="str">
        <f t="shared" ref="Y272:Y292" si="151">IF(W272="yes",IF(X272="","potable water and recreation","potable water, recreation, and public bathing"),IF(X272="","recreation","recreation and public bathing"))</f>
        <v>recreation</v>
      </c>
      <c r="Z272" t="s">
        <v>79</v>
      </c>
      <c r="AA272" s="24" t="s">
        <v>920</v>
      </c>
      <c r="AB272" s="24" t="s">
        <v>79</v>
      </c>
      <c r="AC272" s="24">
        <f t="shared" si="148"/>
        <v>0</v>
      </c>
      <c r="AD272" s="24"/>
      <c r="AE272" s="25" t="s">
        <v>1325</v>
      </c>
      <c r="AF272" t="str">
        <f t="shared" si="145"/>
        <v>yes</v>
      </c>
      <c r="AG272" s="26" t="s">
        <v>81</v>
      </c>
      <c r="AH272" s="27" t="s">
        <v>82</v>
      </c>
      <c r="AI272" s="28" t="s">
        <v>257</v>
      </c>
      <c r="AJ272" s="29" t="s">
        <v>82</v>
      </c>
      <c r="AK272" s="30" t="s">
        <v>121</v>
      </c>
      <c r="AL272" s="31" t="s">
        <v>156</v>
      </c>
      <c r="AM272" s="32" t="s">
        <v>82</v>
      </c>
      <c r="AN272" s="33" t="s">
        <v>81</v>
      </c>
      <c r="AO272" s="32" t="s">
        <v>81</v>
      </c>
      <c r="AP272" s="39"/>
      <c r="AQ272">
        <v>3</v>
      </c>
      <c r="AR272">
        <v>1</v>
      </c>
      <c r="AS272">
        <v>0</v>
      </c>
      <c r="AT272">
        <v>0</v>
      </c>
      <c r="AU272">
        <v>0</v>
      </c>
      <c r="AV272">
        <v>0</v>
      </c>
      <c r="AW272">
        <v>3</v>
      </c>
      <c r="AX272">
        <v>4</v>
      </c>
      <c r="AZ272" t="s">
        <v>1326</v>
      </c>
      <c r="BA272" t="s">
        <v>102</v>
      </c>
      <c r="BB272" t="s">
        <v>2256</v>
      </c>
      <c r="BC272" t="s">
        <v>103</v>
      </c>
      <c r="BD272" t="s">
        <v>104</v>
      </c>
      <c r="BE272" t="s">
        <v>105</v>
      </c>
      <c r="BF272" t="s">
        <v>115</v>
      </c>
      <c r="BG272" t="str">
        <f t="shared" si="125"/>
        <v>CSLAP</v>
      </c>
      <c r="BH272" s="14" t="s">
        <v>102</v>
      </c>
      <c r="BJ272">
        <f t="shared" si="126"/>
        <v>2</v>
      </c>
      <c r="BK272">
        <f t="shared" si="127"/>
        <v>2</v>
      </c>
      <c r="BL272">
        <f t="shared" si="128"/>
        <v>1</v>
      </c>
      <c r="BM272" t="str">
        <f t="shared" si="129"/>
        <v>CSLAP</v>
      </c>
      <c r="BN272" t="str">
        <f t="shared" si="130"/>
        <v>no</v>
      </c>
      <c r="BO272">
        <v>0.44979999999999998</v>
      </c>
    </row>
    <row r="273" spans="1:77" x14ac:dyDescent="0.3">
      <c r="A273" t="s">
        <v>1703</v>
      </c>
      <c r="B273" t="s">
        <v>2020</v>
      </c>
      <c r="C273" s="16">
        <v>212</v>
      </c>
      <c r="D273" s="16" t="s">
        <v>1327</v>
      </c>
      <c r="E273" s="16" t="s">
        <v>437</v>
      </c>
      <c r="F273" s="16" t="s">
        <v>411</v>
      </c>
      <c r="G273" s="17">
        <f t="shared" si="124"/>
        <v>108.72839999999999</v>
      </c>
      <c r="H273" s="17">
        <v>44</v>
      </c>
      <c r="I273" s="18">
        <f t="shared" si="139"/>
        <v>631.11893999999995</v>
      </c>
      <c r="J273" s="18">
        <v>255.4</v>
      </c>
      <c r="K273" s="19">
        <f t="shared" si="143"/>
        <v>5.8045454545454547</v>
      </c>
      <c r="L273" s="19">
        <v>28.214880000000001</v>
      </c>
      <c r="M273" s="19">
        <v>8.6</v>
      </c>
      <c r="N273" s="20">
        <f t="shared" si="146"/>
        <v>13.260993600000001</v>
      </c>
      <c r="O273" s="19">
        <v>4.0419999999999998</v>
      </c>
      <c r="P273" s="21" t="str">
        <f t="shared" si="144"/>
        <v>no</v>
      </c>
      <c r="Q273" s="22">
        <v>1.0963347345340642</v>
      </c>
      <c r="R273" s="18" t="s">
        <v>2187</v>
      </c>
      <c r="S273" s="23">
        <v>42.768541120000002</v>
      </c>
      <c r="T273" s="23">
        <v>-76.146876849999998</v>
      </c>
      <c r="U273" s="68" t="s">
        <v>77</v>
      </c>
      <c r="V273" s="18"/>
      <c r="W273" t="str">
        <f t="shared" si="138"/>
        <v>no</v>
      </c>
      <c r="X273" t="s">
        <v>1328</v>
      </c>
      <c r="Y273" t="str">
        <f t="shared" si="151"/>
        <v>recreation and public bathing</v>
      </c>
      <c r="Z273" t="s">
        <v>79</v>
      </c>
      <c r="AA273" s="24" t="s">
        <v>79</v>
      </c>
      <c r="AB273" s="24" t="s">
        <v>79</v>
      </c>
      <c r="AC273" s="35">
        <v>0.80647516133671959</v>
      </c>
      <c r="AD273" s="35" t="s">
        <v>1329</v>
      </c>
      <c r="AE273" s="25" t="s">
        <v>211</v>
      </c>
      <c r="AF273" t="str">
        <f t="shared" si="145"/>
        <v>yes</v>
      </c>
      <c r="AG273" s="26" t="s">
        <v>81</v>
      </c>
      <c r="AH273" s="27" t="s">
        <v>83</v>
      </c>
      <c r="AI273" s="28" t="s">
        <v>83</v>
      </c>
      <c r="AJ273" s="29" t="s">
        <v>82</v>
      </c>
      <c r="AK273" s="30" t="s">
        <v>85</v>
      </c>
      <c r="AL273" s="31" t="s">
        <v>85</v>
      </c>
      <c r="AM273" s="32" t="s">
        <v>82</v>
      </c>
      <c r="AN273" s="39">
        <v>43612</v>
      </c>
      <c r="AO273" s="39">
        <v>43746</v>
      </c>
      <c r="AP273" s="39"/>
      <c r="AQ273">
        <v>5</v>
      </c>
      <c r="AR273">
        <v>2</v>
      </c>
      <c r="AS273">
        <v>2</v>
      </c>
      <c r="AT273">
        <v>5</v>
      </c>
      <c r="AU273">
        <v>5</v>
      </c>
      <c r="AV273">
        <v>6</v>
      </c>
      <c r="AW273">
        <v>3</v>
      </c>
      <c r="AX273">
        <v>5</v>
      </c>
      <c r="AY273" t="s">
        <v>1052</v>
      </c>
      <c r="AZ273" t="s">
        <v>1330</v>
      </c>
      <c r="BA273" t="s">
        <v>102</v>
      </c>
      <c r="BB273" t="s">
        <v>2257</v>
      </c>
      <c r="BC273" t="s">
        <v>132</v>
      </c>
      <c r="BD273" t="s">
        <v>114</v>
      </c>
      <c r="BE273" t="s">
        <v>247</v>
      </c>
      <c r="BF273" t="s">
        <v>115</v>
      </c>
      <c r="BG273" t="str">
        <f t="shared" si="125"/>
        <v>CSLAP</v>
      </c>
      <c r="BH273" s="14" t="s">
        <v>102</v>
      </c>
      <c r="BJ273">
        <f t="shared" si="126"/>
        <v>7</v>
      </c>
      <c r="BK273">
        <f t="shared" si="127"/>
        <v>2</v>
      </c>
      <c r="BL273">
        <f t="shared" si="128"/>
        <v>3</v>
      </c>
      <c r="BM273" t="str">
        <f t="shared" si="129"/>
        <v>CSLAP</v>
      </c>
      <c r="BN273" t="str">
        <f t="shared" si="130"/>
        <v>no</v>
      </c>
      <c r="BO273">
        <v>0.63516260162601623</v>
      </c>
    </row>
    <row r="274" spans="1:77" x14ac:dyDescent="0.3">
      <c r="A274" t="s">
        <v>1704</v>
      </c>
      <c r="B274" t="s">
        <v>2021</v>
      </c>
      <c r="C274" s="16">
        <v>118</v>
      </c>
      <c r="D274" s="16" t="s">
        <v>1331</v>
      </c>
      <c r="E274" s="16" t="s">
        <v>448</v>
      </c>
      <c r="F274" s="16" t="s">
        <v>1332</v>
      </c>
      <c r="G274" s="17">
        <f t="shared" si="124"/>
        <v>294.30800999999997</v>
      </c>
      <c r="H274" s="17">
        <v>119.1</v>
      </c>
      <c r="I274" s="18">
        <f t="shared" si="139"/>
        <v>5301.25083</v>
      </c>
      <c r="J274" s="18">
        <v>2145.3000000000002</v>
      </c>
      <c r="K274" s="19">
        <f t="shared" si="143"/>
        <v>18.01259445843829</v>
      </c>
      <c r="L274" s="19" t="s">
        <v>110</v>
      </c>
      <c r="M274" s="19"/>
      <c r="N274" s="20">
        <f t="shared" si="146"/>
        <v>15.74784</v>
      </c>
      <c r="O274" s="19">
        <v>4.8</v>
      </c>
      <c r="P274" s="21" t="str">
        <f t="shared" si="144"/>
        <v>no</v>
      </c>
      <c r="Q274" s="22">
        <v>0.41637533212138156</v>
      </c>
      <c r="R274" s="18" t="s">
        <v>1333</v>
      </c>
      <c r="S274" s="23">
        <v>44.415848140000001</v>
      </c>
      <c r="T274" s="23">
        <v>-74.271268030000002</v>
      </c>
      <c r="U274" s="86" t="s">
        <v>379</v>
      </c>
      <c r="V274" s="16"/>
      <c r="W274" t="str">
        <f t="shared" si="138"/>
        <v>yes</v>
      </c>
      <c r="Y274" t="str">
        <f t="shared" si="151"/>
        <v>potable water and recreation</v>
      </c>
      <c r="Z274" t="s">
        <v>79</v>
      </c>
      <c r="AA274" s="40" t="s">
        <v>79</v>
      </c>
      <c r="AB274" s="40" t="s">
        <v>79</v>
      </c>
      <c r="AC274" s="35">
        <v>7.6917723505853468</v>
      </c>
      <c r="AD274" s="35" t="s">
        <v>749</v>
      </c>
      <c r="AF274" t="str">
        <f t="shared" si="145"/>
        <v/>
      </c>
      <c r="AG274" s="26" t="s">
        <v>156</v>
      </c>
      <c r="AH274" s="27" t="s">
        <v>257</v>
      </c>
      <c r="AI274" s="28" t="s">
        <v>257</v>
      </c>
      <c r="AJ274" s="29" t="s">
        <v>82</v>
      </c>
      <c r="AK274" s="30" t="s">
        <v>85</v>
      </c>
      <c r="AL274" s="31" t="s">
        <v>85</v>
      </c>
      <c r="AM274" s="32" t="s">
        <v>82</v>
      </c>
      <c r="AN274" s="33" t="s">
        <v>81</v>
      </c>
      <c r="AO274" s="32" t="s">
        <v>81</v>
      </c>
      <c r="AP274" s="39"/>
      <c r="AQ274">
        <v>0</v>
      </c>
      <c r="AR274">
        <v>0</v>
      </c>
      <c r="AS274">
        <v>0</v>
      </c>
      <c r="AT274">
        <v>0</v>
      </c>
      <c r="AU274">
        <v>0</v>
      </c>
      <c r="AV274">
        <v>0</v>
      </c>
      <c r="AW274">
        <v>0</v>
      </c>
      <c r="AX274">
        <v>0</v>
      </c>
      <c r="BD274" t="s">
        <v>215</v>
      </c>
      <c r="BE274" t="s">
        <v>216</v>
      </c>
      <c r="BF274" t="s">
        <v>89</v>
      </c>
      <c r="BG274" t="str">
        <f t="shared" si="125"/>
        <v>CSLAP</v>
      </c>
      <c r="BH274" s="14" t="str">
        <f>IF(RIGHT(CM274,4)="2011","yes","no")</f>
        <v>no</v>
      </c>
      <c r="BJ274">
        <f t="shared" si="126"/>
        <v>0</v>
      </c>
      <c r="BK274">
        <f t="shared" si="127"/>
        <v>0</v>
      </c>
      <c r="BL274">
        <f t="shared" si="128"/>
        <v>0</v>
      </c>
      <c r="BM274" t="str">
        <f t="shared" si="129"/>
        <v>CSLAP</v>
      </c>
      <c r="BN274" t="str">
        <f t="shared" si="130"/>
        <v>no</v>
      </c>
      <c r="BO274">
        <v>0.64</v>
      </c>
    </row>
    <row r="275" spans="1:77" x14ac:dyDescent="0.3">
      <c r="A275" t="s">
        <v>1705</v>
      </c>
      <c r="B275" t="s">
        <v>2022</v>
      </c>
      <c r="C275" s="16">
        <v>154</v>
      </c>
      <c r="D275" s="16" t="s">
        <v>1334</v>
      </c>
      <c r="E275" s="16" t="s">
        <v>127</v>
      </c>
      <c r="F275" s="16" t="s">
        <v>192</v>
      </c>
      <c r="G275" s="17">
        <f t="shared" si="124"/>
        <v>25.699439999999999</v>
      </c>
      <c r="H275" s="17">
        <v>10.4</v>
      </c>
      <c r="I275" s="18">
        <f t="shared" si="139"/>
        <v>98.596889999999988</v>
      </c>
      <c r="J275" s="18">
        <v>39.9</v>
      </c>
      <c r="K275" s="19">
        <f t="shared" si="143"/>
        <v>3.8365384615384612</v>
      </c>
      <c r="L275" s="19">
        <v>35.104559999999999</v>
      </c>
      <c r="M275" s="19">
        <v>10.7</v>
      </c>
      <c r="N275" s="20">
        <f t="shared" si="146"/>
        <v>13.123200000000001</v>
      </c>
      <c r="O275" s="19">
        <v>4</v>
      </c>
      <c r="P275" s="21" t="str">
        <f t="shared" si="144"/>
        <v>no</v>
      </c>
      <c r="Q275" s="22">
        <v>1.861797350519155</v>
      </c>
      <c r="R275" s="18" t="s">
        <v>2258</v>
      </c>
      <c r="S275" s="23">
        <v>42.6535523087</v>
      </c>
      <c r="T275" s="23">
        <v>-73.420280360800007</v>
      </c>
      <c r="U275" s="18" t="s">
        <v>77</v>
      </c>
      <c r="V275" s="18"/>
      <c r="W275" t="str">
        <f t="shared" si="138"/>
        <v>no</v>
      </c>
      <c r="Y275" t="str">
        <f t="shared" si="151"/>
        <v>recreation</v>
      </c>
      <c r="Z275" t="s">
        <v>79</v>
      </c>
      <c r="AA275" s="24" t="s">
        <v>79</v>
      </c>
      <c r="AB275" s="24" t="s">
        <v>79</v>
      </c>
      <c r="AC275" s="35">
        <v>8.0539248161329926</v>
      </c>
      <c r="AD275" s="35" t="s">
        <v>194</v>
      </c>
      <c r="AF275" t="str">
        <f t="shared" si="145"/>
        <v/>
      </c>
      <c r="AG275" s="26" t="s">
        <v>81</v>
      </c>
      <c r="AH275" s="27" t="s">
        <v>82</v>
      </c>
      <c r="AI275" s="28" t="s">
        <v>82</v>
      </c>
      <c r="AJ275" s="29" t="s">
        <v>82</v>
      </c>
      <c r="AK275" s="30" t="s">
        <v>85</v>
      </c>
      <c r="AL275" s="31" t="s">
        <v>85</v>
      </c>
      <c r="AM275" s="32" t="s">
        <v>82</v>
      </c>
      <c r="AN275" s="33" t="s">
        <v>81</v>
      </c>
      <c r="AO275" s="32" t="s">
        <v>81</v>
      </c>
      <c r="AP275" s="39"/>
      <c r="AQ275">
        <v>0</v>
      </c>
      <c r="AR275">
        <v>0</v>
      </c>
      <c r="AS275">
        <v>0</v>
      </c>
      <c r="AT275">
        <v>0</v>
      </c>
      <c r="AU275">
        <v>0</v>
      </c>
      <c r="AV275">
        <v>0</v>
      </c>
      <c r="AW275">
        <v>0</v>
      </c>
      <c r="AX275">
        <v>0</v>
      </c>
      <c r="AY275" t="s">
        <v>1335</v>
      </c>
      <c r="AZ275" t="s">
        <v>1336</v>
      </c>
      <c r="BA275" t="s">
        <v>102</v>
      </c>
      <c r="BB275" t="s">
        <v>1337</v>
      </c>
      <c r="BC275" t="s">
        <v>132</v>
      </c>
      <c r="BD275" t="s">
        <v>152</v>
      </c>
      <c r="BE275" t="s">
        <v>196</v>
      </c>
      <c r="BF275" t="s">
        <v>133</v>
      </c>
      <c r="BG275" t="str">
        <f t="shared" si="125"/>
        <v>CSLAP</v>
      </c>
      <c r="BH275" s="14" t="s">
        <v>102</v>
      </c>
      <c r="BJ275">
        <f t="shared" si="126"/>
        <v>0</v>
      </c>
      <c r="BK275">
        <f t="shared" si="127"/>
        <v>0</v>
      </c>
      <c r="BL275">
        <f t="shared" si="128"/>
        <v>0</v>
      </c>
      <c r="BM275" t="str">
        <f t="shared" si="129"/>
        <v>CSLAP</v>
      </c>
      <c r="BN275" t="str">
        <f t="shared" si="130"/>
        <v>no</v>
      </c>
      <c r="BO275">
        <v>0.56000000000000005</v>
      </c>
      <c r="BV275" t="s">
        <v>1335</v>
      </c>
    </row>
    <row r="276" spans="1:77" x14ac:dyDescent="0.3">
      <c r="A276" t="s">
        <v>1706</v>
      </c>
      <c r="B276" t="s">
        <v>2023</v>
      </c>
      <c r="C276" s="16">
        <v>110</v>
      </c>
      <c r="D276" s="16" t="s">
        <v>1338</v>
      </c>
      <c r="E276" s="16" t="s">
        <v>205</v>
      </c>
      <c r="F276" s="16" t="s">
        <v>1339</v>
      </c>
      <c r="G276" s="17">
        <f t="shared" si="124"/>
        <v>236.73137999999997</v>
      </c>
      <c r="H276" s="17">
        <v>95.8</v>
      </c>
      <c r="I276" s="18">
        <f t="shared" si="139"/>
        <v>766.04099999999994</v>
      </c>
      <c r="J276" s="18">
        <v>310</v>
      </c>
      <c r="K276" s="19">
        <f t="shared" si="143"/>
        <v>3.2359081419624216</v>
      </c>
      <c r="L276" s="19">
        <v>64.900000000000006</v>
      </c>
      <c r="M276" s="19">
        <v>19.8</v>
      </c>
      <c r="N276" s="20">
        <f t="shared" si="146"/>
        <v>20.669039999999999</v>
      </c>
      <c r="O276" s="19">
        <v>6.3</v>
      </c>
      <c r="P276" s="21" t="str">
        <f t="shared" si="144"/>
        <v>no</v>
      </c>
      <c r="Q276" s="22">
        <v>0.6907834710743801</v>
      </c>
      <c r="R276" s="18" t="s">
        <v>609</v>
      </c>
      <c r="S276" s="23">
        <v>44.156675730000003</v>
      </c>
      <c r="T276" s="23">
        <v>-75.04504541</v>
      </c>
      <c r="U276" s="68" t="s">
        <v>163</v>
      </c>
      <c r="V276" s="18"/>
      <c r="W276" t="str">
        <f t="shared" si="138"/>
        <v>yes</v>
      </c>
      <c r="X276" t="s">
        <v>1340</v>
      </c>
      <c r="Y276" t="str">
        <f t="shared" si="151"/>
        <v>potable water, recreation, and public bathing</v>
      </c>
      <c r="Z276" t="s">
        <v>79</v>
      </c>
      <c r="AA276" s="40" t="s">
        <v>79</v>
      </c>
      <c r="AB276" s="40" t="s">
        <v>79</v>
      </c>
      <c r="AC276" s="35">
        <v>17.281110670865033</v>
      </c>
      <c r="AD276" s="35" t="s">
        <v>731</v>
      </c>
      <c r="AF276" t="str">
        <f t="shared" si="145"/>
        <v/>
      </c>
      <c r="AG276" s="26" t="s">
        <v>82</v>
      </c>
      <c r="AH276" s="27" t="s">
        <v>82</v>
      </c>
      <c r="AI276" s="28" t="s">
        <v>82</v>
      </c>
      <c r="AJ276" s="29" t="s">
        <v>82</v>
      </c>
      <c r="AK276" s="30" t="s">
        <v>85</v>
      </c>
      <c r="AL276" s="31" t="s">
        <v>85</v>
      </c>
      <c r="AM276" s="32" t="s">
        <v>82</v>
      </c>
      <c r="AN276" s="33" t="s">
        <v>81</v>
      </c>
      <c r="AO276" s="32" t="s">
        <v>81</v>
      </c>
      <c r="AP276" s="39"/>
      <c r="AQ276">
        <v>0</v>
      </c>
      <c r="AR276">
        <v>0</v>
      </c>
      <c r="AS276">
        <v>0</v>
      </c>
      <c r="AT276">
        <v>0</v>
      </c>
      <c r="AU276">
        <v>0</v>
      </c>
      <c r="AV276">
        <v>0</v>
      </c>
      <c r="AW276">
        <v>0</v>
      </c>
      <c r="AX276">
        <v>0</v>
      </c>
      <c r="BD276" t="s">
        <v>215</v>
      </c>
      <c r="BE276" t="s">
        <v>216</v>
      </c>
      <c r="BF276" t="s">
        <v>216</v>
      </c>
      <c r="BG276" t="str">
        <f t="shared" si="125"/>
        <v>CSLAP</v>
      </c>
      <c r="BH276" s="14" t="str">
        <f>IF(RIGHT(CM276,4)="2011","yes","no")</f>
        <v>no</v>
      </c>
      <c r="BJ276">
        <f t="shared" si="126"/>
        <v>0</v>
      </c>
      <c r="BK276">
        <f t="shared" si="127"/>
        <v>0</v>
      </c>
      <c r="BL276">
        <f t="shared" si="128"/>
        <v>0</v>
      </c>
      <c r="BM276" t="str">
        <f t="shared" si="129"/>
        <v>CSLAP</v>
      </c>
      <c r="BN276" t="str">
        <f t="shared" si="130"/>
        <v>no</v>
      </c>
      <c r="BO276">
        <v>2.8183986840021231</v>
      </c>
    </row>
    <row r="277" spans="1:77" x14ac:dyDescent="0.3">
      <c r="A277" t="s">
        <v>1707</v>
      </c>
      <c r="B277" t="s">
        <v>2024</v>
      </c>
      <c r="C277" s="16">
        <v>141</v>
      </c>
      <c r="D277" s="16" t="s">
        <v>1151</v>
      </c>
      <c r="E277" s="16" t="s">
        <v>293</v>
      </c>
      <c r="F277" s="16" t="s">
        <v>1150</v>
      </c>
      <c r="G277" s="17">
        <f t="shared" si="124"/>
        <v>81.793409999999994</v>
      </c>
      <c r="H277" s="17">
        <v>33.1</v>
      </c>
      <c r="I277" s="18">
        <f t="shared" si="139"/>
        <v>23360.543849999998</v>
      </c>
      <c r="J277" s="18">
        <v>9453.5</v>
      </c>
      <c r="K277" s="19">
        <f t="shared" si="143"/>
        <v>285.60422960725072</v>
      </c>
      <c r="L277" s="19">
        <v>9.5143199999999997</v>
      </c>
      <c r="M277" s="19">
        <v>2.9</v>
      </c>
      <c r="N277" s="20">
        <f t="shared" si="146"/>
        <v>4.4717304000000002</v>
      </c>
      <c r="O277" s="19">
        <v>1.363</v>
      </c>
      <c r="P277" s="21" t="str">
        <f t="shared" si="144"/>
        <v>no</v>
      </c>
      <c r="Q277" s="22">
        <v>0</v>
      </c>
      <c r="R277" s="18" t="s">
        <v>251</v>
      </c>
      <c r="S277" s="23">
        <v>43.157485000000001</v>
      </c>
      <c r="T277" s="23">
        <v>-74.545512000000002</v>
      </c>
      <c r="U277" s="86" t="s">
        <v>77</v>
      </c>
      <c r="V277" s="16" t="s">
        <v>77</v>
      </c>
      <c r="W277" t="str">
        <f t="shared" si="138"/>
        <v>no</v>
      </c>
      <c r="Y277" t="str">
        <f t="shared" si="151"/>
        <v>recreation</v>
      </c>
      <c r="Z277" t="s">
        <v>79</v>
      </c>
      <c r="AA277" s="40" t="s">
        <v>185</v>
      </c>
      <c r="AB277" s="40" t="s">
        <v>79</v>
      </c>
      <c r="AC277" s="24">
        <f>IF(AND(AA277="none reported",AB277="none reported"),"",0)</f>
        <v>0</v>
      </c>
      <c r="AD277" s="24"/>
      <c r="AF277" t="str">
        <f t="shared" si="145"/>
        <v/>
      </c>
      <c r="AG277" s="26" t="s">
        <v>81</v>
      </c>
      <c r="AH277" s="27" t="s">
        <v>82</v>
      </c>
      <c r="AI277" s="28" t="s">
        <v>82</v>
      </c>
      <c r="AJ277" s="29" t="s">
        <v>82</v>
      </c>
      <c r="AK277" s="30" t="s">
        <v>85</v>
      </c>
      <c r="AL277" s="31" t="s">
        <v>121</v>
      </c>
      <c r="AM277" s="32" t="s">
        <v>141</v>
      </c>
      <c r="AN277" s="33" t="s">
        <v>81</v>
      </c>
      <c r="AO277" s="32" t="s">
        <v>81</v>
      </c>
      <c r="AP277" s="39"/>
      <c r="AQ277">
        <v>0</v>
      </c>
      <c r="AR277">
        <v>0</v>
      </c>
      <c r="AS277">
        <v>0</v>
      </c>
      <c r="AT277">
        <v>0</v>
      </c>
      <c r="AU277">
        <v>0</v>
      </c>
      <c r="AV277">
        <v>0</v>
      </c>
      <c r="AW277">
        <v>0</v>
      </c>
      <c r="AX277">
        <v>0</v>
      </c>
      <c r="AZ277" t="s">
        <v>1341</v>
      </c>
      <c r="BD277" t="s">
        <v>298</v>
      </c>
      <c r="BF277" t="s">
        <v>89</v>
      </c>
      <c r="BG277" t="str">
        <f t="shared" si="125"/>
        <v>CSLAP</v>
      </c>
      <c r="BH277" s="14" t="str">
        <f>IF(RIGHT(CM277,4)="2011","yes","no")</f>
        <v>no</v>
      </c>
      <c r="BJ277">
        <f t="shared" si="126"/>
        <v>0</v>
      </c>
      <c r="BK277">
        <f t="shared" si="127"/>
        <v>0</v>
      </c>
      <c r="BL277">
        <f t="shared" si="128"/>
        <v>0</v>
      </c>
      <c r="BM277" t="str">
        <f t="shared" si="129"/>
        <v>CSLAP</v>
      </c>
      <c r="BN277" t="str">
        <f t="shared" si="130"/>
        <v>no</v>
      </c>
      <c r="BO277">
        <v>0.76219512195121952</v>
      </c>
    </row>
    <row r="278" spans="1:77" x14ac:dyDescent="0.3">
      <c r="A278" t="s">
        <v>1708</v>
      </c>
      <c r="B278" t="s">
        <v>2025</v>
      </c>
      <c r="C278" s="16">
        <v>213</v>
      </c>
      <c r="D278" s="16" t="s">
        <v>1342</v>
      </c>
      <c r="E278" s="16" t="s">
        <v>593</v>
      </c>
      <c r="F278" s="16" t="s">
        <v>1343</v>
      </c>
      <c r="G278" s="17">
        <f t="shared" ref="G278:G295" si="152">H278*2.4711</f>
        <v>70.426349999999999</v>
      </c>
      <c r="H278" s="17">
        <v>28.5</v>
      </c>
      <c r="I278" s="18">
        <f t="shared" si="139"/>
        <v>1371.4604999999999</v>
      </c>
      <c r="J278" s="18">
        <v>555</v>
      </c>
      <c r="K278" s="19">
        <f t="shared" si="143"/>
        <v>19.473684210526315</v>
      </c>
      <c r="L278" s="19">
        <v>24.606000000000002</v>
      </c>
      <c r="M278" s="19">
        <v>7.5</v>
      </c>
      <c r="N278" s="20">
        <f t="shared" si="146"/>
        <v>11.564820000000001</v>
      </c>
      <c r="O278" s="19">
        <v>3.5249999999999999</v>
      </c>
      <c r="P278" s="21" t="str">
        <f t="shared" si="144"/>
        <v>no</v>
      </c>
      <c r="Q278" s="22">
        <v>0.36202702702702699</v>
      </c>
      <c r="R278" s="18" t="s">
        <v>2259</v>
      </c>
      <c r="S278" s="23">
        <v>41.971466623799998</v>
      </c>
      <c r="T278" s="23">
        <v>-73.673656165899999</v>
      </c>
      <c r="U278" s="18" t="s">
        <v>77</v>
      </c>
      <c r="V278" s="18"/>
      <c r="W278" t="str">
        <f t="shared" si="138"/>
        <v>no</v>
      </c>
      <c r="Y278" t="str">
        <f t="shared" si="151"/>
        <v>recreation</v>
      </c>
      <c r="Z278" t="s">
        <v>79</v>
      </c>
      <c r="AA278" s="24" t="s">
        <v>420</v>
      </c>
      <c r="AB278" s="24" t="s">
        <v>79</v>
      </c>
      <c r="AC278" s="24">
        <f>IF(AND(AA278="none reported",AB278="none reported"),"",0)</f>
        <v>0</v>
      </c>
      <c r="AD278" s="24"/>
      <c r="AF278" t="str">
        <f t="shared" si="145"/>
        <v/>
      </c>
      <c r="AG278" s="26" t="s">
        <v>81</v>
      </c>
      <c r="AH278" s="27" t="s">
        <v>82</v>
      </c>
      <c r="AI278" s="28" t="s">
        <v>83</v>
      </c>
      <c r="AJ278" s="29" t="s">
        <v>82</v>
      </c>
      <c r="AK278" s="30" t="s">
        <v>84</v>
      </c>
      <c r="AL278" s="31" t="s">
        <v>85</v>
      </c>
      <c r="AM278" s="32" t="s">
        <v>82</v>
      </c>
      <c r="AN278" s="33" t="s">
        <v>81</v>
      </c>
      <c r="AO278" s="32" t="s">
        <v>81</v>
      </c>
      <c r="AP278" s="39"/>
      <c r="AQ278">
        <v>0</v>
      </c>
      <c r="AR278">
        <v>0</v>
      </c>
      <c r="AS278">
        <v>0</v>
      </c>
      <c r="AT278">
        <v>0</v>
      </c>
      <c r="AU278">
        <v>0</v>
      </c>
      <c r="AV278">
        <v>0</v>
      </c>
      <c r="AW278">
        <v>0</v>
      </c>
      <c r="AX278">
        <v>0</v>
      </c>
      <c r="AZ278" t="s">
        <v>1344</v>
      </c>
      <c r="BA278" t="s">
        <v>102</v>
      </c>
      <c r="BB278" t="s">
        <v>2260</v>
      </c>
      <c r="BC278" t="s">
        <v>103</v>
      </c>
      <c r="BD278" t="s">
        <v>152</v>
      </c>
      <c r="BE278" t="s">
        <v>159</v>
      </c>
      <c r="BF278" t="s">
        <v>133</v>
      </c>
      <c r="BG278" t="str">
        <f t="shared" ref="BG278:BG295" si="153">IF(C278="","LCI","CSLAP")</f>
        <v>CSLAP</v>
      </c>
      <c r="BH278" s="14" t="s">
        <v>102</v>
      </c>
      <c r="BJ278">
        <f t="shared" ref="BJ278:BJ295" si="154">IF(MAX(AT278:AX278)=0,0,IF(MAX(AT278:AX278)=1,1,LEN(AE278)-LEN(SUBSTITUTE(UPPER(AE278),",",""))+1))</f>
        <v>0</v>
      </c>
      <c r="BK278">
        <f t="shared" ref="BK278:BK295" si="155">IF(BJ278&gt;1,2,IF(BJ278&gt;0,1,0))</f>
        <v>0</v>
      </c>
      <c r="BL278">
        <f t="shared" ref="BL278:BL295" si="156">IF(BJ278&gt;2,3,IF(BJ278&gt;2,2,IF(BJ278&gt;1,1,0)))</f>
        <v>0</v>
      </c>
      <c r="BM278" t="str">
        <f t="shared" ref="BM278:BM295" si="157">IF(C278="","LCI","CSLAP")</f>
        <v>CSLAP</v>
      </c>
      <c r="BN278" t="str">
        <f t="shared" ref="BN278:BN295" si="158">IF(LEFT(AB278,13)="zebra mussels","yes","no")</f>
        <v>no</v>
      </c>
      <c r="BO278">
        <v>0.5</v>
      </c>
    </row>
    <row r="279" spans="1:77" x14ac:dyDescent="0.3">
      <c r="A279" t="s">
        <v>1709</v>
      </c>
      <c r="B279" t="s">
        <v>2026</v>
      </c>
      <c r="C279" s="16">
        <v>227</v>
      </c>
      <c r="D279" s="16" t="s">
        <v>1345</v>
      </c>
      <c r="E279" s="16" t="s">
        <v>183</v>
      </c>
      <c r="F279" s="16" t="s">
        <v>1346</v>
      </c>
      <c r="G279" s="17">
        <f t="shared" si="152"/>
        <v>0.74132999999999993</v>
      </c>
      <c r="H279" s="17">
        <v>0.3</v>
      </c>
      <c r="I279" s="18">
        <f t="shared" si="139"/>
        <v>120.05344129554653</v>
      </c>
      <c r="J279" s="18">
        <v>48.582995951416997</v>
      </c>
      <c r="K279" s="19">
        <f t="shared" si="143"/>
        <v>161.94331983805665</v>
      </c>
      <c r="L279" s="19" t="s">
        <v>110</v>
      </c>
      <c r="M279" s="19"/>
      <c r="N279" s="20">
        <f t="shared" si="146"/>
        <v>7.7098799999999992</v>
      </c>
      <c r="O279" s="19">
        <v>2.3499999999999996</v>
      </c>
      <c r="P279" s="21" t="str">
        <f t="shared" si="144"/>
        <v>no</v>
      </c>
      <c r="Q279" s="22">
        <v>2.4185416666666668E-2</v>
      </c>
      <c r="R279" s="18">
        <v>2011</v>
      </c>
      <c r="S279" s="23">
        <v>40.997518427999999</v>
      </c>
      <c r="T279" s="23">
        <v>-73.8693109612</v>
      </c>
      <c r="U279" s="18" t="s">
        <v>78</v>
      </c>
      <c r="V279" s="18"/>
      <c r="W279" t="str">
        <f t="shared" si="138"/>
        <v>no</v>
      </c>
      <c r="Y279" t="str">
        <f t="shared" si="151"/>
        <v>recreation</v>
      </c>
      <c r="Z279" t="s">
        <v>79</v>
      </c>
      <c r="AA279" s="24" t="s">
        <v>79</v>
      </c>
      <c r="AB279" s="24" t="s">
        <v>79</v>
      </c>
      <c r="AC279" s="35">
        <v>10.725734761399069</v>
      </c>
      <c r="AD279" s="35" t="s">
        <v>838</v>
      </c>
      <c r="AF279" t="str">
        <f t="shared" si="145"/>
        <v/>
      </c>
      <c r="AG279" s="16" t="s">
        <v>81</v>
      </c>
      <c r="AH279" s="16" t="s">
        <v>81</v>
      </c>
      <c r="AI279" s="16" t="s">
        <v>156</v>
      </c>
      <c r="AJ279" s="16" t="s">
        <v>156</v>
      </c>
      <c r="AK279" s="16" t="s">
        <v>156</v>
      </c>
      <c r="AL279" s="16" t="s">
        <v>156</v>
      </c>
      <c r="AM279" s="16" t="s">
        <v>156</v>
      </c>
      <c r="AN279" s="33" t="s">
        <v>81</v>
      </c>
      <c r="AO279" s="32" t="s">
        <v>81</v>
      </c>
      <c r="AP279" s="39"/>
      <c r="AQ279">
        <v>0</v>
      </c>
      <c r="AR279">
        <v>0</v>
      </c>
      <c r="AS279">
        <v>0</v>
      </c>
      <c r="AT279">
        <v>0</v>
      </c>
      <c r="AU279">
        <v>0</v>
      </c>
      <c r="AV279">
        <v>0</v>
      </c>
      <c r="AW279">
        <v>0</v>
      </c>
      <c r="AX279">
        <v>0</v>
      </c>
      <c r="BD279" t="s">
        <v>152</v>
      </c>
      <c r="BF279" t="s">
        <v>160</v>
      </c>
      <c r="BG279" t="str">
        <f t="shared" si="153"/>
        <v>CSLAP</v>
      </c>
      <c r="BH279" s="14" t="s">
        <v>99</v>
      </c>
      <c r="BJ279">
        <f t="shared" si="154"/>
        <v>0</v>
      </c>
      <c r="BK279">
        <f t="shared" si="155"/>
        <v>0</v>
      </c>
      <c r="BL279">
        <f t="shared" si="156"/>
        <v>0</v>
      </c>
      <c r="BM279" t="str">
        <f t="shared" si="157"/>
        <v>CSLAP</v>
      </c>
      <c r="BN279" t="str">
        <f t="shared" si="158"/>
        <v>no</v>
      </c>
      <c r="BO279">
        <v>0.6</v>
      </c>
    </row>
    <row r="280" spans="1:77" x14ac:dyDescent="0.3">
      <c r="A280" t="s">
        <v>1710</v>
      </c>
      <c r="B280" t="s">
        <v>2027</v>
      </c>
      <c r="C280" s="16">
        <v>142</v>
      </c>
      <c r="D280" s="16" t="s">
        <v>1347</v>
      </c>
      <c r="E280" s="16" t="s">
        <v>1348</v>
      </c>
      <c r="F280" s="16" t="s">
        <v>1349</v>
      </c>
      <c r="G280" s="17">
        <f t="shared" si="152"/>
        <v>44.726910000000004</v>
      </c>
      <c r="H280" s="17">
        <v>18.100000000000001</v>
      </c>
      <c r="I280" s="18">
        <f t="shared" si="139"/>
        <v>219.09753036437243</v>
      </c>
      <c r="J280" s="18">
        <v>88.66396761133602</v>
      </c>
      <c r="K280" s="19">
        <f t="shared" si="143"/>
        <v>4.8985617464826525</v>
      </c>
      <c r="L280" s="19" t="s">
        <v>110</v>
      </c>
      <c r="M280" s="19"/>
      <c r="N280" s="20">
        <f t="shared" si="146"/>
        <v>10.002439024390245</v>
      </c>
      <c r="O280" s="19">
        <v>3.0487804878048781</v>
      </c>
      <c r="P280" s="21" t="str">
        <f t="shared" si="144"/>
        <v>no</v>
      </c>
      <c r="Q280" s="22">
        <v>0.95076419580419558</v>
      </c>
      <c r="R280" s="18" t="s">
        <v>251</v>
      </c>
      <c r="S280" s="23">
        <v>43.21002</v>
      </c>
      <c r="T280" s="23">
        <v>-73.463639999999998</v>
      </c>
      <c r="U280" s="18" t="s">
        <v>77</v>
      </c>
      <c r="V280" s="18" t="s">
        <v>77</v>
      </c>
      <c r="W280" t="str">
        <f t="shared" si="138"/>
        <v>no</v>
      </c>
      <c r="Y280" t="str">
        <f t="shared" si="151"/>
        <v>recreation</v>
      </c>
      <c r="Z280" t="s">
        <v>79</v>
      </c>
      <c r="AA280" s="40" t="s">
        <v>79</v>
      </c>
      <c r="AB280" s="40" t="s">
        <v>79</v>
      </c>
      <c r="AC280" s="35">
        <v>12.456975083186379</v>
      </c>
      <c r="AD280" s="35" t="s">
        <v>1350</v>
      </c>
      <c r="AF280" t="str">
        <f t="shared" si="145"/>
        <v/>
      </c>
      <c r="AG280" s="26" t="s">
        <v>81</v>
      </c>
      <c r="AH280" s="27" t="s">
        <v>83</v>
      </c>
      <c r="AI280" s="28" t="s">
        <v>141</v>
      </c>
      <c r="AJ280" s="29" t="s">
        <v>82</v>
      </c>
      <c r="AK280" s="30" t="s">
        <v>121</v>
      </c>
      <c r="AL280" s="31" t="s">
        <v>85</v>
      </c>
      <c r="AM280" s="32" t="s">
        <v>82</v>
      </c>
      <c r="AN280" s="33" t="s">
        <v>81</v>
      </c>
      <c r="AO280" s="32" t="s">
        <v>81</v>
      </c>
      <c r="AP280" s="39"/>
      <c r="AQ280">
        <v>0</v>
      </c>
      <c r="AR280">
        <v>0</v>
      </c>
      <c r="AS280">
        <v>0</v>
      </c>
      <c r="AT280">
        <v>0</v>
      </c>
      <c r="AU280">
        <v>0</v>
      </c>
      <c r="AV280">
        <v>0</v>
      </c>
      <c r="AW280">
        <v>1</v>
      </c>
      <c r="AX280">
        <v>0</v>
      </c>
      <c r="AZ280" t="s">
        <v>1351</v>
      </c>
      <c r="BD280" t="s">
        <v>298</v>
      </c>
      <c r="BF280" t="s">
        <v>143</v>
      </c>
      <c r="BG280" t="str">
        <f t="shared" si="153"/>
        <v>CSLAP</v>
      </c>
      <c r="BH280" s="14" t="str">
        <f>IF(RIGHT(CM280,4)="2011","yes","no")</f>
        <v>no</v>
      </c>
      <c r="BJ280">
        <f t="shared" si="154"/>
        <v>1</v>
      </c>
      <c r="BK280">
        <f t="shared" si="155"/>
        <v>1</v>
      </c>
      <c r="BL280">
        <f t="shared" si="156"/>
        <v>0</v>
      </c>
      <c r="BM280" t="str">
        <f t="shared" si="157"/>
        <v>CSLAP</v>
      </c>
      <c r="BN280" t="str">
        <f t="shared" si="158"/>
        <v>no</v>
      </c>
      <c r="BO280">
        <v>0.50813008130081305</v>
      </c>
      <c r="BY280" t="s">
        <v>1352</v>
      </c>
    </row>
    <row r="281" spans="1:77" x14ac:dyDescent="0.3">
      <c r="A281" t="s">
        <v>1711</v>
      </c>
      <c r="B281" t="s">
        <v>2028</v>
      </c>
      <c r="C281" s="16">
        <v>75</v>
      </c>
      <c r="D281" s="16" t="s">
        <v>1347</v>
      </c>
      <c r="E281" s="16" t="s">
        <v>396</v>
      </c>
      <c r="F281" s="16" t="s">
        <v>397</v>
      </c>
      <c r="G281" s="17">
        <f t="shared" si="152"/>
        <v>83.276070000000004</v>
      </c>
      <c r="H281" s="17">
        <v>33.700000000000003</v>
      </c>
      <c r="I281" s="18">
        <f t="shared" si="139"/>
        <v>706.7346</v>
      </c>
      <c r="J281" s="18">
        <v>286</v>
      </c>
      <c r="K281" s="19">
        <f t="shared" si="143"/>
        <v>8.4866468842729965</v>
      </c>
      <c r="L281" s="19">
        <v>32.151840000000007</v>
      </c>
      <c r="M281" s="19">
        <v>9.8000000000000007</v>
      </c>
      <c r="N281" s="20">
        <f t="shared" si="146"/>
        <v>13.451279999999999</v>
      </c>
      <c r="O281" s="19">
        <v>4.0999999999999996</v>
      </c>
      <c r="P281" s="21" t="str">
        <f t="shared" si="144"/>
        <v>no</v>
      </c>
      <c r="Q281" s="22">
        <v>1.2248493150684934</v>
      </c>
      <c r="R281" s="18" t="s">
        <v>1353</v>
      </c>
      <c r="S281" s="23">
        <v>42.583159999999999</v>
      </c>
      <c r="T281" s="23">
        <v>-74.581670000000003</v>
      </c>
      <c r="U281" s="18" t="s">
        <v>96</v>
      </c>
      <c r="V281" s="18" t="s">
        <v>1213</v>
      </c>
      <c r="W281" t="str">
        <f t="shared" si="138"/>
        <v>yes</v>
      </c>
      <c r="Y281" t="str">
        <f t="shared" si="151"/>
        <v>potable water and recreation</v>
      </c>
      <c r="Z281" t="s">
        <v>79</v>
      </c>
      <c r="AA281" s="40" t="s">
        <v>209</v>
      </c>
      <c r="AB281" s="40" t="s">
        <v>79</v>
      </c>
      <c r="AC281" s="24">
        <f>IF(AND(AA281="none reported",AB281="none reported"),"",0)</f>
        <v>0</v>
      </c>
      <c r="AD281" s="24"/>
      <c r="AE281" s="25" t="s">
        <v>1354</v>
      </c>
      <c r="AF281" t="str">
        <f t="shared" si="145"/>
        <v>yes</v>
      </c>
      <c r="AG281" s="26" t="s">
        <v>156</v>
      </c>
      <c r="AH281" s="27" t="s">
        <v>156</v>
      </c>
      <c r="AI281" s="28" t="s">
        <v>156</v>
      </c>
      <c r="AJ281" s="29" t="s">
        <v>156</v>
      </c>
      <c r="AK281" s="30" t="s">
        <v>156</v>
      </c>
      <c r="AL281" s="31" t="s">
        <v>156</v>
      </c>
      <c r="AM281" s="32" t="s">
        <v>156</v>
      </c>
      <c r="AN281" s="33" t="s">
        <v>81</v>
      </c>
      <c r="AO281" s="32" t="s">
        <v>81</v>
      </c>
      <c r="AP281" s="39"/>
      <c r="AQ281">
        <v>3</v>
      </c>
      <c r="AR281">
        <v>1</v>
      </c>
      <c r="AS281">
        <v>1</v>
      </c>
      <c r="AT281">
        <v>0</v>
      </c>
      <c r="AU281">
        <v>0</v>
      </c>
      <c r="AV281">
        <v>0</v>
      </c>
      <c r="AW281">
        <v>0</v>
      </c>
      <c r="AX281">
        <v>0</v>
      </c>
      <c r="AZ281" t="s">
        <v>1355</v>
      </c>
      <c r="BA281" t="s">
        <v>102</v>
      </c>
      <c r="BB281" t="s">
        <v>1356</v>
      </c>
      <c r="BC281" t="s">
        <v>132</v>
      </c>
      <c r="BD281" t="s">
        <v>88</v>
      </c>
      <c r="BE281" t="s">
        <v>89</v>
      </c>
      <c r="BF281" t="s">
        <v>143</v>
      </c>
      <c r="BG281" t="str">
        <f t="shared" si="153"/>
        <v>CSLAP</v>
      </c>
      <c r="BH281" s="14" t="str">
        <f>IF(RIGHT(CM281,4)="2011","yes","no")</f>
        <v>no</v>
      </c>
      <c r="BJ281">
        <f t="shared" si="154"/>
        <v>0</v>
      </c>
      <c r="BK281">
        <f t="shared" si="155"/>
        <v>0</v>
      </c>
      <c r="BL281">
        <f t="shared" si="156"/>
        <v>0</v>
      </c>
      <c r="BM281" t="str">
        <f t="shared" si="157"/>
        <v>CSLAP</v>
      </c>
      <c r="BN281" t="str">
        <f t="shared" si="158"/>
        <v>no</v>
      </c>
      <c r="BO281">
        <v>0.50813008130081305</v>
      </c>
      <c r="BY281" t="s">
        <v>1357</v>
      </c>
    </row>
    <row r="282" spans="1:77" x14ac:dyDescent="0.3">
      <c r="A282" t="s">
        <v>1713</v>
      </c>
      <c r="B282" t="s">
        <v>2029</v>
      </c>
      <c r="C282" s="16">
        <v>166</v>
      </c>
      <c r="D282" s="16" t="s">
        <v>1358</v>
      </c>
      <c r="E282" s="16" t="s">
        <v>254</v>
      </c>
      <c r="F282" s="16" t="s">
        <v>1359</v>
      </c>
      <c r="G282" s="17">
        <f>H282*2.4711</f>
        <v>25.699439999999999</v>
      </c>
      <c r="H282" s="17">
        <v>10.4</v>
      </c>
      <c r="I282" s="18">
        <f t="shared" si="139"/>
        <v>156.519474</v>
      </c>
      <c r="J282" s="18">
        <v>63.34</v>
      </c>
      <c r="K282" s="19">
        <f>J282/H282</f>
        <v>6.0903846153846155</v>
      </c>
      <c r="L282" s="19">
        <v>31.82376</v>
      </c>
      <c r="M282" s="19">
        <v>9.6999999999999993</v>
      </c>
      <c r="N282" s="20">
        <f t="shared" si="146"/>
        <v>14.957167199999999</v>
      </c>
      <c r="O282" s="19">
        <v>4.5589999999999993</v>
      </c>
      <c r="P282" s="21" t="str">
        <f>IF(O282=(M282*0.46),"yes","no")</f>
        <v>no</v>
      </c>
      <c r="Q282" s="22">
        <v>1.4971139880012627</v>
      </c>
      <c r="R282" s="18" t="s">
        <v>2261</v>
      </c>
      <c r="S282" s="23">
        <v>43.375348709999997</v>
      </c>
      <c r="T282" s="23">
        <v>-73.639787339999998</v>
      </c>
      <c r="U282" s="18" t="s">
        <v>77</v>
      </c>
      <c r="V282" s="18"/>
      <c r="W282" t="str">
        <f>IF(OR(U282="A",U282="AA",U282="AAspec",U282="A(T)",U282="AA(T)"),"yes","no")</f>
        <v>no</v>
      </c>
      <c r="Y282" t="str">
        <f>IF(W282="yes",IF(X282="","potable water and recreation","potable water, recreation, and public bathing"),IF(X282="","recreation","recreation and public bathing"))</f>
        <v>recreation</v>
      </c>
      <c r="Z282" t="s">
        <v>79</v>
      </c>
      <c r="AA282" s="24" t="s">
        <v>120</v>
      </c>
      <c r="AB282" s="24" t="s">
        <v>79</v>
      </c>
      <c r="AC282" s="24">
        <f>IF(AND(AA282="none reported",AB282="none reported"),"",0)</f>
        <v>0</v>
      </c>
      <c r="AD282" s="24"/>
      <c r="AE282" s="25">
        <v>2013</v>
      </c>
      <c r="AF282" t="str">
        <f>IF(AE282="","",IF(IFERROR(SEARCH(",",AE282,1)&gt;1,0),"yes","no"))</f>
        <v>no</v>
      </c>
      <c r="AG282" s="26" t="s">
        <v>81</v>
      </c>
      <c r="AH282" s="27" t="s">
        <v>82</v>
      </c>
      <c r="AI282" s="28" t="s">
        <v>83</v>
      </c>
      <c r="AJ282" s="29" t="s">
        <v>82</v>
      </c>
      <c r="AK282" s="30" t="s">
        <v>85</v>
      </c>
      <c r="AL282" s="31" t="s">
        <v>84</v>
      </c>
      <c r="AM282" s="32" t="s">
        <v>82</v>
      </c>
      <c r="AN282" s="33" t="s">
        <v>81</v>
      </c>
      <c r="AO282" s="32" t="s">
        <v>81</v>
      </c>
      <c r="AP282" s="39"/>
      <c r="AQ282">
        <v>0</v>
      </c>
      <c r="AR282">
        <v>0</v>
      </c>
      <c r="AS282">
        <v>0</v>
      </c>
      <c r="AT282">
        <v>0</v>
      </c>
      <c r="AU282">
        <v>0</v>
      </c>
      <c r="AV282">
        <v>0</v>
      </c>
      <c r="AW282">
        <v>5</v>
      </c>
      <c r="AX282">
        <v>0</v>
      </c>
      <c r="AY282" t="s">
        <v>1360</v>
      </c>
      <c r="AZ282" t="s">
        <v>1361</v>
      </c>
      <c r="BA282" t="s">
        <v>102</v>
      </c>
      <c r="BB282" t="s">
        <v>1362</v>
      </c>
      <c r="BC282" t="s">
        <v>87</v>
      </c>
      <c r="BD282" t="s">
        <v>124</v>
      </c>
      <c r="BE282" t="s">
        <v>89</v>
      </c>
      <c r="BF282" t="s">
        <v>89</v>
      </c>
      <c r="BG282" t="str">
        <f>IF(C282="","LCI","CSLAP")</f>
        <v>CSLAP</v>
      </c>
      <c r="BH282" s="14" t="s">
        <v>102</v>
      </c>
      <c r="BJ282">
        <f>IF(MAX(AT282:AX282)=0,0,IF(MAX(AT282:AX282)=1,1,LEN(AE282)-LEN(SUBSTITUTE(UPPER(AE282),",",""))+1))</f>
        <v>1</v>
      </c>
      <c r="BK282">
        <f>IF(BJ282&gt;1,2,IF(BJ282&gt;0,1,0))</f>
        <v>1</v>
      </c>
      <c r="BL282">
        <f>IF(BJ282&gt;2,3,IF(BJ282&gt;2,2,IF(BJ282&gt;1,1,0)))</f>
        <v>0</v>
      </c>
      <c r="BM282" t="str">
        <f>IF(C282="","LCI","CSLAP")</f>
        <v>CSLAP</v>
      </c>
      <c r="BN282" t="str">
        <f>IF(LEFT(AB282,13)="zebra mussels","yes","no")</f>
        <v>no</v>
      </c>
      <c r="BO282">
        <v>0.5</v>
      </c>
      <c r="BU282" t="s">
        <v>1363</v>
      </c>
      <c r="BV282" t="s">
        <v>1360</v>
      </c>
    </row>
    <row r="283" spans="1:77" x14ac:dyDescent="0.3">
      <c r="A283" t="s">
        <v>1714</v>
      </c>
      <c r="B283" t="s">
        <v>2030</v>
      </c>
      <c r="C283" s="16">
        <v>181</v>
      </c>
      <c r="D283" s="16" t="s">
        <v>1364</v>
      </c>
      <c r="E283" s="16" t="s">
        <v>127</v>
      </c>
      <c r="F283" s="16" t="s">
        <v>128</v>
      </c>
      <c r="G283" s="17">
        <f t="shared" si="152"/>
        <v>32.124299999999998</v>
      </c>
      <c r="H283" s="17">
        <v>13</v>
      </c>
      <c r="I283" s="18">
        <f t="shared" si="139"/>
        <v>282.94094999999999</v>
      </c>
      <c r="J283" s="18">
        <v>114.5</v>
      </c>
      <c r="K283" s="19">
        <f t="shared" si="143"/>
        <v>8.8076923076923084</v>
      </c>
      <c r="L283" s="19">
        <v>32.808</v>
      </c>
      <c r="M283" s="19">
        <v>10</v>
      </c>
      <c r="N283" s="20">
        <f t="shared" si="146"/>
        <v>15.419759999999998</v>
      </c>
      <c r="O283" s="19">
        <v>4.6999999999999993</v>
      </c>
      <c r="P283" s="21" t="str">
        <f t="shared" si="144"/>
        <v>no</v>
      </c>
      <c r="Q283" s="22">
        <v>2.6681222707423577</v>
      </c>
      <c r="R283" s="18" t="s">
        <v>2262</v>
      </c>
      <c r="S283" s="23">
        <v>42.735316198299998</v>
      </c>
      <c r="T283" s="23">
        <v>-73.412640702100006</v>
      </c>
      <c r="U283" s="18" t="s">
        <v>450</v>
      </c>
      <c r="V283" s="18" t="s">
        <v>96</v>
      </c>
      <c r="W283" t="str">
        <f t="shared" si="138"/>
        <v>no</v>
      </c>
      <c r="Y283" t="str">
        <f t="shared" si="151"/>
        <v>recreation</v>
      </c>
      <c r="Z283" t="s">
        <v>79</v>
      </c>
      <c r="AA283" s="24" t="s">
        <v>79</v>
      </c>
      <c r="AB283" s="24" t="s">
        <v>79</v>
      </c>
      <c r="AC283" s="35">
        <v>3.9722998452221243</v>
      </c>
      <c r="AD283" s="35" t="s">
        <v>130</v>
      </c>
      <c r="AF283" t="str">
        <f t="shared" si="145"/>
        <v/>
      </c>
      <c r="AG283" s="26" t="s">
        <v>81</v>
      </c>
      <c r="AH283" s="27" t="s">
        <v>81</v>
      </c>
      <c r="AI283" s="28" t="s">
        <v>156</v>
      </c>
      <c r="AJ283" s="29" t="s">
        <v>156</v>
      </c>
      <c r="AK283" s="30" t="s">
        <v>156</v>
      </c>
      <c r="AL283" s="31" t="s">
        <v>156</v>
      </c>
      <c r="AM283" s="32" t="s">
        <v>156</v>
      </c>
      <c r="AN283" s="33" t="s">
        <v>81</v>
      </c>
      <c r="AO283" s="32" t="s">
        <v>81</v>
      </c>
      <c r="AP283" s="39"/>
      <c r="AQ283">
        <v>0</v>
      </c>
      <c r="AR283">
        <v>0</v>
      </c>
      <c r="AS283">
        <v>0</v>
      </c>
      <c r="AT283">
        <v>0</v>
      </c>
      <c r="AU283">
        <v>0</v>
      </c>
      <c r="AV283">
        <v>0</v>
      </c>
      <c r="AW283">
        <v>0</v>
      </c>
      <c r="AX283">
        <v>0</v>
      </c>
      <c r="AZ283" t="s">
        <v>1365</v>
      </c>
      <c r="BA283" t="s">
        <v>102</v>
      </c>
      <c r="BB283" t="s">
        <v>1366</v>
      </c>
      <c r="BC283" t="s">
        <v>132</v>
      </c>
      <c r="BD283" t="s">
        <v>88</v>
      </c>
      <c r="BE283" t="s">
        <v>89</v>
      </c>
      <c r="BF283" t="s">
        <v>133</v>
      </c>
      <c r="BG283" t="str">
        <f t="shared" si="153"/>
        <v>CSLAP</v>
      </c>
      <c r="BH283" s="14" t="s">
        <v>102</v>
      </c>
      <c r="BJ283">
        <f t="shared" si="154"/>
        <v>0</v>
      </c>
      <c r="BK283">
        <f t="shared" si="155"/>
        <v>0</v>
      </c>
      <c r="BL283">
        <f t="shared" si="156"/>
        <v>0</v>
      </c>
      <c r="BM283" t="str">
        <f t="shared" si="157"/>
        <v>CSLAP</v>
      </c>
      <c r="BN283" t="str">
        <f t="shared" si="158"/>
        <v>no</v>
      </c>
      <c r="BO283">
        <v>0.2</v>
      </c>
    </row>
    <row r="284" spans="1:77" x14ac:dyDescent="0.3">
      <c r="A284" t="s">
        <v>2031</v>
      </c>
      <c r="B284" t="s">
        <v>2032</v>
      </c>
      <c r="C284" s="16">
        <v>259</v>
      </c>
      <c r="D284" s="16" t="s">
        <v>1367</v>
      </c>
      <c r="E284" s="16" t="s">
        <v>762</v>
      </c>
      <c r="F284" s="16" t="s">
        <v>1368</v>
      </c>
      <c r="G284" s="17">
        <v>27</v>
      </c>
      <c r="H284" s="17">
        <v>11</v>
      </c>
      <c r="I284" s="18">
        <v>1080</v>
      </c>
      <c r="J284" s="18">
        <v>437</v>
      </c>
      <c r="K284" s="19">
        <f t="shared" si="143"/>
        <v>39.727272727272727</v>
      </c>
      <c r="L284" s="21">
        <f>3.28*M284</f>
        <v>9.84</v>
      </c>
      <c r="M284" s="19">
        <v>3</v>
      </c>
      <c r="N284" s="20">
        <v>5</v>
      </c>
      <c r="O284" s="19">
        <v>1</v>
      </c>
      <c r="P284" s="21" t="str">
        <f t="shared" si="144"/>
        <v>no</v>
      </c>
      <c r="Q284" s="22">
        <v>9.9075514874141887E-2</v>
      </c>
      <c r="R284" s="18" t="s">
        <v>2088</v>
      </c>
      <c r="S284">
        <v>42.193635</v>
      </c>
      <c r="T284">
        <v>-77.251115999999996</v>
      </c>
      <c r="U284" s="18" t="s">
        <v>77</v>
      </c>
      <c r="V284" s="18"/>
      <c r="W284" t="str">
        <f t="shared" si="138"/>
        <v>no</v>
      </c>
      <c r="Y284" t="str">
        <f t="shared" si="151"/>
        <v>recreation</v>
      </c>
      <c r="AA284" s="24" t="s">
        <v>79</v>
      </c>
      <c r="AB284" s="24"/>
      <c r="AC284" s="35"/>
      <c r="AD284" s="35"/>
      <c r="AE284" s="25">
        <v>2019</v>
      </c>
      <c r="AF284" t="s">
        <v>99</v>
      </c>
      <c r="AG284" s="61" t="s">
        <v>81</v>
      </c>
      <c r="AH284" s="77" t="s">
        <v>156</v>
      </c>
      <c r="AI284" s="78" t="s">
        <v>156</v>
      </c>
      <c r="AJ284" s="79" t="s">
        <v>156</v>
      </c>
      <c r="AK284" s="80" t="s">
        <v>156</v>
      </c>
      <c r="AL284" s="81" t="s">
        <v>156</v>
      </c>
      <c r="AM284" s="82" t="s">
        <v>156</v>
      </c>
      <c r="AN284" s="39">
        <v>43652</v>
      </c>
      <c r="AO284" s="39">
        <v>43723</v>
      </c>
      <c r="AP284" s="39"/>
      <c r="AQ284">
        <v>5</v>
      </c>
      <c r="AR284">
        <v>2</v>
      </c>
      <c r="AS284">
        <v>0</v>
      </c>
      <c r="AT284"/>
      <c r="AU284"/>
      <c r="AV284"/>
      <c r="AW284"/>
      <c r="AX284"/>
      <c r="AZ284" t="s">
        <v>1369</v>
      </c>
      <c r="BA284" t="s">
        <v>102</v>
      </c>
      <c r="BB284" t="s">
        <v>2263</v>
      </c>
      <c r="BD284" t="s">
        <v>364</v>
      </c>
      <c r="BG284" t="s">
        <v>54</v>
      </c>
      <c r="BH284" s="14" t="s">
        <v>102</v>
      </c>
      <c r="BM284" t="s">
        <v>54</v>
      </c>
      <c r="BN284" t="s">
        <v>99</v>
      </c>
      <c r="BO284">
        <v>0.38109756097560976</v>
      </c>
    </row>
    <row r="285" spans="1:77" x14ac:dyDescent="0.3">
      <c r="A285" t="s">
        <v>1716</v>
      </c>
      <c r="B285" t="s">
        <v>2033</v>
      </c>
      <c r="C285" s="16">
        <v>143</v>
      </c>
      <c r="D285" s="16" t="s">
        <v>1273</v>
      </c>
      <c r="E285" s="16" t="s">
        <v>183</v>
      </c>
      <c r="F285" s="16" t="s">
        <v>856</v>
      </c>
      <c r="G285" s="17">
        <f t="shared" si="152"/>
        <v>38.302049999999994</v>
      </c>
      <c r="H285" s="17">
        <v>15.5</v>
      </c>
      <c r="I285" s="18">
        <f>IF(J285="","",J285*2.4711)</f>
        <v>713.40656999999987</v>
      </c>
      <c r="J285" s="18">
        <v>288.7</v>
      </c>
      <c r="K285" s="19">
        <f t="shared" si="143"/>
        <v>18.625806451612902</v>
      </c>
      <c r="L285" s="19">
        <v>10.826639999999999</v>
      </c>
      <c r="M285" s="19">
        <v>3.3</v>
      </c>
      <c r="N285" s="20">
        <f>IF(O285="", "",O285*3.2808)</f>
        <v>4.2650399999999999</v>
      </c>
      <c r="O285" s="19">
        <v>1.3</v>
      </c>
      <c r="P285" s="21" t="str">
        <f t="shared" si="144"/>
        <v>no</v>
      </c>
      <c r="Q285" s="22">
        <v>0.125</v>
      </c>
      <c r="R285" s="18" t="s">
        <v>1370</v>
      </c>
      <c r="S285" s="23">
        <v>41.211851000000003</v>
      </c>
      <c r="T285" s="23">
        <v>-73.831221999999997</v>
      </c>
      <c r="U285" s="18" t="s">
        <v>77</v>
      </c>
      <c r="V285" s="18" t="s">
        <v>77</v>
      </c>
      <c r="W285" t="str">
        <f t="shared" si="138"/>
        <v>no</v>
      </c>
      <c r="Y285" t="str">
        <f t="shared" si="151"/>
        <v>recreation</v>
      </c>
      <c r="Z285" t="s">
        <v>79</v>
      </c>
      <c r="AA285" s="24" t="s">
        <v>1371</v>
      </c>
      <c r="AB285" s="24" t="s">
        <v>79</v>
      </c>
      <c r="AC285" s="24">
        <f>IF(AND(AA285="none reported",AB285="none reported"),"",0)</f>
        <v>0</v>
      </c>
      <c r="AD285" s="24"/>
      <c r="AF285" t="str">
        <f t="shared" si="145"/>
        <v/>
      </c>
      <c r="AG285" s="26" t="s">
        <v>81</v>
      </c>
      <c r="AH285" s="27" t="s">
        <v>83</v>
      </c>
      <c r="AI285" s="28" t="s">
        <v>141</v>
      </c>
      <c r="AJ285" s="29" t="s">
        <v>83</v>
      </c>
      <c r="AK285" s="30" t="s">
        <v>121</v>
      </c>
      <c r="AL285" s="31" t="s">
        <v>84</v>
      </c>
      <c r="AM285" s="32" t="s">
        <v>82</v>
      </c>
      <c r="AN285" s="33" t="s">
        <v>81</v>
      </c>
      <c r="AO285" s="32" t="s">
        <v>81</v>
      </c>
      <c r="AP285" s="39"/>
      <c r="AQ285">
        <v>0</v>
      </c>
      <c r="AR285">
        <v>0</v>
      </c>
      <c r="AS285">
        <v>0</v>
      </c>
      <c r="AT285">
        <v>0</v>
      </c>
      <c r="AU285">
        <v>0</v>
      </c>
      <c r="AV285">
        <v>0</v>
      </c>
      <c r="AW285">
        <v>0</v>
      </c>
      <c r="AX285">
        <v>0</v>
      </c>
      <c r="BD285" t="s">
        <v>152</v>
      </c>
      <c r="BF285" t="s">
        <v>160</v>
      </c>
      <c r="BG285" t="str">
        <f t="shared" si="153"/>
        <v>CSLAP</v>
      </c>
      <c r="BH285" s="14" t="str">
        <f>IF(RIGHT(CM285,4)="2011","yes","no")</f>
        <v>no</v>
      </c>
      <c r="BJ285">
        <f t="shared" si="154"/>
        <v>0</v>
      </c>
      <c r="BK285">
        <f t="shared" si="155"/>
        <v>0</v>
      </c>
      <c r="BL285">
        <f t="shared" si="156"/>
        <v>0</v>
      </c>
      <c r="BM285" t="str">
        <f t="shared" si="157"/>
        <v>CSLAP</v>
      </c>
      <c r="BN285" t="str">
        <f t="shared" si="158"/>
        <v>no</v>
      </c>
      <c r="BO285">
        <v>0.55836508486317982</v>
      </c>
    </row>
    <row r="286" spans="1:77" x14ac:dyDescent="0.3">
      <c r="A286" t="e">
        <v>#N/A</v>
      </c>
      <c r="B286" t="e">
        <v>#N/A</v>
      </c>
      <c r="C286" s="16">
        <v>1004</v>
      </c>
      <c r="D286" s="16" t="s">
        <v>1372</v>
      </c>
      <c r="E286" s="16" t="s">
        <v>269</v>
      </c>
      <c r="F286" s="16" t="s">
        <v>1373</v>
      </c>
      <c r="G286" s="17">
        <f t="shared" si="152"/>
        <v>128.00297999999998</v>
      </c>
      <c r="H286" s="17">
        <v>51.8</v>
      </c>
      <c r="I286" s="18">
        <f>IF(J286="","",J286*2.4711)</f>
        <v>3064.1639999999998</v>
      </c>
      <c r="J286" s="18">
        <v>1240</v>
      </c>
      <c r="K286" s="19">
        <f t="shared" si="143"/>
        <v>23.938223938223938</v>
      </c>
      <c r="L286" s="19">
        <v>60</v>
      </c>
      <c r="M286" s="19">
        <v>18.3</v>
      </c>
      <c r="N286" s="20">
        <f>IF(O286="", "",O286*3.2808)</f>
        <v>41.010000000000005</v>
      </c>
      <c r="O286" s="19">
        <v>12.5</v>
      </c>
      <c r="P286" s="21" t="str">
        <f t="shared" si="144"/>
        <v>no</v>
      </c>
      <c r="Q286" s="22">
        <v>0.60000000000000009</v>
      </c>
      <c r="R286" s="18" t="s">
        <v>1374</v>
      </c>
      <c r="S286" s="23">
        <v>42.650133369999999</v>
      </c>
      <c r="T286" s="23">
        <v>-74.042555710000002</v>
      </c>
      <c r="U286" s="18" t="s">
        <v>458</v>
      </c>
      <c r="V286" s="18"/>
      <c r="W286" t="str">
        <f t="shared" si="138"/>
        <v>yes</v>
      </c>
      <c r="Y286" t="str">
        <f t="shared" si="151"/>
        <v>potable water and recreation</v>
      </c>
      <c r="Z286" t="s">
        <v>79</v>
      </c>
      <c r="AA286" s="40" t="s">
        <v>420</v>
      </c>
      <c r="AB286" t="s">
        <v>1375</v>
      </c>
      <c r="AC286" s="24">
        <f>IF(AND(AA286="none reported",AB286="none reported"),"",0)</f>
        <v>0</v>
      </c>
      <c r="AD286" s="24"/>
      <c r="AF286" t="str">
        <f t="shared" si="145"/>
        <v/>
      </c>
      <c r="AG286" s="26" t="s">
        <v>82</v>
      </c>
      <c r="AH286" s="16" t="s">
        <v>82</v>
      </c>
      <c r="AI286" s="16" t="s">
        <v>82</v>
      </c>
      <c r="AJ286" s="16" t="s">
        <v>82</v>
      </c>
      <c r="AK286" s="16" t="s">
        <v>85</v>
      </c>
      <c r="AL286" s="16" t="s">
        <v>85</v>
      </c>
      <c r="AM286" s="16" t="s">
        <v>82</v>
      </c>
      <c r="AN286" s="33" t="s">
        <v>81</v>
      </c>
      <c r="AO286" s="32" t="s">
        <v>81</v>
      </c>
      <c r="AP286" s="39"/>
      <c r="AQ286">
        <v>0</v>
      </c>
      <c r="AR286">
        <v>0</v>
      </c>
      <c r="AS286">
        <v>0</v>
      </c>
      <c r="AT286">
        <v>0</v>
      </c>
      <c r="AU286">
        <v>0</v>
      </c>
      <c r="AV286">
        <v>0</v>
      </c>
      <c r="AW286">
        <v>0</v>
      </c>
      <c r="AX286">
        <v>0</v>
      </c>
      <c r="BA286" t="s">
        <v>102</v>
      </c>
      <c r="BD286" t="s">
        <v>152</v>
      </c>
      <c r="BF286" t="s">
        <v>143</v>
      </c>
      <c r="BG286" t="str">
        <f t="shared" si="153"/>
        <v>CSLAP</v>
      </c>
      <c r="BH286" s="14" t="str">
        <f>IF(RIGHT(CM286,4)="2011","yes","no")</f>
        <v>no</v>
      </c>
      <c r="BJ286">
        <f t="shared" si="154"/>
        <v>0</v>
      </c>
      <c r="BK286">
        <f t="shared" si="155"/>
        <v>0</v>
      </c>
      <c r="BL286">
        <f t="shared" si="156"/>
        <v>0</v>
      </c>
      <c r="BM286" t="str">
        <f t="shared" si="157"/>
        <v>CSLAP</v>
      </c>
      <c r="BN286" t="str">
        <f t="shared" si="158"/>
        <v>no</v>
      </c>
      <c r="BO286">
        <v>0.87029569892473102</v>
      </c>
    </row>
    <row r="287" spans="1:77" s="83" customFormat="1" x14ac:dyDescent="0.3">
      <c r="A287" t="s">
        <v>1717</v>
      </c>
      <c r="B287" t="s">
        <v>2034</v>
      </c>
      <c r="C287" s="16">
        <v>261</v>
      </c>
      <c r="D287" s="16" t="s">
        <v>1376</v>
      </c>
      <c r="E287" s="16" t="s">
        <v>370</v>
      </c>
      <c r="F287" s="16" t="s">
        <v>1142</v>
      </c>
      <c r="G287" s="17">
        <v>18</v>
      </c>
      <c r="H287" s="17">
        <v>7.3</v>
      </c>
      <c r="I287" s="18">
        <v>160</v>
      </c>
      <c r="J287" s="18">
        <v>64.7</v>
      </c>
      <c r="K287" s="19">
        <f t="shared" si="143"/>
        <v>8.8630136986301373</v>
      </c>
      <c r="L287" s="19">
        <v>9.8000000000000007</v>
      </c>
      <c r="M287" s="19">
        <v>3</v>
      </c>
      <c r="N287" s="20">
        <f>IF(O287="", "",O287*3.2808)</f>
        <v>8.202</v>
      </c>
      <c r="O287" s="19">
        <v>2.5</v>
      </c>
      <c r="P287" s="21" t="str">
        <f t="shared" si="144"/>
        <v>no</v>
      </c>
      <c r="Q287" s="22">
        <v>0.33133273311897105</v>
      </c>
      <c r="R287" s="18" t="s">
        <v>2233</v>
      </c>
      <c r="S287" s="23">
        <v>42.268869549199998</v>
      </c>
      <c r="T287" s="23">
        <v>-75.728021042400002</v>
      </c>
      <c r="U287" s="18" t="s">
        <v>78</v>
      </c>
      <c r="V287" s="18" t="s">
        <v>96</v>
      </c>
      <c r="W287" t="s">
        <v>99</v>
      </c>
      <c r="X287"/>
      <c r="Y287" t="str">
        <f>IF(W287="yes",IF(X287="","potable water and recreation","potable water, recreation, and public bathing"),IF(X287="","recreation","recreation and public bathing"))</f>
        <v>recreation</v>
      </c>
      <c r="Z287" t="s">
        <v>79</v>
      </c>
      <c r="AA287" s="24" t="s">
        <v>120</v>
      </c>
      <c r="AB287" s="24" t="s">
        <v>79</v>
      </c>
      <c r="AC287" s="24">
        <v>0</v>
      </c>
      <c r="AD287" s="24"/>
      <c r="AE287" s="25" t="s">
        <v>1377</v>
      </c>
      <c r="AF287" t="str">
        <f t="shared" si="145"/>
        <v>yes</v>
      </c>
      <c r="AG287" s="26" t="s">
        <v>81</v>
      </c>
      <c r="AH287" s="27" t="s">
        <v>156</v>
      </c>
      <c r="AI287" s="28" t="s">
        <v>156</v>
      </c>
      <c r="AJ287" s="29" t="s">
        <v>156</v>
      </c>
      <c r="AK287" s="30" t="s">
        <v>156</v>
      </c>
      <c r="AL287" s="31" t="s">
        <v>156</v>
      </c>
      <c r="AM287" s="32" t="s">
        <v>156</v>
      </c>
      <c r="AN287" s="33">
        <v>43684</v>
      </c>
      <c r="AO287" s="33">
        <v>43703</v>
      </c>
      <c r="AP287" s="39"/>
      <c r="AQ287">
        <v>0</v>
      </c>
      <c r="AR287">
        <v>0</v>
      </c>
      <c r="AS287">
        <v>1</v>
      </c>
      <c r="AT287">
        <v>0</v>
      </c>
      <c r="AU287">
        <v>1</v>
      </c>
      <c r="AV287">
        <v>0</v>
      </c>
      <c r="AW287">
        <v>0</v>
      </c>
      <c r="AX287">
        <v>0</v>
      </c>
      <c r="AY287"/>
      <c r="AZ287" t="s">
        <v>1378</v>
      </c>
      <c r="BA287" t="s">
        <v>102</v>
      </c>
      <c r="BB287" t="s">
        <v>1379</v>
      </c>
      <c r="BC287" t="s">
        <v>132</v>
      </c>
      <c r="BD287" t="s">
        <v>114</v>
      </c>
      <c r="BE287" t="s">
        <v>247</v>
      </c>
      <c r="BF287" t="s">
        <v>115</v>
      </c>
      <c r="BG287" t="str">
        <f t="shared" si="153"/>
        <v>CSLAP</v>
      </c>
      <c r="BH287" s="14" t="s">
        <v>102</v>
      </c>
      <c r="BI287"/>
      <c r="BJ287">
        <f t="shared" si="154"/>
        <v>1</v>
      </c>
      <c r="BK287">
        <f t="shared" si="155"/>
        <v>1</v>
      </c>
      <c r="BL287">
        <f t="shared" si="156"/>
        <v>0</v>
      </c>
      <c r="BM287" t="str">
        <f t="shared" si="157"/>
        <v>CSLAP</v>
      </c>
      <c r="BN287" t="str">
        <f t="shared" si="158"/>
        <v>no</v>
      </c>
      <c r="BO287">
        <v>0.38109756097560976</v>
      </c>
      <c r="BP287"/>
      <c r="BQ287"/>
      <c r="BR287"/>
      <c r="BS287"/>
      <c r="BT287"/>
      <c r="BU287"/>
      <c r="BV287"/>
      <c r="BW287"/>
      <c r="BX287"/>
      <c r="BY287"/>
    </row>
    <row r="288" spans="1:77" x14ac:dyDescent="0.3">
      <c r="A288" t="s">
        <v>1718</v>
      </c>
      <c r="B288" t="s">
        <v>2035</v>
      </c>
      <c r="C288" s="16">
        <v>203</v>
      </c>
      <c r="D288" s="16" t="s">
        <v>1380</v>
      </c>
      <c r="E288" s="16" t="s">
        <v>183</v>
      </c>
      <c r="F288" s="16" t="s">
        <v>691</v>
      </c>
      <c r="G288" s="17">
        <f>H288*2.4711</f>
        <v>7.1661899999999994</v>
      </c>
      <c r="H288" s="17">
        <v>2.9</v>
      </c>
      <c r="I288" s="18">
        <f>IF(J288="","",J288*2.4711)</f>
        <v>210.04349999999999</v>
      </c>
      <c r="J288" s="18">
        <v>85</v>
      </c>
      <c r="K288" s="19">
        <f>J288/H288</f>
        <v>29.310344827586206</v>
      </c>
      <c r="L288" s="19">
        <f>3.28*M288</f>
        <v>11.151999999999999</v>
      </c>
      <c r="M288" s="19">
        <v>3.4</v>
      </c>
      <c r="N288" s="20">
        <f>IF(O288="", "",O288*3.2808)</f>
        <v>4.9212000000000007</v>
      </c>
      <c r="O288" s="19">
        <v>1.5</v>
      </c>
      <c r="P288" s="21" t="str">
        <f>IF(O288=(M288*0.46),"yes","no")</f>
        <v>no</v>
      </c>
      <c r="Q288" s="22">
        <v>8.0572235294117653E-2</v>
      </c>
      <c r="R288" s="18" t="s">
        <v>2265</v>
      </c>
      <c r="S288" s="23">
        <v>41.293870452900002</v>
      </c>
      <c r="T288" s="23">
        <v>-73.663049892299995</v>
      </c>
      <c r="U288" s="18" t="s">
        <v>77</v>
      </c>
      <c r="V288" s="18" t="s">
        <v>96</v>
      </c>
      <c r="W288" t="str">
        <f>IF(OR(U288="A",U288="AA",U288="AAspec",U288="A(T)",U288="AA(T)"),"yes","no")</f>
        <v>no</v>
      </c>
      <c r="Y288" t="str">
        <f>IF(W288="yes",IF(X288="","potable water and recreation","potable water, recreation, and public bathing"),IF(X288="","recreation","recreation and public bathing"))</f>
        <v>recreation</v>
      </c>
      <c r="Z288" t="s">
        <v>79</v>
      </c>
      <c r="AA288" s="24" t="s">
        <v>79</v>
      </c>
      <c r="AB288" s="24" t="s">
        <v>79</v>
      </c>
      <c r="AC288" s="35">
        <v>0.68155537634240548</v>
      </c>
      <c r="AD288" s="35" t="s">
        <v>1381</v>
      </c>
      <c r="AE288" s="25">
        <v>2019</v>
      </c>
      <c r="AF288" t="str">
        <f>IF(AE288="","",IF(IFERROR(SEARCH(",",AE288,1)&gt;1,0),"yes","no"))</f>
        <v>no</v>
      </c>
      <c r="AG288" s="26" t="s">
        <v>81</v>
      </c>
      <c r="AH288" s="27" t="s">
        <v>156</v>
      </c>
      <c r="AI288" s="28" t="s">
        <v>156</v>
      </c>
      <c r="AJ288" s="29" t="s">
        <v>156</v>
      </c>
      <c r="AK288" s="30" t="s">
        <v>156</v>
      </c>
      <c r="AL288" s="31" t="s">
        <v>156</v>
      </c>
      <c r="AM288" s="32" t="s">
        <v>156</v>
      </c>
      <c r="AN288" s="33">
        <v>43646</v>
      </c>
      <c r="AO288" s="33">
        <v>43646</v>
      </c>
      <c r="AP288" s="39"/>
      <c r="AQ288">
        <v>0</v>
      </c>
      <c r="AR288">
        <v>0</v>
      </c>
      <c r="AS288">
        <v>0</v>
      </c>
      <c r="AT288">
        <v>0</v>
      </c>
      <c r="AU288">
        <v>0</v>
      </c>
      <c r="AV288">
        <v>0</v>
      </c>
      <c r="AW288">
        <v>0</v>
      </c>
      <c r="AX288">
        <v>0</v>
      </c>
      <c r="AY288" t="s">
        <v>1382</v>
      </c>
      <c r="AZ288" t="s">
        <v>1383</v>
      </c>
      <c r="BA288" t="s">
        <v>102</v>
      </c>
      <c r="BB288" t="s">
        <v>2266</v>
      </c>
      <c r="BC288" t="s">
        <v>103</v>
      </c>
      <c r="BD288" t="s">
        <v>152</v>
      </c>
      <c r="BE288" t="s">
        <v>159</v>
      </c>
      <c r="BF288" t="s">
        <v>160</v>
      </c>
      <c r="BG288" t="str">
        <f>IF(C288="","LCI","CSLAP")</f>
        <v>CSLAP</v>
      </c>
      <c r="BH288" s="14" t="s">
        <v>102</v>
      </c>
      <c r="BJ288">
        <f>IF(MAX(AT288:AX288)=0,0,IF(MAX(AT288:AX288)=1,1,LEN(AE288)-LEN(SUBSTITUTE(UPPER(AE288),",",""))+1))</f>
        <v>0</v>
      </c>
      <c r="BK288">
        <f>IF(BJ288&gt;1,2,IF(BJ288&gt;0,1,0))</f>
        <v>0</v>
      </c>
      <c r="BL288">
        <f>IF(BJ288&gt;2,3,IF(BJ288&gt;2,2,IF(BJ288&gt;1,1,0)))</f>
        <v>0</v>
      </c>
      <c r="BM288" t="str">
        <f>IF(C288="","LCI","CSLAP")</f>
        <v>CSLAP</v>
      </c>
      <c r="BN288" t="str">
        <f>IF(LEFT(AB288,13)="zebra mussels","yes","no")</f>
        <v>no</v>
      </c>
      <c r="BO288">
        <v>0.63516260162601623</v>
      </c>
      <c r="BV288" t="s">
        <v>1382</v>
      </c>
    </row>
    <row r="289" spans="1:77" x14ac:dyDescent="0.3">
      <c r="A289" t="s">
        <v>2036</v>
      </c>
      <c r="B289" t="s">
        <v>2037</v>
      </c>
      <c r="C289" s="16">
        <v>188</v>
      </c>
      <c r="D289" s="16" t="s">
        <v>1384</v>
      </c>
      <c r="E289" s="16" t="s">
        <v>93</v>
      </c>
      <c r="F289" s="16" t="s">
        <v>836</v>
      </c>
      <c r="G289" s="17">
        <f t="shared" si="152"/>
        <v>17.297699999999999</v>
      </c>
      <c r="H289" s="17">
        <v>7</v>
      </c>
      <c r="I289" s="18">
        <f>IF(J289="","",J289*2.4711)</f>
        <v>841.50839399999995</v>
      </c>
      <c r="J289" s="18">
        <v>340.54</v>
      </c>
      <c r="K289" s="19">
        <f t="shared" si="143"/>
        <v>48.648571428571429</v>
      </c>
      <c r="L289" s="19">
        <v>10.826639999999999</v>
      </c>
      <c r="M289" s="19">
        <v>3.3</v>
      </c>
      <c r="N289" s="20">
        <f>IF(O289="", "",O289*3.2808)</f>
        <v>5.0885208000000004</v>
      </c>
      <c r="O289" s="19">
        <v>1.5509999999999999</v>
      </c>
      <c r="P289" s="21" t="str">
        <f t="shared" si="144"/>
        <v>no</v>
      </c>
      <c r="Q289" s="22">
        <v>6.2329848040209385E-2</v>
      </c>
      <c r="R289" s="18" t="s">
        <v>1385</v>
      </c>
      <c r="S289" s="23">
        <v>41.960239999999999</v>
      </c>
      <c r="T289" s="23">
        <v>-74.846183999999994</v>
      </c>
      <c r="U289" s="18" t="s">
        <v>77</v>
      </c>
      <c r="V289" s="18" t="s">
        <v>96</v>
      </c>
      <c r="W289" t="str">
        <f t="shared" si="138"/>
        <v>no</v>
      </c>
      <c r="Y289" t="str">
        <f t="shared" si="151"/>
        <v>recreation</v>
      </c>
      <c r="Z289" t="s">
        <v>79</v>
      </c>
      <c r="AA289" s="40" t="s">
        <v>79</v>
      </c>
      <c r="AB289" s="40" t="s">
        <v>79</v>
      </c>
      <c r="AC289" s="35">
        <v>17.533554849972198</v>
      </c>
      <c r="AD289" s="35" t="s">
        <v>690</v>
      </c>
      <c r="AF289" t="str">
        <f t="shared" si="145"/>
        <v/>
      </c>
      <c r="AG289" s="26" t="s">
        <v>81</v>
      </c>
      <c r="AH289" s="27" t="s">
        <v>156</v>
      </c>
      <c r="AI289" s="27" t="s">
        <v>156</v>
      </c>
      <c r="AJ289" s="27" t="s">
        <v>156</v>
      </c>
      <c r="AK289" s="27" t="s">
        <v>156</v>
      </c>
      <c r="AL289" s="27" t="s">
        <v>156</v>
      </c>
      <c r="AM289" s="27" t="s">
        <v>156</v>
      </c>
      <c r="AN289" s="33" t="s">
        <v>81</v>
      </c>
      <c r="AO289" s="27" t="s">
        <v>81</v>
      </c>
      <c r="AP289" s="39"/>
      <c r="AQ289">
        <v>0</v>
      </c>
      <c r="AR289">
        <v>0</v>
      </c>
      <c r="AS289">
        <v>0</v>
      </c>
      <c r="AT289">
        <v>0</v>
      </c>
      <c r="AU289">
        <v>0</v>
      </c>
      <c r="AV289">
        <v>0</v>
      </c>
      <c r="AW289">
        <v>0</v>
      </c>
      <c r="AX289">
        <v>0</v>
      </c>
      <c r="BD289" t="s">
        <v>104</v>
      </c>
      <c r="BE289" t="s">
        <v>105</v>
      </c>
      <c r="BF289" t="s">
        <v>106</v>
      </c>
      <c r="BG289" t="str">
        <f t="shared" si="153"/>
        <v>CSLAP</v>
      </c>
      <c r="BH289" s="14" t="str">
        <f>IF(RIGHT(CM289,4)="2011","yes","no")</f>
        <v>no</v>
      </c>
      <c r="BJ289">
        <f t="shared" si="154"/>
        <v>0</v>
      </c>
      <c r="BK289">
        <f t="shared" si="155"/>
        <v>0</v>
      </c>
      <c r="BL289">
        <f t="shared" si="156"/>
        <v>0</v>
      </c>
      <c r="BM289" t="str">
        <f t="shared" si="157"/>
        <v>CSLAP</v>
      </c>
      <c r="BN289" t="str">
        <f t="shared" si="158"/>
        <v>no</v>
      </c>
      <c r="BO289">
        <v>0.51149999999999995</v>
      </c>
    </row>
    <row r="290" spans="1:77" x14ac:dyDescent="0.3">
      <c r="A290" t="s">
        <v>2038</v>
      </c>
      <c r="B290" t="s">
        <v>2039</v>
      </c>
      <c r="C290" s="16">
        <v>179</v>
      </c>
      <c r="D290" s="16" t="s">
        <v>1386</v>
      </c>
      <c r="E290" s="16" t="s">
        <v>836</v>
      </c>
      <c r="F290" s="16" t="s">
        <v>1387</v>
      </c>
      <c r="G290" s="17">
        <f t="shared" si="152"/>
        <v>12.84972</v>
      </c>
      <c r="H290" s="17">
        <v>5.2</v>
      </c>
      <c r="I290" s="18">
        <f t="shared" ref="I290:I295" si="159">IF(J290="","",J290*2.4711)</f>
        <v>88.514801999999989</v>
      </c>
      <c r="J290" s="18">
        <v>35.82</v>
      </c>
      <c r="K290" s="19">
        <f t="shared" si="143"/>
        <v>6.888461538461538</v>
      </c>
      <c r="L290" s="19">
        <v>11.154720000000001</v>
      </c>
      <c r="M290" s="19">
        <v>3.4</v>
      </c>
      <c r="N290" s="20">
        <f t="shared" ref="N290:N295" si="160">IF(O290="", "",O290*3.2808)</f>
        <v>5.2427184000000002</v>
      </c>
      <c r="O290" s="19">
        <v>1.5979999999999999</v>
      </c>
      <c r="P290" s="21" t="str">
        <f t="shared" si="144"/>
        <v>no</v>
      </c>
      <c r="Q290" s="22">
        <v>0.39996919463216468</v>
      </c>
      <c r="R290" s="18" t="s">
        <v>2267</v>
      </c>
      <c r="S290" s="23">
        <v>41.27156789</v>
      </c>
      <c r="T290" s="23">
        <v>-73.99047229</v>
      </c>
      <c r="U290" s="18" t="s">
        <v>77</v>
      </c>
      <c r="V290" s="18" t="s">
        <v>96</v>
      </c>
      <c r="W290" t="str">
        <f t="shared" si="138"/>
        <v>no</v>
      </c>
      <c r="Y290" t="str">
        <f t="shared" si="151"/>
        <v>recreation</v>
      </c>
      <c r="Z290" t="s">
        <v>79</v>
      </c>
      <c r="AA290" s="40" t="s">
        <v>79</v>
      </c>
      <c r="AB290" s="40" t="s">
        <v>79</v>
      </c>
      <c r="AC290" s="35">
        <v>4.2224844642024708</v>
      </c>
      <c r="AD290" s="35" t="s">
        <v>853</v>
      </c>
      <c r="AF290" t="str">
        <f t="shared" si="145"/>
        <v/>
      </c>
      <c r="AG290" s="26" t="s">
        <v>81</v>
      </c>
      <c r="AH290" s="27" t="s">
        <v>156</v>
      </c>
      <c r="AI290" s="28" t="s">
        <v>156</v>
      </c>
      <c r="AJ290" s="29" t="s">
        <v>156</v>
      </c>
      <c r="AK290" s="30" t="s">
        <v>156</v>
      </c>
      <c r="AL290" s="31" t="s">
        <v>156</v>
      </c>
      <c r="AM290" s="32" t="s">
        <v>156</v>
      </c>
      <c r="AN290" s="33" t="s">
        <v>81</v>
      </c>
      <c r="AO290" s="27" t="s">
        <v>81</v>
      </c>
      <c r="AP290" s="39"/>
      <c r="AQ290">
        <v>0</v>
      </c>
      <c r="AR290">
        <v>0</v>
      </c>
      <c r="AS290">
        <v>0</v>
      </c>
      <c r="AT290">
        <v>0</v>
      </c>
      <c r="AU290">
        <v>0</v>
      </c>
      <c r="AV290">
        <v>0</v>
      </c>
      <c r="AW290">
        <v>0</v>
      </c>
      <c r="AX290">
        <v>0</v>
      </c>
      <c r="AZ290" t="s">
        <v>2280</v>
      </c>
      <c r="BA290" t="s">
        <v>102</v>
      </c>
      <c r="BB290" t="s">
        <v>2268</v>
      </c>
      <c r="BD290" t="s">
        <v>152</v>
      </c>
      <c r="BF290" t="s">
        <v>160</v>
      </c>
      <c r="BG290" t="str">
        <f t="shared" si="153"/>
        <v>CSLAP</v>
      </c>
      <c r="BH290" s="14" t="str">
        <f>IF(RIGHT(CM290,4)="2011","yes","no")</f>
        <v>no</v>
      </c>
      <c r="BJ290">
        <f t="shared" si="154"/>
        <v>0</v>
      </c>
      <c r="BK290">
        <f t="shared" si="155"/>
        <v>0</v>
      </c>
      <c r="BL290">
        <f t="shared" si="156"/>
        <v>0</v>
      </c>
      <c r="BM290" t="str">
        <f t="shared" si="157"/>
        <v>CSLAP</v>
      </c>
      <c r="BN290" t="str">
        <f t="shared" si="158"/>
        <v>no</v>
      </c>
      <c r="BO290">
        <v>0.57999999999999996</v>
      </c>
    </row>
    <row r="291" spans="1:77" x14ac:dyDescent="0.3">
      <c r="A291" t="s">
        <v>1722</v>
      </c>
      <c r="B291" t="s">
        <v>2040</v>
      </c>
      <c r="C291" s="16">
        <v>234</v>
      </c>
      <c r="D291" s="16" t="s">
        <v>1329</v>
      </c>
      <c r="E291" s="16" t="s">
        <v>437</v>
      </c>
      <c r="F291" s="16" t="s">
        <v>411</v>
      </c>
      <c r="G291" s="17">
        <f t="shared" si="152"/>
        <v>230.30652000000001</v>
      </c>
      <c r="H291" s="17">
        <v>93.2</v>
      </c>
      <c r="I291" s="18">
        <f t="shared" si="159"/>
        <v>9728.7206999999999</v>
      </c>
      <c r="J291" s="18">
        <v>3937</v>
      </c>
      <c r="K291" s="19">
        <f t="shared" si="143"/>
        <v>42.242489270386265</v>
      </c>
      <c r="L291" s="19">
        <f>3.28*M291</f>
        <v>29.52</v>
      </c>
      <c r="M291" s="19">
        <v>9</v>
      </c>
      <c r="N291" s="20">
        <f t="shared" si="160"/>
        <v>15.419760000000002</v>
      </c>
      <c r="O291" s="19">
        <v>4.7</v>
      </c>
      <c r="P291" s="21" t="str">
        <f t="shared" si="144"/>
        <v>no</v>
      </c>
      <c r="Q291" s="22">
        <v>10.580676328502417</v>
      </c>
      <c r="R291" s="18" t="s">
        <v>2093</v>
      </c>
      <c r="S291" s="23">
        <v>42.776519209999996</v>
      </c>
      <c r="T291" s="23">
        <v>-76.135284769999998</v>
      </c>
      <c r="U291" s="16" t="s">
        <v>77</v>
      </c>
      <c r="V291" s="16" t="s">
        <v>96</v>
      </c>
      <c r="W291" t="str">
        <f t="shared" si="138"/>
        <v>no</v>
      </c>
      <c r="Y291" t="str">
        <f t="shared" si="151"/>
        <v>recreation</v>
      </c>
      <c r="Z291" t="s">
        <v>79</v>
      </c>
      <c r="AA291" s="40" t="s">
        <v>879</v>
      </c>
      <c r="AB291" s="40" t="s">
        <v>79</v>
      </c>
      <c r="AC291" s="24">
        <f>IF(AND(AA291="none reported",AB291="none reported"),"",0)</f>
        <v>0</v>
      </c>
      <c r="AD291" s="24"/>
      <c r="AE291" s="25" t="s">
        <v>494</v>
      </c>
      <c r="AF291" t="str">
        <f t="shared" si="145"/>
        <v>yes</v>
      </c>
      <c r="AG291" s="26" t="s">
        <v>81</v>
      </c>
      <c r="AH291" s="27" t="s">
        <v>82</v>
      </c>
      <c r="AI291" s="28" t="s">
        <v>257</v>
      </c>
      <c r="AJ291" s="29" t="s">
        <v>257</v>
      </c>
      <c r="AK291" s="30" t="s">
        <v>84</v>
      </c>
      <c r="AL291" s="31" t="s">
        <v>85</v>
      </c>
      <c r="AM291" s="32" t="s">
        <v>82</v>
      </c>
      <c r="AN291" s="39">
        <v>43661</v>
      </c>
      <c r="AO291" s="39">
        <v>43750</v>
      </c>
      <c r="AP291" s="39"/>
      <c r="AQ291">
        <v>3</v>
      </c>
      <c r="AR291">
        <v>1</v>
      </c>
      <c r="AS291">
        <v>2</v>
      </c>
      <c r="AT291">
        <v>2</v>
      </c>
      <c r="AU291">
        <v>0</v>
      </c>
      <c r="AV291">
        <v>0</v>
      </c>
      <c r="AW291">
        <v>0</v>
      </c>
      <c r="AX291">
        <v>0</v>
      </c>
      <c r="AY291" t="s">
        <v>1388</v>
      </c>
      <c r="AZ291" t="s">
        <v>1389</v>
      </c>
      <c r="BA291" t="s">
        <v>102</v>
      </c>
      <c r="BB291" t="s">
        <v>1390</v>
      </c>
      <c r="BC291" t="s">
        <v>132</v>
      </c>
      <c r="BD291" t="s">
        <v>114</v>
      </c>
      <c r="BE291" t="s">
        <v>247</v>
      </c>
      <c r="BF291" t="s">
        <v>115</v>
      </c>
      <c r="BG291" t="str">
        <f t="shared" si="153"/>
        <v>CSLAP</v>
      </c>
      <c r="BH291" s="14" t="s">
        <v>102</v>
      </c>
      <c r="BJ291">
        <f t="shared" si="154"/>
        <v>2</v>
      </c>
      <c r="BK291">
        <f t="shared" si="155"/>
        <v>2</v>
      </c>
      <c r="BL291">
        <f t="shared" si="156"/>
        <v>1</v>
      </c>
      <c r="BM291" t="str">
        <f t="shared" si="157"/>
        <v>CSLAP</v>
      </c>
      <c r="BN291" t="str">
        <f t="shared" si="158"/>
        <v>no</v>
      </c>
      <c r="BO291">
        <v>0.6</v>
      </c>
    </row>
    <row r="292" spans="1:77" x14ac:dyDescent="0.3">
      <c r="A292" t="s">
        <v>1723</v>
      </c>
      <c r="B292" t="s">
        <v>2041</v>
      </c>
      <c r="C292" s="16">
        <v>21</v>
      </c>
      <c r="D292" s="16" t="s">
        <v>1391</v>
      </c>
      <c r="E292" s="16" t="s">
        <v>243</v>
      </c>
      <c r="F292" s="16" t="s">
        <v>1392</v>
      </c>
      <c r="G292" s="17">
        <f t="shared" si="152"/>
        <v>307.15772999999996</v>
      </c>
      <c r="H292" s="17">
        <v>124.3</v>
      </c>
      <c r="I292" s="18">
        <f t="shared" si="159"/>
        <v>3311.2739999999999</v>
      </c>
      <c r="J292" s="18">
        <v>1340</v>
      </c>
      <c r="K292" s="19">
        <f t="shared" si="143"/>
        <v>10.780370072405471</v>
      </c>
      <c r="L292" s="19">
        <v>41.666159999999998</v>
      </c>
      <c r="M292" s="19">
        <v>12.7</v>
      </c>
      <c r="N292" s="20">
        <f t="shared" si="160"/>
        <v>14.10744</v>
      </c>
      <c r="O292" s="19">
        <v>4.3</v>
      </c>
      <c r="P292" s="21" t="str">
        <f t="shared" si="144"/>
        <v>no</v>
      </c>
      <c r="Q292" s="22">
        <v>0.99718283582089551</v>
      </c>
      <c r="R292" s="18" t="s">
        <v>2269</v>
      </c>
      <c r="S292" s="23">
        <v>42.866518210000002</v>
      </c>
      <c r="T292" s="23">
        <v>-75.755891840000004</v>
      </c>
      <c r="U292" s="68" t="s">
        <v>77</v>
      </c>
      <c r="V292" s="18" t="s">
        <v>78</v>
      </c>
      <c r="W292" t="str">
        <f t="shared" si="138"/>
        <v>no</v>
      </c>
      <c r="Y292" t="str">
        <f t="shared" si="151"/>
        <v>recreation</v>
      </c>
      <c r="Z292" t="s">
        <v>79</v>
      </c>
      <c r="AA292" s="40" t="s">
        <v>2279</v>
      </c>
      <c r="AB292" s="40" t="s">
        <v>139</v>
      </c>
      <c r="AC292" s="24">
        <f>IF(AND(AA292="none reported",AB292="none reported"),"",0)</f>
        <v>0</v>
      </c>
      <c r="AD292" s="24"/>
      <c r="AE292" s="25" t="s">
        <v>1307</v>
      </c>
      <c r="AF292" t="str">
        <f t="shared" si="145"/>
        <v>yes</v>
      </c>
      <c r="AG292" s="26" t="s">
        <v>81</v>
      </c>
      <c r="AH292" s="27" t="s">
        <v>82</v>
      </c>
      <c r="AI292" s="28" t="s">
        <v>82</v>
      </c>
      <c r="AJ292" s="29" t="s">
        <v>82</v>
      </c>
      <c r="AK292" s="30" t="s">
        <v>85</v>
      </c>
      <c r="AL292" s="31" t="s">
        <v>85</v>
      </c>
      <c r="AM292" s="32" t="s">
        <v>82</v>
      </c>
      <c r="AN292" s="33">
        <v>43634</v>
      </c>
      <c r="AO292" s="33">
        <v>43634</v>
      </c>
      <c r="AP292" s="39"/>
      <c r="AQ292">
        <v>0</v>
      </c>
      <c r="AR292">
        <v>0</v>
      </c>
      <c r="AS292">
        <v>1</v>
      </c>
      <c r="AT292">
        <v>0</v>
      </c>
      <c r="AU292">
        <v>0</v>
      </c>
      <c r="AV292">
        <v>0</v>
      </c>
      <c r="AW292">
        <v>3</v>
      </c>
      <c r="AX292">
        <v>0</v>
      </c>
      <c r="AZ292" t="s">
        <v>1393</v>
      </c>
      <c r="BA292" t="s">
        <v>102</v>
      </c>
      <c r="BB292" t="s">
        <v>2270</v>
      </c>
      <c r="BC292" t="s">
        <v>132</v>
      </c>
      <c r="BD292" t="s">
        <v>320</v>
      </c>
      <c r="BE292" t="s">
        <v>247</v>
      </c>
      <c r="BF292" t="s">
        <v>115</v>
      </c>
      <c r="BG292" t="str">
        <f t="shared" si="153"/>
        <v>CSLAP</v>
      </c>
      <c r="BH292" s="14" t="s">
        <v>99</v>
      </c>
      <c r="BJ292">
        <f t="shared" si="154"/>
        <v>2</v>
      </c>
      <c r="BK292">
        <f t="shared" si="155"/>
        <v>2</v>
      </c>
      <c r="BL292">
        <f t="shared" si="156"/>
        <v>1</v>
      </c>
      <c r="BM292" t="str">
        <f t="shared" si="157"/>
        <v>CSLAP</v>
      </c>
      <c r="BN292" t="str">
        <f t="shared" si="158"/>
        <v>yes</v>
      </c>
      <c r="BO292">
        <v>0.4</v>
      </c>
    </row>
    <row r="293" spans="1:77" x14ac:dyDescent="0.3">
      <c r="A293" t="s">
        <v>1724</v>
      </c>
      <c r="B293" t="s">
        <v>2042</v>
      </c>
      <c r="C293" s="16">
        <v>222</v>
      </c>
      <c r="D293" s="16" t="s">
        <v>1394</v>
      </c>
      <c r="E293" s="16" t="s">
        <v>165</v>
      </c>
      <c r="F293" s="16" t="s">
        <v>990</v>
      </c>
      <c r="G293" s="17">
        <f t="shared" si="152"/>
        <v>288.13025999999996</v>
      </c>
      <c r="H293" s="17">
        <v>116.6</v>
      </c>
      <c r="I293" s="18">
        <f t="shared" si="159"/>
        <v>3649.8146999999999</v>
      </c>
      <c r="J293" s="18">
        <v>1477</v>
      </c>
      <c r="K293" s="19">
        <f t="shared" si="143"/>
        <v>12.667238421955403</v>
      </c>
      <c r="L293" s="19">
        <v>62.3352</v>
      </c>
      <c r="M293" s="19">
        <v>19</v>
      </c>
      <c r="N293" s="20">
        <f t="shared" si="160"/>
        <v>29.297544000000002</v>
      </c>
      <c r="O293" s="19">
        <v>8.93</v>
      </c>
      <c r="P293" s="21" t="str">
        <f t="shared" si="144"/>
        <v>no</v>
      </c>
      <c r="Q293" s="22">
        <v>1.1556855389191647</v>
      </c>
      <c r="R293" s="18" t="s">
        <v>2187</v>
      </c>
      <c r="S293" s="23">
        <v>41.197013239999997</v>
      </c>
      <c r="T293" s="23">
        <v>-74.209073059999994</v>
      </c>
      <c r="U293" s="18" t="s">
        <v>163</v>
      </c>
      <c r="V293" s="18" t="s">
        <v>77</v>
      </c>
      <c r="W293" t="str">
        <f t="shared" si="138"/>
        <v>yes</v>
      </c>
      <c r="Y293" t="s">
        <v>633</v>
      </c>
      <c r="Z293" t="s">
        <v>79</v>
      </c>
      <c r="AA293" s="24" t="s">
        <v>120</v>
      </c>
      <c r="AB293" s="24" t="s">
        <v>79</v>
      </c>
      <c r="AC293" s="24">
        <f>IF(AND(AA293="none reported",AB293="none reported"),"",0)</f>
        <v>0</v>
      </c>
      <c r="AD293" s="24"/>
      <c r="AF293" t="str">
        <f t="shared" si="145"/>
        <v/>
      </c>
      <c r="AG293" s="26" t="s">
        <v>257</v>
      </c>
      <c r="AH293" s="27" t="s">
        <v>82</v>
      </c>
      <c r="AI293" s="28" t="s">
        <v>82</v>
      </c>
      <c r="AJ293" s="29" t="s">
        <v>82</v>
      </c>
      <c r="AK293" s="30" t="s">
        <v>85</v>
      </c>
      <c r="AL293" s="31" t="s">
        <v>85</v>
      </c>
      <c r="AM293" s="32" t="s">
        <v>82</v>
      </c>
      <c r="AN293" s="33" t="s">
        <v>81</v>
      </c>
      <c r="AO293" s="32" t="s">
        <v>81</v>
      </c>
      <c r="AP293" s="39"/>
      <c r="AQ293">
        <v>3</v>
      </c>
      <c r="AR293">
        <v>1</v>
      </c>
      <c r="AS293">
        <v>0</v>
      </c>
      <c r="AT293">
        <v>0</v>
      </c>
      <c r="AU293">
        <v>1</v>
      </c>
      <c r="AV293">
        <v>0</v>
      </c>
      <c r="AW293">
        <v>0</v>
      </c>
      <c r="AX293">
        <v>0</v>
      </c>
      <c r="AZ293" t="s">
        <v>993</v>
      </c>
      <c r="BA293" t="s">
        <v>102</v>
      </c>
      <c r="BB293" t="s">
        <v>2188</v>
      </c>
      <c r="BC293" t="s">
        <v>103</v>
      </c>
      <c r="BD293" t="s">
        <v>152</v>
      </c>
      <c r="BE293" t="s">
        <v>105</v>
      </c>
      <c r="BF293" t="s">
        <v>160</v>
      </c>
      <c r="BG293" t="str">
        <f t="shared" si="153"/>
        <v>CSLAP</v>
      </c>
      <c r="BH293" s="14" t="s">
        <v>102</v>
      </c>
      <c r="BJ293">
        <f t="shared" si="154"/>
        <v>1</v>
      </c>
      <c r="BK293">
        <f t="shared" si="155"/>
        <v>1</v>
      </c>
      <c r="BL293">
        <f t="shared" si="156"/>
        <v>0</v>
      </c>
      <c r="BM293" t="str">
        <f t="shared" si="157"/>
        <v>CSLAP</v>
      </c>
      <c r="BN293" t="str">
        <f t="shared" si="158"/>
        <v>no</v>
      </c>
      <c r="BO293">
        <v>0.61</v>
      </c>
      <c r="BU293" t="s">
        <v>1395</v>
      </c>
    </row>
    <row r="294" spans="1:77" x14ac:dyDescent="0.3">
      <c r="A294" t="s">
        <v>1725</v>
      </c>
      <c r="B294" t="s">
        <v>2043</v>
      </c>
      <c r="C294" s="16">
        <v>16</v>
      </c>
      <c r="D294" s="16" t="s">
        <v>1396</v>
      </c>
      <c r="E294" s="16" t="s">
        <v>549</v>
      </c>
      <c r="F294" s="16" t="s">
        <v>1397</v>
      </c>
      <c r="G294" s="17">
        <f t="shared" si="152"/>
        <v>134.42783999999997</v>
      </c>
      <c r="H294" s="17">
        <v>54.4</v>
      </c>
      <c r="I294" s="18">
        <f t="shared" si="159"/>
        <v>1803.9029999999998</v>
      </c>
      <c r="J294" s="18">
        <v>730</v>
      </c>
      <c r="K294" s="19">
        <f t="shared" si="143"/>
        <v>13.419117647058824</v>
      </c>
      <c r="L294" s="19">
        <v>34.1</v>
      </c>
      <c r="M294" s="19">
        <v>10.4</v>
      </c>
      <c r="N294" s="20">
        <f t="shared" si="160"/>
        <v>10.170480000000001</v>
      </c>
      <c r="O294" s="19">
        <v>3.1</v>
      </c>
      <c r="P294" s="21" t="str">
        <f t="shared" si="144"/>
        <v>no</v>
      </c>
      <c r="Q294" s="22">
        <v>0.69078347107438021</v>
      </c>
      <c r="R294" s="18" t="s">
        <v>1398</v>
      </c>
      <c r="S294" s="23">
        <v>43.850074530000001</v>
      </c>
      <c r="T294" s="23">
        <v>-74.886263589999999</v>
      </c>
      <c r="U294" s="18" t="s">
        <v>458</v>
      </c>
      <c r="V294" s="18"/>
      <c r="W294" t="str">
        <f t="shared" si="138"/>
        <v>yes</v>
      </c>
      <c r="Y294" t="str">
        <f t="shared" ref="Y294:Y314" si="161">IF(W294="yes",IF(X294="","potable water and recreation","potable water, recreation, and public bathing"),IF(X294="","recreation","recreation and public bathing"))</f>
        <v>potable water and recreation</v>
      </c>
      <c r="Z294" t="s">
        <v>79</v>
      </c>
      <c r="AA294" s="40" t="s">
        <v>79</v>
      </c>
      <c r="AB294" s="40" t="s">
        <v>79</v>
      </c>
      <c r="AC294" s="35">
        <v>7.7680531736122953</v>
      </c>
      <c r="AD294" s="35" t="s">
        <v>1285</v>
      </c>
      <c r="AF294" t="str">
        <f t="shared" si="145"/>
        <v/>
      </c>
      <c r="AG294" s="26" t="s">
        <v>82</v>
      </c>
      <c r="AH294" s="26" t="s">
        <v>82</v>
      </c>
      <c r="AI294" s="26" t="s">
        <v>82</v>
      </c>
      <c r="AJ294" s="29" t="s">
        <v>141</v>
      </c>
      <c r="AK294" s="30" t="s">
        <v>85</v>
      </c>
      <c r="AL294" s="31" t="s">
        <v>85</v>
      </c>
      <c r="AM294" s="32" t="s">
        <v>82</v>
      </c>
      <c r="AN294" s="33" t="s">
        <v>81</v>
      </c>
      <c r="AO294" s="32" t="s">
        <v>81</v>
      </c>
      <c r="AP294" s="39"/>
      <c r="AQ294">
        <v>0</v>
      </c>
      <c r="AR294">
        <v>0</v>
      </c>
      <c r="AS294">
        <v>0</v>
      </c>
      <c r="AT294">
        <v>0</v>
      </c>
      <c r="AU294">
        <v>0</v>
      </c>
      <c r="AV294">
        <v>0</v>
      </c>
      <c r="AW294">
        <v>0</v>
      </c>
      <c r="AX294">
        <v>0</v>
      </c>
      <c r="BD294" t="s">
        <v>267</v>
      </c>
      <c r="BE294" t="s">
        <v>216</v>
      </c>
      <c r="BF294" t="s">
        <v>216</v>
      </c>
      <c r="BG294" t="str">
        <f t="shared" si="153"/>
        <v>CSLAP</v>
      </c>
      <c r="BH294" s="14" t="str">
        <f>IF(RIGHT(CM294,4)="2011","yes","no")</f>
        <v>no</v>
      </c>
      <c r="BJ294">
        <f t="shared" si="154"/>
        <v>0</v>
      </c>
      <c r="BK294">
        <f t="shared" si="155"/>
        <v>0</v>
      </c>
      <c r="BL294">
        <f t="shared" si="156"/>
        <v>0</v>
      </c>
      <c r="BM294" t="str">
        <f t="shared" si="157"/>
        <v>CSLAP</v>
      </c>
      <c r="BN294" t="str">
        <f t="shared" si="158"/>
        <v>no</v>
      </c>
      <c r="BO294">
        <v>0.33442273636171377</v>
      </c>
    </row>
    <row r="295" spans="1:77" x14ac:dyDescent="0.3">
      <c r="A295" t="s">
        <v>1726</v>
      </c>
      <c r="B295" t="s">
        <v>2044</v>
      </c>
      <c r="C295" s="16">
        <v>211</v>
      </c>
      <c r="D295" s="16" t="s">
        <v>1399</v>
      </c>
      <c r="E295" s="16" t="s">
        <v>1400</v>
      </c>
      <c r="F295" s="16" t="s">
        <v>1401</v>
      </c>
      <c r="G295" s="17">
        <f t="shared" si="152"/>
        <v>204.85418999999999</v>
      </c>
      <c r="H295" s="17">
        <v>82.9</v>
      </c>
      <c r="I295" s="18">
        <f t="shared" si="159"/>
        <v>5881.2179999999998</v>
      </c>
      <c r="J295" s="18">
        <v>2380</v>
      </c>
      <c r="K295" s="19">
        <f t="shared" si="143"/>
        <v>28.709288299155606</v>
      </c>
      <c r="L295" s="19">
        <v>11.810880000000001</v>
      </c>
      <c r="M295" s="19">
        <v>3.6</v>
      </c>
      <c r="N295" s="20">
        <f t="shared" si="160"/>
        <v>5.5511135999999999</v>
      </c>
      <c r="O295" s="19">
        <v>1.6919999999999999</v>
      </c>
      <c r="P295" s="21" t="str">
        <f t="shared" si="144"/>
        <v>no</v>
      </c>
      <c r="Q295" s="22">
        <v>9.8226050420168076E-2</v>
      </c>
      <c r="R295" s="18" t="s">
        <v>2187</v>
      </c>
      <c r="S295" s="23">
        <v>41.775312220000004</v>
      </c>
      <c r="T295" s="23">
        <v>-74.491687900000002</v>
      </c>
      <c r="U295" s="68" t="s">
        <v>77</v>
      </c>
      <c r="V295" s="18" t="s">
        <v>96</v>
      </c>
      <c r="W295" t="str">
        <f t="shared" si="138"/>
        <v>no</v>
      </c>
      <c r="Y295" t="str">
        <f t="shared" si="161"/>
        <v>recreation</v>
      </c>
      <c r="Z295" t="s">
        <v>79</v>
      </c>
      <c r="AA295" s="24" t="s">
        <v>79</v>
      </c>
      <c r="AB295" s="24" t="s">
        <v>79</v>
      </c>
      <c r="AC295" s="35">
        <v>8.4924252921408101</v>
      </c>
      <c r="AD295" s="35" t="s">
        <v>1381</v>
      </c>
      <c r="AF295" t="str">
        <f t="shared" si="145"/>
        <v/>
      </c>
      <c r="AG295" s="26" t="s">
        <v>81</v>
      </c>
      <c r="AH295" s="27" t="s">
        <v>156</v>
      </c>
      <c r="AI295" s="28" t="s">
        <v>156</v>
      </c>
      <c r="AJ295" s="29" t="s">
        <v>156</v>
      </c>
      <c r="AK295" s="30" t="s">
        <v>156</v>
      </c>
      <c r="AL295" s="31" t="s">
        <v>156</v>
      </c>
      <c r="AM295" s="32" t="s">
        <v>156</v>
      </c>
      <c r="AN295" s="33" t="s">
        <v>81</v>
      </c>
      <c r="AO295" s="32" t="s">
        <v>81</v>
      </c>
      <c r="AP295" s="39"/>
      <c r="AQ295">
        <v>0</v>
      </c>
      <c r="AR295">
        <v>0</v>
      </c>
      <c r="AS295">
        <v>0</v>
      </c>
      <c r="AT295">
        <v>0</v>
      </c>
      <c r="AU295">
        <v>0</v>
      </c>
      <c r="AV295">
        <v>0</v>
      </c>
      <c r="AW295">
        <v>0</v>
      </c>
      <c r="AX295">
        <v>0</v>
      </c>
      <c r="AZ295" t="s">
        <v>1402</v>
      </c>
      <c r="BA295" t="s">
        <v>102</v>
      </c>
      <c r="BB295" t="s">
        <v>1403</v>
      </c>
      <c r="BC295" t="s">
        <v>103</v>
      </c>
      <c r="BD295" t="s">
        <v>152</v>
      </c>
      <c r="BE295" t="s">
        <v>159</v>
      </c>
      <c r="BF295" t="s">
        <v>133</v>
      </c>
      <c r="BG295" t="str">
        <f t="shared" si="153"/>
        <v>CSLAP</v>
      </c>
      <c r="BH295" s="14" t="s">
        <v>102</v>
      </c>
      <c r="BJ295">
        <f t="shared" si="154"/>
        <v>0</v>
      </c>
      <c r="BK295">
        <f t="shared" si="155"/>
        <v>0</v>
      </c>
      <c r="BL295">
        <f t="shared" si="156"/>
        <v>0</v>
      </c>
      <c r="BM295" t="str">
        <f t="shared" si="157"/>
        <v>CSLAP</v>
      </c>
      <c r="BN295" t="str">
        <f t="shared" si="158"/>
        <v>no</v>
      </c>
      <c r="BO295">
        <v>0.6</v>
      </c>
      <c r="BY295" t="s">
        <v>1404</v>
      </c>
    </row>
    <row r="296" spans="1:77" x14ac:dyDescent="0.3">
      <c r="A296" t="s">
        <v>1727</v>
      </c>
      <c r="B296" t="s">
        <v>2045</v>
      </c>
      <c r="C296" s="37">
        <v>251</v>
      </c>
      <c r="D296" s="37" t="s">
        <v>1405</v>
      </c>
      <c r="E296" s="42" t="s">
        <v>1400</v>
      </c>
      <c r="G296" s="36">
        <v>7.7</v>
      </c>
      <c r="H296" s="36">
        <f>G296/2.4711</f>
        <v>3.1160212051313181</v>
      </c>
      <c r="I296" s="37">
        <v>140.80000000000001</v>
      </c>
      <c r="J296" s="37">
        <f>I296/2.4711</f>
        <v>56.978673465258396</v>
      </c>
      <c r="K296" s="21">
        <f t="shared" si="143"/>
        <v>18.285714285714288</v>
      </c>
      <c r="L296" s="21">
        <f>3.28*M296</f>
        <v>5.9039999999999999</v>
      </c>
      <c r="M296" s="21">
        <v>1.8</v>
      </c>
      <c r="N296" s="65"/>
      <c r="P296" s="21" t="str">
        <f t="shared" si="144"/>
        <v>no</v>
      </c>
      <c r="Q296" s="43">
        <v>5.2651278409090903E-2</v>
      </c>
      <c r="R296" s="37" t="s">
        <v>2109</v>
      </c>
      <c r="S296">
        <v>41.651156</v>
      </c>
      <c r="T296">
        <v>-74.219313999999997</v>
      </c>
      <c r="U296" t="s">
        <v>77</v>
      </c>
      <c r="V296" t="s">
        <v>818</v>
      </c>
      <c r="W296" t="str">
        <f t="shared" si="138"/>
        <v>no</v>
      </c>
      <c r="Y296" t="str">
        <f t="shared" si="161"/>
        <v>recreation</v>
      </c>
      <c r="AA296" t="s">
        <v>79</v>
      </c>
      <c r="AB296" t="s">
        <v>79</v>
      </c>
      <c r="AC296">
        <v>1.9</v>
      </c>
      <c r="AD296" t="s">
        <v>1406</v>
      </c>
      <c r="AE296" s="25">
        <v>2019</v>
      </c>
      <c r="AF296" t="str">
        <f t="shared" si="145"/>
        <v>no</v>
      </c>
      <c r="AG296" t="s">
        <v>81</v>
      </c>
      <c r="AH296" t="s">
        <v>156</v>
      </c>
      <c r="AI296" t="s">
        <v>156</v>
      </c>
      <c r="AJ296" t="s">
        <v>156</v>
      </c>
      <c r="AK296" t="s">
        <v>156</v>
      </c>
      <c r="AL296" t="s">
        <v>156</v>
      </c>
      <c r="AM296" t="s">
        <v>156</v>
      </c>
      <c r="AN296" s="33">
        <v>43667</v>
      </c>
      <c r="AO296" s="33">
        <v>43696</v>
      </c>
      <c r="AP296" s="39"/>
      <c r="AQ296">
        <v>0</v>
      </c>
      <c r="AR296">
        <v>0</v>
      </c>
      <c r="AS296">
        <v>1</v>
      </c>
      <c r="AT296">
        <v>0</v>
      </c>
      <c r="AU296">
        <v>0</v>
      </c>
      <c r="AV296">
        <v>0</v>
      </c>
      <c r="AW296">
        <v>0</v>
      </c>
      <c r="AX296">
        <v>0</v>
      </c>
      <c r="AY296" t="s">
        <v>1407</v>
      </c>
      <c r="BA296" t="s">
        <v>102</v>
      </c>
      <c r="BB296" t="s">
        <v>2273</v>
      </c>
      <c r="BD296" t="s">
        <v>152</v>
      </c>
      <c r="BG296" t="s">
        <v>54</v>
      </c>
      <c r="BH296" s="14"/>
      <c r="BM296" t="s">
        <v>54</v>
      </c>
      <c r="BN296" t="s">
        <v>99</v>
      </c>
      <c r="BO296">
        <v>0.5</v>
      </c>
      <c r="BV296" t="s">
        <v>1407</v>
      </c>
    </row>
    <row r="297" spans="1:77" x14ac:dyDescent="0.3">
      <c r="A297" t="s">
        <v>1728</v>
      </c>
      <c r="B297" t="s">
        <v>2046</v>
      </c>
      <c r="C297" s="16">
        <v>65</v>
      </c>
      <c r="D297" s="16" t="s">
        <v>1408</v>
      </c>
      <c r="E297" s="16" t="s">
        <v>1279</v>
      </c>
      <c r="F297" s="16" t="s">
        <v>1409</v>
      </c>
      <c r="G297" s="17">
        <f>H297*2.4711</f>
        <v>2604.7865099999995</v>
      </c>
      <c r="H297" s="17">
        <v>1054.0999999999999</v>
      </c>
      <c r="I297" s="18">
        <f>IF(J297="","",J297*2.4711)</f>
        <v>51893.1</v>
      </c>
      <c r="J297" s="18">
        <v>21000</v>
      </c>
      <c r="K297" s="19">
        <f t="shared" si="143"/>
        <v>19.922208519115834</v>
      </c>
      <c r="L297" s="19">
        <v>72</v>
      </c>
      <c r="M297" s="19">
        <v>21.9</v>
      </c>
      <c r="N297" s="20">
        <f>IF(O297="", "",O297*3.2808)</f>
        <v>33.13608</v>
      </c>
      <c r="O297" s="19">
        <v>10.1</v>
      </c>
      <c r="P297" s="21" t="str">
        <f t="shared" si="144"/>
        <v>no</v>
      </c>
      <c r="Q297" s="22">
        <v>1</v>
      </c>
      <c r="R297" s="18" t="s">
        <v>1410</v>
      </c>
      <c r="S297" s="23">
        <v>44.739300999999998</v>
      </c>
      <c r="T297" s="23">
        <v>-73.967685450000005</v>
      </c>
      <c r="U297" s="18" t="s">
        <v>95</v>
      </c>
      <c r="V297" s="18"/>
      <c r="W297" t="str">
        <f t="shared" si="138"/>
        <v>no</v>
      </c>
      <c r="X297" t="s">
        <v>1411</v>
      </c>
      <c r="Y297" t="str">
        <f t="shared" si="161"/>
        <v>recreation and public bathing</v>
      </c>
      <c r="Z297" t="s">
        <v>79</v>
      </c>
      <c r="AA297" s="40" t="s">
        <v>420</v>
      </c>
      <c r="AB297" s="40" t="s">
        <v>79</v>
      </c>
      <c r="AC297" s="24">
        <f>IF(AND(AA297="none reported",AB297="none reported"),"",0)</f>
        <v>0</v>
      </c>
      <c r="AD297" s="24"/>
      <c r="AF297" t="str">
        <f t="shared" si="145"/>
        <v/>
      </c>
      <c r="AG297" s="26" t="s">
        <v>81</v>
      </c>
      <c r="AH297" s="27" t="s">
        <v>83</v>
      </c>
      <c r="AI297" s="28" t="s">
        <v>83</v>
      </c>
      <c r="AJ297" s="29" t="s">
        <v>82</v>
      </c>
      <c r="AK297" s="30" t="s">
        <v>85</v>
      </c>
      <c r="AL297" s="31" t="s">
        <v>85</v>
      </c>
      <c r="AM297" s="32" t="s">
        <v>141</v>
      </c>
      <c r="AN297" s="33" t="s">
        <v>81</v>
      </c>
      <c r="AO297" s="32" t="s">
        <v>81</v>
      </c>
      <c r="AP297" s="39"/>
      <c r="AQ297">
        <v>0</v>
      </c>
      <c r="AR297">
        <v>0</v>
      </c>
      <c r="AS297">
        <v>0</v>
      </c>
      <c r="AT297">
        <v>0</v>
      </c>
      <c r="AU297">
        <v>0</v>
      </c>
      <c r="AV297">
        <v>0</v>
      </c>
      <c r="AW297">
        <v>0</v>
      </c>
      <c r="AX297">
        <v>0</v>
      </c>
      <c r="AZ297" t="s">
        <v>1026</v>
      </c>
      <c r="BD297" t="s">
        <v>215</v>
      </c>
      <c r="BE297" t="s">
        <v>216</v>
      </c>
      <c r="BF297" t="s">
        <v>89</v>
      </c>
      <c r="BG297" t="str">
        <f>IF(C297="","LCI","CSLAP")</f>
        <v>CSLAP</v>
      </c>
      <c r="BH297" s="14" t="str">
        <f>IF(RIGHT(CM297,4)="2011","yes","no")</f>
        <v>no</v>
      </c>
      <c r="BJ297">
        <f>IF(MAX(AT297:AX297)=0,0,IF(MAX(AT297:AX297)=1,1,LEN(AE297)-LEN(SUBSTITUTE(UPPER(AE297),",",""))+1))</f>
        <v>0</v>
      </c>
      <c r="BK297">
        <f>IF(BJ297&gt;1,2,IF(BJ297&gt;0,1,0))</f>
        <v>0</v>
      </c>
      <c r="BL297">
        <f>IF(BJ297&gt;2,3,IF(BJ297&gt;2,2,IF(BJ297&gt;1,1,0)))</f>
        <v>0</v>
      </c>
      <c r="BM297" t="str">
        <f>IF(C297="","LCI","CSLAP")</f>
        <v>CSLAP</v>
      </c>
      <c r="BN297" t="str">
        <f>IF(LEFT(AB297,13)="zebra mussels","yes","no")</f>
        <v>no</v>
      </c>
      <c r="BO297">
        <v>0.50697190476190468</v>
      </c>
    </row>
    <row r="298" spans="1:77" x14ac:dyDescent="0.3">
      <c r="A298" t="s">
        <v>1730</v>
      </c>
      <c r="B298" t="s">
        <v>2047</v>
      </c>
      <c r="C298" s="16">
        <v>224</v>
      </c>
      <c r="D298" s="16" t="s">
        <v>1412</v>
      </c>
      <c r="E298" s="16" t="s">
        <v>437</v>
      </c>
      <c r="F298" s="16" t="s">
        <v>1413</v>
      </c>
      <c r="G298" s="17">
        <f>H298*2.4711</f>
        <v>102.30353999999998</v>
      </c>
      <c r="H298" s="17">
        <v>41.4</v>
      </c>
      <c r="I298" s="18">
        <f>IF(J298="","",J298*2.4711)</f>
        <v>19422.845999999998</v>
      </c>
      <c r="J298" s="18">
        <v>7860</v>
      </c>
      <c r="K298" s="19">
        <f t="shared" si="143"/>
        <v>189.85507246376812</v>
      </c>
      <c r="L298" s="19">
        <v>68.896799999999999</v>
      </c>
      <c r="M298" s="19">
        <v>21</v>
      </c>
      <c r="N298" s="20">
        <f>IF(O298="", "",O298*3.2808)</f>
        <v>32.381495999999999</v>
      </c>
      <c r="O298" s="19">
        <v>9.8699999999999992</v>
      </c>
      <c r="P298" s="21" t="str">
        <f t="shared" si="144"/>
        <v>no</v>
      </c>
      <c r="Q298" s="22">
        <v>8.1848368854961814E-2</v>
      </c>
      <c r="R298" s="18" t="s">
        <v>2140</v>
      </c>
      <c r="S298" s="23">
        <v>42.703067019999999</v>
      </c>
      <c r="T298" s="23">
        <v>-76.156268019999999</v>
      </c>
      <c r="U298" s="18" t="s">
        <v>77</v>
      </c>
      <c r="V298" s="18" t="s">
        <v>96</v>
      </c>
      <c r="W298" t="str">
        <f t="shared" si="138"/>
        <v>no</v>
      </c>
      <c r="Y298" t="str">
        <f t="shared" si="161"/>
        <v>recreation</v>
      </c>
      <c r="Z298" t="s">
        <v>79</v>
      </c>
      <c r="AA298" s="40" t="s">
        <v>879</v>
      </c>
      <c r="AB298" s="40" t="s">
        <v>139</v>
      </c>
      <c r="AC298" s="24">
        <f>IF(AND(AA298="none reported",AB298="none reported"),"",0)</f>
        <v>0</v>
      </c>
      <c r="AD298" s="24"/>
      <c r="AF298" t="str">
        <f t="shared" si="145"/>
        <v/>
      </c>
      <c r="AG298" s="26" t="s">
        <v>81</v>
      </c>
      <c r="AH298" s="27" t="s">
        <v>156</v>
      </c>
      <c r="AI298" s="28" t="s">
        <v>257</v>
      </c>
      <c r="AJ298" s="29" t="s">
        <v>257</v>
      </c>
      <c r="AK298" s="30" t="s">
        <v>156</v>
      </c>
      <c r="AL298" s="31" t="s">
        <v>156</v>
      </c>
      <c r="AM298" s="32" t="s">
        <v>156</v>
      </c>
      <c r="AN298" s="33" t="s">
        <v>81</v>
      </c>
      <c r="AO298" s="32" t="s">
        <v>81</v>
      </c>
      <c r="AP298" s="39"/>
      <c r="AQ298">
        <v>5</v>
      </c>
      <c r="AR298">
        <v>3</v>
      </c>
      <c r="AS298">
        <v>0</v>
      </c>
      <c r="AT298">
        <v>0</v>
      </c>
      <c r="AU298">
        <v>0</v>
      </c>
      <c r="AV298">
        <v>0</v>
      </c>
      <c r="AW298">
        <v>0</v>
      </c>
      <c r="AX298">
        <v>0</v>
      </c>
      <c r="AY298" t="s">
        <v>1414</v>
      </c>
      <c r="AZ298" t="s">
        <v>1415</v>
      </c>
      <c r="BA298" t="s">
        <v>102</v>
      </c>
      <c r="BB298" t="s">
        <v>1416</v>
      </c>
      <c r="BC298" t="s">
        <v>132</v>
      </c>
      <c r="BD298" t="s">
        <v>114</v>
      </c>
      <c r="BE298" t="s">
        <v>247</v>
      </c>
      <c r="BF298" t="s">
        <v>115</v>
      </c>
      <c r="BG298" t="str">
        <f>IF(C298="","LCI","CSLAP")</f>
        <v>CSLAP</v>
      </c>
      <c r="BH298" s="14" t="s">
        <v>99</v>
      </c>
      <c r="BJ298">
        <f>IF(MAX(AT298:AX298)=0,0,IF(MAX(AT298:AX298)=1,1,LEN(AE298)-LEN(SUBSTITUTE(UPPER(AE298),",",""))+1))</f>
        <v>0</v>
      </c>
      <c r="BK298">
        <f>IF(BJ298&gt;1,2,IF(BJ298&gt;0,1,0))</f>
        <v>0</v>
      </c>
      <c r="BL298">
        <f>IF(BJ298&gt;2,3,IF(BJ298&gt;2,2,IF(BJ298&gt;1,1,0)))</f>
        <v>0</v>
      </c>
      <c r="BM298" t="str">
        <f>IF(C298="","LCI","CSLAP")</f>
        <v>CSLAP</v>
      </c>
      <c r="BN298" t="str">
        <f>IF(LEFT(AB298,13)="zebra mussels","yes","no")</f>
        <v>yes</v>
      </c>
      <c r="BO298">
        <v>0.63516260162601623</v>
      </c>
      <c r="BV298" t="s">
        <v>1414</v>
      </c>
    </row>
    <row r="299" spans="1:77" x14ac:dyDescent="0.3">
      <c r="A299" t="s">
        <v>1731</v>
      </c>
      <c r="B299" t="s">
        <v>2060</v>
      </c>
      <c r="C299" s="46">
        <v>208.1</v>
      </c>
      <c r="D299" s="47" t="s">
        <v>1417</v>
      </c>
      <c r="E299" s="47" t="s">
        <v>448</v>
      </c>
      <c r="F299" s="16" t="s">
        <v>746</v>
      </c>
      <c r="G299" s="17">
        <f>H299*2.4711</f>
        <v>5056.1177099999995</v>
      </c>
      <c r="H299" s="17">
        <v>2046.1</v>
      </c>
      <c r="I299" s="18">
        <v>48567.84222054432</v>
      </c>
      <c r="J299" s="18">
        <v>19654.341070998471</v>
      </c>
      <c r="K299" s="19">
        <f t="shared" si="143"/>
        <v>9.6057578177989704</v>
      </c>
      <c r="L299" s="19">
        <f>M299*3.28</f>
        <v>52.48</v>
      </c>
      <c r="M299" s="19">
        <v>16</v>
      </c>
      <c r="N299" s="20"/>
      <c r="O299" s="19"/>
      <c r="P299" s="21" t="str">
        <f t="shared" si="144"/>
        <v>no</v>
      </c>
      <c r="Q299" s="22">
        <v>1.7350704632365601</v>
      </c>
      <c r="R299" s="18" t="s">
        <v>1418</v>
      </c>
      <c r="S299" s="23">
        <v>44.324800000000003</v>
      </c>
      <c r="T299" s="23">
        <v>-74.322500000000005</v>
      </c>
      <c r="U299" s="18" t="s">
        <v>379</v>
      </c>
      <c r="V299" s="18"/>
      <c r="W299" t="str">
        <f t="shared" si="138"/>
        <v>yes</v>
      </c>
      <c r="X299" t="s">
        <v>1419</v>
      </c>
      <c r="Y299" t="str">
        <f t="shared" si="161"/>
        <v>potable water, recreation, and public bathing</v>
      </c>
      <c r="Z299" t="s">
        <v>79</v>
      </c>
      <c r="AA299" s="24" t="s">
        <v>120</v>
      </c>
      <c r="AB299" s="24" t="s">
        <v>79</v>
      </c>
      <c r="AC299" s="24">
        <f>IF(AND(AA299="none reported",AB299="none reported"),"",0)</f>
        <v>0</v>
      </c>
      <c r="AD299" s="24"/>
      <c r="AF299" t="str">
        <f t="shared" si="145"/>
        <v/>
      </c>
      <c r="AG299" s="26" t="s">
        <v>82</v>
      </c>
      <c r="AH299" s="27" t="s">
        <v>82</v>
      </c>
      <c r="AI299" s="28" t="s">
        <v>257</v>
      </c>
      <c r="AJ299" s="29" t="s">
        <v>83</v>
      </c>
      <c r="AK299" s="30" t="s">
        <v>85</v>
      </c>
      <c r="AL299" s="31" t="s">
        <v>85</v>
      </c>
      <c r="AM299" s="32" t="s">
        <v>82</v>
      </c>
      <c r="AN299" s="33" t="s">
        <v>81</v>
      </c>
      <c r="AO299" s="32" t="s">
        <v>81</v>
      </c>
      <c r="AP299" s="39"/>
      <c r="AQ299">
        <v>0</v>
      </c>
      <c r="AR299">
        <v>0</v>
      </c>
      <c r="AS299">
        <v>0</v>
      </c>
      <c r="AT299">
        <v>0</v>
      </c>
      <c r="AU299">
        <v>0</v>
      </c>
      <c r="AV299">
        <v>0</v>
      </c>
      <c r="AW299">
        <v>0</v>
      </c>
      <c r="AX299">
        <v>0</v>
      </c>
      <c r="AZ299" t="s">
        <v>1420</v>
      </c>
      <c r="BD299" t="s">
        <v>124</v>
      </c>
      <c r="BE299" t="s">
        <v>89</v>
      </c>
      <c r="BF299" t="s">
        <v>89</v>
      </c>
      <c r="BG299" t="str">
        <f>IF(C299="","LCI","CSLAP")</f>
        <v>CSLAP</v>
      </c>
      <c r="BH299" s="14" t="s">
        <v>99</v>
      </c>
      <c r="BJ299">
        <f>IF(MAX(AT299:AX299)=0,0,IF(MAX(AT299:AX299)=1,1,LEN(AE299)-LEN(SUBSTITUTE(UPPER(AE299),",",""))+1))</f>
        <v>0</v>
      </c>
      <c r="BK299">
        <f>IF(BJ299&gt;1,2,IF(BJ299&gt;0,1,0))</f>
        <v>0</v>
      </c>
      <c r="BL299">
        <f>IF(BJ299&gt;2,3,IF(BJ299&gt;2,2,IF(BJ299&gt;1,1,0)))</f>
        <v>0</v>
      </c>
      <c r="BM299" t="str">
        <f>IF(C299="","LCI","CSLAP")</f>
        <v>CSLAP</v>
      </c>
      <c r="BN299" t="str">
        <f>IF(LEFT(AB299,13)="zebra mussels","yes","no")</f>
        <v>no</v>
      </c>
      <c r="BO299">
        <v>0.6</v>
      </c>
    </row>
    <row r="300" spans="1:77" x14ac:dyDescent="0.3">
      <c r="A300" t="s">
        <v>1731</v>
      </c>
      <c r="B300" t="s">
        <v>2060</v>
      </c>
      <c r="C300" s="46">
        <v>208.2</v>
      </c>
      <c r="D300" s="47" t="s">
        <v>484</v>
      </c>
      <c r="E300" s="47" t="s">
        <v>448</v>
      </c>
      <c r="F300" s="16" t="s">
        <v>746</v>
      </c>
      <c r="G300" s="17">
        <f>H300*2.4711</f>
        <v>5056.1177099999995</v>
      </c>
      <c r="H300" s="17">
        <v>2046.1</v>
      </c>
      <c r="I300" s="18">
        <v>48567.84222054432</v>
      </c>
      <c r="J300" s="18">
        <v>19654.341070998471</v>
      </c>
      <c r="K300" s="19">
        <f t="shared" si="143"/>
        <v>9.6057578177989704</v>
      </c>
      <c r="L300" s="19">
        <v>103</v>
      </c>
      <c r="M300" s="19">
        <v>31.5</v>
      </c>
      <c r="N300" s="20">
        <v>14</v>
      </c>
      <c r="O300" s="19">
        <v>4.3</v>
      </c>
      <c r="P300" s="21" t="str">
        <f t="shared" si="144"/>
        <v>no</v>
      </c>
      <c r="Q300" s="22">
        <v>1.7350704632365601</v>
      </c>
      <c r="R300" s="18" t="s">
        <v>1418</v>
      </c>
      <c r="S300" s="23">
        <v>44.268903999999999</v>
      </c>
      <c r="T300" s="23">
        <v>-74.334585000000004</v>
      </c>
      <c r="U300" s="18" t="s">
        <v>379</v>
      </c>
      <c r="V300" s="49"/>
      <c r="W300" t="str">
        <f t="shared" si="138"/>
        <v>yes</v>
      </c>
      <c r="X300" t="s">
        <v>1419</v>
      </c>
      <c r="Y300" t="str">
        <f t="shared" si="161"/>
        <v>potable water, recreation, and public bathing</v>
      </c>
      <c r="Z300" t="s">
        <v>79</v>
      </c>
      <c r="AA300" s="24" t="s">
        <v>120</v>
      </c>
      <c r="AB300" s="24" t="s">
        <v>79</v>
      </c>
      <c r="AC300" s="24">
        <f>IF(AND(AA300="none reported",AB300="none reported"),"",0)</f>
        <v>0</v>
      </c>
      <c r="AD300" s="24"/>
      <c r="AF300" t="str">
        <f t="shared" si="145"/>
        <v/>
      </c>
      <c r="AG300" s="26" t="s">
        <v>82</v>
      </c>
      <c r="AH300" s="27" t="s">
        <v>82</v>
      </c>
      <c r="AI300" s="28" t="s">
        <v>257</v>
      </c>
      <c r="AJ300" s="29" t="s">
        <v>83</v>
      </c>
      <c r="AK300" s="30" t="s">
        <v>85</v>
      </c>
      <c r="AL300" s="31" t="s">
        <v>85</v>
      </c>
      <c r="AM300" s="32" t="s">
        <v>82</v>
      </c>
      <c r="AN300" s="33" t="s">
        <v>81</v>
      </c>
      <c r="AO300" s="32" t="s">
        <v>81</v>
      </c>
      <c r="AP300" s="39"/>
      <c r="AQ300">
        <v>0</v>
      </c>
      <c r="AR300">
        <v>0</v>
      </c>
      <c r="AS300">
        <v>0</v>
      </c>
      <c r="AT300">
        <v>0</v>
      </c>
      <c r="AU300">
        <v>0</v>
      </c>
      <c r="AV300">
        <v>0</v>
      </c>
      <c r="AW300">
        <v>0</v>
      </c>
      <c r="AX300">
        <v>0</v>
      </c>
      <c r="AZ300" t="s">
        <v>1420</v>
      </c>
      <c r="BD300" t="s">
        <v>124</v>
      </c>
      <c r="BE300" t="s">
        <v>89</v>
      </c>
      <c r="BF300" t="s">
        <v>89</v>
      </c>
      <c r="BG300" t="str">
        <f>IF(C300="","LCI","CSLAP")</f>
        <v>CSLAP</v>
      </c>
      <c r="BH300" s="14" t="s">
        <v>99</v>
      </c>
      <c r="BJ300">
        <f>IF(MAX(AT300:AX300)=0,0,IF(MAX(AT300:AX300)=1,1,LEN(AE300)-LEN(SUBSTITUTE(UPPER(AE300),",",""))+1))</f>
        <v>0</v>
      </c>
      <c r="BK300">
        <f>IF(BJ300&gt;1,2,IF(BJ300&gt;0,1,0))</f>
        <v>0</v>
      </c>
      <c r="BL300">
        <f>IF(BJ300&gt;2,3,IF(BJ300&gt;2,2,IF(BJ300&gt;1,1,0)))</f>
        <v>0</v>
      </c>
      <c r="BM300" t="str">
        <f>IF(C300="","LCI","CSLAP")</f>
        <v>CSLAP</v>
      </c>
      <c r="BN300" t="str">
        <f>IF(LEFT(AB300,13)="zebra mussels","yes","no")</f>
        <v>no</v>
      </c>
      <c r="BO300">
        <v>0.6</v>
      </c>
    </row>
    <row r="301" spans="1:77" x14ac:dyDescent="0.3">
      <c r="A301" t="s">
        <v>1732</v>
      </c>
      <c r="B301" t="s">
        <v>2048</v>
      </c>
      <c r="C301" s="16">
        <v>144</v>
      </c>
      <c r="D301" s="16" t="s">
        <v>1421</v>
      </c>
      <c r="E301" s="16" t="s">
        <v>448</v>
      </c>
      <c r="F301" s="16" t="s">
        <v>746</v>
      </c>
      <c r="G301" s="17">
        <f>H301*2.4711</f>
        <v>812.74478999999985</v>
      </c>
      <c r="H301" s="17">
        <v>328.9</v>
      </c>
      <c r="I301" s="18">
        <f t="shared" ref="I301:I310" si="162">IF(J301="","",J301*2.4711)</f>
        <v>4455.3932999999997</v>
      </c>
      <c r="J301" s="18">
        <v>1803</v>
      </c>
      <c r="K301" s="19">
        <f t="shared" si="143"/>
        <v>5.4819093949528739</v>
      </c>
      <c r="L301" s="19">
        <v>55.773600000000002</v>
      </c>
      <c r="M301" s="19">
        <v>17</v>
      </c>
      <c r="N301" s="20">
        <f t="shared" ref="N301:N309" si="163">IF(O301="", "",O301*3.2808)</f>
        <v>26.213591999999998</v>
      </c>
      <c r="O301" s="19">
        <v>7.9899999999999993</v>
      </c>
      <c r="P301" s="21" t="str">
        <f t="shared" si="144"/>
        <v>no</v>
      </c>
      <c r="Q301" s="22">
        <v>2.277377114531336</v>
      </c>
      <c r="R301" s="18" t="s">
        <v>1422</v>
      </c>
      <c r="S301" s="23">
        <v>44.408920000000002</v>
      </c>
      <c r="T301" s="23">
        <v>-74.278000000000006</v>
      </c>
      <c r="U301" s="18" t="s">
        <v>379</v>
      </c>
      <c r="V301" s="18"/>
      <c r="W301" t="str">
        <f t="shared" si="138"/>
        <v>yes</v>
      </c>
      <c r="Y301" t="str">
        <f t="shared" si="161"/>
        <v>potable water and recreation</v>
      </c>
      <c r="Z301" t="s">
        <v>79</v>
      </c>
      <c r="AA301" s="40" t="s">
        <v>79</v>
      </c>
      <c r="AB301" s="40" t="s">
        <v>79</v>
      </c>
      <c r="AC301" s="35">
        <v>7.6526758650145235</v>
      </c>
      <c r="AD301" s="35" t="s">
        <v>749</v>
      </c>
      <c r="AF301" t="str">
        <f t="shared" si="145"/>
        <v/>
      </c>
      <c r="AG301" s="26" t="s">
        <v>156</v>
      </c>
      <c r="AH301" s="27" t="s">
        <v>257</v>
      </c>
      <c r="AI301" s="28" t="s">
        <v>257</v>
      </c>
      <c r="AJ301" s="29" t="s">
        <v>82</v>
      </c>
      <c r="AK301" s="30" t="s">
        <v>85</v>
      </c>
      <c r="AL301" s="31" t="s">
        <v>85</v>
      </c>
      <c r="AM301" s="32" t="s">
        <v>82</v>
      </c>
      <c r="AN301" s="33" t="s">
        <v>81</v>
      </c>
      <c r="AO301" s="32" t="s">
        <v>81</v>
      </c>
      <c r="AP301" s="39"/>
      <c r="AQ301">
        <v>0</v>
      </c>
      <c r="AR301">
        <v>0</v>
      </c>
      <c r="AS301">
        <v>0</v>
      </c>
      <c r="AT301">
        <v>0</v>
      </c>
      <c r="AU301">
        <v>0</v>
      </c>
      <c r="AV301">
        <v>0</v>
      </c>
      <c r="AW301">
        <v>0</v>
      </c>
      <c r="AX301">
        <v>0</v>
      </c>
      <c r="AZ301" t="s">
        <v>1038</v>
      </c>
      <c r="BD301" t="s">
        <v>215</v>
      </c>
      <c r="BE301" t="s">
        <v>216</v>
      </c>
      <c r="BF301" t="s">
        <v>89</v>
      </c>
      <c r="BG301" t="str">
        <f>IF(C301="","LCI","CSLAP")</f>
        <v>CSLAP</v>
      </c>
      <c r="BH301" s="14" t="str">
        <f>IF(RIGHT(CM301,4)="2011","yes","no")</f>
        <v>no</v>
      </c>
      <c r="BJ301">
        <f>IF(MAX(AT301:AX301)=0,0,IF(MAX(AT301:AX301)=1,1,LEN(AE301)-LEN(SUBSTITUTE(UPPER(AE301),",",""))+1))</f>
        <v>0</v>
      </c>
      <c r="BK301">
        <f>IF(BJ301&gt;1,2,IF(BJ301&gt;0,1,0))</f>
        <v>0</v>
      </c>
      <c r="BL301">
        <f>IF(BJ301&gt;2,3,IF(BJ301&gt;2,2,IF(BJ301&gt;1,1,0)))</f>
        <v>0</v>
      </c>
      <c r="BM301" t="str">
        <f>IF(C301="","LCI","CSLAP")</f>
        <v>CSLAP</v>
      </c>
      <c r="BN301" t="str">
        <f>IF(LEFT(AB301,13)="zebra mussels","yes","no")</f>
        <v>no</v>
      </c>
      <c r="BO301">
        <v>0.64</v>
      </c>
    </row>
    <row r="302" spans="1:77" x14ac:dyDescent="0.3">
      <c r="A302" t="s">
        <v>1733</v>
      </c>
      <c r="B302" t="s">
        <v>2049</v>
      </c>
      <c r="C302" s="16">
        <v>197</v>
      </c>
      <c r="D302" s="16" t="s">
        <v>853</v>
      </c>
      <c r="E302" s="16" t="s">
        <v>183</v>
      </c>
      <c r="F302" s="16" t="s">
        <v>851</v>
      </c>
      <c r="G302" s="17">
        <f t="shared" ref="G302:G310" si="164">H302*2.4711</f>
        <v>19.274579999999997</v>
      </c>
      <c r="H302" s="17">
        <v>7.8</v>
      </c>
      <c r="I302" s="18">
        <f t="shared" si="162"/>
        <v>2347.5450000000001</v>
      </c>
      <c r="J302" s="18">
        <v>950</v>
      </c>
      <c r="K302" s="19">
        <f t="shared" si="143"/>
        <v>121.7948717948718</v>
      </c>
      <c r="L302" s="19">
        <v>7.5458400000000001</v>
      </c>
      <c r="M302" s="19">
        <v>2.2999999999999998</v>
      </c>
      <c r="N302" s="20">
        <f t="shared" si="163"/>
        <v>3.5465447999999999</v>
      </c>
      <c r="O302" s="19">
        <v>1.081</v>
      </c>
      <c r="P302" s="21" t="str">
        <f t="shared" si="144"/>
        <v>no</v>
      </c>
      <c r="Q302" s="22">
        <v>1.4550129421915442E-2</v>
      </c>
      <c r="R302" s="18" t="s">
        <v>1423</v>
      </c>
      <c r="S302" s="23">
        <v>41.315353109999997</v>
      </c>
      <c r="T302" s="23">
        <v>-73.933766520000006</v>
      </c>
      <c r="U302" s="18" t="s">
        <v>77</v>
      </c>
      <c r="V302" s="18" t="s">
        <v>77</v>
      </c>
      <c r="W302" t="str">
        <f t="shared" si="138"/>
        <v>no</v>
      </c>
      <c r="Y302" t="str">
        <f t="shared" si="161"/>
        <v>recreation</v>
      </c>
      <c r="Z302" t="s">
        <v>79</v>
      </c>
      <c r="AA302" s="24" t="s">
        <v>473</v>
      </c>
      <c r="AB302" s="24" t="s">
        <v>79</v>
      </c>
      <c r="AC302" s="24">
        <f>IF(AND(AA302="none reported",AB302="none reported"),"",0)</f>
        <v>0</v>
      </c>
      <c r="AD302" s="24"/>
      <c r="AF302" t="str">
        <f t="shared" si="145"/>
        <v/>
      </c>
      <c r="AG302" s="26" t="s">
        <v>81</v>
      </c>
      <c r="AH302" s="27" t="s">
        <v>83</v>
      </c>
      <c r="AI302" s="28" t="s">
        <v>141</v>
      </c>
      <c r="AJ302" s="29" t="s">
        <v>83</v>
      </c>
      <c r="AK302" s="30" t="s">
        <v>121</v>
      </c>
      <c r="AL302" s="31" t="s">
        <v>84</v>
      </c>
      <c r="AM302" s="32" t="s">
        <v>82</v>
      </c>
      <c r="AN302" s="33" t="s">
        <v>81</v>
      </c>
      <c r="AO302" s="32" t="s">
        <v>81</v>
      </c>
      <c r="AP302" s="39"/>
      <c r="AQ302">
        <v>0</v>
      </c>
      <c r="AR302">
        <v>0</v>
      </c>
      <c r="AS302">
        <v>0</v>
      </c>
      <c r="AT302">
        <v>0</v>
      </c>
      <c r="AU302">
        <v>0</v>
      </c>
      <c r="AV302">
        <v>0</v>
      </c>
      <c r="AW302">
        <v>0</v>
      </c>
      <c r="AX302">
        <v>0</v>
      </c>
      <c r="BD302" t="s">
        <v>152</v>
      </c>
      <c r="BF302" t="s">
        <v>160</v>
      </c>
      <c r="BG302" t="str">
        <f t="shared" ref="BG302:BG314" si="165">IF(C302="","LCI","CSLAP")</f>
        <v>CSLAP</v>
      </c>
      <c r="BH302" s="14" t="str">
        <f>IF(RIGHT(CM302,4)="2011","yes","no")</f>
        <v>no</v>
      </c>
      <c r="BJ302">
        <f t="shared" ref="BJ302:BJ310" si="166">IF(MAX(AT302:AX302)=0,0,IF(MAX(AT302:AX302)=1,1,LEN(AE302)-LEN(SUBSTITUTE(UPPER(AE302),",",""))+1))</f>
        <v>0</v>
      </c>
      <c r="BK302">
        <f t="shared" ref="BK302:BK310" si="167">IF(BJ302&gt;1,2,IF(BJ302&gt;0,1,0))</f>
        <v>0</v>
      </c>
      <c r="BL302">
        <f t="shared" ref="BL302:BL310" si="168">IF(BJ302&gt;2,3,IF(BJ302&gt;2,2,IF(BJ302&gt;1,1,0)))</f>
        <v>0</v>
      </c>
      <c r="BM302" t="str">
        <f t="shared" ref="BM302:BM314" si="169">IF(C302="","LCI","CSLAP")</f>
        <v>CSLAP</v>
      </c>
      <c r="BN302" t="str">
        <f t="shared" ref="BN302:BN314" si="170">IF(LEFT(AB302,13)="zebra mussels","yes","no")</f>
        <v>no</v>
      </c>
      <c r="BO302">
        <v>0.61</v>
      </c>
    </row>
    <row r="303" spans="1:77" x14ac:dyDescent="0.3">
      <c r="A303" t="s">
        <v>1734</v>
      </c>
      <c r="B303" t="s">
        <v>2050</v>
      </c>
      <c r="C303" s="16">
        <v>220</v>
      </c>
      <c r="D303" s="16" t="s">
        <v>1424</v>
      </c>
      <c r="E303" s="16" t="s">
        <v>165</v>
      </c>
      <c r="F303" s="16" t="s">
        <v>990</v>
      </c>
      <c r="G303" s="17">
        <f t="shared" si="164"/>
        <v>57.576630000000002</v>
      </c>
      <c r="H303" s="17">
        <v>23.3</v>
      </c>
      <c r="I303" s="18">
        <f t="shared" si="162"/>
        <v>4129.2080999999998</v>
      </c>
      <c r="J303" s="18">
        <v>1671</v>
      </c>
      <c r="K303" s="19">
        <f t="shared" si="143"/>
        <v>71.716738197424888</v>
      </c>
      <c r="L303" s="19">
        <v>17.38824</v>
      </c>
      <c r="M303" s="19">
        <v>5.3</v>
      </c>
      <c r="N303" s="20">
        <f t="shared" si="163"/>
        <v>8.1724727999999995</v>
      </c>
      <c r="O303" s="19">
        <v>2.4909999999999997</v>
      </c>
      <c r="P303" s="21" t="str">
        <f t="shared" si="144"/>
        <v>no</v>
      </c>
      <c r="Q303" s="22">
        <v>5.694077366061355E-2</v>
      </c>
      <c r="R303" s="18" t="s">
        <v>2271</v>
      </c>
      <c r="S303" s="23">
        <v>41.215792110000002</v>
      </c>
      <c r="T303" s="23">
        <v>-74.194637909999997</v>
      </c>
      <c r="U303" s="18" t="s">
        <v>77</v>
      </c>
      <c r="V303" s="18" t="s">
        <v>77</v>
      </c>
      <c r="W303" t="str">
        <f t="shared" si="138"/>
        <v>no</v>
      </c>
      <c r="X303" t="s">
        <v>1425</v>
      </c>
      <c r="Y303" t="str">
        <f t="shared" si="161"/>
        <v>recreation and public bathing</v>
      </c>
      <c r="Z303" t="s">
        <v>79</v>
      </c>
      <c r="AA303" s="24" t="s">
        <v>120</v>
      </c>
      <c r="AB303" s="24" t="s">
        <v>79</v>
      </c>
      <c r="AC303" s="24">
        <f>IF(AND(AA303="none reported",AB303="none reported"),"",0)</f>
        <v>0</v>
      </c>
      <c r="AD303" s="24"/>
      <c r="AE303" s="25" t="s">
        <v>1426</v>
      </c>
      <c r="AF303" t="str">
        <f t="shared" si="145"/>
        <v>yes</v>
      </c>
      <c r="AG303" s="26" t="s">
        <v>81</v>
      </c>
      <c r="AH303" s="27" t="s">
        <v>156</v>
      </c>
      <c r="AI303" s="28" t="s">
        <v>156</v>
      </c>
      <c r="AJ303" s="29" t="s">
        <v>156</v>
      </c>
      <c r="AK303" s="30" t="s">
        <v>156</v>
      </c>
      <c r="AL303" s="31" t="s">
        <v>156</v>
      </c>
      <c r="AM303" s="32" t="s">
        <v>156</v>
      </c>
      <c r="AN303" s="33" t="s">
        <v>81</v>
      </c>
      <c r="AO303" s="32" t="s">
        <v>81</v>
      </c>
      <c r="AP303" s="39"/>
      <c r="AQ303">
        <v>0</v>
      </c>
      <c r="AR303">
        <v>0</v>
      </c>
      <c r="AS303">
        <v>0</v>
      </c>
      <c r="AT303">
        <v>0</v>
      </c>
      <c r="AU303">
        <v>0</v>
      </c>
      <c r="AV303">
        <v>5</v>
      </c>
      <c r="AW303">
        <v>0</v>
      </c>
      <c r="AX303">
        <v>3</v>
      </c>
      <c r="AZ303" t="s">
        <v>993</v>
      </c>
      <c r="BA303" t="s">
        <v>102</v>
      </c>
      <c r="BB303" t="s">
        <v>2188</v>
      </c>
      <c r="BC303" t="s">
        <v>103</v>
      </c>
      <c r="BD303" t="s">
        <v>152</v>
      </c>
      <c r="BE303" t="s">
        <v>105</v>
      </c>
      <c r="BF303" t="s">
        <v>160</v>
      </c>
      <c r="BG303" t="str">
        <f t="shared" si="165"/>
        <v>CSLAP</v>
      </c>
      <c r="BH303" s="14" t="s">
        <v>102</v>
      </c>
      <c r="BJ303">
        <f t="shared" si="166"/>
        <v>2</v>
      </c>
      <c r="BK303">
        <f t="shared" si="167"/>
        <v>2</v>
      </c>
      <c r="BL303">
        <f t="shared" si="168"/>
        <v>1</v>
      </c>
      <c r="BM303" t="str">
        <f t="shared" si="169"/>
        <v>CSLAP</v>
      </c>
      <c r="BN303" t="str">
        <f t="shared" si="170"/>
        <v>no</v>
      </c>
      <c r="BO303">
        <v>0.61</v>
      </c>
    </row>
    <row r="304" spans="1:77" x14ac:dyDescent="0.3">
      <c r="A304" t="s">
        <v>1735</v>
      </c>
      <c r="B304" t="s">
        <v>2051</v>
      </c>
      <c r="C304" s="16">
        <v>192</v>
      </c>
      <c r="D304" s="16" t="s">
        <v>1427</v>
      </c>
      <c r="E304" s="16" t="s">
        <v>93</v>
      </c>
      <c r="F304" s="16" t="s">
        <v>1428</v>
      </c>
      <c r="G304" s="17">
        <f t="shared" si="164"/>
        <v>64.00148999999999</v>
      </c>
      <c r="H304" s="17">
        <v>25.9</v>
      </c>
      <c r="I304" s="18">
        <f t="shared" si="162"/>
        <v>7783.9649999999992</v>
      </c>
      <c r="J304" s="18">
        <v>3150</v>
      </c>
      <c r="K304" s="19">
        <f t="shared" si="143"/>
        <v>121.62162162162163</v>
      </c>
      <c r="L304" s="19">
        <v>9.8424000000000014</v>
      </c>
      <c r="M304" s="19">
        <v>3</v>
      </c>
      <c r="N304" s="20">
        <f t="shared" si="163"/>
        <v>4.625928</v>
      </c>
      <c r="O304" s="19">
        <v>1.41</v>
      </c>
      <c r="P304" s="21" t="str">
        <f t="shared" si="144"/>
        <v>no</v>
      </c>
      <c r="Q304" s="22">
        <v>2.26653633105246E-2</v>
      </c>
      <c r="R304" s="18" t="s">
        <v>2277</v>
      </c>
      <c r="S304" s="23">
        <v>41.594265671199999</v>
      </c>
      <c r="T304" s="23">
        <v>-74.982807507199993</v>
      </c>
      <c r="U304" s="18" t="s">
        <v>77</v>
      </c>
      <c r="V304" s="18"/>
      <c r="W304" t="str">
        <f t="shared" si="138"/>
        <v>no</v>
      </c>
      <c r="Y304" t="str">
        <f t="shared" si="161"/>
        <v>recreation</v>
      </c>
      <c r="Z304" t="s">
        <v>79</v>
      </c>
      <c r="AA304" s="24" t="s">
        <v>79</v>
      </c>
      <c r="AB304" s="24" t="s">
        <v>79</v>
      </c>
      <c r="AC304" s="35">
        <v>10.358374229012959</v>
      </c>
      <c r="AD304" s="35" t="s">
        <v>634</v>
      </c>
      <c r="AF304" t="str">
        <f t="shared" si="145"/>
        <v/>
      </c>
      <c r="AG304" s="26" t="s">
        <v>81</v>
      </c>
      <c r="AH304" s="27" t="s">
        <v>156</v>
      </c>
      <c r="AI304" s="27" t="s">
        <v>83</v>
      </c>
      <c r="AJ304" s="27" t="s">
        <v>1097</v>
      </c>
      <c r="AK304" s="27" t="s">
        <v>84</v>
      </c>
      <c r="AL304" s="27" t="s">
        <v>85</v>
      </c>
      <c r="AM304" s="27" t="s">
        <v>1097</v>
      </c>
      <c r="AN304" s="33" t="s">
        <v>81</v>
      </c>
      <c r="AO304" s="32" t="s">
        <v>81</v>
      </c>
      <c r="AP304" s="39"/>
      <c r="AQ304">
        <v>0</v>
      </c>
      <c r="AR304">
        <v>0</v>
      </c>
      <c r="AS304">
        <v>0</v>
      </c>
      <c r="AT304">
        <v>0</v>
      </c>
      <c r="AU304">
        <v>0</v>
      </c>
      <c r="AV304">
        <v>0</v>
      </c>
      <c r="AW304">
        <v>0</v>
      </c>
      <c r="AX304">
        <v>0</v>
      </c>
      <c r="AZ304" t="s">
        <v>1429</v>
      </c>
      <c r="BA304" t="s">
        <v>102</v>
      </c>
      <c r="BB304" t="s">
        <v>1430</v>
      </c>
      <c r="BC304" t="s">
        <v>103</v>
      </c>
      <c r="BD304" t="s">
        <v>104</v>
      </c>
      <c r="BE304" t="s">
        <v>105</v>
      </c>
      <c r="BF304" t="s">
        <v>106</v>
      </c>
      <c r="BG304" t="str">
        <f t="shared" si="165"/>
        <v>CSLAP</v>
      </c>
      <c r="BH304" s="14" t="s">
        <v>99</v>
      </c>
      <c r="BJ304">
        <f t="shared" si="166"/>
        <v>0</v>
      </c>
      <c r="BK304">
        <f t="shared" si="167"/>
        <v>0</v>
      </c>
      <c r="BL304">
        <f t="shared" si="168"/>
        <v>0</v>
      </c>
      <c r="BM304" t="str">
        <f t="shared" si="169"/>
        <v>CSLAP</v>
      </c>
      <c r="BN304" t="str">
        <f t="shared" si="170"/>
        <v>no</v>
      </c>
      <c r="BO304">
        <v>0.51149999999999995</v>
      </c>
    </row>
    <row r="305" spans="1:77" x14ac:dyDescent="0.3">
      <c r="A305" t="s">
        <v>1736</v>
      </c>
      <c r="B305" t="s">
        <v>2052</v>
      </c>
      <c r="C305" s="16">
        <v>145</v>
      </c>
      <c r="D305" s="16" t="s">
        <v>1431</v>
      </c>
      <c r="E305" s="16" t="s">
        <v>293</v>
      </c>
      <c r="F305" s="16" t="s">
        <v>294</v>
      </c>
      <c r="G305" s="17">
        <f t="shared" si="164"/>
        <v>313.58258999999998</v>
      </c>
      <c r="H305" s="17">
        <v>126.9</v>
      </c>
      <c r="I305" s="18">
        <f t="shared" si="162"/>
        <v>3558.384</v>
      </c>
      <c r="J305" s="18">
        <v>1440</v>
      </c>
      <c r="K305" s="19">
        <f t="shared" si="143"/>
        <v>11.347517730496453</v>
      </c>
      <c r="L305" s="19">
        <v>74</v>
      </c>
      <c r="M305" s="19">
        <v>22.6</v>
      </c>
      <c r="N305" s="20">
        <f t="shared" si="163"/>
        <v>34.12032</v>
      </c>
      <c r="O305" s="19">
        <v>10.4</v>
      </c>
      <c r="P305" s="21" t="str">
        <f t="shared" si="144"/>
        <v>no</v>
      </c>
      <c r="Q305" s="22">
        <v>0.6907834710743801</v>
      </c>
      <c r="R305" s="18" t="s">
        <v>2278</v>
      </c>
      <c r="S305" s="23">
        <v>43.136698500000001</v>
      </c>
      <c r="T305" s="23">
        <v>-74.496055279999993</v>
      </c>
      <c r="U305" s="18" t="s">
        <v>77</v>
      </c>
      <c r="V305" s="18"/>
      <c r="W305" t="str">
        <f t="shared" si="138"/>
        <v>no</v>
      </c>
      <c r="X305" t="s">
        <v>1432</v>
      </c>
      <c r="Y305" t="str">
        <f t="shared" si="161"/>
        <v>recreation and public bathing</v>
      </c>
      <c r="Z305" t="s">
        <v>79</v>
      </c>
      <c r="AA305" s="24" t="s">
        <v>120</v>
      </c>
      <c r="AB305" s="24" t="s">
        <v>79</v>
      </c>
      <c r="AC305" s="24">
        <f>IF(AND(AA305="none reported",AB305="none reported"),"",0)</f>
        <v>0</v>
      </c>
      <c r="AD305" s="24"/>
      <c r="AF305" t="str">
        <f t="shared" si="145"/>
        <v/>
      </c>
      <c r="AG305" s="26" t="s">
        <v>81</v>
      </c>
      <c r="AH305" s="27" t="s">
        <v>82</v>
      </c>
      <c r="AI305" s="28" t="s">
        <v>82</v>
      </c>
      <c r="AJ305" s="29" t="s">
        <v>82</v>
      </c>
      <c r="AK305" s="30" t="s">
        <v>85</v>
      </c>
      <c r="AL305" s="31" t="s">
        <v>85</v>
      </c>
      <c r="AM305" s="32" t="s">
        <v>82</v>
      </c>
      <c r="AN305" s="33" t="s">
        <v>81</v>
      </c>
      <c r="AO305" s="32" t="s">
        <v>81</v>
      </c>
      <c r="AP305" s="39"/>
      <c r="AQ305">
        <v>0</v>
      </c>
      <c r="AR305">
        <v>0</v>
      </c>
      <c r="AS305">
        <v>0</v>
      </c>
      <c r="AT305">
        <v>0</v>
      </c>
      <c r="AU305">
        <v>0</v>
      </c>
      <c r="AV305">
        <v>0</v>
      </c>
      <c r="AW305">
        <v>0</v>
      </c>
      <c r="AX305">
        <v>0</v>
      </c>
      <c r="AZ305" t="s">
        <v>1433</v>
      </c>
      <c r="BA305" t="s">
        <v>102</v>
      </c>
      <c r="BB305" t="s">
        <v>1434</v>
      </c>
      <c r="BD305" t="s">
        <v>298</v>
      </c>
      <c r="BF305" t="s">
        <v>89</v>
      </c>
      <c r="BG305" t="str">
        <f t="shared" si="165"/>
        <v>CSLAP</v>
      </c>
      <c r="BH305" s="14" t="str">
        <f>IF(RIGHT(CM305,4)="2011","yes","no")</f>
        <v>no</v>
      </c>
      <c r="BJ305">
        <f t="shared" si="166"/>
        <v>0</v>
      </c>
      <c r="BK305">
        <f t="shared" si="167"/>
        <v>0</v>
      </c>
      <c r="BL305">
        <f t="shared" si="168"/>
        <v>0</v>
      </c>
      <c r="BM305" t="str">
        <f t="shared" si="169"/>
        <v>CSLAP</v>
      </c>
      <c r="BN305" t="str">
        <f t="shared" si="170"/>
        <v>no</v>
      </c>
      <c r="BO305">
        <v>1.3267543859649125</v>
      </c>
    </row>
    <row r="306" spans="1:77" x14ac:dyDescent="0.3">
      <c r="A306" t="s">
        <v>1737</v>
      </c>
      <c r="B306" t="s">
        <v>2053</v>
      </c>
      <c r="C306" s="16">
        <v>155</v>
      </c>
      <c r="D306" s="16" t="s">
        <v>1435</v>
      </c>
      <c r="E306" s="16" t="s">
        <v>593</v>
      </c>
      <c r="F306" s="16" t="s">
        <v>594</v>
      </c>
      <c r="G306" s="17">
        <f t="shared" si="164"/>
        <v>256.00595999999996</v>
      </c>
      <c r="H306" s="17">
        <v>103.6</v>
      </c>
      <c r="I306" s="18">
        <f t="shared" si="162"/>
        <v>2347.5450000000001</v>
      </c>
      <c r="J306" s="18">
        <v>950</v>
      </c>
      <c r="K306" s="19">
        <f t="shared" si="143"/>
        <v>9.1698841698841704</v>
      </c>
      <c r="L306" s="19">
        <v>31.8</v>
      </c>
      <c r="M306" s="19">
        <v>9.6999999999999993</v>
      </c>
      <c r="N306" s="20">
        <f t="shared" si="163"/>
        <v>13.77936</v>
      </c>
      <c r="O306" s="19">
        <v>4.2</v>
      </c>
      <c r="P306" s="21" t="str">
        <f t="shared" si="144"/>
        <v>no</v>
      </c>
      <c r="Q306" s="22">
        <v>0.78969147005444651</v>
      </c>
      <c r="R306" s="18" t="s">
        <v>1077</v>
      </c>
      <c r="S306" s="23">
        <v>41.558968059999998</v>
      </c>
      <c r="T306" s="23">
        <v>-73.662423050000001</v>
      </c>
      <c r="U306" s="18" t="s">
        <v>77</v>
      </c>
      <c r="V306" s="18" t="s">
        <v>78</v>
      </c>
      <c r="W306" t="str">
        <f t="shared" ref="W306:W310" si="171">IF(OR(U306="A",U306="AA",U306="AAspec",U306="A(T)",U306="AA(T)"),"yes","no")</f>
        <v>no</v>
      </c>
      <c r="X306" t="s">
        <v>1436</v>
      </c>
      <c r="Y306" t="str">
        <f t="shared" si="161"/>
        <v>recreation and public bathing</v>
      </c>
      <c r="Z306" t="s">
        <v>79</v>
      </c>
      <c r="AA306" s="40" t="s">
        <v>79</v>
      </c>
      <c r="AB306" s="40" t="s">
        <v>79</v>
      </c>
      <c r="AC306" s="35">
        <v>2.5847744151220136</v>
      </c>
      <c r="AD306" s="35" t="s">
        <v>592</v>
      </c>
      <c r="AF306" t="str">
        <f t="shared" si="145"/>
        <v/>
      </c>
      <c r="AG306" s="26" t="s">
        <v>81</v>
      </c>
      <c r="AH306" s="27" t="s">
        <v>82</v>
      </c>
      <c r="AI306" s="28" t="s">
        <v>82</v>
      </c>
      <c r="AJ306" s="29" t="s">
        <v>82</v>
      </c>
      <c r="AK306" s="30" t="s">
        <v>85</v>
      </c>
      <c r="AL306" s="31" t="s">
        <v>85</v>
      </c>
      <c r="AM306" s="32" t="s">
        <v>82</v>
      </c>
      <c r="AN306" s="33" t="s">
        <v>81</v>
      </c>
      <c r="AO306" s="32" t="s">
        <v>81</v>
      </c>
      <c r="AP306" s="39"/>
      <c r="AQ306">
        <v>0</v>
      </c>
      <c r="AR306">
        <v>0</v>
      </c>
      <c r="AS306">
        <v>0</v>
      </c>
      <c r="AT306">
        <v>0</v>
      </c>
      <c r="AU306">
        <v>0</v>
      </c>
      <c r="AV306">
        <v>0</v>
      </c>
      <c r="AW306">
        <v>0</v>
      </c>
      <c r="AX306">
        <v>0</v>
      </c>
      <c r="BD306" t="s">
        <v>152</v>
      </c>
      <c r="BF306" t="s">
        <v>133</v>
      </c>
      <c r="BG306" t="str">
        <f t="shared" si="165"/>
        <v>CSLAP</v>
      </c>
      <c r="BH306" s="14" t="str">
        <f>IF(RIGHT(CM306,4)="2011","yes","no")</f>
        <v>no</v>
      </c>
      <c r="BJ306">
        <f t="shared" si="166"/>
        <v>0</v>
      </c>
      <c r="BK306">
        <f t="shared" si="167"/>
        <v>0</v>
      </c>
      <c r="BL306">
        <f t="shared" si="168"/>
        <v>0</v>
      </c>
      <c r="BM306" t="str">
        <f t="shared" si="169"/>
        <v>CSLAP</v>
      </c>
      <c r="BN306" t="str">
        <f t="shared" si="170"/>
        <v>no</v>
      </c>
      <c r="BO306">
        <v>0.57999999999999996</v>
      </c>
    </row>
    <row r="307" spans="1:77" x14ac:dyDescent="0.3">
      <c r="A307" t="s">
        <v>1738</v>
      </c>
      <c r="B307" t="s">
        <v>2054</v>
      </c>
      <c r="C307" s="16">
        <v>119</v>
      </c>
      <c r="D307" s="16" t="s">
        <v>1437</v>
      </c>
      <c r="E307" s="16" t="s">
        <v>176</v>
      </c>
      <c r="F307" s="16" t="s">
        <v>177</v>
      </c>
      <c r="G307" s="17">
        <f t="shared" si="164"/>
        <v>32.124299999999998</v>
      </c>
      <c r="H307" s="17">
        <v>13</v>
      </c>
      <c r="I307" s="18">
        <f t="shared" si="162"/>
        <v>425.02919999999995</v>
      </c>
      <c r="J307" s="18">
        <v>172</v>
      </c>
      <c r="K307" s="19">
        <f t="shared" si="143"/>
        <v>13.23076923076923</v>
      </c>
      <c r="L307" s="19">
        <v>13.123200000000001</v>
      </c>
      <c r="M307" s="19">
        <v>4</v>
      </c>
      <c r="N307" s="20">
        <f t="shared" si="163"/>
        <v>6.1679040000000001</v>
      </c>
      <c r="O307" s="19">
        <v>1.88</v>
      </c>
      <c r="P307" s="21" t="str">
        <f t="shared" si="144"/>
        <v>no</v>
      </c>
      <c r="Q307" s="22">
        <v>0.31958750830564775</v>
      </c>
      <c r="R307" s="18" t="s">
        <v>1438</v>
      </c>
      <c r="S307" s="23">
        <v>42.040524589999997</v>
      </c>
      <c r="T307" s="23">
        <v>-75.636862399999998</v>
      </c>
      <c r="U307" s="18" t="s">
        <v>78</v>
      </c>
      <c r="V307" s="18" t="s">
        <v>77</v>
      </c>
      <c r="W307" t="str">
        <f t="shared" si="171"/>
        <v>no</v>
      </c>
      <c r="Y307" t="str">
        <f t="shared" si="161"/>
        <v>recreation</v>
      </c>
      <c r="Z307" t="s">
        <v>79</v>
      </c>
      <c r="AA307" s="40" t="s">
        <v>79</v>
      </c>
      <c r="AB307" s="40" t="s">
        <v>79</v>
      </c>
      <c r="AC307" s="35">
        <v>1.5182159086383493</v>
      </c>
      <c r="AD307" s="35" t="s">
        <v>175</v>
      </c>
      <c r="AF307" t="str">
        <f t="shared" si="145"/>
        <v/>
      </c>
      <c r="AG307" s="26" t="s">
        <v>81</v>
      </c>
      <c r="AH307" s="27" t="s">
        <v>81</v>
      </c>
      <c r="AI307" s="28" t="s">
        <v>83</v>
      </c>
      <c r="AJ307" s="29" t="s">
        <v>82</v>
      </c>
      <c r="AK307" s="30" t="s">
        <v>85</v>
      </c>
      <c r="AL307" s="31" t="s">
        <v>85</v>
      </c>
      <c r="AM307" s="32" t="s">
        <v>82</v>
      </c>
      <c r="AN307" s="33" t="s">
        <v>81</v>
      </c>
      <c r="AO307" s="32" t="s">
        <v>81</v>
      </c>
      <c r="AP307" s="39"/>
      <c r="AQ307">
        <v>0</v>
      </c>
      <c r="AR307">
        <v>0</v>
      </c>
      <c r="AS307">
        <v>0</v>
      </c>
      <c r="AT307">
        <v>0</v>
      </c>
      <c r="AU307">
        <v>0</v>
      </c>
      <c r="AV307">
        <v>1</v>
      </c>
      <c r="AW307">
        <v>0</v>
      </c>
      <c r="AX307">
        <v>0</v>
      </c>
      <c r="AZ307" t="s">
        <v>1439</v>
      </c>
      <c r="BA307" t="s">
        <v>102</v>
      </c>
      <c r="BB307" t="s">
        <v>224</v>
      </c>
      <c r="BC307" t="s">
        <v>132</v>
      </c>
      <c r="BD307" t="s">
        <v>114</v>
      </c>
      <c r="BE307" t="s">
        <v>105</v>
      </c>
      <c r="BF307" t="s">
        <v>115</v>
      </c>
      <c r="BG307" t="str">
        <f t="shared" si="165"/>
        <v>CSLAP</v>
      </c>
      <c r="BH307" s="14" t="s">
        <v>102</v>
      </c>
      <c r="BJ307">
        <f t="shared" si="166"/>
        <v>1</v>
      </c>
      <c r="BK307">
        <f t="shared" si="167"/>
        <v>1</v>
      </c>
      <c r="BL307">
        <f t="shared" si="168"/>
        <v>0</v>
      </c>
      <c r="BM307" t="str">
        <f t="shared" si="169"/>
        <v>CSLAP</v>
      </c>
      <c r="BN307" t="str">
        <f t="shared" si="170"/>
        <v>no</v>
      </c>
      <c r="BO307">
        <v>0.44461382113821141</v>
      </c>
    </row>
    <row r="308" spans="1:77" x14ac:dyDescent="0.3">
      <c r="A308" t="s">
        <v>1739</v>
      </c>
      <c r="B308" t="s">
        <v>2055</v>
      </c>
      <c r="C308" s="16">
        <v>167</v>
      </c>
      <c r="D308" s="16" t="s">
        <v>1440</v>
      </c>
      <c r="E308" s="16" t="s">
        <v>254</v>
      </c>
      <c r="F308" s="16" t="s">
        <v>561</v>
      </c>
      <c r="G308" s="17">
        <f t="shared" si="164"/>
        <v>96.125789999999995</v>
      </c>
      <c r="H308" s="17">
        <v>38.9</v>
      </c>
      <c r="I308" s="18">
        <f t="shared" si="162"/>
        <v>733.9414109999999</v>
      </c>
      <c r="J308" s="18">
        <v>297.01</v>
      </c>
      <c r="K308" s="19">
        <f t="shared" si="143"/>
        <v>7.6352185089974292</v>
      </c>
      <c r="L308" s="19">
        <v>9.8424000000000014</v>
      </c>
      <c r="M308" s="19">
        <v>3</v>
      </c>
      <c r="N308" s="20">
        <f>IF(O308="", "",O308*3.2808)</f>
        <v>4.625928</v>
      </c>
      <c r="O308" s="19">
        <v>1.41</v>
      </c>
      <c r="P308" s="21" t="str">
        <f t="shared" si="144"/>
        <v>no</v>
      </c>
      <c r="Q308" s="22">
        <v>0.27399191366934361</v>
      </c>
      <c r="R308" s="18" t="s">
        <v>1147</v>
      </c>
      <c r="S308" s="23">
        <v>43.632692489999997</v>
      </c>
      <c r="T308" s="23">
        <v>-74.012595599999997</v>
      </c>
      <c r="U308" s="18" t="s">
        <v>458</v>
      </c>
      <c r="V308" s="18" t="s">
        <v>77</v>
      </c>
      <c r="W308" t="str">
        <f t="shared" si="171"/>
        <v>yes</v>
      </c>
      <c r="Y308" t="str">
        <f t="shared" si="161"/>
        <v>potable water and recreation</v>
      </c>
      <c r="Z308" t="s">
        <v>79</v>
      </c>
      <c r="AA308" s="40" t="s">
        <v>79</v>
      </c>
      <c r="AB308" s="40" t="s">
        <v>79</v>
      </c>
      <c r="AC308" s="35">
        <v>8.4341879804350501</v>
      </c>
      <c r="AD308" s="35" t="s">
        <v>543</v>
      </c>
      <c r="AF308" t="str">
        <f t="shared" si="145"/>
        <v/>
      </c>
      <c r="AG308" s="26" t="s">
        <v>156</v>
      </c>
      <c r="AH308" s="27" t="s">
        <v>156</v>
      </c>
      <c r="AI308" s="28" t="s">
        <v>156</v>
      </c>
      <c r="AJ308" s="29" t="s">
        <v>156</v>
      </c>
      <c r="AK308" s="30" t="s">
        <v>156</v>
      </c>
      <c r="AL308" s="31" t="s">
        <v>156</v>
      </c>
      <c r="AM308" s="32" t="s">
        <v>156</v>
      </c>
      <c r="AN308" s="33" t="s">
        <v>81</v>
      </c>
      <c r="AO308" s="32" t="s">
        <v>81</v>
      </c>
      <c r="AP308" s="39"/>
      <c r="AQ308">
        <v>0</v>
      </c>
      <c r="AR308">
        <v>0</v>
      </c>
      <c r="AS308">
        <v>0</v>
      </c>
      <c r="AT308">
        <v>0</v>
      </c>
      <c r="AU308">
        <v>0</v>
      </c>
      <c r="AV308">
        <v>0</v>
      </c>
      <c r="AW308">
        <v>0</v>
      </c>
      <c r="AX308">
        <v>0</v>
      </c>
      <c r="BD308" t="s">
        <v>88</v>
      </c>
      <c r="BE308" t="s">
        <v>89</v>
      </c>
      <c r="BF308" t="s">
        <v>89</v>
      </c>
      <c r="BG308" t="str">
        <f t="shared" si="165"/>
        <v>CSLAP</v>
      </c>
      <c r="BH308" s="14" t="str">
        <f>IF(RIGHT(CM308,4)="2011","yes","no")</f>
        <v>no</v>
      </c>
      <c r="BJ308">
        <f t="shared" si="166"/>
        <v>0</v>
      </c>
      <c r="BK308">
        <f t="shared" si="167"/>
        <v>0</v>
      </c>
      <c r="BL308">
        <f t="shared" si="168"/>
        <v>0</v>
      </c>
      <c r="BM308" t="str">
        <f t="shared" si="169"/>
        <v>CSLAP</v>
      </c>
      <c r="BN308" t="str">
        <f t="shared" si="170"/>
        <v>no</v>
      </c>
      <c r="BO308">
        <v>0.67400000000000004</v>
      </c>
      <c r="BY308" t="s">
        <v>1441</v>
      </c>
    </row>
    <row r="309" spans="1:77" x14ac:dyDescent="0.3">
      <c r="A309" t="s">
        <v>1740</v>
      </c>
      <c r="B309" t="s">
        <v>2056</v>
      </c>
      <c r="C309" s="16">
        <v>26</v>
      </c>
      <c r="D309" s="16" t="s">
        <v>1442</v>
      </c>
      <c r="E309" s="16" t="s">
        <v>93</v>
      </c>
      <c r="F309" s="16" t="s">
        <v>1443</v>
      </c>
      <c r="G309" s="17">
        <f t="shared" si="164"/>
        <v>320.00745000000001</v>
      </c>
      <c r="H309" s="17">
        <v>129.5</v>
      </c>
      <c r="I309" s="18">
        <f t="shared" si="162"/>
        <v>1210.8389999999999</v>
      </c>
      <c r="J309" s="18">
        <v>490</v>
      </c>
      <c r="K309" s="19">
        <f t="shared" si="143"/>
        <v>3.7837837837837838</v>
      </c>
      <c r="L309" s="19">
        <f>3.28*M309</f>
        <v>14.76</v>
      </c>
      <c r="M309" s="19">
        <v>4.5</v>
      </c>
      <c r="N309" s="20">
        <f t="shared" si="163"/>
        <v>6.8896800000000002</v>
      </c>
      <c r="O309" s="19">
        <v>2.1</v>
      </c>
      <c r="P309" s="21" t="str">
        <f t="shared" si="144"/>
        <v>no</v>
      </c>
      <c r="Q309" s="22">
        <v>0.92499999999999993</v>
      </c>
      <c r="R309" s="18" t="s">
        <v>1444</v>
      </c>
      <c r="S309" s="23">
        <v>41.586413800000003</v>
      </c>
      <c r="T309" s="23">
        <v>-74.589106689999994</v>
      </c>
      <c r="U309" s="18" t="s">
        <v>77</v>
      </c>
      <c r="V309" s="18" t="s">
        <v>96</v>
      </c>
      <c r="W309" t="str">
        <f t="shared" si="171"/>
        <v>no</v>
      </c>
      <c r="Y309" t="str">
        <f t="shared" si="161"/>
        <v>recreation</v>
      </c>
      <c r="Z309" t="s">
        <v>79</v>
      </c>
      <c r="AA309" s="40" t="s">
        <v>79</v>
      </c>
      <c r="AB309" s="40" t="s">
        <v>79</v>
      </c>
      <c r="AC309" s="35">
        <v>7.3802282306910696</v>
      </c>
      <c r="AD309" s="35" t="s">
        <v>1445</v>
      </c>
      <c r="AF309" t="str">
        <f t="shared" si="145"/>
        <v/>
      </c>
      <c r="AG309" s="26" t="s">
        <v>81</v>
      </c>
      <c r="AH309" s="27" t="s">
        <v>82</v>
      </c>
      <c r="AI309" s="28" t="s">
        <v>82</v>
      </c>
      <c r="AJ309" s="29" t="s">
        <v>257</v>
      </c>
      <c r="AK309" s="30" t="s">
        <v>85</v>
      </c>
      <c r="AL309" s="31" t="s">
        <v>85</v>
      </c>
      <c r="AM309" s="32" t="s">
        <v>82</v>
      </c>
      <c r="AN309" s="33" t="s">
        <v>81</v>
      </c>
      <c r="AO309" s="32" t="s">
        <v>81</v>
      </c>
      <c r="AP309" s="39"/>
      <c r="AQ309">
        <v>0</v>
      </c>
      <c r="AR309">
        <v>0</v>
      </c>
      <c r="AS309">
        <v>0</v>
      </c>
      <c r="AT309">
        <v>0</v>
      </c>
      <c r="AU309">
        <v>1</v>
      </c>
      <c r="AV309">
        <v>0</v>
      </c>
      <c r="AW309">
        <v>1</v>
      </c>
      <c r="AX309">
        <v>0</v>
      </c>
      <c r="AZ309" t="s">
        <v>1446</v>
      </c>
      <c r="BA309" t="s">
        <v>102</v>
      </c>
      <c r="BC309" t="s">
        <v>103</v>
      </c>
      <c r="BD309" t="s">
        <v>104</v>
      </c>
      <c r="BE309" t="s">
        <v>105</v>
      </c>
      <c r="BF309" t="s">
        <v>106</v>
      </c>
      <c r="BG309" t="str">
        <f t="shared" si="165"/>
        <v>CSLAP</v>
      </c>
      <c r="BH309" s="14" t="s">
        <v>102</v>
      </c>
      <c r="BJ309">
        <f t="shared" si="166"/>
        <v>1</v>
      </c>
      <c r="BK309">
        <f t="shared" si="167"/>
        <v>1</v>
      </c>
      <c r="BL309">
        <f t="shared" si="168"/>
        <v>0</v>
      </c>
      <c r="BM309" t="str">
        <f t="shared" si="169"/>
        <v>CSLAP</v>
      </c>
      <c r="BN309" t="str">
        <f t="shared" si="170"/>
        <v>no</v>
      </c>
      <c r="BO309">
        <v>0.6</v>
      </c>
    </row>
    <row r="310" spans="1:77" x14ac:dyDescent="0.3">
      <c r="A310" t="s">
        <v>1741</v>
      </c>
      <c r="B310" t="s">
        <v>2057</v>
      </c>
      <c r="C310" s="16">
        <v>206</v>
      </c>
      <c r="D310" s="16" t="s">
        <v>1447</v>
      </c>
      <c r="E310" s="16" t="s">
        <v>93</v>
      </c>
      <c r="F310" s="16" t="s">
        <v>1448</v>
      </c>
      <c r="G310" s="17">
        <f t="shared" si="164"/>
        <v>409.70837999999998</v>
      </c>
      <c r="H310" s="17">
        <v>165.8</v>
      </c>
      <c r="I310" s="18">
        <f t="shared" si="162"/>
        <v>1729.77</v>
      </c>
      <c r="J310" s="18">
        <v>700</v>
      </c>
      <c r="K310" s="19">
        <f t="shared" si="143"/>
        <v>4.2219541616405305</v>
      </c>
      <c r="L310" s="19">
        <v>12.467040000000001</v>
      </c>
      <c r="M310" s="19">
        <v>3.8</v>
      </c>
      <c r="N310" s="20">
        <f>IF(O310="", "",O310*3.2808)</f>
        <v>5.8595087999999995</v>
      </c>
      <c r="O310" s="19">
        <v>1.7859999999999998</v>
      </c>
      <c r="P310" s="21" t="str">
        <f t="shared" si="144"/>
        <v>no</v>
      </c>
      <c r="Q310" s="22">
        <v>0.70504476190476184</v>
      </c>
      <c r="R310" s="18" t="s">
        <v>1449</v>
      </c>
      <c r="S310" s="23">
        <v>41.586693150000002</v>
      </c>
      <c r="T310" s="23">
        <v>-74.559116979999999</v>
      </c>
      <c r="U310" s="18" t="s">
        <v>77</v>
      </c>
      <c r="V310" s="18" t="s">
        <v>78</v>
      </c>
      <c r="W310" t="str">
        <f t="shared" si="171"/>
        <v>no</v>
      </c>
      <c r="Y310" t="str">
        <f>IF(W310="yes",IF(X310="","potable water and recreation","potable water, recreation, and public bathing"),IF(X310="","recreation","recreation and public bathing"))</f>
        <v>recreation</v>
      </c>
      <c r="Z310" t="s">
        <v>79</v>
      </c>
      <c r="AA310" s="24" t="s">
        <v>79</v>
      </c>
      <c r="AB310" s="24" t="s">
        <v>79</v>
      </c>
      <c r="AC310" s="35">
        <v>8.320231004975609</v>
      </c>
      <c r="AD310" s="35" t="s">
        <v>1445</v>
      </c>
      <c r="AE310" s="25">
        <v>2019</v>
      </c>
      <c r="AF310" t="str">
        <f t="shared" si="145"/>
        <v>no</v>
      </c>
      <c r="AG310" s="26" t="s">
        <v>81</v>
      </c>
      <c r="AH310" s="27" t="s">
        <v>156</v>
      </c>
      <c r="AI310" s="27" t="s">
        <v>156</v>
      </c>
      <c r="AJ310" s="27" t="s">
        <v>156</v>
      </c>
      <c r="AK310" s="27" t="s">
        <v>156</v>
      </c>
      <c r="AL310" s="27" t="s">
        <v>156</v>
      </c>
      <c r="AM310" s="27" t="s">
        <v>156</v>
      </c>
      <c r="AN310" s="33">
        <v>43649</v>
      </c>
      <c r="AO310" s="33">
        <v>43649</v>
      </c>
      <c r="AP310" s="39"/>
      <c r="AQ310">
        <v>0</v>
      </c>
      <c r="AR310">
        <v>0</v>
      </c>
      <c r="AS310">
        <v>0</v>
      </c>
      <c r="AT310">
        <v>0</v>
      </c>
      <c r="AU310">
        <v>0</v>
      </c>
      <c r="AV310">
        <v>0</v>
      </c>
      <c r="AW310">
        <v>0</v>
      </c>
      <c r="AX310">
        <v>0</v>
      </c>
      <c r="AZ310" t="s">
        <v>1450</v>
      </c>
      <c r="BA310" t="s">
        <v>102</v>
      </c>
      <c r="BB310" t="s">
        <v>1451</v>
      </c>
      <c r="BC310" t="s">
        <v>103</v>
      </c>
      <c r="BD310" t="s">
        <v>104</v>
      </c>
      <c r="BE310" t="s">
        <v>105</v>
      </c>
      <c r="BF310" t="s">
        <v>106</v>
      </c>
      <c r="BG310" t="str">
        <f t="shared" si="165"/>
        <v>CSLAP</v>
      </c>
      <c r="BH310" s="14" t="s">
        <v>102</v>
      </c>
      <c r="BJ310">
        <f t="shared" si="166"/>
        <v>0</v>
      </c>
      <c r="BK310">
        <f t="shared" si="167"/>
        <v>0</v>
      </c>
      <c r="BL310">
        <f t="shared" si="168"/>
        <v>0</v>
      </c>
      <c r="BM310" t="str">
        <f t="shared" si="169"/>
        <v>CSLAP</v>
      </c>
      <c r="BN310" t="str">
        <f t="shared" si="170"/>
        <v>no</v>
      </c>
      <c r="BO310">
        <v>0.6</v>
      </c>
      <c r="BY310" t="s">
        <v>1452</v>
      </c>
    </row>
    <row r="311" spans="1:77" x14ac:dyDescent="0.3">
      <c r="A311" t="s">
        <v>2066</v>
      </c>
      <c r="B311" t="s">
        <v>2063</v>
      </c>
      <c r="C311" s="37">
        <v>265</v>
      </c>
      <c r="D311" s="37" t="s">
        <v>2069</v>
      </c>
      <c r="E311" s="42" t="s">
        <v>2071</v>
      </c>
      <c r="F311" s="16" t="s">
        <v>945</v>
      </c>
      <c r="G311" s="36">
        <v>780</v>
      </c>
      <c r="H311" s="36">
        <v>315.65499999999997</v>
      </c>
      <c r="I311" s="37">
        <v>6284.8</v>
      </c>
      <c r="J311" s="37">
        <v>2543.36832</v>
      </c>
      <c r="K311" s="19">
        <f t="shared" si="143"/>
        <v>8.057430802616782</v>
      </c>
      <c r="L311" s="21">
        <v>32.152200000000001</v>
      </c>
      <c r="M311" s="21">
        <v>9.8000000000000007</v>
      </c>
      <c r="N311" s="34">
        <v>15</v>
      </c>
      <c r="O311" s="21">
        <v>4.5720000000000001</v>
      </c>
      <c r="P311" s="21" t="s">
        <v>99</v>
      </c>
      <c r="Q311" s="43">
        <v>3.66</v>
      </c>
      <c r="R311" s="146">
        <v>2020</v>
      </c>
      <c r="S311">
        <v>42.444499999999799</v>
      </c>
      <c r="T311">
        <v>-77.101799</v>
      </c>
      <c r="U311" s="18" t="s">
        <v>96</v>
      </c>
      <c r="W311" t="s">
        <v>99</v>
      </c>
      <c r="X311" t="s">
        <v>102</v>
      </c>
      <c r="Y311" t="str">
        <f t="shared" si="161"/>
        <v>recreation and public bathing</v>
      </c>
      <c r="Z311" t="s">
        <v>79</v>
      </c>
      <c r="AA311" s="147" t="s">
        <v>2073</v>
      </c>
      <c r="AB311" s="147" t="s">
        <v>755</v>
      </c>
      <c r="AC311" s="148">
        <v>0</v>
      </c>
      <c r="AE311" s="149" t="s">
        <v>2074</v>
      </c>
      <c r="AF311" s="25" t="s">
        <v>102</v>
      </c>
      <c r="AG311" s="150" t="s">
        <v>156</v>
      </c>
      <c r="AH311" s="151" t="s">
        <v>83</v>
      </c>
      <c r="AI311" s="151" t="s">
        <v>141</v>
      </c>
      <c r="AJ311" s="151" t="s">
        <v>83</v>
      </c>
      <c r="AK311" s="151" t="s">
        <v>81</v>
      </c>
      <c r="AL311" s="151" t="s">
        <v>81</v>
      </c>
      <c r="AM311" s="151" t="s">
        <v>81</v>
      </c>
      <c r="AZ311" t="s">
        <v>2079</v>
      </c>
      <c r="BA311" t="s">
        <v>102</v>
      </c>
      <c r="BB311" t="s">
        <v>2275</v>
      </c>
      <c r="BC311" t="s">
        <v>226</v>
      </c>
      <c r="BD311" t="s">
        <v>227</v>
      </c>
      <c r="BE311" t="s">
        <v>229</v>
      </c>
      <c r="BF311" t="s">
        <v>435</v>
      </c>
      <c r="BG311" t="str">
        <f t="shared" si="165"/>
        <v>CSLAP</v>
      </c>
      <c r="BH311" s="14" t="s">
        <v>102</v>
      </c>
      <c r="BM311" t="str">
        <f t="shared" si="169"/>
        <v>CSLAP</v>
      </c>
      <c r="BN311" t="str">
        <f t="shared" si="170"/>
        <v>no</v>
      </c>
    </row>
    <row r="312" spans="1:77" x14ac:dyDescent="0.3">
      <c r="A312" t="s">
        <v>2065</v>
      </c>
      <c r="B312" t="s">
        <v>2062</v>
      </c>
      <c r="C312" s="37">
        <v>264</v>
      </c>
      <c r="D312" s="37" t="s">
        <v>2068</v>
      </c>
      <c r="E312" s="42" t="s">
        <v>127</v>
      </c>
      <c r="F312" s="16" t="s">
        <v>2070</v>
      </c>
      <c r="G312" s="36">
        <v>6.9</v>
      </c>
      <c r="H312" s="36">
        <v>2.7923300000000002</v>
      </c>
      <c r="I312" s="37">
        <v>460.8</v>
      </c>
      <c r="J312" s="37">
        <v>186.47914</v>
      </c>
      <c r="K312" s="19">
        <f t="shared" si="143"/>
        <v>66.782629560259707</v>
      </c>
      <c r="L312" s="21">
        <v>18.700800000000001</v>
      </c>
      <c r="M312" s="21">
        <v>5.7</v>
      </c>
      <c r="N312" s="34">
        <v>2.2999999999999998</v>
      </c>
      <c r="O312" s="21">
        <v>0.7</v>
      </c>
      <c r="P312" s="21" t="s">
        <v>99</v>
      </c>
      <c r="Q312" s="43">
        <v>4.0000000000000001E-3</v>
      </c>
      <c r="R312" s="146">
        <v>2020</v>
      </c>
      <c r="S312">
        <v>42.656898499999798</v>
      </c>
      <c r="T312">
        <v>-73.560600300000004</v>
      </c>
      <c r="U312" s="18" t="s">
        <v>450</v>
      </c>
      <c r="W312" t="s">
        <v>99</v>
      </c>
      <c r="X312" t="s">
        <v>99</v>
      </c>
      <c r="Y312" t="str">
        <f t="shared" si="161"/>
        <v>recreation and public bathing</v>
      </c>
      <c r="Z312" t="s">
        <v>79</v>
      </c>
      <c r="AA312" t="s">
        <v>79</v>
      </c>
      <c r="AB312" t="s">
        <v>79</v>
      </c>
      <c r="AC312" s="148">
        <v>0</v>
      </c>
      <c r="AE312" s="25">
        <v>2020</v>
      </c>
      <c r="AF312" s="25" t="s">
        <v>102</v>
      </c>
      <c r="AG312" s="150" t="s">
        <v>156</v>
      </c>
      <c r="AH312" s="150" t="s">
        <v>156</v>
      </c>
      <c r="AI312" s="150" t="s">
        <v>156</v>
      </c>
      <c r="AJ312" s="150" t="s">
        <v>156</v>
      </c>
      <c r="AK312" s="150" t="s">
        <v>81</v>
      </c>
      <c r="AL312" s="151" t="s">
        <v>81</v>
      </c>
      <c r="AM312" s="151" t="s">
        <v>81</v>
      </c>
      <c r="AZ312" t="s">
        <v>2077</v>
      </c>
      <c r="BA312" t="s">
        <v>102</v>
      </c>
      <c r="BB312" t="s">
        <v>2272</v>
      </c>
      <c r="BC312" t="s">
        <v>132</v>
      </c>
      <c r="BD312" t="s">
        <v>298</v>
      </c>
      <c r="BE312" t="s">
        <v>159</v>
      </c>
      <c r="BF312" t="s">
        <v>106</v>
      </c>
      <c r="BG312" t="str">
        <f t="shared" si="165"/>
        <v>CSLAP</v>
      </c>
      <c r="BH312" s="14" t="s">
        <v>102</v>
      </c>
      <c r="BM312" t="str">
        <f t="shared" si="169"/>
        <v>CSLAP</v>
      </c>
      <c r="BN312" t="str">
        <f t="shared" si="170"/>
        <v>no</v>
      </c>
    </row>
    <row r="313" spans="1:77" x14ac:dyDescent="0.3">
      <c r="A313" t="s">
        <v>1910</v>
      </c>
      <c r="B313" t="s">
        <v>1911</v>
      </c>
      <c r="C313" s="37">
        <v>93</v>
      </c>
      <c r="D313" s="37" t="s">
        <v>155</v>
      </c>
      <c r="E313" s="42" t="s">
        <v>147</v>
      </c>
      <c r="F313" s="16" t="s">
        <v>154</v>
      </c>
      <c r="G313" s="36">
        <v>37.4</v>
      </c>
      <c r="H313" s="36">
        <v>15.13524</v>
      </c>
      <c r="I313" s="37">
        <v>211.2</v>
      </c>
      <c r="J313" s="37">
        <v>85.469607999999994</v>
      </c>
      <c r="K313" s="19">
        <f t="shared" si="143"/>
        <v>5.6470599739416087</v>
      </c>
      <c r="L313" s="21">
        <v>6.8897599999999999</v>
      </c>
      <c r="M313" s="21">
        <v>2.1</v>
      </c>
      <c r="N313" s="34">
        <v>5.5</v>
      </c>
      <c r="O313" s="21">
        <v>1.68</v>
      </c>
      <c r="P313" s="21" t="s">
        <v>99</v>
      </c>
      <c r="Q313" s="43">
        <v>2.79796067414518E-2</v>
      </c>
      <c r="R313" s="146" t="s">
        <v>2072</v>
      </c>
      <c r="S313">
        <v>41.451198599999799</v>
      </c>
      <c r="T313">
        <v>-73.778198200000006</v>
      </c>
      <c r="U313" s="18" t="s">
        <v>77</v>
      </c>
      <c r="V313" s="18" t="s">
        <v>96</v>
      </c>
      <c r="W313" t="s">
        <v>99</v>
      </c>
      <c r="X313" t="s">
        <v>99</v>
      </c>
      <c r="Y313" t="str">
        <f t="shared" si="161"/>
        <v>recreation and public bathing</v>
      </c>
      <c r="Z313" t="s">
        <v>79</v>
      </c>
      <c r="AA313" t="s">
        <v>120</v>
      </c>
      <c r="AB313" t="s">
        <v>79</v>
      </c>
      <c r="AC313" s="148">
        <v>0</v>
      </c>
      <c r="AF313" s="25" t="s">
        <v>99</v>
      </c>
      <c r="AG313" s="150" t="s">
        <v>156</v>
      </c>
      <c r="AH313" s="150" t="s">
        <v>83</v>
      </c>
      <c r="AI313" s="150" t="s">
        <v>83</v>
      </c>
      <c r="AJ313" s="150" t="s">
        <v>156</v>
      </c>
      <c r="AK313" s="150" t="s">
        <v>81</v>
      </c>
      <c r="AL313" s="151" t="s">
        <v>81</v>
      </c>
      <c r="AM313" s="151" t="s">
        <v>81</v>
      </c>
      <c r="AZ313" t="s">
        <v>2075</v>
      </c>
      <c r="BA313" t="s">
        <v>102</v>
      </c>
      <c r="BB313" t="s">
        <v>2264</v>
      </c>
      <c r="BC313" t="s">
        <v>103</v>
      </c>
      <c r="BD313" t="s">
        <v>152</v>
      </c>
      <c r="BE313" t="s">
        <v>159</v>
      </c>
      <c r="BF313" t="s">
        <v>160</v>
      </c>
      <c r="BG313" t="str">
        <f t="shared" si="165"/>
        <v>CSLAP</v>
      </c>
      <c r="BH313" s="14" t="s">
        <v>102</v>
      </c>
      <c r="BM313" t="str">
        <f t="shared" si="169"/>
        <v>CSLAP</v>
      </c>
      <c r="BN313" t="str">
        <f t="shared" si="170"/>
        <v>no</v>
      </c>
    </row>
    <row r="314" spans="1:77" x14ac:dyDescent="0.3">
      <c r="A314" t="s">
        <v>2064</v>
      </c>
      <c r="B314" t="s">
        <v>2061</v>
      </c>
      <c r="C314" s="37">
        <v>263</v>
      </c>
      <c r="D314" s="37" t="s">
        <v>2067</v>
      </c>
      <c r="E314" s="42" t="s">
        <v>147</v>
      </c>
      <c r="F314" t="s">
        <v>722</v>
      </c>
      <c r="G314" s="36">
        <v>18.8</v>
      </c>
      <c r="H314" s="36">
        <v>7.6080899999999998</v>
      </c>
      <c r="I314" s="37">
        <v>134.4</v>
      </c>
      <c r="J314" s="37">
        <v>54.389749999999999</v>
      </c>
      <c r="K314" s="19">
        <f t="shared" si="143"/>
        <v>7.148936198178518</v>
      </c>
      <c r="L314" s="21">
        <v>9.8425200000000004</v>
      </c>
      <c r="M314" s="21">
        <v>3</v>
      </c>
      <c r="N314" s="34">
        <v>7.7</v>
      </c>
      <c r="O314" s="21">
        <v>2.36</v>
      </c>
      <c r="P314" s="21" t="s">
        <v>99</v>
      </c>
      <c r="Q314" s="43">
        <v>2.0320466054126299E-2</v>
      </c>
      <c r="R314" s="146">
        <v>2020</v>
      </c>
      <c r="S314">
        <v>41.483798999999799</v>
      </c>
      <c r="T314">
        <v>-73.696601900000005</v>
      </c>
      <c r="U314" t="s">
        <v>78</v>
      </c>
      <c r="W314" t="s">
        <v>99</v>
      </c>
      <c r="X314" t="s">
        <v>99</v>
      </c>
      <c r="Y314" t="str">
        <f t="shared" si="161"/>
        <v>recreation and public bathing</v>
      </c>
      <c r="Z314" t="s">
        <v>79</v>
      </c>
      <c r="AA314" t="s">
        <v>79</v>
      </c>
      <c r="AB314" t="s">
        <v>79</v>
      </c>
      <c r="AC314" s="148">
        <v>0</v>
      </c>
      <c r="AE314" s="25">
        <v>2020</v>
      </c>
      <c r="AF314" s="25" t="s">
        <v>99</v>
      </c>
      <c r="AG314" s="150" t="s">
        <v>156</v>
      </c>
      <c r="AH314" s="150" t="s">
        <v>156</v>
      </c>
      <c r="AI314" s="150" t="s">
        <v>156</v>
      </c>
      <c r="AJ314" s="150" t="s">
        <v>156</v>
      </c>
      <c r="AK314" s="150" t="s">
        <v>81</v>
      </c>
      <c r="AL314" s="151" t="s">
        <v>81</v>
      </c>
      <c r="AM314" s="151" t="s">
        <v>81</v>
      </c>
      <c r="AZ314" t="s">
        <v>2076</v>
      </c>
      <c r="BA314" t="s">
        <v>102</v>
      </c>
      <c r="BB314" t="s">
        <v>2173</v>
      </c>
      <c r="BC314" t="s">
        <v>103</v>
      </c>
      <c r="BD314" t="s">
        <v>152</v>
      </c>
      <c r="BE314" t="s">
        <v>159</v>
      </c>
      <c r="BF314" t="s">
        <v>160</v>
      </c>
      <c r="BG314" t="str">
        <f t="shared" si="165"/>
        <v>CSLAP</v>
      </c>
      <c r="BH314" s="14" t="s">
        <v>102</v>
      </c>
      <c r="BM314" t="str">
        <f t="shared" si="169"/>
        <v>CSLAP</v>
      </c>
      <c r="BN314" t="str">
        <f t="shared" si="170"/>
        <v>no</v>
      </c>
    </row>
    <row r="315" spans="1:77" x14ac:dyDescent="0.3">
      <c r="C315" s="37"/>
      <c r="D315" s="37"/>
      <c r="E315" s="42"/>
    </row>
    <row r="316" spans="1:77" x14ac:dyDescent="0.3">
      <c r="C316" s="37"/>
      <c r="D316" s="37"/>
      <c r="E316" s="42"/>
    </row>
    <row r="317" spans="1:77" x14ac:dyDescent="0.3">
      <c r="C317" s="37"/>
      <c r="D317" s="37"/>
      <c r="E317" s="42"/>
    </row>
    <row r="318" spans="1:77" x14ac:dyDescent="0.3">
      <c r="C318" s="37"/>
      <c r="D318" s="37"/>
      <c r="E318" s="42"/>
    </row>
    <row r="319" spans="1:77" x14ac:dyDescent="0.3">
      <c r="C319" s="37"/>
      <c r="D319" s="37"/>
      <c r="E319" s="42"/>
    </row>
    <row r="320" spans="1:77" x14ac:dyDescent="0.3">
      <c r="C320" s="37"/>
      <c r="D320" s="37"/>
      <c r="E320" s="42"/>
    </row>
    <row r="321" spans="3:61" x14ac:dyDescent="0.3">
      <c r="C321" s="37"/>
      <c r="D321" s="37"/>
      <c r="E321" s="42"/>
    </row>
    <row r="322" spans="3:61" x14ac:dyDescent="0.3">
      <c r="C322" s="37"/>
      <c r="D322" s="43"/>
      <c r="E322" s="43"/>
    </row>
    <row r="323" spans="3:61" x14ac:dyDescent="0.3">
      <c r="F323" s="128"/>
      <c r="I323" s="128"/>
      <c r="K323"/>
      <c r="L323" s="128"/>
      <c r="M323" s="128"/>
      <c r="O323" s="36"/>
      <c r="P323" s="36"/>
    </row>
    <row r="324" spans="3:61" x14ac:dyDescent="0.3">
      <c r="F324" s="128"/>
      <c r="I324" s="128"/>
      <c r="K324"/>
      <c r="L324" s="128"/>
      <c r="M324" s="128"/>
      <c r="O324" s="36"/>
      <c r="P324" s="36"/>
    </row>
    <row r="325" spans="3:61" x14ac:dyDescent="0.3">
      <c r="F325" s="128"/>
      <c r="I325" s="128"/>
      <c r="K325"/>
      <c r="L325" s="128"/>
      <c r="M325" s="128"/>
      <c r="O325" s="36"/>
      <c r="P325" s="36"/>
    </row>
    <row r="326" spans="3:61" x14ac:dyDescent="0.3">
      <c r="C326" s="129"/>
      <c r="D326" s="129"/>
      <c r="E326" s="129"/>
      <c r="F326" s="129"/>
      <c r="G326" s="17"/>
      <c r="H326" s="130"/>
      <c r="I326" s="18"/>
      <c r="J326" s="131"/>
      <c r="K326" s="19"/>
      <c r="L326" s="132"/>
      <c r="M326" s="19"/>
      <c r="N326" s="133"/>
      <c r="O326" s="19"/>
      <c r="P326" s="19"/>
      <c r="Q326" s="22"/>
      <c r="R326" s="134"/>
      <c r="S326" s="23"/>
      <c r="T326" s="23"/>
      <c r="U326" s="135"/>
      <c r="V326" s="131"/>
      <c r="AA326" s="24"/>
      <c r="AB326" s="24"/>
      <c r="AC326" s="24"/>
      <c r="AD326" s="24"/>
      <c r="AG326" s="136"/>
      <c r="AH326" s="137"/>
      <c r="AI326" s="138"/>
      <c r="AJ326" s="139"/>
      <c r="AK326" s="140"/>
      <c r="AL326" s="141"/>
      <c r="AM326" s="142"/>
      <c r="AY326" s="63"/>
      <c r="BF326" s="63"/>
      <c r="BH326" s="63"/>
      <c r="BI326" s="63"/>
    </row>
    <row r="327" spans="3:61" x14ac:dyDescent="0.3">
      <c r="F327" s="128"/>
      <c r="I327" s="128"/>
      <c r="K327"/>
      <c r="L327" s="128"/>
      <c r="M327" s="128"/>
      <c r="O327" s="36"/>
      <c r="P327" s="36"/>
    </row>
    <row r="328" spans="3:61" x14ac:dyDescent="0.3">
      <c r="F328" s="128"/>
      <c r="I328" s="128"/>
      <c r="K328"/>
      <c r="L328" s="128"/>
      <c r="M328" s="128"/>
      <c r="O328" s="36"/>
      <c r="P328" s="36"/>
    </row>
    <row r="329" spans="3:61" x14ac:dyDescent="0.3">
      <c r="F329" s="128"/>
      <c r="I329" s="128"/>
      <c r="K329"/>
      <c r="L329" s="128"/>
      <c r="M329" s="128"/>
      <c r="O329" s="36"/>
      <c r="P329" s="36"/>
    </row>
    <row r="330" spans="3:61" x14ac:dyDescent="0.3">
      <c r="F330" s="128"/>
      <c r="I330" s="128"/>
      <c r="K330"/>
      <c r="L330" s="128"/>
      <c r="M330" s="128"/>
      <c r="O330" s="36"/>
      <c r="P330" s="36"/>
    </row>
    <row r="331" spans="3:61" x14ac:dyDescent="0.3">
      <c r="F331" s="128"/>
      <c r="I331" s="128"/>
      <c r="K331"/>
      <c r="L331" s="128"/>
      <c r="M331" s="128"/>
      <c r="O331" s="36"/>
      <c r="P331" s="36"/>
    </row>
    <row r="332" spans="3:61" x14ac:dyDescent="0.3">
      <c r="F332" s="128"/>
      <c r="I332" s="128"/>
      <c r="K332"/>
      <c r="L332" s="128"/>
      <c r="M332" s="128"/>
      <c r="O332" s="36"/>
      <c r="P332" s="36"/>
    </row>
    <row r="333" spans="3:61" x14ac:dyDescent="0.3">
      <c r="D333" s="63"/>
      <c r="E333" s="63"/>
      <c r="F333" s="63"/>
      <c r="G333" s="143"/>
      <c r="H333" s="143"/>
      <c r="I333" s="144"/>
      <c r="J333" s="144"/>
    </row>
    <row r="334" spans="3:61" x14ac:dyDescent="0.3">
      <c r="F334" s="37"/>
      <c r="G334" s="21"/>
      <c r="H334" s="145"/>
    </row>
    <row r="335" spans="3:61" x14ac:dyDescent="0.3">
      <c r="F335" s="37"/>
      <c r="G335" s="21"/>
      <c r="H335" s="145"/>
    </row>
    <row r="336" spans="3:61" x14ac:dyDescent="0.3">
      <c r="F336" s="37"/>
      <c r="G336" s="21"/>
      <c r="H336" s="145"/>
    </row>
    <row r="337" spans="6:8" x14ac:dyDescent="0.3">
      <c r="F337" s="37"/>
      <c r="G337" s="21"/>
      <c r="H337" s="145"/>
    </row>
    <row r="338" spans="6:8" x14ac:dyDescent="0.3">
      <c r="F338" s="37"/>
      <c r="G338" s="21"/>
      <c r="H338" s="145"/>
    </row>
    <row r="339" spans="6:8" x14ac:dyDescent="0.3">
      <c r="F339" s="37"/>
      <c r="G339" s="21"/>
      <c r="H339" s="145"/>
    </row>
    <row r="340" spans="6:8" x14ac:dyDescent="0.3">
      <c r="F340" s="37"/>
      <c r="G340" s="21"/>
      <c r="H340" s="145"/>
    </row>
    <row r="341" spans="6:8" x14ac:dyDescent="0.3">
      <c r="F341" s="37"/>
      <c r="G341" s="21"/>
      <c r="H341" s="145"/>
    </row>
    <row r="342" spans="6:8" x14ac:dyDescent="0.3">
      <c r="F342" s="37"/>
      <c r="G342" s="21"/>
      <c r="H342" s="145"/>
    </row>
    <row r="343" spans="6:8" x14ac:dyDescent="0.3">
      <c r="F343" s="37"/>
      <c r="G343" s="21"/>
      <c r="H343" s="145"/>
    </row>
    <row r="344" spans="6:8" x14ac:dyDescent="0.3">
      <c r="F344" s="37"/>
      <c r="G344" s="21"/>
      <c r="H344" s="145"/>
    </row>
  </sheetData>
  <autoFilter ref="A1:BY314" xr:uid="{FF9E7061-13CC-4AFD-9842-6DC671A7365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4CEB-6638-437D-B64E-FEDD1DFCA196}">
  <dimension ref="A1:AA314"/>
  <sheetViews>
    <sheetView tabSelected="1" workbookViewId="0">
      <pane ySplit="1" topLeftCell="A308" activePane="bottomLeft" state="frozen"/>
      <selection pane="bottomLeft" activeCell="H325" sqref="H325"/>
    </sheetView>
  </sheetViews>
  <sheetFormatPr defaultRowHeight="14.4" x14ac:dyDescent="0.3"/>
  <sheetData>
    <row r="1" spans="1:27" s="94" customFormat="1" ht="72" x14ac:dyDescent="0.3">
      <c r="A1" s="87" t="s">
        <v>1453</v>
      </c>
      <c r="B1" s="88" t="s">
        <v>1454</v>
      </c>
      <c r="C1" s="88" t="s">
        <v>1455</v>
      </c>
      <c r="D1" s="89" t="s">
        <v>1456</v>
      </c>
      <c r="E1" s="90" t="s">
        <v>1457</v>
      </c>
      <c r="F1" s="91" t="s">
        <v>1458</v>
      </c>
      <c r="G1" s="92" t="s">
        <v>1459</v>
      </c>
      <c r="H1" s="92" t="s">
        <v>1460</v>
      </c>
      <c r="I1" s="92" t="s">
        <v>1461</v>
      </c>
      <c r="J1" s="92" t="s">
        <v>1462</v>
      </c>
      <c r="K1" s="92" t="s">
        <v>1463</v>
      </c>
      <c r="L1" s="92" t="s">
        <v>1464</v>
      </c>
      <c r="M1" s="92" t="s">
        <v>1465</v>
      </c>
      <c r="N1" s="92" t="s">
        <v>1466</v>
      </c>
      <c r="O1" s="92" t="s">
        <v>1467</v>
      </c>
      <c r="P1" s="92" t="s">
        <v>1468</v>
      </c>
      <c r="Q1" s="92" t="s">
        <v>1469</v>
      </c>
      <c r="R1" s="92" t="s">
        <v>1470</v>
      </c>
      <c r="S1" s="92" t="s">
        <v>1471</v>
      </c>
      <c r="T1" s="93" t="s">
        <v>1472</v>
      </c>
      <c r="V1" s="94" t="s">
        <v>1473</v>
      </c>
      <c r="W1" s="94" t="s">
        <v>1474</v>
      </c>
      <c r="X1" s="94" t="s">
        <v>1475</v>
      </c>
      <c r="Y1" s="94" t="s">
        <v>1476</v>
      </c>
      <c r="Z1" s="94" t="s">
        <v>1477</v>
      </c>
      <c r="AA1" s="94" t="s">
        <v>1478</v>
      </c>
    </row>
    <row r="2" spans="1:27" x14ac:dyDescent="0.3">
      <c r="A2" s="42" t="s">
        <v>1479</v>
      </c>
      <c r="B2" s="95" t="s">
        <v>73</v>
      </c>
      <c r="C2" s="96">
        <v>4306</v>
      </c>
      <c r="D2" s="97">
        <f t="shared" ref="D2:D15" si="0">C2/2877.76</f>
        <v>1.4963026798621148</v>
      </c>
      <c r="E2" s="98">
        <f t="shared" ref="E2:E15" si="1">D2/0.003861</f>
        <v>387.54278162706936</v>
      </c>
      <c r="F2" s="99">
        <v>0.23153738968880633</v>
      </c>
      <c r="G2" s="42">
        <v>6.061309800278681E-2</v>
      </c>
      <c r="H2" s="42">
        <v>2.206223873664654E-2</v>
      </c>
      <c r="I2" s="42">
        <v>1.4630747793776126E-2</v>
      </c>
      <c r="J2" s="42">
        <v>6.2703204830469109E-3</v>
      </c>
      <c r="K2" s="42">
        <v>0</v>
      </c>
      <c r="L2" s="42">
        <v>0.2196934509986066</v>
      </c>
      <c r="M2" s="42">
        <v>0.20901068276823037</v>
      </c>
      <c r="N2" s="42">
        <v>0.10589874593590339</v>
      </c>
      <c r="O2" s="42">
        <v>0.10566651184393869</v>
      </c>
      <c r="P2" s="42">
        <v>0</v>
      </c>
      <c r="Q2" s="42">
        <v>0</v>
      </c>
      <c r="R2" s="42">
        <v>0</v>
      </c>
      <c r="S2" s="42">
        <v>2.1597770552717138E-2</v>
      </c>
      <c r="T2" s="100">
        <v>3.0190431955411053E-3</v>
      </c>
      <c r="V2" s="42">
        <f t="shared" ref="V2:V65" si="2">F2+S2+T2</f>
        <v>0.25615420343706458</v>
      </c>
      <c r="W2" s="42">
        <f t="shared" ref="W2:W65" si="3">Q2+R2</f>
        <v>0</v>
      </c>
      <c r="X2" s="42">
        <f t="shared" ref="X2:X65" si="4">SUM(K2:P2)</f>
        <v>0.64026939154667906</v>
      </c>
      <c r="Y2" s="42">
        <f t="shared" ref="Y2:Y65" si="5">SUM(G2:I2)</f>
        <v>9.7306084533209478E-2</v>
      </c>
      <c r="Z2" s="42">
        <f t="shared" ref="Z2:Z65" si="6">J2</f>
        <v>6.2703204830469109E-3</v>
      </c>
      <c r="AA2" s="42">
        <f t="shared" ref="AA2:AA65" si="7">SUM(V2:Z2)</f>
        <v>0.99999999999999989</v>
      </c>
    </row>
    <row r="3" spans="1:27" x14ac:dyDescent="0.3">
      <c r="A3" s="42" t="s">
        <v>1480</v>
      </c>
      <c r="B3" s="95" t="s">
        <v>92</v>
      </c>
      <c r="C3" s="95">
        <v>872</v>
      </c>
      <c r="D3" s="97">
        <f t="shared" si="0"/>
        <v>0.30301345490937392</v>
      </c>
      <c r="E3" s="98">
        <f t="shared" si="1"/>
        <v>78.480563302091156</v>
      </c>
      <c r="F3" s="99">
        <v>0.20412844036697247</v>
      </c>
      <c r="G3" s="42">
        <v>1.0321100917431193E-2</v>
      </c>
      <c r="H3" s="42">
        <v>0</v>
      </c>
      <c r="I3" s="42">
        <v>0</v>
      </c>
      <c r="J3" s="42">
        <v>0</v>
      </c>
      <c r="K3" s="42">
        <v>0</v>
      </c>
      <c r="L3" s="42">
        <v>0.73394495412844041</v>
      </c>
      <c r="M3" s="42">
        <v>1.834862385321101E-2</v>
      </c>
      <c r="N3" s="42">
        <v>2.2935779816513763E-2</v>
      </c>
      <c r="O3" s="42">
        <v>5.7339449541284407E-3</v>
      </c>
      <c r="P3" s="42">
        <v>0</v>
      </c>
      <c r="Q3" s="42">
        <v>0</v>
      </c>
      <c r="R3" s="42">
        <v>0</v>
      </c>
      <c r="S3" s="42">
        <v>4.5871559633027525E-3</v>
      </c>
      <c r="T3" s="100">
        <v>0</v>
      </c>
      <c r="V3" s="42">
        <f t="shared" si="2"/>
        <v>0.20871559633027523</v>
      </c>
      <c r="W3" s="42">
        <f t="shared" si="3"/>
        <v>0</v>
      </c>
      <c r="X3" s="42">
        <f t="shared" si="4"/>
        <v>0.78096330275229364</v>
      </c>
      <c r="Y3" s="42">
        <f t="shared" si="5"/>
        <v>1.0321100917431193E-2</v>
      </c>
      <c r="Z3" s="42">
        <f t="shared" si="6"/>
        <v>0</v>
      </c>
      <c r="AA3" s="42">
        <f t="shared" si="7"/>
        <v>1</v>
      </c>
    </row>
    <row r="4" spans="1:27" x14ac:dyDescent="0.3">
      <c r="A4" s="101" t="s">
        <v>1481</v>
      </c>
      <c r="B4" s="95" t="s">
        <v>107</v>
      </c>
      <c r="C4" s="95">
        <v>907</v>
      </c>
      <c r="D4" s="97">
        <f>C4/2877.76</f>
        <v>0.31517569220504837</v>
      </c>
      <c r="E4" s="98">
        <f>D4/0.003861</f>
        <v>81.630585911693444</v>
      </c>
      <c r="F4" s="99">
        <v>0.34068357221609702</v>
      </c>
      <c r="G4" s="42">
        <v>2.0948180815876516E-2</v>
      </c>
      <c r="H4" s="42">
        <v>0</v>
      </c>
      <c r="I4" s="42">
        <v>0</v>
      </c>
      <c r="J4" s="42">
        <v>0</v>
      </c>
      <c r="K4" s="42">
        <v>0</v>
      </c>
      <c r="L4" s="42">
        <v>0.46527012127894157</v>
      </c>
      <c r="M4" s="42">
        <v>5.4024255788313123E-2</v>
      </c>
      <c r="N4" s="42">
        <v>0.11907386990077178</v>
      </c>
      <c r="O4" s="42">
        <v>0</v>
      </c>
      <c r="P4" s="42">
        <v>0</v>
      </c>
      <c r="Q4" s="42">
        <v>0</v>
      </c>
      <c r="R4" s="42">
        <v>0</v>
      </c>
      <c r="S4" s="42">
        <v>0</v>
      </c>
      <c r="T4" s="100">
        <v>0</v>
      </c>
      <c r="V4" s="42">
        <f>F4+S4+T4</f>
        <v>0.34068357221609702</v>
      </c>
      <c r="W4" s="42">
        <f>Q4+R4</f>
        <v>0</v>
      </c>
      <c r="X4" s="42">
        <f>SUM(K4:P4)</f>
        <v>0.63836824696802641</v>
      </c>
      <c r="Y4" s="42">
        <f>SUM(G4:I4)</f>
        <v>2.0948180815876516E-2</v>
      </c>
      <c r="Z4" s="42">
        <f>J4</f>
        <v>0</v>
      </c>
      <c r="AA4" s="42">
        <f>SUM(V4:Z4)</f>
        <v>1</v>
      </c>
    </row>
    <row r="5" spans="1:27" x14ac:dyDescent="0.3">
      <c r="A5" s="42" t="s">
        <v>1482</v>
      </c>
      <c r="B5" s="95" t="s">
        <v>116</v>
      </c>
      <c r="C5" s="95">
        <v>34884</v>
      </c>
      <c r="D5" s="97">
        <f t="shared" si="0"/>
        <v>12.121928166351607</v>
      </c>
      <c r="E5" s="98">
        <f t="shared" si="1"/>
        <v>3139.5825346676011</v>
      </c>
      <c r="F5" s="99">
        <v>7.6826052058250202E-2</v>
      </c>
      <c r="G5" s="42">
        <v>4.1509001261323245E-2</v>
      </c>
      <c r="H5" s="42">
        <v>2.2388487558766195E-2</v>
      </c>
      <c r="I5" s="42">
        <v>3.9846347895883504E-3</v>
      </c>
      <c r="J5" s="42">
        <v>0</v>
      </c>
      <c r="K5" s="42">
        <v>0</v>
      </c>
      <c r="L5" s="42">
        <v>0.44180713220960899</v>
      </c>
      <c r="M5" s="42">
        <v>0.13335626648320148</v>
      </c>
      <c r="N5" s="42">
        <v>0.22147689485150784</v>
      </c>
      <c r="O5" s="42">
        <v>3.7725031533081071E-2</v>
      </c>
      <c r="P5" s="42">
        <v>8.5999312005503956E-3</v>
      </c>
      <c r="Q5" s="42">
        <v>2.6373122348354546E-3</v>
      </c>
      <c r="R5" s="42">
        <v>0</v>
      </c>
      <c r="S5" s="42">
        <v>9.3165921339295951E-3</v>
      </c>
      <c r="T5" s="100">
        <v>3.7266368535718379E-4</v>
      </c>
      <c r="V5" s="42">
        <f t="shared" si="2"/>
        <v>8.6515307877536973E-2</v>
      </c>
      <c r="W5" s="42">
        <f t="shared" si="3"/>
        <v>2.6373122348354546E-3</v>
      </c>
      <c r="X5" s="42">
        <f t="shared" si="4"/>
        <v>0.8429652562779496</v>
      </c>
      <c r="Y5" s="42">
        <f t="shared" si="5"/>
        <v>6.7882123609677797E-2</v>
      </c>
      <c r="Z5" s="42">
        <f t="shared" si="6"/>
        <v>0</v>
      </c>
      <c r="AA5" s="42">
        <f t="shared" si="7"/>
        <v>0.99999999999999989</v>
      </c>
    </row>
    <row r="6" spans="1:27" x14ac:dyDescent="0.3">
      <c r="A6" s="42" t="s">
        <v>1483</v>
      </c>
      <c r="B6" s="102" t="s">
        <v>126</v>
      </c>
      <c r="C6" s="102">
        <v>961</v>
      </c>
      <c r="D6" s="103">
        <f t="shared" si="0"/>
        <v>0.33394028688980315</v>
      </c>
      <c r="E6" s="104">
        <f t="shared" si="1"/>
        <v>86.49062079507982</v>
      </c>
      <c r="F6" s="105">
        <v>0.22892819979188345</v>
      </c>
      <c r="G6" s="42">
        <v>3.8501560874089492E-2</v>
      </c>
      <c r="H6" s="42">
        <v>5.2029136316337149E-3</v>
      </c>
      <c r="I6" s="42">
        <v>0</v>
      </c>
      <c r="J6" s="42">
        <v>0</v>
      </c>
      <c r="K6" s="42">
        <v>0</v>
      </c>
      <c r="L6" s="42">
        <v>0.36836628511966701</v>
      </c>
      <c r="M6" s="42">
        <v>0.13007284079084286</v>
      </c>
      <c r="N6" s="42">
        <v>0.22580645161290322</v>
      </c>
      <c r="O6" s="42">
        <v>0</v>
      </c>
      <c r="P6" s="42">
        <v>0</v>
      </c>
      <c r="Q6" s="42">
        <v>0</v>
      </c>
      <c r="R6" s="42">
        <v>0</v>
      </c>
      <c r="S6" s="42">
        <v>3.1217481789802288E-3</v>
      </c>
      <c r="T6" s="106">
        <v>0</v>
      </c>
      <c r="V6" s="42"/>
      <c r="W6" s="42"/>
      <c r="X6" s="42"/>
      <c r="Y6" s="42"/>
      <c r="Z6" s="42"/>
      <c r="AA6" s="42"/>
    </row>
    <row r="7" spans="1:27" x14ac:dyDescent="0.3">
      <c r="A7" s="42" t="s">
        <v>1484</v>
      </c>
      <c r="B7" s="95" t="s">
        <v>135</v>
      </c>
      <c r="C7" s="95">
        <v>29955</v>
      </c>
      <c r="D7" s="97">
        <f t="shared" si="0"/>
        <v>10.409137662626486</v>
      </c>
      <c r="E7" s="98">
        <f t="shared" si="1"/>
        <v>2695.9693505896107</v>
      </c>
      <c r="F7" s="99">
        <v>3.7155733600400601E-2</v>
      </c>
      <c r="G7" s="42">
        <v>9.7613086296110832E-2</v>
      </c>
      <c r="H7" s="42">
        <v>4.1061592388582875E-2</v>
      </c>
      <c r="I7" s="42">
        <v>1.0282089801368719E-2</v>
      </c>
      <c r="J7" s="42">
        <v>3.5052578868302454E-3</v>
      </c>
      <c r="K7" s="42">
        <v>0</v>
      </c>
      <c r="L7" s="42">
        <v>0.24780504089467534</v>
      </c>
      <c r="M7" s="42">
        <v>2.4870639292271741E-2</v>
      </c>
      <c r="N7" s="42">
        <v>6.7401101652478715E-2</v>
      </c>
      <c r="O7" s="42">
        <v>7.4111166750125187E-3</v>
      </c>
      <c r="P7" s="42">
        <v>1.402103154732098E-3</v>
      </c>
      <c r="Q7" s="42">
        <v>0.13577032214989151</v>
      </c>
      <c r="R7" s="42">
        <v>9.9883158070438988E-2</v>
      </c>
      <c r="S7" s="42">
        <v>0.22243365047571356</v>
      </c>
      <c r="T7" s="100">
        <v>3.4051076614922383E-3</v>
      </c>
      <c r="V7" s="42">
        <f t="shared" si="2"/>
        <v>0.26299449173760636</v>
      </c>
      <c r="W7" s="42">
        <f t="shared" si="3"/>
        <v>0.2356534802203305</v>
      </c>
      <c r="X7" s="42">
        <f t="shared" si="4"/>
        <v>0.34889000166917045</v>
      </c>
      <c r="Y7" s="42">
        <f t="shared" si="5"/>
        <v>0.14895676848606243</v>
      </c>
      <c r="Z7" s="42">
        <f t="shared" si="6"/>
        <v>3.5052578868302454E-3</v>
      </c>
      <c r="AA7" s="42">
        <f t="shared" si="7"/>
        <v>1</v>
      </c>
    </row>
    <row r="8" spans="1:27" x14ac:dyDescent="0.3">
      <c r="A8" s="42" t="s">
        <v>1484</v>
      </c>
      <c r="B8" s="102" t="s">
        <v>1485</v>
      </c>
      <c r="C8" s="102"/>
      <c r="D8" s="97">
        <f t="shared" si="0"/>
        <v>0</v>
      </c>
      <c r="E8" s="98">
        <f t="shared" si="1"/>
        <v>0</v>
      </c>
      <c r="F8" s="99">
        <v>3.7155733600400601E-2</v>
      </c>
      <c r="G8" s="42">
        <v>9.7613086296110832E-2</v>
      </c>
      <c r="H8" s="42">
        <v>4.1061592388582875E-2</v>
      </c>
      <c r="I8" s="42">
        <v>1.0282089801368719E-2</v>
      </c>
      <c r="J8" s="42">
        <v>3.5052578868302454E-3</v>
      </c>
      <c r="K8" s="42">
        <v>0</v>
      </c>
      <c r="L8" s="42">
        <v>0.24780504089467534</v>
      </c>
      <c r="M8" s="42">
        <v>2.4870639292271741E-2</v>
      </c>
      <c r="N8" s="42">
        <v>6.7401101652478715E-2</v>
      </c>
      <c r="O8" s="42">
        <v>7.4111166750125187E-3</v>
      </c>
      <c r="P8" s="42">
        <v>1.402103154732098E-3</v>
      </c>
      <c r="Q8" s="42">
        <v>0.13577032214989151</v>
      </c>
      <c r="R8" s="42">
        <v>9.9883158070438988E-2</v>
      </c>
      <c r="S8" s="42">
        <v>0.22243365047571356</v>
      </c>
      <c r="T8" s="100">
        <v>3.4051076614922383E-3</v>
      </c>
      <c r="V8" s="42"/>
      <c r="W8" s="42"/>
      <c r="X8" s="42"/>
      <c r="Y8" s="42"/>
      <c r="Z8" s="42"/>
      <c r="AA8" s="42"/>
    </row>
    <row r="9" spans="1:27" x14ac:dyDescent="0.3">
      <c r="A9" t="s">
        <v>1486</v>
      </c>
      <c r="B9" s="95" t="s">
        <v>146</v>
      </c>
      <c r="C9" s="95"/>
      <c r="D9" s="97">
        <f t="shared" si="0"/>
        <v>0</v>
      </c>
      <c r="E9" s="98">
        <f t="shared" si="1"/>
        <v>0</v>
      </c>
      <c r="F9">
        <v>2.4263790959999998</v>
      </c>
      <c r="G9">
        <v>11.44753214</v>
      </c>
      <c r="H9">
        <v>4.2928245540000001</v>
      </c>
      <c r="I9">
        <v>1.057652426</v>
      </c>
      <c r="J9">
        <v>2.0738283E-2</v>
      </c>
      <c r="K9">
        <v>0</v>
      </c>
      <c r="L9">
        <v>48.734964740000002</v>
      </c>
      <c r="M9">
        <v>0.103691414</v>
      </c>
      <c r="N9">
        <v>3.6291995020000001</v>
      </c>
      <c r="O9">
        <v>4.1476565999999999E-2</v>
      </c>
      <c r="P9">
        <v>0.68436333500000002</v>
      </c>
      <c r="Q9">
        <v>2.5093322269999998</v>
      </c>
      <c r="R9">
        <v>0.47698050600000003</v>
      </c>
      <c r="S9">
        <v>24.408958940000002</v>
      </c>
      <c r="T9">
        <v>0.165906263</v>
      </c>
      <c r="V9">
        <f t="shared" ref="V9" si="8">F9+S9+T9</f>
        <v>27.001244299000003</v>
      </c>
      <c r="W9">
        <f t="shared" ref="W9" si="9">Q9+R9</f>
        <v>2.9863127329999997</v>
      </c>
      <c r="X9">
        <f t="shared" ref="X9" si="10">SUM(K9:P9)</f>
        <v>53.193695556999998</v>
      </c>
      <c r="Y9">
        <f t="shared" ref="Y9" si="11">SUM(G9:I9)</f>
        <v>16.79800912</v>
      </c>
      <c r="Z9">
        <f t="shared" ref="Z9" si="12">J9</f>
        <v>2.0738283E-2</v>
      </c>
      <c r="AA9">
        <f t="shared" ref="AA9" si="13">SUM(V9:Z9)</f>
        <v>99.999999991999999</v>
      </c>
    </row>
    <row r="10" spans="1:27" x14ac:dyDescent="0.3">
      <c r="A10" s="42" t="s">
        <v>1487</v>
      </c>
      <c r="B10" s="95" t="s">
        <v>153</v>
      </c>
      <c r="C10" s="95">
        <v>1891</v>
      </c>
      <c r="D10" s="97">
        <f t="shared" si="0"/>
        <v>0.65710830646058038</v>
      </c>
      <c r="E10" s="98">
        <f t="shared" si="1"/>
        <v>170.19122156451189</v>
      </c>
      <c r="F10" s="99">
        <v>0.16763617133791645</v>
      </c>
      <c r="G10" s="42">
        <v>0.18138551031200423</v>
      </c>
      <c r="H10" s="42">
        <v>1.9037546271813855E-2</v>
      </c>
      <c r="I10" s="42">
        <v>0</v>
      </c>
      <c r="J10" s="42">
        <v>0</v>
      </c>
      <c r="K10" s="42">
        <v>0</v>
      </c>
      <c r="L10" s="42">
        <v>0.50237969328397669</v>
      </c>
      <c r="M10" s="42">
        <v>7.2448439978847173E-2</v>
      </c>
      <c r="N10" s="42">
        <v>1.2162876784769964E-2</v>
      </c>
      <c r="O10" s="42">
        <v>0</v>
      </c>
      <c r="P10" s="42">
        <v>0</v>
      </c>
      <c r="Q10" s="42">
        <v>1.1634056054997356E-2</v>
      </c>
      <c r="R10" s="42">
        <v>0</v>
      </c>
      <c r="S10" s="42">
        <v>2.9613960867265997E-2</v>
      </c>
      <c r="T10" s="100">
        <v>3.7017451084082496E-3</v>
      </c>
      <c r="V10" s="42">
        <f t="shared" si="2"/>
        <v>0.20095187731359071</v>
      </c>
      <c r="W10" s="42">
        <f t="shared" si="3"/>
        <v>1.1634056054997356E-2</v>
      </c>
      <c r="X10" s="42">
        <f t="shared" si="4"/>
        <v>0.58699101004759391</v>
      </c>
      <c r="Y10" s="42">
        <f t="shared" si="5"/>
        <v>0.20042305658381809</v>
      </c>
      <c r="Z10" s="42">
        <f t="shared" si="6"/>
        <v>0</v>
      </c>
      <c r="AA10" s="42">
        <f t="shared" si="7"/>
        <v>1</v>
      </c>
    </row>
    <row r="11" spans="1:27" x14ac:dyDescent="0.3">
      <c r="A11" s="42" t="s">
        <v>1488</v>
      </c>
      <c r="B11" s="102" t="s">
        <v>161</v>
      </c>
      <c r="C11" s="25">
        <v>12134</v>
      </c>
      <c r="D11" s="97">
        <f t="shared" si="0"/>
        <v>4.2164739241632381</v>
      </c>
      <c r="E11" s="98">
        <f t="shared" si="1"/>
        <v>1092.0678384261171</v>
      </c>
      <c r="F11" s="105">
        <v>5.9337399044008574E-2</v>
      </c>
      <c r="G11" s="42">
        <v>1.6482610845557938E-2</v>
      </c>
      <c r="H11" s="42">
        <v>8.2413054227789681E-4</v>
      </c>
      <c r="I11" s="42">
        <v>5.7689137959452774E-4</v>
      </c>
      <c r="J11" s="42">
        <v>5.7689137959452774E-4</v>
      </c>
      <c r="K11" s="42">
        <v>0</v>
      </c>
      <c r="L11" s="42">
        <v>0.36047469919235209</v>
      </c>
      <c r="M11" s="42">
        <v>0.33888247898467116</v>
      </c>
      <c r="N11" s="42">
        <v>0.18361628481951542</v>
      </c>
      <c r="O11" s="42">
        <v>8.8181968023734961E-3</v>
      </c>
      <c r="P11" s="42">
        <v>3.2141091148837975E-3</v>
      </c>
      <c r="Q11" s="42">
        <v>0</v>
      </c>
      <c r="R11" s="42">
        <v>0</v>
      </c>
      <c r="S11" s="42">
        <v>2.6866655678259438E-2</v>
      </c>
      <c r="T11" s="106">
        <v>3.2965221691115873E-4</v>
      </c>
      <c r="V11" s="42">
        <f t="shared" si="2"/>
        <v>8.6533706939179167E-2</v>
      </c>
      <c r="W11" s="42">
        <f t="shared" si="3"/>
        <v>0</v>
      </c>
      <c r="X11" s="42">
        <f t="shared" si="4"/>
        <v>0.89500576891379602</v>
      </c>
      <c r="Y11" s="42">
        <f t="shared" si="5"/>
        <v>1.7883632767430362E-2</v>
      </c>
      <c r="Z11" s="42">
        <f t="shared" si="6"/>
        <v>5.7689137959452774E-4</v>
      </c>
      <c r="AA11" s="42">
        <f t="shared" si="7"/>
        <v>1</v>
      </c>
    </row>
    <row r="12" spans="1:27" x14ac:dyDescent="0.3">
      <c r="A12" s="42" t="s">
        <v>1489</v>
      </c>
      <c r="B12" s="95" t="s">
        <v>164</v>
      </c>
      <c r="C12" s="95">
        <v>27440</v>
      </c>
      <c r="D12" s="97">
        <f t="shared" si="0"/>
        <v>9.53519403980874</v>
      </c>
      <c r="E12" s="98">
        <f t="shared" si="1"/>
        <v>2469.6177259281899</v>
      </c>
      <c r="F12" s="99">
        <v>3.3418367346938774E-2</v>
      </c>
      <c r="G12" s="42">
        <v>0.17452623906705539</v>
      </c>
      <c r="H12" s="42">
        <v>4.4788629737609331E-2</v>
      </c>
      <c r="I12" s="42">
        <v>3.2908163265306122E-2</v>
      </c>
      <c r="J12" s="42">
        <v>2.0189504373177843E-2</v>
      </c>
      <c r="K12" s="42">
        <v>7.2886297376093293E-5</v>
      </c>
      <c r="L12" s="42">
        <v>0.24019679300291547</v>
      </c>
      <c r="M12" s="42">
        <v>4.6282798833819239E-3</v>
      </c>
      <c r="N12" s="42">
        <v>0.14274781341107873</v>
      </c>
      <c r="O12" s="42">
        <v>2.7332361516034984E-3</v>
      </c>
      <c r="P12" s="42">
        <v>1.2755102040816326E-3</v>
      </c>
      <c r="Q12" s="42">
        <v>5.9730320699708454E-2</v>
      </c>
      <c r="R12" s="42">
        <v>8.5167638483965011E-2</v>
      </c>
      <c r="S12" s="42">
        <v>0.14905247813411079</v>
      </c>
      <c r="T12" s="100">
        <v>8.5641399416909614E-3</v>
      </c>
      <c r="V12" s="42">
        <f t="shared" si="2"/>
        <v>0.19103498542274056</v>
      </c>
      <c r="W12" s="42">
        <f t="shared" si="3"/>
        <v>0.14489795918367346</v>
      </c>
      <c r="X12" s="42">
        <f t="shared" si="4"/>
        <v>0.39165451895043729</v>
      </c>
      <c r="Y12" s="42">
        <f t="shared" si="5"/>
        <v>0.25222303206997082</v>
      </c>
      <c r="Z12" s="42">
        <f t="shared" si="6"/>
        <v>2.0189504373177843E-2</v>
      </c>
      <c r="AA12" s="42">
        <f t="shared" si="7"/>
        <v>0.99999999999999989</v>
      </c>
    </row>
    <row r="13" spans="1:27" x14ac:dyDescent="0.3">
      <c r="A13" s="42" t="s">
        <v>1490</v>
      </c>
      <c r="B13" s="95" t="s">
        <v>175</v>
      </c>
      <c r="C13" s="95">
        <v>1898</v>
      </c>
      <c r="D13" s="97">
        <f t="shared" si="0"/>
        <v>0.65954075391971534</v>
      </c>
      <c r="E13" s="98">
        <f t="shared" si="1"/>
        <v>170.82122608643238</v>
      </c>
      <c r="F13" s="99">
        <v>8.6933614330874612E-2</v>
      </c>
      <c r="G13" s="42">
        <v>2.0021074815595362E-2</v>
      </c>
      <c r="H13" s="42">
        <v>0</v>
      </c>
      <c r="I13" s="42">
        <v>0</v>
      </c>
      <c r="J13" s="42">
        <v>0</v>
      </c>
      <c r="K13" s="42">
        <v>0</v>
      </c>
      <c r="L13" s="42">
        <v>0.76396206533192834</v>
      </c>
      <c r="M13" s="42">
        <v>1.5806111696522657E-2</v>
      </c>
      <c r="N13" s="42">
        <v>0.10326659641728135</v>
      </c>
      <c r="O13" s="42">
        <v>2.6343519494204425E-3</v>
      </c>
      <c r="P13" s="42">
        <v>0</v>
      </c>
      <c r="Q13" s="42">
        <v>0</v>
      </c>
      <c r="R13" s="42">
        <v>7.3761854583772393E-3</v>
      </c>
      <c r="S13" s="42">
        <v>0</v>
      </c>
      <c r="T13" s="100">
        <v>0</v>
      </c>
      <c r="V13" s="42">
        <f t="shared" si="2"/>
        <v>8.6933614330874612E-2</v>
      </c>
      <c r="W13" s="42">
        <f t="shared" si="3"/>
        <v>7.3761854583772393E-3</v>
      </c>
      <c r="X13" s="42">
        <f t="shared" si="4"/>
        <v>0.88566912539515275</v>
      </c>
      <c r="Y13" s="42">
        <f t="shared" si="5"/>
        <v>2.0021074815595362E-2</v>
      </c>
      <c r="Z13" s="42">
        <f t="shared" si="6"/>
        <v>0</v>
      </c>
      <c r="AA13" s="42">
        <f t="shared" si="7"/>
        <v>1</v>
      </c>
    </row>
    <row r="14" spans="1:27" x14ac:dyDescent="0.3">
      <c r="A14" s="42" t="s">
        <v>1491</v>
      </c>
      <c r="B14" s="95" t="s">
        <v>182</v>
      </c>
      <c r="C14" s="95">
        <v>5200</v>
      </c>
      <c r="D14" s="97">
        <f t="shared" si="0"/>
        <v>1.8069609696430555</v>
      </c>
      <c r="E14" s="98">
        <f t="shared" si="1"/>
        <v>468.00335914091056</v>
      </c>
      <c r="F14" s="99">
        <v>2.0384615384615383E-2</v>
      </c>
      <c r="G14" s="42">
        <v>7.1153846153846151E-2</v>
      </c>
      <c r="H14" s="42">
        <v>1.5961538461538461E-2</v>
      </c>
      <c r="I14" s="42">
        <v>2.3076923076923079E-3</v>
      </c>
      <c r="J14" s="42">
        <v>9.6153846153846159E-4</v>
      </c>
      <c r="K14" s="42">
        <v>0</v>
      </c>
      <c r="L14" s="42">
        <v>0.70153846153846156</v>
      </c>
      <c r="M14" s="42">
        <v>7.5384615384615383E-2</v>
      </c>
      <c r="N14" s="42">
        <v>9.6153846153846159E-3</v>
      </c>
      <c r="O14" s="42">
        <v>1.7307692307692308E-3</v>
      </c>
      <c r="P14" s="42">
        <v>0</v>
      </c>
      <c r="Q14" s="42">
        <v>8.4038461538461534E-2</v>
      </c>
      <c r="R14" s="42">
        <v>0</v>
      </c>
      <c r="S14" s="42">
        <v>1.6923076923076923E-2</v>
      </c>
      <c r="T14" s="100">
        <v>0</v>
      </c>
      <c r="V14" s="42">
        <f t="shared" si="2"/>
        <v>3.7307692307692306E-2</v>
      </c>
      <c r="W14" s="42">
        <f t="shared" si="3"/>
        <v>8.4038461538461534E-2</v>
      </c>
      <c r="X14" s="42">
        <f t="shared" si="4"/>
        <v>0.78826923076923072</v>
      </c>
      <c r="Y14" s="42">
        <f t="shared" si="5"/>
        <v>8.9423076923076911E-2</v>
      </c>
      <c r="Z14" s="42">
        <f t="shared" si="6"/>
        <v>9.6153846153846159E-4</v>
      </c>
      <c r="AA14" s="42">
        <f t="shared" si="7"/>
        <v>1</v>
      </c>
    </row>
    <row r="15" spans="1:27" x14ac:dyDescent="0.3">
      <c r="A15" s="107" t="s">
        <v>1492</v>
      </c>
      <c r="B15" s="95" t="s">
        <v>1493</v>
      </c>
      <c r="C15" s="95">
        <v>1320</v>
      </c>
      <c r="D15" s="97">
        <f t="shared" si="0"/>
        <v>0.45869009229400642</v>
      </c>
      <c r="E15" s="98">
        <f t="shared" si="1"/>
        <v>118.80085270500037</v>
      </c>
      <c r="F15" s="99">
        <v>9.5454545454545459E-2</v>
      </c>
      <c r="G15" s="42">
        <v>7.6515151515151508E-2</v>
      </c>
      <c r="H15" s="42">
        <v>7.5757575757575758E-4</v>
      </c>
      <c r="I15" s="42">
        <v>0</v>
      </c>
      <c r="J15" s="42">
        <v>0</v>
      </c>
      <c r="K15" s="42">
        <v>0</v>
      </c>
      <c r="L15" s="42">
        <v>0.44393939393939397</v>
      </c>
      <c r="M15" s="42">
        <v>2.7272727272727271E-2</v>
      </c>
      <c r="N15" s="42">
        <v>0.30075757575757578</v>
      </c>
      <c r="O15" s="42">
        <v>0</v>
      </c>
      <c r="P15" s="42">
        <v>0</v>
      </c>
      <c r="Q15" s="42">
        <v>1.2121212121212121E-2</v>
      </c>
      <c r="R15" s="42">
        <v>0</v>
      </c>
      <c r="S15" s="42">
        <v>4.3181818181818182E-2</v>
      </c>
      <c r="T15" s="100">
        <v>0</v>
      </c>
      <c r="V15" s="42">
        <f t="shared" si="2"/>
        <v>0.13863636363636364</v>
      </c>
      <c r="W15" s="42">
        <f t="shared" si="3"/>
        <v>1.2121212121212121E-2</v>
      </c>
      <c r="X15" s="42">
        <f t="shared" si="4"/>
        <v>0.77196969696969697</v>
      </c>
      <c r="Y15" s="42">
        <f t="shared" si="5"/>
        <v>7.7272727272727271E-2</v>
      </c>
      <c r="Z15" s="42">
        <f t="shared" si="6"/>
        <v>0</v>
      </c>
      <c r="AA15" s="42">
        <f t="shared" si="7"/>
        <v>1</v>
      </c>
    </row>
    <row r="16" spans="1:27" x14ac:dyDescent="0.3">
      <c r="A16" s="108" t="s">
        <v>1494</v>
      </c>
      <c r="B16" s="109" t="s">
        <v>197</v>
      </c>
      <c r="C16" s="95">
        <v>2526</v>
      </c>
      <c r="D16" s="97">
        <f>C16/2877.76</f>
        <v>0.87776604025353044</v>
      </c>
      <c r="E16" s="98">
        <f>D16/0.003861</f>
        <v>227.34163176729615</v>
      </c>
      <c r="F16" s="99">
        <v>0.14766429136975456</v>
      </c>
      <c r="G16" s="42">
        <v>0.16152019002375298</v>
      </c>
      <c r="H16" s="42">
        <v>1.8210609659540775E-2</v>
      </c>
      <c r="I16" s="42">
        <v>1.66270783847981E-2</v>
      </c>
      <c r="J16" s="42">
        <v>0</v>
      </c>
      <c r="K16" s="42">
        <v>0</v>
      </c>
      <c r="L16" s="42">
        <v>0.62153602533650043</v>
      </c>
      <c r="M16" s="42">
        <v>1.3460015835312747E-2</v>
      </c>
      <c r="N16" s="42">
        <v>0</v>
      </c>
      <c r="O16" s="42">
        <v>0</v>
      </c>
      <c r="P16" s="42">
        <v>0</v>
      </c>
      <c r="Q16" s="42">
        <v>0</v>
      </c>
      <c r="R16" s="42">
        <v>0</v>
      </c>
      <c r="S16" s="42">
        <v>1.66270783847981E-2</v>
      </c>
      <c r="T16" s="100">
        <v>4.3547110055423598E-3</v>
      </c>
      <c r="V16" s="42">
        <f>F16+S16+T16</f>
        <v>0.16864608076009502</v>
      </c>
      <c r="W16" s="42">
        <f>Q16+R16</f>
        <v>0</v>
      </c>
      <c r="X16" s="42">
        <f>SUM(K16:P16)</f>
        <v>0.63499604117181319</v>
      </c>
      <c r="Y16" s="42">
        <f>SUM(G16:I16)</f>
        <v>0.19635787806809185</v>
      </c>
      <c r="Z16" s="42">
        <f>J16</f>
        <v>0</v>
      </c>
      <c r="AA16" s="42">
        <f>SUM(V16:Z16)</f>
        <v>1</v>
      </c>
    </row>
    <row r="17" spans="1:27" x14ac:dyDescent="0.3">
      <c r="A17" s="42" t="s">
        <v>1495</v>
      </c>
      <c r="B17" s="25" t="s">
        <v>204</v>
      </c>
      <c r="C17" s="95">
        <v>1617160</v>
      </c>
      <c r="D17" s="97">
        <f t="shared" ref="D17:D47" si="14">C17/2877.76</f>
        <v>561.95096185922375</v>
      </c>
      <c r="E17" s="98">
        <f t="shared" ref="E17:E47" si="15">D17/0.003861</f>
        <v>145545.44466698362</v>
      </c>
      <c r="F17" s="99">
        <v>5.5828118429839965E-2</v>
      </c>
      <c r="G17" s="42">
        <v>2.2473348339063545E-2</v>
      </c>
      <c r="H17" s="42">
        <v>1.1980261693338939E-2</v>
      </c>
      <c r="I17" s="42">
        <v>6.288802592198669E-3</v>
      </c>
      <c r="J17" s="42">
        <v>2.2675554676098841E-3</v>
      </c>
      <c r="K17" s="42">
        <v>8.9663360459076404E-4</v>
      </c>
      <c r="L17" s="42">
        <v>0.3935547503030003</v>
      </c>
      <c r="M17" s="42">
        <v>8.1183680031660446E-2</v>
      </c>
      <c r="N17" s="42">
        <v>1.5805486160924091E-2</v>
      </c>
      <c r="O17" s="42">
        <v>3.8504538821143242E-2</v>
      </c>
      <c r="P17" s="42">
        <v>4.166687278933439E-2</v>
      </c>
      <c r="Q17" s="42">
        <v>0.14272119023473248</v>
      </c>
      <c r="R17" s="42">
        <v>2.3939498874570236E-2</v>
      </c>
      <c r="S17" s="42">
        <v>0.14778871602067822</v>
      </c>
      <c r="T17" s="100">
        <v>1.5100546637314799E-2</v>
      </c>
      <c r="V17" s="42">
        <f t="shared" si="2"/>
        <v>0.21871738108783301</v>
      </c>
      <c r="W17" s="42">
        <f t="shared" si="3"/>
        <v>0.16666068910930271</v>
      </c>
      <c r="X17" s="42">
        <f t="shared" si="4"/>
        <v>0.5716119617106532</v>
      </c>
      <c r="Y17" s="42">
        <f t="shared" si="5"/>
        <v>4.0742412624601154E-2</v>
      </c>
      <c r="Z17" s="42">
        <f t="shared" si="6"/>
        <v>2.2675554676098841E-3</v>
      </c>
      <c r="AA17" s="42">
        <f t="shared" si="7"/>
        <v>1</v>
      </c>
    </row>
    <row r="18" spans="1:27" x14ac:dyDescent="0.3">
      <c r="A18" s="42"/>
      <c r="B18" s="102" t="s">
        <v>217</v>
      </c>
      <c r="C18" s="102"/>
      <c r="D18" s="103">
        <f t="shared" si="14"/>
        <v>0</v>
      </c>
      <c r="E18" s="104">
        <f t="shared" si="15"/>
        <v>0</v>
      </c>
      <c r="F18" s="105"/>
      <c r="G18" s="42"/>
      <c r="H18" s="42"/>
      <c r="I18" s="42"/>
      <c r="J18" s="42"/>
      <c r="K18" s="42"/>
      <c r="L18" s="42"/>
      <c r="M18" s="42"/>
      <c r="N18" s="42"/>
      <c r="O18" s="42"/>
      <c r="P18" s="42"/>
      <c r="Q18" s="42"/>
      <c r="R18" s="42"/>
      <c r="S18" s="42"/>
      <c r="T18" s="106"/>
      <c r="V18" s="42"/>
      <c r="W18" s="42"/>
      <c r="X18" s="42"/>
      <c r="Y18" s="42"/>
      <c r="Z18" s="42"/>
      <c r="AA18" s="42"/>
    </row>
    <row r="19" spans="1:27" x14ac:dyDescent="0.3">
      <c r="A19" s="42"/>
      <c r="B19" s="102" t="s">
        <v>220</v>
      </c>
      <c r="C19" s="102"/>
      <c r="D19" s="103">
        <f t="shared" si="14"/>
        <v>0</v>
      </c>
      <c r="E19" s="104">
        <f t="shared" si="15"/>
        <v>0</v>
      </c>
      <c r="F19" s="105"/>
      <c r="G19" s="42"/>
      <c r="H19" s="42"/>
      <c r="I19" s="42"/>
      <c r="J19" s="42"/>
      <c r="K19" s="42"/>
      <c r="L19" s="42"/>
      <c r="M19" s="42"/>
      <c r="N19" s="42"/>
      <c r="O19" s="42"/>
      <c r="P19" s="42"/>
      <c r="Q19" s="42"/>
      <c r="R19" s="42"/>
      <c r="S19" s="42"/>
      <c r="T19" s="106"/>
      <c r="V19" s="42"/>
      <c r="W19" s="42"/>
      <c r="X19" s="42"/>
      <c r="Y19" s="42"/>
      <c r="Z19" s="42"/>
      <c r="AA19" s="42"/>
    </row>
    <row r="20" spans="1:27" x14ac:dyDescent="0.3">
      <c r="A20" s="42" t="s">
        <v>1496</v>
      </c>
      <c r="B20" s="95" t="s">
        <v>231</v>
      </c>
      <c r="C20" s="95">
        <v>2057</v>
      </c>
      <c r="D20" s="97">
        <f t="shared" si="14"/>
        <v>0.71479206049149335</v>
      </c>
      <c r="E20" s="98">
        <f t="shared" si="15"/>
        <v>185.13132879862559</v>
      </c>
      <c r="F20" s="99">
        <v>0.10452114730189596</v>
      </c>
      <c r="G20" s="42">
        <v>8.3130772970345157E-2</v>
      </c>
      <c r="H20" s="42">
        <v>0</v>
      </c>
      <c r="I20" s="42">
        <v>0</v>
      </c>
      <c r="J20" s="42">
        <v>0</v>
      </c>
      <c r="K20" s="42">
        <v>0</v>
      </c>
      <c r="L20" s="42">
        <v>0.62761302868254742</v>
      </c>
      <c r="M20" s="42">
        <v>0.11327175498298493</v>
      </c>
      <c r="N20" s="42">
        <v>5.3475935828877002E-3</v>
      </c>
      <c r="O20" s="42">
        <v>0</v>
      </c>
      <c r="P20" s="42">
        <v>0</v>
      </c>
      <c r="Q20" s="42">
        <v>1.5556635877491492E-2</v>
      </c>
      <c r="R20" s="42">
        <v>0</v>
      </c>
      <c r="S20" s="42">
        <v>4.7156052503646087E-2</v>
      </c>
      <c r="T20" s="100">
        <v>3.4030140982012642E-3</v>
      </c>
      <c r="V20" s="42">
        <f t="shared" si="2"/>
        <v>0.15508021390374332</v>
      </c>
      <c r="W20" s="42">
        <f t="shared" si="3"/>
        <v>1.5556635877491492E-2</v>
      </c>
      <c r="X20" s="42">
        <f t="shared" si="4"/>
        <v>0.74623237724842006</v>
      </c>
      <c r="Y20" s="42">
        <f t="shared" si="5"/>
        <v>8.3130772970345157E-2</v>
      </c>
      <c r="Z20" s="42">
        <f t="shared" si="6"/>
        <v>0</v>
      </c>
      <c r="AA20" s="42">
        <f t="shared" si="7"/>
        <v>1</v>
      </c>
    </row>
    <row r="21" spans="1:27" x14ac:dyDescent="0.3">
      <c r="A21" s="42" t="s">
        <v>1497</v>
      </c>
      <c r="B21" s="95" t="s">
        <v>236</v>
      </c>
      <c r="C21" s="95">
        <v>777</v>
      </c>
      <c r="D21" s="97">
        <f t="shared" si="14"/>
        <v>0.27000166796397196</v>
      </c>
      <c r="E21" s="98">
        <f t="shared" si="15"/>
        <v>69.930501933170675</v>
      </c>
      <c r="F21" s="99">
        <v>0.14543114543114544</v>
      </c>
      <c r="G21" s="42">
        <v>4.1184041184041183E-2</v>
      </c>
      <c r="H21" s="42">
        <v>0</v>
      </c>
      <c r="I21" s="42">
        <v>0</v>
      </c>
      <c r="J21" s="42">
        <v>0</v>
      </c>
      <c r="K21" s="42">
        <v>0</v>
      </c>
      <c r="L21" s="42">
        <v>0.43114543114543114</v>
      </c>
      <c r="M21" s="42">
        <v>6.4350064350064351E-2</v>
      </c>
      <c r="N21" s="42">
        <v>0</v>
      </c>
      <c r="O21" s="42">
        <v>0</v>
      </c>
      <c r="P21" s="42">
        <v>4.633204633204633E-2</v>
      </c>
      <c r="Q21" s="42">
        <v>0.2574002574002574</v>
      </c>
      <c r="R21" s="42">
        <v>0</v>
      </c>
      <c r="S21" s="42">
        <v>1.4157014157014158E-2</v>
      </c>
      <c r="T21" s="100">
        <v>0</v>
      </c>
      <c r="V21" s="42">
        <f t="shared" si="2"/>
        <v>0.15958815958815958</v>
      </c>
      <c r="W21" s="42">
        <f t="shared" si="3"/>
        <v>0.2574002574002574</v>
      </c>
      <c r="X21" s="42">
        <f t="shared" si="4"/>
        <v>0.54182754182754178</v>
      </c>
      <c r="Y21" s="42">
        <f t="shared" si="5"/>
        <v>4.1184041184041183E-2</v>
      </c>
      <c r="Z21" s="42">
        <f t="shared" si="6"/>
        <v>0</v>
      </c>
      <c r="AA21" s="42">
        <f t="shared" si="7"/>
        <v>1</v>
      </c>
    </row>
    <row r="22" spans="1:27" x14ac:dyDescent="0.3">
      <c r="A22" s="42" t="s">
        <v>1498</v>
      </c>
      <c r="B22" s="95" t="s">
        <v>242</v>
      </c>
      <c r="C22" s="95">
        <v>7326</v>
      </c>
      <c r="D22" s="97">
        <f t="shared" si="14"/>
        <v>2.5457300122317355</v>
      </c>
      <c r="E22" s="98">
        <f t="shared" si="15"/>
        <v>659.34473251275199</v>
      </c>
      <c r="F22" s="99">
        <v>0.18113568113568113</v>
      </c>
      <c r="G22" s="42">
        <v>7.6440076440076436E-3</v>
      </c>
      <c r="H22" s="42">
        <v>1.3650013650013651E-3</v>
      </c>
      <c r="I22" s="42">
        <v>0</v>
      </c>
      <c r="J22" s="42">
        <v>0</v>
      </c>
      <c r="K22" s="42">
        <v>0</v>
      </c>
      <c r="L22" s="42">
        <v>0.3688233688233688</v>
      </c>
      <c r="M22" s="42">
        <v>5.2825552825552825E-2</v>
      </c>
      <c r="N22" s="42">
        <v>2.1976521976521977E-2</v>
      </c>
      <c r="O22" s="42">
        <v>8.9953589953589957E-2</v>
      </c>
      <c r="P22" s="42">
        <v>3.0985530985530984E-2</v>
      </c>
      <c r="Q22" s="42">
        <v>0.13854763854763855</v>
      </c>
      <c r="R22" s="42">
        <v>6.3609063609063612E-2</v>
      </c>
      <c r="S22" s="42">
        <v>3.6309036309036306E-2</v>
      </c>
      <c r="T22" s="100">
        <v>6.8250068250068248E-3</v>
      </c>
      <c r="V22" s="42">
        <f t="shared" si="2"/>
        <v>0.22426972426972427</v>
      </c>
      <c r="W22" s="42">
        <f t="shared" si="3"/>
        <v>0.20215670215670217</v>
      </c>
      <c r="X22" s="42">
        <f t="shared" si="4"/>
        <v>0.56456456456456461</v>
      </c>
      <c r="Y22" s="42">
        <f t="shared" si="5"/>
        <v>9.0090090090090089E-3</v>
      </c>
      <c r="Z22" s="42">
        <f t="shared" si="6"/>
        <v>0</v>
      </c>
      <c r="AA22" s="42">
        <f t="shared" si="7"/>
        <v>1</v>
      </c>
    </row>
    <row r="23" spans="1:27" x14ac:dyDescent="0.3">
      <c r="A23" s="42"/>
      <c r="B23" s="102" t="s">
        <v>248</v>
      </c>
      <c r="C23" s="102"/>
      <c r="D23" s="103">
        <f t="shared" si="14"/>
        <v>0</v>
      </c>
      <c r="E23" s="104">
        <f t="shared" si="15"/>
        <v>0</v>
      </c>
      <c r="F23" s="105"/>
      <c r="G23" s="42"/>
      <c r="H23" s="42"/>
      <c r="I23" s="42"/>
      <c r="J23" s="42"/>
      <c r="K23" s="42"/>
      <c r="L23" s="42"/>
      <c r="M23" s="42"/>
      <c r="N23" s="42"/>
      <c r="O23" s="42"/>
      <c r="P23" s="42"/>
      <c r="Q23" s="42"/>
      <c r="R23" s="42"/>
      <c r="S23" s="42"/>
      <c r="T23" s="106"/>
      <c r="V23" s="42"/>
      <c r="W23" s="42"/>
      <c r="X23" s="42"/>
      <c r="Y23" s="42"/>
      <c r="Z23" s="42"/>
      <c r="AA23" s="42"/>
    </row>
    <row r="24" spans="1:27" x14ac:dyDescent="0.3">
      <c r="A24" s="42" t="s">
        <v>1499</v>
      </c>
      <c r="B24" s="95" t="s">
        <v>253</v>
      </c>
      <c r="C24" s="95">
        <v>114327</v>
      </c>
      <c r="D24" s="97">
        <f t="shared" si="14"/>
        <v>39.727774380073384</v>
      </c>
      <c r="E24" s="98">
        <f t="shared" si="15"/>
        <v>10289.503853942861</v>
      </c>
      <c r="F24" s="99">
        <v>7.9919878943731579E-2</v>
      </c>
      <c r="G24" s="42">
        <v>2.0266428752613117E-2</v>
      </c>
      <c r="H24" s="42">
        <v>1.2158107883527077E-3</v>
      </c>
      <c r="I24" s="42">
        <v>3.4112676795507624E-4</v>
      </c>
      <c r="J24" s="42">
        <v>0</v>
      </c>
      <c r="K24" s="42">
        <v>3.9360780917893412E-4</v>
      </c>
      <c r="L24" s="42">
        <v>0.42152772311002651</v>
      </c>
      <c r="M24" s="42">
        <v>0.32484889833547631</v>
      </c>
      <c r="N24" s="42">
        <v>0.10237301774733877</v>
      </c>
      <c r="O24" s="42">
        <v>3.1138751126155678E-3</v>
      </c>
      <c r="P24" s="42">
        <v>4.6533189885153989E-3</v>
      </c>
      <c r="Q24" s="42">
        <v>5.2481041223857879E-4</v>
      </c>
      <c r="R24" s="42">
        <v>5.3355725244255507E-4</v>
      </c>
      <c r="S24" s="42">
        <v>3.7996273846073104E-2</v>
      </c>
      <c r="T24" s="100">
        <v>2.2916721334417943E-3</v>
      </c>
      <c r="V24" s="42">
        <f t="shared" si="2"/>
        <v>0.12020782492324648</v>
      </c>
      <c r="W24" s="42">
        <f t="shared" si="3"/>
        <v>1.0583676646811339E-3</v>
      </c>
      <c r="X24" s="42">
        <f t="shared" si="4"/>
        <v>0.8569104411031514</v>
      </c>
      <c r="Y24" s="42">
        <f t="shared" si="5"/>
        <v>2.18233663089209E-2</v>
      </c>
      <c r="Z24" s="42">
        <f t="shared" si="6"/>
        <v>0</v>
      </c>
      <c r="AA24" s="42">
        <f t="shared" si="7"/>
        <v>0.99999999999999989</v>
      </c>
    </row>
    <row r="25" spans="1:27" x14ac:dyDescent="0.3">
      <c r="A25" s="42" t="s">
        <v>1500</v>
      </c>
      <c r="B25" s="95" t="s">
        <v>261</v>
      </c>
      <c r="C25" s="95">
        <v>13101</v>
      </c>
      <c r="D25" s="97">
        <f t="shared" si="14"/>
        <v>4.5524991660180136</v>
      </c>
      <c r="E25" s="98">
        <f t="shared" si="15"/>
        <v>1179.0984630971286</v>
      </c>
      <c r="F25" s="99">
        <v>0.12136478131440348</v>
      </c>
      <c r="G25" s="42">
        <v>2.6715517899396995E-3</v>
      </c>
      <c r="H25" s="42">
        <v>0</v>
      </c>
      <c r="I25" s="42">
        <v>1.0686207159758797E-3</v>
      </c>
      <c r="J25" s="42">
        <v>0</v>
      </c>
      <c r="K25" s="42">
        <v>0</v>
      </c>
      <c r="L25" s="42">
        <v>0.35920922067017785</v>
      </c>
      <c r="M25" s="42">
        <v>0.26623921838027631</v>
      </c>
      <c r="N25" s="42">
        <v>7.4345469811464768E-2</v>
      </c>
      <c r="O25" s="42">
        <v>9.5794214182123499E-2</v>
      </c>
      <c r="P25" s="42">
        <v>6.8697046027020835E-3</v>
      </c>
      <c r="Q25" s="42">
        <v>6.25906419357301E-3</v>
      </c>
      <c r="R25" s="42">
        <v>1.2976108693992824E-3</v>
      </c>
      <c r="S25" s="42">
        <v>6.4880543469964122E-2</v>
      </c>
      <c r="T25" s="100">
        <v>0</v>
      </c>
      <c r="V25" s="42">
        <f t="shared" si="2"/>
        <v>0.18624532478436762</v>
      </c>
      <c r="W25" s="42">
        <f t="shared" si="3"/>
        <v>7.5566750629722929E-3</v>
      </c>
      <c r="X25" s="42">
        <f t="shared" si="4"/>
        <v>0.80245782764674456</v>
      </c>
      <c r="Y25" s="42">
        <f t="shared" si="5"/>
        <v>3.7401725059155793E-3</v>
      </c>
      <c r="Z25" s="42">
        <f t="shared" si="6"/>
        <v>0</v>
      </c>
      <c r="AA25" s="42">
        <f t="shared" si="7"/>
        <v>1</v>
      </c>
    </row>
    <row r="26" spans="1:27" x14ac:dyDescent="0.3">
      <c r="A26" s="42" t="s">
        <v>1501</v>
      </c>
      <c r="B26" s="95" t="s">
        <v>268</v>
      </c>
      <c r="C26" s="95">
        <v>1515</v>
      </c>
      <c r="D26" s="97">
        <f t="shared" si="14"/>
        <v>0.52645112865562105</v>
      </c>
      <c r="E26" s="98">
        <f t="shared" si="15"/>
        <v>136.35097867278452</v>
      </c>
      <c r="F26" s="99">
        <v>0</v>
      </c>
      <c r="G26" s="42">
        <v>0.1834983498349835</v>
      </c>
      <c r="H26" s="42">
        <v>0.56369636963696368</v>
      </c>
      <c r="I26" s="42">
        <v>0.18613861386138614</v>
      </c>
      <c r="J26" s="42">
        <v>6.0066006600660068E-2</v>
      </c>
      <c r="K26" s="42">
        <v>0</v>
      </c>
      <c r="L26" s="42">
        <v>6.6006600660066007E-3</v>
      </c>
      <c r="M26" s="42">
        <v>0</v>
      </c>
      <c r="N26" s="42">
        <v>0</v>
      </c>
      <c r="O26" s="42">
        <v>0</v>
      </c>
      <c r="P26" s="42">
        <v>0</v>
      </c>
      <c r="Q26" s="42">
        <v>0</v>
      </c>
      <c r="R26" s="42">
        <v>0</v>
      </c>
      <c r="S26" s="42">
        <v>0</v>
      </c>
      <c r="T26" s="100">
        <v>0</v>
      </c>
      <c r="V26" s="42">
        <f t="shared" si="2"/>
        <v>0</v>
      </c>
      <c r="W26" s="42">
        <f t="shared" si="3"/>
        <v>0</v>
      </c>
      <c r="X26" s="42">
        <f t="shared" si="4"/>
        <v>6.6006600660066007E-3</v>
      </c>
      <c r="Y26" s="42">
        <f t="shared" si="5"/>
        <v>0.93333333333333335</v>
      </c>
      <c r="Z26" s="42">
        <f t="shared" si="6"/>
        <v>6.0066006600660068E-2</v>
      </c>
      <c r="AA26" s="42">
        <f t="shared" si="7"/>
        <v>1</v>
      </c>
    </row>
    <row r="27" spans="1:27" x14ac:dyDescent="0.3">
      <c r="A27" s="42" t="s">
        <v>1502</v>
      </c>
      <c r="B27" s="95" t="s">
        <v>275</v>
      </c>
      <c r="C27" s="95">
        <v>12597</v>
      </c>
      <c r="D27" s="97">
        <f t="shared" si="14"/>
        <v>4.3773629489603021</v>
      </c>
      <c r="E27" s="98">
        <f t="shared" si="15"/>
        <v>1133.7381375188559</v>
      </c>
      <c r="F27" s="99">
        <v>0.13352385488608398</v>
      </c>
      <c r="G27" s="42">
        <v>6.1840120663650078E-2</v>
      </c>
      <c r="H27" s="42">
        <v>3.3341271731364613E-2</v>
      </c>
      <c r="I27" s="42">
        <v>1.2145748987854251E-2</v>
      </c>
      <c r="J27" s="42">
        <v>0</v>
      </c>
      <c r="K27" s="42">
        <v>0</v>
      </c>
      <c r="L27" s="42">
        <v>0.38914027149321267</v>
      </c>
      <c r="M27" s="42">
        <v>0.11470985155195682</v>
      </c>
      <c r="N27" s="42">
        <v>0.12066365007541478</v>
      </c>
      <c r="O27" s="42">
        <v>2.2148130507263636E-2</v>
      </c>
      <c r="P27" s="42">
        <v>5.1599587203302374E-3</v>
      </c>
      <c r="Q27" s="42">
        <v>6.7476383265856948E-2</v>
      </c>
      <c r="R27" s="42">
        <v>1.7464475668810034E-3</v>
      </c>
      <c r="S27" s="42">
        <v>3.8104310550130985E-2</v>
      </c>
      <c r="T27" s="100">
        <v>0</v>
      </c>
      <c r="V27" s="42">
        <f t="shared" si="2"/>
        <v>0.17162816543621495</v>
      </c>
      <c r="W27" s="42">
        <f t="shared" si="3"/>
        <v>6.9222830832737947E-2</v>
      </c>
      <c r="X27" s="42">
        <f t="shared" si="4"/>
        <v>0.65182186234817818</v>
      </c>
      <c r="Y27" s="42">
        <f t="shared" si="5"/>
        <v>0.10732714138286895</v>
      </c>
      <c r="Z27" s="42">
        <f t="shared" si="6"/>
        <v>0</v>
      </c>
      <c r="AA27" s="42">
        <f t="shared" si="7"/>
        <v>1</v>
      </c>
    </row>
    <row r="28" spans="1:27" x14ac:dyDescent="0.3">
      <c r="A28" s="42" t="s">
        <v>1503</v>
      </c>
      <c r="B28" s="95" t="s">
        <v>281</v>
      </c>
      <c r="C28" s="95">
        <v>49103</v>
      </c>
      <c r="D28" s="97">
        <f t="shared" si="14"/>
        <v>17.062923940842875</v>
      </c>
      <c r="E28" s="98">
        <f t="shared" si="15"/>
        <v>4419.3017199800252</v>
      </c>
      <c r="F28" s="99">
        <v>0.21257356984298312</v>
      </c>
      <c r="G28" s="42">
        <v>1.8430645785389894E-2</v>
      </c>
      <c r="H28" s="42">
        <v>1.0691811090972038E-2</v>
      </c>
      <c r="I28" s="42">
        <v>3.2788220678980919E-3</v>
      </c>
      <c r="J28" s="42">
        <v>1.8328819013094922E-4</v>
      </c>
      <c r="K28" s="42">
        <v>0</v>
      </c>
      <c r="L28" s="42">
        <v>0.36537482434881779</v>
      </c>
      <c r="M28" s="42">
        <v>9.4698898234323772E-2</v>
      </c>
      <c r="N28" s="42">
        <v>1.5905341832474593E-2</v>
      </c>
      <c r="O28" s="42">
        <v>2.7778343482068306E-2</v>
      </c>
      <c r="P28" s="42">
        <v>2.1261430055190111E-2</v>
      </c>
      <c r="Q28" s="42">
        <v>9.5900454147404432E-2</v>
      </c>
      <c r="R28" s="42">
        <v>1.5274015844245769E-3</v>
      </c>
      <c r="S28" s="42">
        <v>0.11524754088344907</v>
      </c>
      <c r="T28" s="100">
        <v>1.7147628454473249E-2</v>
      </c>
      <c r="V28" s="42">
        <f t="shared" si="2"/>
        <v>0.34496873918090543</v>
      </c>
      <c r="W28" s="42">
        <f t="shared" si="3"/>
        <v>9.7427855731829008E-2</v>
      </c>
      <c r="X28" s="42">
        <f t="shared" si="4"/>
        <v>0.52501883795287452</v>
      </c>
      <c r="Y28" s="42">
        <f t="shared" si="5"/>
        <v>3.2401278944260023E-2</v>
      </c>
      <c r="Z28" s="42">
        <f t="shared" si="6"/>
        <v>1.8328819013094922E-4</v>
      </c>
      <c r="AA28" s="42">
        <f t="shared" si="7"/>
        <v>0.99999999999999989</v>
      </c>
    </row>
    <row r="29" spans="1:27" x14ac:dyDescent="0.3">
      <c r="A29" s="42"/>
      <c r="B29" s="102" t="s">
        <v>287</v>
      </c>
      <c r="C29" s="102"/>
      <c r="D29" s="103">
        <f t="shared" si="14"/>
        <v>0</v>
      </c>
      <c r="E29" s="104">
        <f t="shared" si="15"/>
        <v>0</v>
      </c>
      <c r="F29" s="105"/>
      <c r="G29" s="42"/>
      <c r="H29" s="42"/>
      <c r="I29" s="42"/>
      <c r="J29" s="42"/>
      <c r="K29" s="42"/>
      <c r="L29" s="42"/>
      <c r="M29" s="42"/>
      <c r="N29" s="42"/>
      <c r="O29" s="42"/>
      <c r="P29" s="42"/>
      <c r="Q29" s="42"/>
      <c r="R29" s="42"/>
      <c r="S29" s="42"/>
      <c r="T29" s="106"/>
      <c r="V29" s="42"/>
      <c r="W29" s="42"/>
      <c r="X29" s="42"/>
      <c r="Y29" s="42"/>
      <c r="Z29" s="42"/>
      <c r="AA29" s="42"/>
    </row>
    <row r="30" spans="1:27" x14ac:dyDescent="0.3">
      <c r="A30" s="42" t="s">
        <v>1504</v>
      </c>
      <c r="B30" s="95" t="s">
        <v>292</v>
      </c>
      <c r="C30" s="95">
        <v>103849</v>
      </c>
      <c r="D30" s="97">
        <f t="shared" si="14"/>
        <v>36.086748026242631</v>
      </c>
      <c r="E30" s="98">
        <f t="shared" si="15"/>
        <v>9346.4770852739275</v>
      </c>
      <c r="F30" s="99">
        <v>7.7391212240849688E-2</v>
      </c>
      <c r="G30" s="42">
        <v>1.2672245279203459E-2</v>
      </c>
      <c r="H30" s="42">
        <v>1.2614469084921377E-3</v>
      </c>
      <c r="I30" s="42">
        <v>2.40734142842011E-4</v>
      </c>
      <c r="J30" s="42">
        <v>0</v>
      </c>
      <c r="K30" s="42">
        <v>0</v>
      </c>
      <c r="L30" s="42">
        <v>0.55589365328505813</v>
      </c>
      <c r="M30" s="42">
        <v>7.2836522258278844E-2</v>
      </c>
      <c r="N30" s="42">
        <v>0.15969340099567642</v>
      </c>
      <c r="O30" s="42">
        <v>2.821404154108369E-2</v>
      </c>
      <c r="P30" s="42">
        <v>1.1458945199279724E-3</v>
      </c>
      <c r="Q30" s="42">
        <v>2.8888097141041319E-4</v>
      </c>
      <c r="R30" s="42">
        <v>0</v>
      </c>
      <c r="S30" s="42">
        <v>8.0742231509210491E-2</v>
      </c>
      <c r="T30" s="100">
        <v>9.6197363479667598E-3</v>
      </c>
      <c r="V30" s="42">
        <f t="shared" si="2"/>
        <v>0.16775318009802692</v>
      </c>
      <c r="W30" s="42">
        <f t="shared" si="3"/>
        <v>2.8888097141041319E-4</v>
      </c>
      <c r="X30" s="42">
        <f t="shared" si="4"/>
        <v>0.81778351260002502</v>
      </c>
      <c r="Y30" s="42">
        <f t="shared" si="5"/>
        <v>1.4174426330537606E-2</v>
      </c>
      <c r="Z30" s="42">
        <f t="shared" si="6"/>
        <v>0</v>
      </c>
      <c r="AA30" s="42">
        <f t="shared" si="7"/>
        <v>0.99999999999999989</v>
      </c>
    </row>
    <row r="31" spans="1:27" x14ac:dyDescent="0.3">
      <c r="A31" s="42" t="s">
        <v>1505</v>
      </c>
      <c r="B31" s="95" t="s">
        <v>112</v>
      </c>
      <c r="C31" s="95">
        <v>183855</v>
      </c>
      <c r="D31" s="97">
        <f t="shared" si="14"/>
        <v>63.888232514177687</v>
      </c>
      <c r="E31" s="98">
        <f t="shared" si="15"/>
        <v>16547.068768240792</v>
      </c>
      <c r="F31" s="99">
        <v>5.5032498436267709E-2</v>
      </c>
      <c r="G31" s="42">
        <v>4.7765902477495854E-2</v>
      </c>
      <c r="H31" s="42">
        <v>8.7623398874112756E-3</v>
      </c>
      <c r="I31" s="42">
        <v>2.289847978026162E-3</v>
      </c>
      <c r="J31" s="42">
        <v>3.8617388703054035E-4</v>
      </c>
      <c r="K31" s="42">
        <v>2.5944358325854615E-3</v>
      </c>
      <c r="L31" s="42">
        <v>0.18986701476707188</v>
      </c>
      <c r="M31" s="42">
        <v>2.7456419460988278E-2</v>
      </c>
      <c r="N31" s="42">
        <v>4.126077615512224E-2</v>
      </c>
      <c r="O31" s="42">
        <v>3.205787169236627E-2</v>
      </c>
      <c r="P31" s="42">
        <v>1.8748470261891165E-2</v>
      </c>
      <c r="Q31" s="42">
        <v>0.30098175192407062</v>
      </c>
      <c r="R31" s="42">
        <v>0.15811373092926492</v>
      </c>
      <c r="S31" s="42">
        <v>9.0642082075548663E-2</v>
      </c>
      <c r="T31" s="100">
        <v>2.4040684234858993E-2</v>
      </c>
      <c r="V31" s="42">
        <f t="shared" si="2"/>
        <v>0.16971526474667536</v>
      </c>
      <c r="W31" s="42">
        <f t="shared" si="3"/>
        <v>0.45909548285333557</v>
      </c>
      <c r="X31" s="42">
        <f t="shared" si="4"/>
        <v>0.31198498817002529</v>
      </c>
      <c r="Y31" s="42">
        <f t="shared" si="5"/>
        <v>5.8818090342933296E-2</v>
      </c>
      <c r="Z31" s="42">
        <f t="shared" si="6"/>
        <v>3.8617388703054035E-4</v>
      </c>
      <c r="AA31" s="42">
        <f t="shared" si="7"/>
        <v>1</v>
      </c>
    </row>
    <row r="32" spans="1:27" x14ac:dyDescent="0.3">
      <c r="A32" s="110" t="s">
        <v>1506</v>
      </c>
      <c r="B32" s="95" t="s">
        <v>304</v>
      </c>
      <c r="C32" s="95">
        <v>35811</v>
      </c>
      <c r="D32" s="97">
        <f t="shared" si="14"/>
        <v>12.444053708439897</v>
      </c>
      <c r="E32" s="98">
        <f t="shared" si="15"/>
        <v>3223.013133499067</v>
      </c>
      <c r="F32" s="111">
        <v>8.7961799447097255E-2</v>
      </c>
      <c r="G32" s="112">
        <v>2.8371170869285974E-2</v>
      </c>
      <c r="H32" s="112">
        <v>3.6301695009913155E-4</v>
      </c>
      <c r="I32" s="112">
        <v>0</v>
      </c>
      <c r="J32" s="112">
        <v>0</v>
      </c>
      <c r="K32" s="112">
        <v>0</v>
      </c>
      <c r="L32" s="112">
        <v>0.51347351372483319</v>
      </c>
      <c r="M32" s="112">
        <v>7.8076568652090145E-2</v>
      </c>
      <c r="N32" s="112">
        <v>0.13093742146267906</v>
      </c>
      <c r="O32" s="112">
        <v>4.0825444695763873E-2</v>
      </c>
      <c r="P32" s="112">
        <v>3.8535645472061657E-3</v>
      </c>
      <c r="Q32" s="112">
        <v>7.5228281812850795E-2</v>
      </c>
      <c r="R32" s="112">
        <v>1.3627097819105861E-2</v>
      </c>
      <c r="S32" s="112">
        <v>2.4852698891402084E-2</v>
      </c>
      <c r="T32" s="113">
        <v>2.4294211275864958E-3</v>
      </c>
      <c r="V32" s="42">
        <f t="shared" si="2"/>
        <v>0.11524391946608584</v>
      </c>
      <c r="W32" s="42">
        <f t="shared" si="3"/>
        <v>8.8855379631956652E-2</v>
      </c>
      <c r="X32" s="42">
        <f t="shared" si="4"/>
        <v>0.76716651308257244</v>
      </c>
      <c r="Y32" s="42">
        <f t="shared" si="5"/>
        <v>2.8734187819385106E-2</v>
      </c>
      <c r="Z32" s="42">
        <f t="shared" si="6"/>
        <v>0</v>
      </c>
      <c r="AA32" s="42">
        <f t="shared" si="7"/>
        <v>1</v>
      </c>
    </row>
    <row r="33" spans="1:27" x14ac:dyDescent="0.3">
      <c r="A33" s="110" t="s">
        <v>1507</v>
      </c>
      <c r="B33" s="95" t="s">
        <v>311</v>
      </c>
      <c r="C33" s="95">
        <v>535681</v>
      </c>
      <c r="D33" s="97">
        <f t="shared" si="14"/>
        <v>186.14512676526186</v>
      </c>
      <c r="E33" s="98">
        <f t="shared" si="15"/>
        <v>48211.636043838866</v>
      </c>
      <c r="F33" s="111">
        <v>8.9868783847103034E-2</v>
      </c>
      <c r="G33" s="112">
        <v>5.1816286185248313E-2</v>
      </c>
      <c r="H33" s="112">
        <v>1.180926708246139E-2</v>
      </c>
      <c r="I33" s="112">
        <v>3.3210063451942482E-3</v>
      </c>
      <c r="J33" s="112">
        <v>6.8884280009931281E-4</v>
      </c>
      <c r="K33" s="112">
        <v>6.664414082261645E-4</v>
      </c>
      <c r="L33" s="112">
        <v>0.2912591635693631</v>
      </c>
      <c r="M33" s="112">
        <v>2.5914676831920488E-2</v>
      </c>
      <c r="N33" s="112">
        <v>6.8464253912309758E-2</v>
      </c>
      <c r="O33" s="112">
        <v>6.3883169274250903E-2</v>
      </c>
      <c r="P33" s="112">
        <v>3.8754407940546705E-3</v>
      </c>
      <c r="Q33" s="112">
        <v>0.23813986309016</v>
      </c>
      <c r="R33" s="112">
        <v>0.11932661416029317</v>
      </c>
      <c r="S33" s="112">
        <v>2.1421330978698142E-2</v>
      </c>
      <c r="T33" s="113">
        <v>9.5448597206173082E-3</v>
      </c>
      <c r="V33" s="42">
        <f t="shared" si="2"/>
        <v>0.12083497454641848</v>
      </c>
      <c r="W33" s="42">
        <f t="shared" si="3"/>
        <v>0.35746647725045316</v>
      </c>
      <c r="X33" s="42">
        <f t="shared" si="4"/>
        <v>0.45406314579012508</v>
      </c>
      <c r="Y33" s="42">
        <f t="shared" si="5"/>
        <v>6.6946559612903953E-2</v>
      </c>
      <c r="Z33" s="42">
        <f t="shared" si="6"/>
        <v>6.8884280009931281E-4</v>
      </c>
      <c r="AA33" s="42">
        <f t="shared" si="7"/>
        <v>1</v>
      </c>
    </row>
    <row r="34" spans="1:27" x14ac:dyDescent="0.3">
      <c r="A34" s="110" t="s">
        <v>1507</v>
      </c>
      <c r="B34" s="102" t="s">
        <v>321</v>
      </c>
      <c r="C34" s="95">
        <v>535681</v>
      </c>
      <c r="D34" s="97">
        <f>C34/2877.76</f>
        <v>186.14512676526186</v>
      </c>
      <c r="E34" s="98">
        <f>D34/0.003861</f>
        <v>48211.636043838866</v>
      </c>
      <c r="F34" s="111">
        <v>8.9868783847103034E-2</v>
      </c>
      <c r="G34" s="112">
        <v>5.1816286185248313E-2</v>
      </c>
      <c r="H34" s="112">
        <v>1.180926708246139E-2</v>
      </c>
      <c r="I34" s="112">
        <v>3.3210063451942482E-3</v>
      </c>
      <c r="J34" s="112">
        <v>6.8884280009931281E-4</v>
      </c>
      <c r="K34" s="112">
        <v>6.664414082261645E-4</v>
      </c>
      <c r="L34" s="112">
        <v>0.2912591635693631</v>
      </c>
      <c r="M34" s="112">
        <v>2.5914676831920488E-2</v>
      </c>
      <c r="N34" s="112">
        <v>6.8464253912309758E-2</v>
      </c>
      <c r="O34" s="112">
        <v>6.3883169274250903E-2</v>
      </c>
      <c r="P34" s="112">
        <v>3.8754407940546705E-3</v>
      </c>
      <c r="Q34" s="112">
        <v>0.23813986309016</v>
      </c>
      <c r="R34" s="112">
        <v>0.11932661416029317</v>
      </c>
      <c r="S34" s="112">
        <v>2.1421330978698142E-2</v>
      </c>
      <c r="T34" s="113">
        <v>9.5448597206173082E-3</v>
      </c>
      <c r="V34" s="42">
        <f>F34+S34+T34</f>
        <v>0.12083497454641848</v>
      </c>
      <c r="W34" s="42">
        <f>Q34+R34</f>
        <v>0.35746647725045316</v>
      </c>
      <c r="X34" s="42">
        <f>SUM(K34:P34)</f>
        <v>0.45406314579012508</v>
      </c>
      <c r="Y34" s="42">
        <f>SUM(G34:I34)</f>
        <v>6.6946559612903953E-2</v>
      </c>
      <c r="Z34" s="42">
        <f>J34</f>
        <v>6.8884280009931281E-4</v>
      </c>
      <c r="AA34" s="42">
        <f>SUM(V34:Z34)</f>
        <v>1</v>
      </c>
    </row>
    <row r="35" spans="1:27" x14ac:dyDescent="0.3">
      <c r="A35" s="42" t="s">
        <v>1508</v>
      </c>
      <c r="B35" s="95" t="s">
        <v>322</v>
      </c>
      <c r="C35" s="95">
        <v>4524078</v>
      </c>
      <c r="D35" s="97">
        <f t="shared" si="14"/>
        <v>1572.0831480040031</v>
      </c>
      <c r="E35" s="98">
        <f t="shared" si="15"/>
        <v>407169.94250297931</v>
      </c>
      <c r="F35" s="99">
        <v>9.9365439764743227E-2</v>
      </c>
      <c r="G35" s="42">
        <v>4.6343144393178014E-2</v>
      </c>
      <c r="H35" s="42">
        <v>1.2227021726857936E-2</v>
      </c>
      <c r="I35" s="42">
        <v>4.714993861732711E-3</v>
      </c>
      <c r="J35" s="42">
        <v>1.4128845700715151E-3</v>
      </c>
      <c r="K35" s="42">
        <v>1.2325163270836621E-3</v>
      </c>
      <c r="L35" s="42">
        <v>0.18037332689666269</v>
      </c>
      <c r="M35" s="42">
        <v>2.0867677347738037E-2</v>
      </c>
      <c r="N35" s="42">
        <v>7.1915205706002419E-2</v>
      </c>
      <c r="O35" s="42">
        <v>5.4014762787025335E-2</v>
      </c>
      <c r="P35" s="42">
        <v>4.8823207734260991E-3</v>
      </c>
      <c r="Q35" s="42">
        <v>0.24418411884145233</v>
      </c>
      <c r="R35" s="42">
        <v>0.21866046518207688</v>
      </c>
      <c r="S35" s="42">
        <v>3.4001182119318012E-2</v>
      </c>
      <c r="T35" s="100">
        <v>5.804939702631122E-3</v>
      </c>
      <c r="V35" s="42">
        <f t="shared" si="2"/>
        <v>0.13917156158669236</v>
      </c>
      <c r="W35" s="42">
        <f t="shared" si="3"/>
        <v>0.46284458402352924</v>
      </c>
      <c r="X35" s="42">
        <f t="shared" si="4"/>
        <v>0.33328580983793821</v>
      </c>
      <c r="Y35" s="42">
        <f t="shared" si="5"/>
        <v>6.328515998176866E-2</v>
      </c>
      <c r="Z35" s="42">
        <f t="shared" si="6"/>
        <v>1.4128845700715151E-3</v>
      </c>
      <c r="AA35" s="42">
        <f t="shared" si="7"/>
        <v>0.99999999999999989</v>
      </c>
    </row>
    <row r="36" spans="1:27" x14ac:dyDescent="0.3">
      <c r="A36" s="42" t="s">
        <v>1508</v>
      </c>
      <c r="B36" s="102" t="s">
        <v>332</v>
      </c>
      <c r="C36" s="95">
        <v>4524078</v>
      </c>
      <c r="D36" s="97">
        <f t="shared" si="14"/>
        <v>1572.0831480040031</v>
      </c>
      <c r="E36" s="104">
        <f t="shared" si="15"/>
        <v>407169.94250297931</v>
      </c>
      <c r="F36" s="99">
        <v>9.9365439764743227E-2</v>
      </c>
      <c r="G36" s="42">
        <v>4.6343144393178014E-2</v>
      </c>
      <c r="H36" s="42">
        <v>1.2227021726857936E-2</v>
      </c>
      <c r="I36" s="42">
        <v>4.714993861732711E-3</v>
      </c>
      <c r="J36" s="42">
        <v>1.4128845700715151E-3</v>
      </c>
      <c r="K36" s="42">
        <v>1.2325163270836621E-3</v>
      </c>
      <c r="L36" s="42">
        <v>0.18037332689666269</v>
      </c>
      <c r="M36" s="42">
        <v>2.0867677347738037E-2</v>
      </c>
      <c r="N36" s="42">
        <v>7.1915205706002419E-2</v>
      </c>
      <c r="O36" s="42">
        <v>5.4014762787025335E-2</v>
      </c>
      <c r="P36" s="42">
        <v>4.8823207734260991E-3</v>
      </c>
      <c r="Q36" s="42">
        <v>0.24418411884145233</v>
      </c>
      <c r="R36" s="42">
        <v>0.21866046518207688</v>
      </c>
      <c r="S36" s="42">
        <v>3.4001182119318012E-2</v>
      </c>
      <c r="T36" s="100">
        <v>5.804939702631122E-3</v>
      </c>
      <c r="V36" s="42">
        <f t="shared" si="2"/>
        <v>0.13917156158669236</v>
      </c>
      <c r="W36" s="42">
        <f t="shared" si="3"/>
        <v>0.46284458402352924</v>
      </c>
      <c r="X36" s="42">
        <f t="shared" si="4"/>
        <v>0.33328580983793821</v>
      </c>
      <c r="Y36" s="42">
        <f t="shared" si="5"/>
        <v>6.328515998176866E-2</v>
      </c>
      <c r="Z36" s="42">
        <f t="shared" si="6"/>
        <v>1.4128845700715151E-3</v>
      </c>
      <c r="AA36" s="42">
        <f t="shared" si="7"/>
        <v>0.99999999999999989</v>
      </c>
    </row>
    <row r="37" spans="1:27" x14ac:dyDescent="0.3">
      <c r="A37" s="42" t="s">
        <v>1508</v>
      </c>
      <c r="B37" s="102" t="s">
        <v>335</v>
      </c>
      <c r="C37" s="95">
        <v>4524078</v>
      </c>
      <c r="D37" s="97">
        <f t="shared" si="14"/>
        <v>1572.0831480040031</v>
      </c>
      <c r="E37" s="104">
        <f t="shared" si="15"/>
        <v>407169.94250297931</v>
      </c>
      <c r="F37" s="99">
        <v>9.9365439764743227E-2</v>
      </c>
      <c r="G37" s="42">
        <v>4.6343144393178014E-2</v>
      </c>
      <c r="H37" s="42">
        <v>1.2227021726857936E-2</v>
      </c>
      <c r="I37" s="42">
        <v>4.714993861732711E-3</v>
      </c>
      <c r="J37" s="42">
        <v>1.4128845700715151E-3</v>
      </c>
      <c r="K37" s="42">
        <v>1.2325163270836621E-3</v>
      </c>
      <c r="L37" s="42">
        <v>0.18037332689666269</v>
      </c>
      <c r="M37" s="42">
        <v>2.0867677347738037E-2</v>
      </c>
      <c r="N37" s="42">
        <v>7.1915205706002419E-2</v>
      </c>
      <c r="O37" s="42">
        <v>5.4014762787025335E-2</v>
      </c>
      <c r="P37" s="42">
        <v>4.8823207734260991E-3</v>
      </c>
      <c r="Q37" s="42">
        <v>0.24418411884145233</v>
      </c>
      <c r="R37" s="42">
        <v>0.21866046518207688</v>
      </c>
      <c r="S37" s="42">
        <v>3.4001182119318012E-2</v>
      </c>
      <c r="T37" s="100">
        <v>5.804939702631122E-3</v>
      </c>
      <c r="V37" s="42">
        <f t="shared" si="2"/>
        <v>0.13917156158669236</v>
      </c>
      <c r="W37" s="42">
        <f t="shared" si="3"/>
        <v>0.46284458402352924</v>
      </c>
      <c r="X37" s="42">
        <f t="shared" si="4"/>
        <v>0.33328580983793821</v>
      </c>
      <c r="Y37" s="42">
        <f t="shared" si="5"/>
        <v>6.328515998176866E-2</v>
      </c>
      <c r="Z37" s="42">
        <f t="shared" si="6"/>
        <v>1.4128845700715151E-3</v>
      </c>
      <c r="AA37" s="42">
        <f t="shared" si="7"/>
        <v>0.99999999999999989</v>
      </c>
    </row>
    <row r="38" spans="1:27" x14ac:dyDescent="0.3">
      <c r="A38" s="42" t="s">
        <v>1508</v>
      </c>
      <c r="B38" s="102" t="s">
        <v>336</v>
      </c>
      <c r="C38" s="95">
        <v>4524078</v>
      </c>
      <c r="D38" s="97">
        <f t="shared" si="14"/>
        <v>1572.0831480040031</v>
      </c>
      <c r="E38" s="104">
        <f t="shared" si="15"/>
        <v>407169.94250297931</v>
      </c>
      <c r="F38" s="99">
        <v>9.9365439764743227E-2</v>
      </c>
      <c r="G38" s="42">
        <v>4.6343144393178014E-2</v>
      </c>
      <c r="H38" s="42">
        <v>1.2227021726857936E-2</v>
      </c>
      <c r="I38" s="42">
        <v>4.714993861732711E-3</v>
      </c>
      <c r="J38" s="42">
        <v>1.4128845700715151E-3</v>
      </c>
      <c r="K38" s="42">
        <v>1.2325163270836621E-3</v>
      </c>
      <c r="L38" s="42">
        <v>0.18037332689666269</v>
      </c>
      <c r="M38" s="42">
        <v>2.0867677347738037E-2</v>
      </c>
      <c r="N38" s="42">
        <v>7.1915205706002419E-2</v>
      </c>
      <c r="O38" s="42">
        <v>5.4014762787025335E-2</v>
      </c>
      <c r="P38" s="42">
        <v>4.8823207734260991E-3</v>
      </c>
      <c r="Q38" s="42">
        <v>0.24418411884145233</v>
      </c>
      <c r="R38" s="42">
        <v>0.21866046518207688</v>
      </c>
      <c r="S38" s="42">
        <v>3.4001182119318012E-2</v>
      </c>
      <c r="T38" s="100">
        <v>5.804939702631122E-3</v>
      </c>
      <c r="V38" s="42">
        <f t="shared" si="2"/>
        <v>0.13917156158669236</v>
      </c>
      <c r="W38" s="42">
        <f t="shared" si="3"/>
        <v>0.46284458402352924</v>
      </c>
      <c r="X38" s="42">
        <f t="shared" si="4"/>
        <v>0.33328580983793821</v>
      </c>
      <c r="Y38" s="42">
        <f t="shared" si="5"/>
        <v>6.328515998176866E-2</v>
      </c>
      <c r="Z38" s="42">
        <f t="shared" si="6"/>
        <v>1.4128845700715151E-3</v>
      </c>
      <c r="AA38" s="42">
        <f t="shared" si="7"/>
        <v>0.99999999999999989</v>
      </c>
    </row>
    <row r="39" spans="1:27" x14ac:dyDescent="0.3">
      <c r="A39" s="42" t="s">
        <v>1508</v>
      </c>
      <c r="B39" s="102" t="s">
        <v>338</v>
      </c>
      <c r="C39" s="95">
        <v>4524078</v>
      </c>
      <c r="D39" s="97">
        <f t="shared" si="14"/>
        <v>1572.0831480040031</v>
      </c>
      <c r="E39" s="104">
        <f t="shared" si="15"/>
        <v>407169.94250297931</v>
      </c>
      <c r="F39" s="99">
        <v>9.9365439764743227E-2</v>
      </c>
      <c r="G39" s="42">
        <v>4.6343144393178014E-2</v>
      </c>
      <c r="H39" s="42">
        <v>1.2227021726857936E-2</v>
      </c>
      <c r="I39" s="42">
        <v>4.714993861732711E-3</v>
      </c>
      <c r="J39" s="42">
        <v>1.4128845700715151E-3</v>
      </c>
      <c r="K39" s="42">
        <v>1.2325163270836621E-3</v>
      </c>
      <c r="L39" s="42">
        <v>0.18037332689666269</v>
      </c>
      <c r="M39" s="42">
        <v>2.0867677347738037E-2</v>
      </c>
      <c r="N39" s="42">
        <v>7.1915205706002419E-2</v>
      </c>
      <c r="O39" s="42">
        <v>5.4014762787025335E-2</v>
      </c>
      <c r="P39" s="42">
        <v>4.8823207734260991E-3</v>
      </c>
      <c r="Q39" s="42">
        <v>0.24418411884145233</v>
      </c>
      <c r="R39" s="42">
        <v>0.21866046518207688</v>
      </c>
      <c r="S39" s="42">
        <v>3.4001182119318012E-2</v>
      </c>
      <c r="T39" s="100">
        <v>5.804939702631122E-3</v>
      </c>
      <c r="V39" s="42">
        <f t="shared" si="2"/>
        <v>0.13917156158669236</v>
      </c>
      <c r="W39" s="42">
        <f t="shared" si="3"/>
        <v>0.46284458402352924</v>
      </c>
      <c r="X39" s="42">
        <f t="shared" si="4"/>
        <v>0.33328580983793821</v>
      </c>
      <c r="Y39" s="42">
        <f t="shared" si="5"/>
        <v>6.328515998176866E-2</v>
      </c>
      <c r="Z39" s="42">
        <f t="shared" si="6"/>
        <v>1.4128845700715151E-3</v>
      </c>
      <c r="AA39" s="42">
        <f t="shared" si="7"/>
        <v>0.99999999999999989</v>
      </c>
    </row>
    <row r="40" spans="1:27" x14ac:dyDescent="0.3">
      <c r="A40" s="42" t="s">
        <v>1508</v>
      </c>
      <c r="B40" s="102" t="s">
        <v>339</v>
      </c>
      <c r="C40" s="95">
        <v>4524078</v>
      </c>
      <c r="D40" s="97">
        <f t="shared" si="14"/>
        <v>1572.0831480040031</v>
      </c>
      <c r="E40" s="104">
        <f t="shared" si="15"/>
        <v>407169.94250297931</v>
      </c>
      <c r="F40" s="99">
        <v>9.9365439764743227E-2</v>
      </c>
      <c r="G40" s="42">
        <v>4.6343144393178014E-2</v>
      </c>
      <c r="H40" s="42">
        <v>1.2227021726857936E-2</v>
      </c>
      <c r="I40" s="42">
        <v>4.714993861732711E-3</v>
      </c>
      <c r="J40" s="42">
        <v>1.4128845700715151E-3</v>
      </c>
      <c r="K40" s="42">
        <v>1.2325163270836621E-3</v>
      </c>
      <c r="L40" s="42">
        <v>0.18037332689666269</v>
      </c>
      <c r="M40" s="42">
        <v>2.0867677347738037E-2</v>
      </c>
      <c r="N40" s="42">
        <v>7.1915205706002419E-2</v>
      </c>
      <c r="O40" s="42">
        <v>5.4014762787025335E-2</v>
      </c>
      <c r="P40" s="42">
        <v>4.8823207734260991E-3</v>
      </c>
      <c r="Q40" s="42">
        <v>0.24418411884145233</v>
      </c>
      <c r="R40" s="42">
        <v>0.21866046518207688</v>
      </c>
      <c r="S40" s="42">
        <v>3.4001182119318012E-2</v>
      </c>
      <c r="T40" s="100">
        <v>5.804939702631122E-3</v>
      </c>
      <c r="V40" s="42">
        <f t="shared" si="2"/>
        <v>0.13917156158669236</v>
      </c>
      <c r="W40" s="42">
        <f t="shared" si="3"/>
        <v>0.46284458402352924</v>
      </c>
      <c r="X40" s="42">
        <f t="shared" si="4"/>
        <v>0.33328580983793821</v>
      </c>
      <c r="Y40" s="42">
        <f t="shared" si="5"/>
        <v>6.328515998176866E-2</v>
      </c>
      <c r="Z40" s="42">
        <f t="shared" si="6"/>
        <v>1.4128845700715151E-3</v>
      </c>
      <c r="AA40" s="42">
        <f t="shared" si="7"/>
        <v>0.99999999999999989</v>
      </c>
    </row>
    <row r="41" spans="1:27" x14ac:dyDescent="0.3">
      <c r="A41" s="42" t="s">
        <v>1508</v>
      </c>
      <c r="B41" s="102" t="s">
        <v>340</v>
      </c>
      <c r="C41" s="95">
        <v>4524078</v>
      </c>
      <c r="D41" s="97">
        <f t="shared" si="14"/>
        <v>1572.0831480040031</v>
      </c>
      <c r="E41" s="104">
        <f t="shared" si="15"/>
        <v>407169.94250297931</v>
      </c>
      <c r="F41" s="99">
        <v>9.9365439764743227E-2</v>
      </c>
      <c r="G41" s="42">
        <v>4.6343144393178014E-2</v>
      </c>
      <c r="H41" s="42">
        <v>1.2227021726857936E-2</v>
      </c>
      <c r="I41" s="42">
        <v>4.714993861732711E-3</v>
      </c>
      <c r="J41" s="42">
        <v>1.4128845700715151E-3</v>
      </c>
      <c r="K41" s="42">
        <v>1.2325163270836621E-3</v>
      </c>
      <c r="L41" s="42">
        <v>0.18037332689666269</v>
      </c>
      <c r="M41" s="42">
        <v>2.0867677347738037E-2</v>
      </c>
      <c r="N41" s="42">
        <v>7.1915205706002419E-2</v>
      </c>
      <c r="O41" s="42">
        <v>5.4014762787025335E-2</v>
      </c>
      <c r="P41" s="42">
        <v>4.8823207734260991E-3</v>
      </c>
      <c r="Q41" s="42">
        <v>0.24418411884145233</v>
      </c>
      <c r="R41" s="42">
        <v>0.21866046518207688</v>
      </c>
      <c r="S41" s="42">
        <v>3.4001182119318012E-2</v>
      </c>
      <c r="T41" s="100">
        <v>5.804939702631122E-3</v>
      </c>
      <c r="V41" s="42">
        <f t="shared" si="2"/>
        <v>0.13917156158669236</v>
      </c>
      <c r="W41" s="42">
        <f t="shared" si="3"/>
        <v>0.46284458402352924</v>
      </c>
      <c r="X41" s="42">
        <f t="shared" si="4"/>
        <v>0.33328580983793821</v>
      </c>
      <c r="Y41" s="42">
        <f t="shared" si="5"/>
        <v>6.328515998176866E-2</v>
      </c>
      <c r="Z41" s="42">
        <f t="shared" si="6"/>
        <v>1.4128845700715151E-3</v>
      </c>
      <c r="AA41" s="42">
        <f t="shared" si="7"/>
        <v>0.99999999999999989</v>
      </c>
    </row>
    <row r="42" spans="1:27" x14ac:dyDescent="0.3">
      <c r="A42" s="42" t="s">
        <v>1508</v>
      </c>
      <c r="B42" s="102" t="s">
        <v>341</v>
      </c>
      <c r="C42" s="95">
        <v>4524078</v>
      </c>
      <c r="D42" s="97">
        <f t="shared" si="14"/>
        <v>1572.0831480040031</v>
      </c>
      <c r="E42" s="104">
        <f t="shared" si="15"/>
        <v>407169.94250297931</v>
      </c>
      <c r="F42" s="99">
        <v>9.9365439764743227E-2</v>
      </c>
      <c r="G42" s="42">
        <v>4.6343144393178014E-2</v>
      </c>
      <c r="H42" s="42">
        <v>1.2227021726857936E-2</v>
      </c>
      <c r="I42" s="42">
        <v>4.714993861732711E-3</v>
      </c>
      <c r="J42" s="42">
        <v>1.4128845700715151E-3</v>
      </c>
      <c r="K42" s="42">
        <v>1.2325163270836621E-3</v>
      </c>
      <c r="L42" s="42">
        <v>0.18037332689666269</v>
      </c>
      <c r="M42" s="42">
        <v>2.0867677347738037E-2</v>
      </c>
      <c r="N42" s="42">
        <v>7.1915205706002419E-2</v>
      </c>
      <c r="O42" s="42">
        <v>5.4014762787025335E-2</v>
      </c>
      <c r="P42" s="42">
        <v>4.8823207734260991E-3</v>
      </c>
      <c r="Q42" s="42">
        <v>0.24418411884145233</v>
      </c>
      <c r="R42" s="42">
        <v>0.21866046518207688</v>
      </c>
      <c r="S42" s="42">
        <v>3.4001182119318012E-2</v>
      </c>
      <c r="T42" s="100">
        <v>5.804939702631122E-3</v>
      </c>
      <c r="V42" s="42">
        <f t="shared" si="2"/>
        <v>0.13917156158669236</v>
      </c>
      <c r="W42" s="42">
        <f t="shared" si="3"/>
        <v>0.46284458402352924</v>
      </c>
      <c r="X42" s="42">
        <f t="shared" si="4"/>
        <v>0.33328580983793821</v>
      </c>
      <c r="Y42" s="42">
        <f t="shared" si="5"/>
        <v>6.328515998176866E-2</v>
      </c>
      <c r="Z42" s="42">
        <f t="shared" si="6"/>
        <v>1.4128845700715151E-3</v>
      </c>
      <c r="AA42" s="42">
        <f t="shared" si="7"/>
        <v>0.99999999999999989</v>
      </c>
    </row>
    <row r="43" spans="1:27" x14ac:dyDescent="0.3">
      <c r="A43" s="42" t="s">
        <v>1508</v>
      </c>
      <c r="B43" s="102" t="s">
        <v>342</v>
      </c>
      <c r="C43" s="95">
        <v>4524078</v>
      </c>
      <c r="D43" s="97">
        <f t="shared" si="14"/>
        <v>1572.0831480040031</v>
      </c>
      <c r="E43" s="104">
        <f t="shared" si="15"/>
        <v>407169.94250297931</v>
      </c>
      <c r="F43" s="99">
        <v>9.9365439764743227E-2</v>
      </c>
      <c r="G43" s="42">
        <v>4.6343144393178014E-2</v>
      </c>
      <c r="H43" s="42">
        <v>1.2227021726857936E-2</v>
      </c>
      <c r="I43" s="42">
        <v>4.714993861732711E-3</v>
      </c>
      <c r="J43" s="42">
        <v>1.4128845700715151E-3</v>
      </c>
      <c r="K43" s="42">
        <v>1.2325163270836621E-3</v>
      </c>
      <c r="L43" s="42">
        <v>0.18037332689666269</v>
      </c>
      <c r="M43" s="42">
        <v>2.0867677347738037E-2</v>
      </c>
      <c r="N43" s="42">
        <v>7.1915205706002419E-2</v>
      </c>
      <c r="O43" s="42">
        <v>5.4014762787025335E-2</v>
      </c>
      <c r="P43" s="42">
        <v>4.8823207734260991E-3</v>
      </c>
      <c r="Q43" s="42">
        <v>0.24418411884145233</v>
      </c>
      <c r="R43" s="42">
        <v>0.21866046518207688</v>
      </c>
      <c r="S43" s="42">
        <v>3.4001182119318012E-2</v>
      </c>
      <c r="T43" s="100">
        <v>5.804939702631122E-3</v>
      </c>
      <c r="V43" s="42">
        <f t="shared" si="2"/>
        <v>0.13917156158669236</v>
      </c>
      <c r="W43" s="42">
        <f t="shared" si="3"/>
        <v>0.46284458402352924</v>
      </c>
      <c r="X43" s="42">
        <f t="shared" si="4"/>
        <v>0.33328580983793821</v>
      </c>
      <c r="Y43" s="42">
        <f t="shared" si="5"/>
        <v>6.328515998176866E-2</v>
      </c>
      <c r="Z43" s="42">
        <f t="shared" si="6"/>
        <v>1.4128845700715151E-3</v>
      </c>
      <c r="AA43" s="42">
        <f t="shared" si="7"/>
        <v>0.99999999999999989</v>
      </c>
    </row>
    <row r="44" spans="1:27" x14ac:dyDescent="0.3">
      <c r="A44" s="42" t="s">
        <v>1509</v>
      </c>
      <c r="B44" s="95" t="s">
        <v>343</v>
      </c>
      <c r="C44" s="95">
        <v>24414</v>
      </c>
      <c r="D44" s="97">
        <f t="shared" si="14"/>
        <v>8.4836817524741459</v>
      </c>
      <c r="E44" s="98">
        <f t="shared" si="15"/>
        <v>2197.2757711665749</v>
      </c>
      <c r="F44" s="99">
        <v>0.21590071270582453</v>
      </c>
      <c r="G44" s="42">
        <v>5.9801753092487919E-2</v>
      </c>
      <c r="H44" s="42">
        <v>9.5437044318833451E-3</v>
      </c>
      <c r="I44" s="42">
        <v>1.7203244040304743E-3</v>
      </c>
      <c r="J44" s="42">
        <v>0</v>
      </c>
      <c r="K44" s="42">
        <v>0</v>
      </c>
      <c r="L44" s="42">
        <v>0.2689030883919063</v>
      </c>
      <c r="M44" s="42">
        <v>3.5758171540919148E-2</v>
      </c>
      <c r="N44" s="42">
        <v>2.0234291799787009E-2</v>
      </c>
      <c r="O44" s="42">
        <v>0.12226591300073728</v>
      </c>
      <c r="P44" s="42">
        <v>6.3897763578274758E-3</v>
      </c>
      <c r="Q44" s="42">
        <v>9.4658802326533953E-2</v>
      </c>
      <c r="R44" s="42">
        <v>0.10764315556647824</v>
      </c>
      <c r="S44" s="42">
        <v>5.3043335790939623E-2</v>
      </c>
      <c r="T44" s="100">
        <v>4.1369705906447122E-3</v>
      </c>
      <c r="V44" s="42">
        <f t="shared" si="2"/>
        <v>0.27308101908740889</v>
      </c>
      <c r="W44" s="42">
        <f t="shared" si="3"/>
        <v>0.2023019578930122</v>
      </c>
      <c r="X44" s="42">
        <f t="shared" si="4"/>
        <v>0.45355124109117717</v>
      </c>
      <c r="Y44" s="42">
        <f t="shared" si="5"/>
        <v>7.1065781928401739E-2</v>
      </c>
      <c r="Z44" s="42">
        <f t="shared" si="6"/>
        <v>0</v>
      </c>
      <c r="AA44" s="42">
        <f t="shared" si="7"/>
        <v>1</v>
      </c>
    </row>
    <row r="45" spans="1:27" x14ac:dyDescent="0.3">
      <c r="A45" s="42" t="s">
        <v>1510</v>
      </c>
      <c r="B45" s="95" t="s">
        <v>352</v>
      </c>
      <c r="C45" s="95">
        <v>11261</v>
      </c>
      <c r="D45" s="97">
        <f t="shared" si="14"/>
        <v>3.9131129767597015</v>
      </c>
      <c r="E45" s="98">
        <f t="shared" si="15"/>
        <v>1013.4972744780372</v>
      </c>
      <c r="F45" s="99">
        <v>7.0597637865198473E-2</v>
      </c>
      <c r="G45" s="42">
        <v>4.440103010389841E-4</v>
      </c>
      <c r="H45" s="42">
        <v>0</v>
      </c>
      <c r="I45" s="42">
        <v>0</v>
      </c>
      <c r="J45" s="42">
        <v>0</v>
      </c>
      <c r="K45" s="42">
        <v>0</v>
      </c>
      <c r="L45" s="42">
        <v>0.13613355829855253</v>
      </c>
      <c r="M45" s="42">
        <v>0.54204777550839178</v>
      </c>
      <c r="N45" s="42">
        <v>7.0775241985614065E-2</v>
      </c>
      <c r="O45" s="42">
        <v>0.13586715211792913</v>
      </c>
      <c r="P45" s="42">
        <v>0</v>
      </c>
      <c r="Q45" s="42">
        <v>0</v>
      </c>
      <c r="R45" s="42">
        <v>0</v>
      </c>
      <c r="S45" s="42">
        <v>3.9428114732261786E-2</v>
      </c>
      <c r="T45" s="100">
        <v>4.7065091910132315E-3</v>
      </c>
      <c r="V45" s="42">
        <f t="shared" si="2"/>
        <v>0.11473226178847348</v>
      </c>
      <c r="W45" s="42">
        <f t="shared" si="3"/>
        <v>0</v>
      </c>
      <c r="X45" s="42">
        <f t="shared" si="4"/>
        <v>0.88482372791048747</v>
      </c>
      <c r="Y45" s="42">
        <f t="shared" si="5"/>
        <v>4.440103010389841E-4</v>
      </c>
      <c r="Z45" s="42">
        <f t="shared" si="6"/>
        <v>0</v>
      </c>
      <c r="AA45" s="42">
        <f t="shared" si="7"/>
        <v>1</v>
      </c>
    </row>
    <row r="46" spans="1:27" x14ac:dyDescent="0.3">
      <c r="A46" s="42" t="s">
        <v>1511</v>
      </c>
      <c r="B46" s="95" t="s">
        <v>355</v>
      </c>
      <c r="C46" s="95">
        <v>521090</v>
      </c>
      <c r="D46" s="97">
        <f t="shared" si="14"/>
        <v>181.07486378294229</v>
      </c>
      <c r="E46" s="98">
        <f t="shared" si="15"/>
        <v>46898.436618218671</v>
      </c>
      <c r="F46" s="99">
        <v>0.11556736840085206</v>
      </c>
      <c r="G46" s="42">
        <v>4.9878140052582086E-2</v>
      </c>
      <c r="H46" s="42">
        <v>1.7321384021953982E-2</v>
      </c>
      <c r="I46" s="42">
        <v>6.6994185265501164E-3</v>
      </c>
      <c r="J46" s="42">
        <v>1.3126331343913718E-3</v>
      </c>
      <c r="K46" s="42">
        <v>3.051296321172926E-4</v>
      </c>
      <c r="L46" s="42">
        <v>0.4472087355351283</v>
      </c>
      <c r="M46" s="42">
        <v>3.6936037920512768E-2</v>
      </c>
      <c r="N46" s="42">
        <v>9.8447485079352897E-3</v>
      </c>
      <c r="O46" s="42">
        <v>3.0860312038227561E-2</v>
      </c>
      <c r="P46" s="42">
        <v>2.4588842618357674E-2</v>
      </c>
      <c r="Q46" s="42">
        <v>0.12470590493005047</v>
      </c>
      <c r="R46" s="42">
        <v>9.4910668022798364E-2</v>
      </c>
      <c r="S46" s="42">
        <v>3.5560075994549883E-2</v>
      </c>
      <c r="T46" s="100">
        <v>4.3006006639927843E-3</v>
      </c>
      <c r="V46" s="42">
        <f t="shared" si="2"/>
        <v>0.15542804505939473</v>
      </c>
      <c r="W46" s="42">
        <f t="shared" si="3"/>
        <v>0.21961657295284884</v>
      </c>
      <c r="X46" s="42">
        <f t="shared" si="4"/>
        <v>0.54974380625227892</v>
      </c>
      <c r="Y46" s="42">
        <f t="shared" si="5"/>
        <v>7.389894260108619E-2</v>
      </c>
      <c r="Z46" s="42">
        <f t="shared" si="6"/>
        <v>1.3126331343913718E-3</v>
      </c>
      <c r="AA46" s="42">
        <f t="shared" si="7"/>
        <v>1</v>
      </c>
    </row>
    <row r="47" spans="1:27" x14ac:dyDescent="0.3">
      <c r="A47" s="42" t="s">
        <v>1511</v>
      </c>
      <c r="B47" s="95" t="s">
        <v>366</v>
      </c>
      <c r="C47" s="95">
        <v>521090</v>
      </c>
      <c r="D47" s="97">
        <f t="shared" si="14"/>
        <v>181.07486378294229</v>
      </c>
      <c r="E47" s="98">
        <f t="shared" si="15"/>
        <v>46898.436618218671</v>
      </c>
      <c r="F47" s="99">
        <v>0.11556736840085206</v>
      </c>
      <c r="G47" s="42">
        <v>4.9878140052582086E-2</v>
      </c>
      <c r="H47" s="42">
        <v>1.7321384021953982E-2</v>
      </c>
      <c r="I47" s="42">
        <v>6.6994185265501164E-3</v>
      </c>
      <c r="J47" s="42">
        <v>1.3126331343913718E-3</v>
      </c>
      <c r="K47" s="42">
        <v>3.051296321172926E-4</v>
      </c>
      <c r="L47" s="42">
        <v>0.4472087355351283</v>
      </c>
      <c r="M47" s="42">
        <v>3.6936037920512768E-2</v>
      </c>
      <c r="N47" s="42">
        <v>9.8447485079352897E-3</v>
      </c>
      <c r="O47" s="42">
        <v>3.0860312038227561E-2</v>
      </c>
      <c r="P47" s="42">
        <v>2.4588842618357674E-2</v>
      </c>
      <c r="Q47" s="42">
        <v>0.12470590493005047</v>
      </c>
      <c r="R47" s="42">
        <v>9.4910668022798364E-2</v>
      </c>
      <c r="S47" s="42">
        <v>3.5560075994549883E-2</v>
      </c>
      <c r="T47" s="100">
        <v>4.3006006639927843E-3</v>
      </c>
      <c r="V47" s="42"/>
      <c r="W47" s="42"/>
      <c r="X47" s="42"/>
      <c r="Y47" s="42"/>
      <c r="Z47" s="42"/>
      <c r="AA47" s="42"/>
    </row>
    <row r="48" spans="1:27" x14ac:dyDescent="0.3">
      <c r="A48" s="42" t="s">
        <v>1512</v>
      </c>
      <c r="B48" s="16" t="s">
        <v>369</v>
      </c>
      <c r="C48" s="102"/>
      <c r="D48" s="103">
        <f>C48/2877.76</f>
        <v>0</v>
      </c>
      <c r="E48" s="104">
        <f>D48/0.003861</f>
        <v>0</v>
      </c>
      <c r="F48">
        <v>29.856648539999899</v>
      </c>
      <c r="G48">
        <v>5.9812160160000003</v>
      </c>
      <c r="H48">
        <v>0.44488383599999998</v>
      </c>
      <c r="I48">
        <v>0</v>
      </c>
      <c r="J48">
        <v>0</v>
      </c>
      <c r="K48">
        <v>0.24715768699999999</v>
      </c>
      <c r="L48">
        <v>26.544735540000001</v>
      </c>
      <c r="M48">
        <v>4.2511122099999996</v>
      </c>
      <c r="N48">
        <v>28.76915472</v>
      </c>
      <c r="O48">
        <v>0.19772614899999999</v>
      </c>
      <c r="P48">
        <v>0.494315373</v>
      </c>
      <c r="Q48">
        <v>0</v>
      </c>
      <c r="R48">
        <v>0</v>
      </c>
      <c r="S48">
        <v>3.1636183889999998</v>
      </c>
      <c r="T48">
        <v>4.9431536999999998E-2</v>
      </c>
      <c r="V48">
        <f t="shared" ref="V48" si="16">F48+S48+T48</f>
        <v>33.069698465999899</v>
      </c>
      <c r="W48">
        <f t="shared" ref="W48" si="17">Q48+R48</f>
        <v>0</v>
      </c>
      <c r="X48">
        <f t="shared" ref="X48" si="18">SUM(K48:P48)</f>
        <v>60.504201678999998</v>
      </c>
      <c r="Y48">
        <f t="shared" ref="Y48" si="19">SUM(G48:I48)</f>
        <v>6.4260998520000001</v>
      </c>
      <c r="Z48">
        <f t="shared" ref="Z48" si="20">J48</f>
        <v>0</v>
      </c>
      <c r="AA48">
        <f t="shared" ref="AA48" si="21">SUM(V48:Z48)</f>
        <v>99.99999999699989</v>
      </c>
    </row>
    <row r="49" spans="1:27" x14ac:dyDescent="0.3">
      <c r="A49" s="42" t="s">
        <v>1513</v>
      </c>
      <c r="B49" s="95" t="s">
        <v>374</v>
      </c>
      <c r="C49" s="95">
        <v>882</v>
      </c>
      <c r="D49" s="97">
        <f t="shared" ref="D49:D111" si="22">C49/2877.76</f>
        <v>0.3064883798509952</v>
      </c>
      <c r="E49" s="98">
        <f t="shared" ref="E49:E111" si="23">D49/0.003861</f>
        <v>79.380569761977526</v>
      </c>
      <c r="F49" s="99">
        <v>0.24036281179138322</v>
      </c>
      <c r="G49" s="42">
        <v>0.35034013605442177</v>
      </c>
      <c r="H49" s="42">
        <v>3.4013605442176869E-3</v>
      </c>
      <c r="I49" s="42">
        <v>0</v>
      </c>
      <c r="J49" s="42">
        <v>0</v>
      </c>
      <c r="K49" s="42">
        <v>0</v>
      </c>
      <c r="L49" s="42">
        <v>0.23922902494331066</v>
      </c>
      <c r="M49" s="42">
        <v>8.1632653061224483E-2</v>
      </c>
      <c r="N49" s="42">
        <v>0</v>
      </c>
      <c r="O49" s="42">
        <v>0</v>
      </c>
      <c r="P49" s="42">
        <v>7.029478458049887E-2</v>
      </c>
      <c r="Q49" s="42">
        <v>1.4739229024943311E-2</v>
      </c>
      <c r="R49" s="42">
        <v>0</v>
      </c>
      <c r="S49" s="42">
        <v>0</v>
      </c>
      <c r="T49" s="100">
        <v>0</v>
      </c>
      <c r="V49" s="42">
        <f t="shared" si="2"/>
        <v>0.24036281179138322</v>
      </c>
      <c r="W49" s="42">
        <f t="shared" si="3"/>
        <v>1.4739229024943311E-2</v>
      </c>
      <c r="X49" s="42">
        <f t="shared" si="4"/>
        <v>0.391156462585034</v>
      </c>
      <c r="Y49" s="42">
        <f t="shared" si="5"/>
        <v>0.35374149659863946</v>
      </c>
      <c r="Z49" s="42">
        <f t="shared" si="6"/>
        <v>0</v>
      </c>
      <c r="AA49" s="42">
        <f t="shared" si="7"/>
        <v>1</v>
      </c>
    </row>
    <row r="50" spans="1:27" x14ac:dyDescent="0.3">
      <c r="A50" s="42" t="s">
        <v>1514</v>
      </c>
      <c r="B50" s="95" t="s">
        <v>1515</v>
      </c>
      <c r="C50" s="95">
        <v>202310</v>
      </c>
      <c r="D50" s="97">
        <f t="shared" si="22"/>
        <v>70.301206493939731</v>
      </c>
      <c r="E50" s="98">
        <f t="shared" si="23"/>
        <v>18208.03068996108</v>
      </c>
      <c r="F50" s="99">
        <v>7.380752310810143E-2</v>
      </c>
      <c r="G50" s="42">
        <v>5.0373189659433541E-2</v>
      </c>
      <c r="H50" s="42">
        <v>8.7934358163214866E-3</v>
      </c>
      <c r="I50" s="42">
        <v>2.604913251940092E-3</v>
      </c>
      <c r="J50" s="42">
        <v>3.460036577529534E-4</v>
      </c>
      <c r="K50" s="42">
        <v>2.8174583559883347E-4</v>
      </c>
      <c r="L50" s="42">
        <v>0.27896792051801689</v>
      </c>
      <c r="M50" s="42">
        <v>6.5295833127378775E-3</v>
      </c>
      <c r="N50" s="42">
        <v>5.6052592555978449E-2</v>
      </c>
      <c r="O50" s="42">
        <v>7.9936730759725169E-2</v>
      </c>
      <c r="P50" s="42">
        <v>5.0022243092284115E-3</v>
      </c>
      <c r="Q50" s="42">
        <v>0.27416835549404378</v>
      </c>
      <c r="R50" s="42">
        <v>0.12873313232168454</v>
      </c>
      <c r="S50" s="42">
        <v>2.1867431169986653E-2</v>
      </c>
      <c r="T50" s="100">
        <v>1.2535218229449854E-2</v>
      </c>
      <c r="V50" s="42">
        <f t="shared" si="2"/>
        <v>0.10821017250753794</v>
      </c>
      <c r="W50" s="42">
        <f t="shared" si="3"/>
        <v>0.40290148781572832</v>
      </c>
      <c r="X50" s="42">
        <f t="shared" si="4"/>
        <v>0.42677079729128564</v>
      </c>
      <c r="Y50" s="42">
        <f t="shared" si="5"/>
        <v>6.177153872769512E-2</v>
      </c>
      <c r="Z50" s="42">
        <f t="shared" si="6"/>
        <v>3.460036577529534E-4</v>
      </c>
      <c r="AA50" s="42">
        <f t="shared" si="7"/>
        <v>1</v>
      </c>
    </row>
    <row r="51" spans="1:27" x14ac:dyDescent="0.3">
      <c r="A51" s="42" t="s">
        <v>1514</v>
      </c>
      <c r="B51" s="102" t="s">
        <v>1516</v>
      </c>
      <c r="C51" s="95">
        <v>202310</v>
      </c>
      <c r="D51" s="97">
        <f>C51/2877.76</f>
        <v>70.301206493939731</v>
      </c>
      <c r="E51" s="98">
        <f>D51/0.003861</f>
        <v>18208.03068996108</v>
      </c>
      <c r="F51" s="99">
        <v>7.380752310810143E-2</v>
      </c>
      <c r="G51" s="42">
        <v>5.0373189659433541E-2</v>
      </c>
      <c r="H51" s="42">
        <v>8.7934358163214866E-3</v>
      </c>
      <c r="I51" s="42">
        <v>2.604913251940092E-3</v>
      </c>
      <c r="J51" s="42">
        <v>3.460036577529534E-4</v>
      </c>
      <c r="K51" s="42">
        <v>2.8174583559883347E-4</v>
      </c>
      <c r="L51" s="42">
        <v>0.27896792051801689</v>
      </c>
      <c r="M51" s="42">
        <v>6.5295833127378775E-3</v>
      </c>
      <c r="N51" s="42">
        <v>5.6052592555978449E-2</v>
      </c>
      <c r="O51" s="42">
        <v>7.9936730759725169E-2</v>
      </c>
      <c r="P51" s="42">
        <v>5.0022243092284115E-3</v>
      </c>
      <c r="Q51" s="42">
        <v>0.27416835549404378</v>
      </c>
      <c r="R51" s="42">
        <v>0.12873313232168454</v>
      </c>
      <c r="S51" s="42">
        <v>2.1867431169986653E-2</v>
      </c>
      <c r="T51" s="100">
        <v>1.2535218229449854E-2</v>
      </c>
      <c r="V51" s="42">
        <f>F51+S51+T51</f>
        <v>0.10821017250753794</v>
      </c>
      <c r="W51" s="42">
        <f>Q51+R51</f>
        <v>0.40290148781572832</v>
      </c>
      <c r="X51" s="42">
        <f>SUM(K51:P51)</f>
        <v>0.42677079729128564</v>
      </c>
      <c r="Y51" s="42">
        <f>SUM(G51:I51)</f>
        <v>6.177153872769512E-2</v>
      </c>
      <c r="Z51" s="42">
        <f>J51</f>
        <v>3.460036577529534E-4</v>
      </c>
      <c r="AA51" s="42">
        <f>SUM(V51:Z51)</f>
        <v>1</v>
      </c>
    </row>
    <row r="52" spans="1:27" x14ac:dyDescent="0.3">
      <c r="A52" s="42" t="s">
        <v>1517</v>
      </c>
      <c r="B52" s="95" t="s">
        <v>385</v>
      </c>
      <c r="C52" s="95">
        <v>6023</v>
      </c>
      <c r="D52" s="97">
        <f t="shared" si="22"/>
        <v>2.0929472923384855</v>
      </c>
      <c r="E52" s="98">
        <f t="shared" si="23"/>
        <v>542.07389078955862</v>
      </c>
      <c r="F52" s="99">
        <v>0.31894404781670266</v>
      </c>
      <c r="G52" s="42">
        <v>0.13199402291217002</v>
      </c>
      <c r="H52" s="42">
        <v>3.4866345674912834E-2</v>
      </c>
      <c r="I52" s="42">
        <v>6.9732691349825666E-3</v>
      </c>
      <c r="J52" s="42">
        <v>0</v>
      </c>
      <c r="K52" s="42">
        <v>0</v>
      </c>
      <c r="L52" s="42">
        <v>0.3325585256516686</v>
      </c>
      <c r="M52" s="42">
        <v>9.9784160717250533E-2</v>
      </c>
      <c r="N52" s="42">
        <v>1.1622115224970945E-2</v>
      </c>
      <c r="O52" s="42">
        <v>2.9885439149925285E-3</v>
      </c>
      <c r="P52" s="42">
        <v>6.9732691349825666E-3</v>
      </c>
      <c r="Q52" s="42">
        <v>3.3870164369915322E-2</v>
      </c>
      <c r="R52" s="42">
        <v>0</v>
      </c>
      <c r="S52" s="42">
        <v>1.9425535447451438E-2</v>
      </c>
      <c r="T52" s="100">
        <v>0</v>
      </c>
      <c r="V52" s="42">
        <f t="shared" si="2"/>
        <v>0.33836958326415412</v>
      </c>
      <c r="W52" s="42">
        <f t="shared" si="3"/>
        <v>3.3870164369915322E-2</v>
      </c>
      <c r="X52" s="42">
        <f t="shared" si="4"/>
        <v>0.45392661464386519</v>
      </c>
      <c r="Y52" s="42">
        <f t="shared" si="5"/>
        <v>0.17383363772206542</v>
      </c>
      <c r="Z52" s="42">
        <f t="shared" si="6"/>
        <v>0</v>
      </c>
      <c r="AA52" s="42">
        <f t="shared" si="7"/>
        <v>1</v>
      </c>
    </row>
    <row r="53" spans="1:27" x14ac:dyDescent="0.3">
      <c r="A53" s="42" t="s">
        <v>1518</v>
      </c>
      <c r="B53" s="95" t="s">
        <v>395</v>
      </c>
      <c r="C53" s="95">
        <v>33878</v>
      </c>
      <c r="D53" s="97">
        <f t="shared" si="22"/>
        <v>11.772350717224507</v>
      </c>
      <c r="E53" s="98">
        <f t="shared" si="23"/>
        <v>3049.0418848030322</v>
      </c>
      <c r="F53" s="99">
        <v>9.4722238620933943E-2</v>
      </c>
      <c r="G53" s="42">
        <v>4.8084302497195822E-2</v>
      </c>
      <c r="H53" s="42">
        <v>6.4053367967412478E-3</v>
      </c>
      <c r="I53" s="42">
        <v>1.7120255032764627E-3</v>
      </c>
      <c r="J53" s="42">
        <v>1.4758840545486747E-4</v>
      </c>
      <c r="K53" s="42">
        <v>0</v>
      </c>
      <c r="L53" s="42">
        <v>0.37679319912627662</v>
      </c>
      <c r="M53" s="42">
        <v>8.2767577779089677E-2</v>
      </c>
      <c r="N53" s="42">
        <v>4.8527067713560426E-2</v>
      </c>
      <c r="O53" s="42">
        <v>5.6024558710667687E-2</v>
      </c>
      <c r="P53" s="42">
        <v>1.9481669520042505E-3</v>
      </c>
      <c r="Q53" s="42">
        <v>0.18176988015821477</v>
      </c>
      <c r="R53" s="42">
        <v>2.5444241100419152E-2</v>
      </c>
      <c r="S53" s="42">
        <v>6.0097998701222032E-2</v>
      </c>
      <c r="T53" s="100">
        <v>1.5555817934943031E-2</v>
      </c>
      <c r="V53" s="42">
        <f t="shared" si="2"/>
        <v>0.17037605525709901</v>
      </c>
      <c r="W53" s="42">
        <f t="shared" si="3"/>
        <v>0.20721412125863392</v>
      </c>
      <c r="X53" s="42">
        <f t="shared" si="4"/>
        <v>0.56606057028159873</v>
      </c>
      <c r="Y53" s="42">
        <f t="shared" si="5"/>
        <v>5.620166479721353E-2</v>
      </c>
      <c r="Z53" s="42">
        <f t="shared" si="6"/>
        <v>1.4758840545486747E-4</v>
      </c>
      <c r="AA53" s="42">
        <f t="shared" si="7"/>
        <v>1</v>
      </c>
    </row>
    <row r="54" spans="1:27" x14ac:dyDescent="0.3">
      <c r="A54" s="42" t="s">
        <v>1519</v>
      </c>
      <c r="B54" s="95" t="s">
        <v>401</v>
      </c>
      <c r="C54" s="95">
        <v>4989</v>
      </c>
      <c r="D54" s="97">
        <f t="shared" si="22"/>
        <v>1.7336400533748471</v>
      </c>
      <c r="E54" s="98">
        <f t="shared" si="23"/>
        <v>449.01322283730826</v>
      </c>
      <c r="F54" s="99">
        <v>3.4676287833233115E-2</v>
      </c>
      <c r="G54" s="42">
        <v>1.9843656043295251E-2</v>
      </c>
      <c r="H54" s="42">
        <v>4.2092603728202047E-3</v>
      </c>
      <c r="I54" s="42">
        <v>2.0044097013429546E-3</v>
      </c>
      <c r="J54" s="42">
        <v>0</v>
      </c>
      <c r="K54" s="42">
        <v>0</v>
      </c>
      <c r="L54" s="42">
        <v>0.21908198035678492</v>
      </c>
      <c r="M54" s="42">
        <v>5.0511124473842456E-2</v>
      </c>
      <c r="N54" s="42">
        <v>3.9687312086590501E-2</v>
      </c>
      <c r="O54" s="42">
        <v>6.2537582681900183E-2</v>
      </c>
      <c r="P54" s="42">
        <v>2.0044097013429546E-3</v>
      </c>
      <c r="Q54" s="42">
        <v>0.17257967528562837</v>
      </c>
      <c r="R54" s="42">
        <v>0.30186410102224892</v>
      </c>
      <c r="S54" s="42">
        <v>8.7592703948687109E-2</v>
      </c>
      <c r="T54" s="100">
        <v>3.4074964922830228E-3</v>
      </c>
      <c r="V54" s="42">
        <f t="shared" si="2"/>
        <v>0.12567648827420325</v>
      </c>
      <c r="W54" s="42">
        <f t="shared" si="3"/>
        <v>0.47444377630787726</v>
      </c>
      <c r="X54" s="42">
        <f t="shared" si="4"/>
        <v>0.37382240930046101</v>
      </c>
      <c r="Y54" s="42">
        <f t="shared" si="5"/>
        <v>2.605732611745841E-2</v>
      </c>
      <c r="Z54" s="42">
        <f t="shared" si="6"/>
        <v>0</v>
      </c>
      <c r="AA54" s="42">
        <f t="shared" si="7"/>
        <v>0.99999999999999978</v>
      </c>
    </row>
    <row r="55" spans="1:27" x14ac:dyDescent="0.3">
      <c r="A55" s="114" t="s">
        <v>1520</v>
      </c>
      <c r="B55" s="95" t="s">
        <v>1521</v>
      </c>
      <c r="C55" s="95">
        <v>37986</v>
      </c>
      <c r="D55" s="97">
        <f t="shared" si="22"/>
        <v>13.199849883242521</v>
      </c>
      <c r="E55" s="98">
        <f t="shared" si="23"/>
        <v>3418.7645385243518</v>
      </c>
      <c r="F55" s="99">
        <v>0.25946401305744221</v>
      </c>
      <c r="G55" s="42">
        <v>0.19286052756278629</v>
      </c>
      <c r="H55" s="42">
        <v>5.0729216026957298E-2</v>
      </c>
      <c r="I55" s="42">
        <v>4.13046912020218E-2</v>
      </c>
      <c r="J55" s="42">
        <v>7.476438687937661E-3</v>
      </c>
      <c r="K55" s="42">
        <v>0</v>
      </c>
      <c r="L55" s="42">
        <v>0.33759806244405832</v>
      </c>
      <c r="M55" s="42">
        <v>6.4234191544253152E-2</v>
      </c>
      <c r="N55" s="42">
        <v>5.7652819459800978E-3</v>
      </c>
      <c r="O55" s="42">
        <v>2.0533880903490761E-3</v>
      </c>
      <c r="P55" s="42">
        <v>1.0793450218501554E-3</v>
      </c>
      <c r="Q55" s="42">
        <v>5.5020270626020109E-3</v>
      </c>
      <c r="R55" s="42">
        <v>4.2120781340493867E-4</v>
      </c>
      <c r="S55" s="42">
        <v>2.8721107776549255E-2</v>
      </c>
      <c r="T55" s="100">
        <v>2.7905017638077188E-3</v>
      </c>
      <c r="V55" s="42">
        <f t="shared" si="2"/>
        <v>0.29097562259779919</v>
      </c>
      <c r="W55" s="42">
        <f t="shared" si="3"/>
        <v>5.9232348760069496E-3</v>
      </c>
      <c r="X55" s="42">
        <f t="shared" si="4"/>
        <v>0.41073026904649074</v>
      </c>
      <c r="Y55" s="42">
        <f t="shared" si="5"/>
        <v>0.28489443479176541</v>
      </c>
      <c r="Z55" s="42">
        <f t="shared" si="6"/>
        <v>7.476438687937661E-3</v>
      </c>
      <c r="AA55" s="42">
        <f t="shared" si="7"/>
        <v>0.99999999999999989</v>
      </c>
    </row>
    <row r="56" spans="1:27" x14ac:dyDescent="0.3">
      <c r="A56" s="42" t="s">
        <v>1522</v>
      </c>
      <c r="B56" s="95" t="s">
        <v>409</v>
      </c>
      <c r="C56" s="95">
        <v>13225</v>
      </c>
      <c r="D56" s="97">
        <f t="shared" si="22"/>
        <v>4.5955882352941169</v>
      </c>
      <c r="E56" s="98">
        <f t="shared" si="23"/>
        <v>1190.2585431997195</v>
      </c>
      <c r="F56" s="99">
        <v>9.3308128544423441E-2</v>
      </c>
      <c r="G56" s="42">
        <v>3.3119092627599246E-2</v>
      </c>
      <c r="H56" s="42">
        <v>1.890359168241966E-3</v>
      </c>
      <c r="I56" s="42">
        <v>8.3175803402646506E-4</v>
      </c>
      <c r="J56" s="42">
        <v>0</v>
      </c>
      <c r="K56" s="42">
        <v>0</v>
      </c>
      <c r="L56" s="42">
        <v>0.37489603024574669</v>
      </c>
      <c r="M56" s="42">
        <v>6.5028355387523632E-3</v>
      </c>
      <c r="N56" s="42">
        <v>8.8468809073724008E-3</v>
      </c>
      <c r="O56" s="42">
        <v>9.6332703213610579E-2</v>
      </c>
      <c r="P56" s="42">
        <v>6.0491493383742915E-3</v>
      </c>
      <c r="Q56" s="42">
        <v>0.19085066162570888</v>
      </c>
      <c r="R56" s="42">
        <v>0.11712665406427221</v>
      </c>
      <c r="S56" s="42">
        <v>5.7542533081285444E-2</v>
      </c>
      <c r="T56" s="100">
        <v>1.2703213610586012E-2</v>
      </c>
      <c r="V56" s="42">
        <f t="shared" si="2"/>
        <v>0.16355387523629489</v>
      </c>
      <c r="W56" s="42">
        <f t="shared" si="3"/>
        <v>0.3079773156899811</v>
      </c>
      <c r="X56" s="42">
        <f t="shared" si="4"/>
        <v>0.49262759924385635</v>
      </c>
      <c r="Y56" s="42">
        <f t="shared" si="5"/>
        <v>3.5841209829867673E-2</v>
      </c>
      <c r="Z56" s="42">
        <f t="shared" si="6"/>
        <v>0</v>
      </c>
      <c r="AA56" s="42">
        <f t="shared" si="7"/>
        <v>1</v>
      </c>
    </row>
    <row r="57" spans="1:27" x14ac:dyDescent="0.3">
      <c r="A57" s="42" t="s">
        <v>1523</v>
      </c>
      <c r="B57" s="95" t="s">
        <v>415</v>
      </c>
      <c r="C57" s="95">
        <v>51580</v>
      </c>
      <c r="D57" s="97">
        <f t="shared" si="22"/>
        <v>17.923662848882461</v>
      </c>
      <c r="E57" s="98">
        <f t="shared" si="23"/>
        <v>4642.2333200938774</v>
      </c>
      <c r="F57" s="99">
        <v>0.13830942225668863</v>
      </c>
      <c r="G57" s="42">
        <v>2.970143466459868E-2</v>
      </c>
      <c r="H57" s="42">
        <v>4.2458317177200468E-3</v>
      </c>
      <c r="I57" s="42">
        <v>2.7142303218301669E-4</v>
      </c>
      <c r="J57" s="42">
        <v>0</v>
      </c>
      <c r="K57" s="42">
        <v>0</v>
      </c>
      <c r="L57" s="42">
        <v>7.7142303218301664E-2</v>
      </c>
      <c r="M57" s="42">
        <v>2.9081039162466072E-3</v>
      </c>
      <c r="N57" s="42">
        <v>1.3997673516867003E-2</v>
      </c>
      <c r="O57" s="42">
        <v>5.4711128344319501E-2</v>
      </c>
      <c r="P57" s="42">
        <v>2.0938348196975574E-3</v>
      </c>
      <c r="Q57" s="42">
        <v>0.24335013571151609</v>
      </c>
      <c r="R57" s="42">
        <v>0.26677006591702213</v>
      </c>
      <c r="S57" s="42">
        <v>0.15602946878635129</v>
      </c>
      <c r="T57" s="100">
        <v>1.0469174098487785E-2</v>
      </c>
      <c r="V57" s="42">
        <f t="shared" si="2"/>
        <v>0.3048080651415277</v>
      </c>
      <c r="W57" s="42">
        <f t="shared" si="3"/>
        <v>0.51012020162853822</v>
      </c>
      <c r="X57" s="42">
        <f t="shared" si="4"/>
        <v>0.1508530438154323</v>
      </c>
      <c r="Y57" s="42">
        <f t="shared" si="5"/>
        <v>3.4218689414501749E-2</v>
      </c>
      <c r="Z57" s="42">
        <f t="shared" si="6"/>
        <v>0</v>
      </c>
      <c r="AA57" s="42">
        <f t="shared" si="7"/>
        <v>1</v>
      </c>
    </row>
    <row r="58" spans="1:27" x14ac:dyDescent="0.3">
      <c r="A58" s="114" t="s">
        <v>1524</v>
      </c>
      <c r="B58" s="95" t="s">
        <v>1525</v>
      </c>
      <c r="C58" s="95">
        <v>1015</v>
      </c>
      <c r="D58" s="97">
        <f t="shared" si="22"/>
        <v>0.35270488157455798</v>
      </c>
      <c r="E58" s="98">
        <f t="shared" si="23"/>
        <v>91.350655678466197</v>
      </c>
      <c r="F58" s="99">
        <v>0.15862068965517243</v>
      </c>
      <c r="G58" s="42">
        <v>0</v>
      </c>
      <c r="H58" s="42">
        <v>0</v>
      </c>
      <c r="I58" s="42">
        <v>0</v>
      </c>
      <c r="J58" s="42">
        <v>0</v>
      </c>
      <c r="K58" s="42">
        <v>0</v>
      </c>
      <c r="L58" s="42">
        <v>0.79802955665024633</v>
      </c>
      <c r="M58" s="42">
        <v>7.8817733990147777E-3</v>
      </c>
      <c r="N58" s="42">
        <v>3.5467980295566505E-2</v>
      </c>
      <c r="O58" s="42">
        <v>0</v>
      </c>
      <c r="P58" s="42">
        <v>0</v>
      </c>
      <c r="Q58" s="42">
        <v>0</v>
      </c>
      <c r="R58" s="42">
        <v>0</v>
      </c>
      <c r="S58" s="42">
        <v>0</v>
      </c>
      <c r="T58" s="100">
        <v>0</v>
      </c>
      <c r="V58" s="42">
        <f t="shared" si="2"/>
        <v>0.15862068965517243</v>
      </c>
      <c r="W58" s="42">
        <f t="shared" si="3"/>
        <v>0</v>
      </c>
      <c r="X58" s="42">
        <f t="shared" si="4"/>
        <v>0.8413793103448276</v>
      </c>
      <c r="Y58" s="42">
        <f t="shared" si="5"/>
        <v>0</v>
      </c>
      <c r="Z58" s="42">
        <f t="shared" si="6"/>
        <v>0</v>
      </c>
      <c r="AA58" s="42">
        <f t="shared" si="7"/>
        <v>1</v>
      </c>
    </row>
    <row r="59" spans="1:27" x14ac:dyDescent="0.3">
      <c r="A59" s="42" t="s">
        <v>1526</v>
      </c>
      <c r="B59" s="95" t="s">
        <v>427</v>
      </c>
      <c r="C59" s="95">
        <v>73040</v>
      </c>
      <c r="D59" s="97">
        <f t="shared" si="22"/>
        <v>25.380851773601687</v>
      </c>
      <c r="E59" s="98">
        <f t="shared" si="23"/>
        <v>6573.6471830100199</v>
      </c>
      <c r="F59" s="99">
        <v>2.8368017524644032E-2</v>
      </c>
      <c r="G59" s="42">
        <v>2.0824205914567361E-2</v>
      </c>
      <c r="H59" s="42">
        <v>2.3959474260679078E-3</v>
      </c>
      <c r="I59" s="42">
        <v>9.0361445783132533E-4</v>
      </c>
      <c r="J59" s="42">
        <v>1.6429353778751369E-4</v>
      </c>
      <c r="K59" s="42">
        <v>0</v>
      </c>
      <c r="L59" s="42">
        <v>0.62646495071193864</v>
      </c>
      <c r="M59" s="42">
        <v>5.1314348302300111E-2</v>
      </c>
      <c r="N59" s="42">
        <v>5.9967141292442501E-3</v>
      </c>
      <c r="O59" s="42">
        <v>2.6738773274917853E-2</v>
      </c>
      <c r="P59" s="42">
        <v>5.2847754654983571E-3</v>
      </c>
      <c r="Q59" s="42">
        <v>0.13180449069003286</v>
      </c>
      <c r="R59" s="42">
        <v>9.4277108433734935E-2</v>
      </c>
      <c r="S59" s="42">
        <v>4.8603504928806133E-3</v>
      </c>
      <c r="T59" s="100">
        <v>6.0240963855421692E-4</v>
      </c>
      <c r="V59" s="42">
        <f t="shared" si="2"/>
        <v>3.3830777656078857E-2</v>
      </c>
      <c r="W59" s="42">
        <f t="shared" si="3"/>
        <v>0.2260815991237678</v>
      </c>
      <c r="X59" s="42">
        <f t="shared" si="4"/>
        <v>0.71579956188389915</v>
      </c>
      <c r="Y59" s="42">
        <f t="shared" si="5"/>
        <v>2.4123767798466596E-2</v>
      </c>
      <c r="Z59" s="42">
        <f t="shared" si="6"/>
        <v>1.6429353778751369E-4</v>
      </c>
      <c r="AA59" s="42">
        <f t="shared" si="7"/>
        <v>0.99999999999999989</v>
      </c>
    </row>
    <row r="60" spans="1:27" x14ac:dyDescent="0.3">
      <c r="A60" s="42" t="s">
        <v>1527</v>
      </c>
      <c r="B60" s="95" t="s">
        <v>436</v>
      </c>
      <c r="C60" s="95">
        <v>1809</v>
      </c>
      <c r="D60" s="97">
        <f t="shared" si="22"/>
        <v>0.62861392193928611</v>
      </c>
      <c r="E60" s="98">
        <f t="shared" si="23"/>
        <v>162.81116859344371</v>
      </c>
      <c r="F60" s="99">
        <v>6.633499170812604E-2</v>
      </c>
      <c r="G60" s="42">
        <v>5.0856826976229959E-2</v>
      </c>
      <c r="H60" s="42">
        <v>5.5279159756771695E-4</v>
      </c>
      <c r="I60" s="42">
        <v>0</v>
      </c>
      <c r="J60" s="42">
        <v>6.0807075732448868E-3</v>
      </c>
      <c r="K60" s="42">
        <v>0</v>
      </c>
      <c r="L60" s="42">
        <v>0.12493090105030404</v>
      </c>
      <c r="M60" s="42">
        <v>0.11608623548922056</v>
      </c>
      <c r="N60" s="42">
        <v>6.7440574903261469E-2</v>
      </c>
      <c r="O60" s="42">
        <v>0</v>
      </c>
      <c r="P60" s="42">
        <v>0</v>
      </c>
      <c r="Q60" s="42">
        <v>0.48535102266445551</v>
      </c>
      <c r="R60" s="42">
        <v>3.482587064676617E-2</v>
      </c>
      <c r="S60" s="42">
        <v>3.9800995024875621E-2</v>
      </c>
      <c r="T60" s="100">
        <v>7.7390823659480379E-3</v>
      </c>
      <c r="V60" s="42">
        <f t="shared" si="2"/>
        <v>0.1138750690989497</v>
      </c>
      <c r="W60" s="42">
        <f t="shared" si="3"/>
        <v>0.52017689331122163</v>
      </c>
      <c r="X60" s="42">
        <f t="shared" si="4"/>
        <v>0.30845771144278611</v>
      </c>
      <c r="Y60" s="42">
        <f t="shared" si="5"/>
        <v>5.1409618573797673E-2</v>
      </c>
      <c r="Z60" s="42">
        <f t="shared" si="6"/>
        <v>6.0807075732448868E-3</v>
      </c>
      <c r="AA60" s="42">
        <f t="shared" si="7"/>
        <v>1</v>
      </c>
    </row>
    <row r="61" spans="1:27" x14ac:dyDescent="0.3">
      <c r="A61" s="42" t="s">
        <v>1528</v>
      </c>
      <c r="B61" s="95" t="s">
        <v>442</v>
      </c>
      <c r="C61" s="95">
        <v>6590</v>
      </c>
      <c r="D61" s="97">
        <f t="shared" si="22"/>
        <v>2.2899755365284107</v>
      </c>
      <c r="E61" s="98">
        <f t="shared" si="23"/>
        <v>593.10425706511546</v>
      </c>
      <c r="F61" s="99">
        <v>3.8239757207890746E-2</v>
      </c>
      <c r="G61" s="42">
        <v>2.8224582701062217E-2</v>
      </c>
      <c r="H61" s="42">
        <v>4.4006069802731409E-3</v>
      </c>
      <c r="I61" s="42">
        <v>6.828528072837633E-3</v>
      </c>
      <c r="J61" s="42">
        <v>0</v>
      </c>
      <c r="K61" s="42">
        <v>0</v>
      </c>
      <c r="L61" s="42">
        <v>0.48148710166919573</v>
      </c>
      <c r="M61" s="42">
        <v>0.13808801213960548</v>
      </c>
      <c r="N61" s="42">
        <v>0.25326251896813351</v>
      </c>
      <c r="O61" s="42">
        <v>8.042488619119879E-3</v>
      </c>
      <c r="P61" s="42">
        <v>9.1047040971168442E-4</v>
      </c>
      <c r="Q61" s="42">
        <v>1.5174506828528073E-2</v>
      </c>
      <c r="R61" s="42">
        <v>6.9802731411229132E-3</v>
      </c>
      <c r="S61" s="42">
        <v>1.3960546282245826E-2</v>
      </c>
      <c r="T61" s="100">
        <v>4.4006069802731409E-3</v>
      </c>
      <c r="V61" s="42">
        <f t="shared" si="2"/>
        <v>5.6600910470409715E-2</v>
      </c>
      <c r="W61" s="42">
        <f t="shared" si="3"/>
        <v>2.2154779969650987E-2</v>
      </c>
      <c r="X61" s="42">
        <f t="shared" si="4"/>
        <v>0.88179059180576624</v>
      </c>
      <c r="Y61" s="42">
        <f t="shared" si="5"/>
        <v>3.9453717754172987E-2</v>
      </c>
      <c r="Z61" s="42">
        <f t="shared" si="6"/>
        <v>0</v>
      </c>
      <c r="AA61" s="42">
        <f t="shared" si="7"/>
        <v>0.99999999999999989</v>
      </c>
    </row>
    <row r="62" spans="1:27" x14ac:dyDescent="0.3">
      <c r="A62" s="42" t="s">
        <v>1529</v>
      </c>
      <c r="B62" s="102" t="s">
        <v>447</v>
      </c>
      <c r="C62" s="102"/>
      <c r="D62" s="103">
        <f>C62/2877.76</f>
        <v>0</v>
      </c>
      <c r="E62" s="104">
        <f>D62/0.003861</f>
        <v>0</v>
      </c>
      <c r="F62" s="112">
        <v>4.4030565861569081E-2</v>
      </c>
      <c r="G62" s="112">
        <v>2.296125211921669E-2</v>
      </c>
      <c r="H62" s="112">
        <v>3.7470208113221455E-3</v>
      </c>
      <c r="I62" s="112">
        <v>6.2655102090960471E-4</v>
      </c>
      <c r="J62" s="112">
        <v>9.8282513083859557E-5</v>
      </c>
      <c r="K62" s="112">
        <v>2.2113565443868401E-4</v>
      </c>
      <c r="L62" s="112">
        <v>0.53059043219735125</v>
      </c>
      <c r="M62" s="112">
        <v>0.18785473844566206</v>
      </c>
      <c r="N62" s="112">
        <v>2.2948966805081204E-2</v>
      </c>
      <c r="O62" s="112">
        <v>1.5012653873559547E-2</v>
      </c>
      <c r="P62" s="112">
        <v>1.0933929580579376E-3</v>
      </c>
      <c r="Q62" s="112">
        <v>8.5997198948377113E-4</v>
      </c>
      <c r="R62" s="112"/>
      <c r="S62" s="112">
        <v>0.16569203174525174</v>
      </c>
      <c r="T62" s="112">
        <v>4.2630040050124079E-3</v>
      </c>
      <c r="V62" s="42">
        <f t="shared" si="2"/>
        <v>0.21398560161183322</v>
      </c>
      <c r="W62" s="42">
        <f t="shared" si="3"/>
        <v>8.5997198948377113E-4</v>
      </c>
      <c r="X62" s="42">
        <f t="shared" si="4"/>
        <v>0.75772131993415071</v>
      </c>
      <c r="Y62" s="42">
        <f t="shared" si="5"/>
        <v>2.7334823951448439E-2</v>
      </c>
      <c r="Z62" s="42">
        <f t="shared" si="6"/>
        <v>9.8282513083859557E-5</v>
      </c>
      <c r="AA62" s="42">
        <f t="shared" si="7"/>
        <v>1</v>
      </c>
    </row>
    <row r="63" spans="1:27" x14ac:dyDescent="0.3">
      <c r="A63" s="42" t="s">
        <v>1530</v>
      </c>
      <c r="B63" s="95" t="s">
        <v>454</v>
      </c>
      <c r="C63" s="95">
        <v>428924</v>
      </c>
      <c r="D63" s="97">
        <f t="shared" si="22"/>
        <v>149.04787056599577</v>
      </c>
      <c r="E63" s="98">
        <f t="shared" si="23"/>
        <v>38603.437080029988</v>
      </c>
      <c r="F63" s="99">
        <v>2.9844447967472092E-2</v>
      </c>
      <c r="G63" s="42">
        <v>1.0980966325036604E-2</v>
      </c>
      <c r="H63" s="42">
        <v>2.5645568911975081E-3</v>
      </c>
      <c r="I63" s="42">
        <v>7.0175602204586361E-4</v>
      </c>
      <c r="J63" s="42">
        <v>2.4246719698594623E-4</v>
      </c>
      <c r="K63" s="42">
        <v>3.5437513405638295E-4</v>
      </c>
      <c r="L63" s="42">
        <v>0.48012701550857495</v>
      </c>
      <c r="M63" s="42">
        <v>0.11586668034430342</v>
      </c>
      <c r="N63" s="42">
        <v>3.5824528354673556E-2</v>
      </c>
      <c r="O63" s="42">
        <v>8.2494800943756941E-2</v>
      </c>
      <c r="P63" s="42">
        <v>2.7114360586024563E-2</v>
      </c>
      <c r="Q63" s="42">
        <v>0.13853503184713375</v>
      </c>
      <c r="R63" s="42">
        <v>5.1883317324281225E-2</v>
      </c>
      <c r="S63" s="42">
        <v>1.9670151355484888E-2</v>
      </c>
      <c r="T63" s="100">
        <v>3.7955441989723122E-3</v>
      </c>
      <c r="V63" s="42">
        <f t="shared" si="2"/>
        <v>5.3310143521929296E-2</v>
      </c>
      <c r="W63" s="42">
        <f t="shared" si="3"/>
        <v>0.19041834917141498</v>
      </c>
      <c r="X63" s="42">
        <f t="shared" si="4"/>
        <v>0.74178176087138981</v>
      </c>
      <c r="Y63" s="42">
        <f t="shared" si="5"/>
        <v>1.4247279238279974E-2</v>
      </c>
      <c r="Z63" s="42">
        <f t="shared" si="6"/>
        <v>2.4246719698594623E-4</v>
      </c>
      <c r="AA63" s="42">
        <f t="shared" si="7"/>
        <v>1</v>
      </c>
    </row>
    <row r="64" spans="1:27" x14ac:dyDescent="0.3">
      <c r="A64" s="115" t="s">
        <v>1531</v>
      </c>
      <c r="B64" s="95" t="s">
        <v>1532</v>
      </c>
      <c r="C64" s="95">
        <v>12020</v>
      </c>
      <c r="D64" s="97">
        <f t="shared" si="22"/>
        <v>4.1768597798287557</v>
      </c>
      <c r="E64" s="98">
        <f t="shared" si="23"/>
        <v>1081.8077647834125</v>
      </c>
      <c r="F64" s="99">
        <v>0.22346089850249584</v>
      </c>
      <c r="G64" s="42">
        <v>4.4758735440931778E-2</v>
      </c>
      <c r="H64" s="42">
        <v>3.9933444259567389E-3</v>
      </c>
      <c r="I64" s="42">
        <v>0</v>
      </c>
      <c r="J64" s="42">
        <v>0</v>
      </c>
      <c r="K64" s="42">
        <v>0</v>
      </c>
      <c r="L64" s="42">
        <v>0.38660565723793677</v>
      </c>
      <c r="M64" s="42">
        <v>3.3277870216306155E-2</v>
      </c>
      <c r="N64" s="42">
        <v>3.9683860232945088E-2</v>
      </c>
      <c r="O64" s="42">
        <v>6.9051580698835269E-2</v>
      </c>
      <c r="P64" s="42">
        <v>5.823627287853577E-4</v>
      </c>
      <c r="Q64" s="42">
        <v>5.3660565723793678E-2</v>
      </c>
      <c r="R64" s="42">
        <v>0.11797004991680532</v>
      </c>
      <c r="S64" s="42">
        <v>1.6056572379367719E-2</v>
      </c>
      <c r="T64" s="100">
        <v>1.0898502495840266E-2</v>
      </c>
      <c r="V64" s="42">
        <f t="shared" si="2"/>
        <v>0.25041597337770383</v>
      </c>
      <c r="W64" s="42">
        <f t="shared" si="3"/>
        <v>0.171630615640599</v>
      </c>
      <c r="X64" s="42">
        <f t="shared" si="4"/>
        <v>0.5292013311148086</v>
      </c>
      <c r="Y64" s="42">
        <f t="shared" si="5"/>
        <v>4.8752079866888516E-2</v>
      </c>
      <c r="Z64" s="42">
        <f t="shared" si="6"/>
        <v>0</v>
      </c>
      <c r="AA64" s="42">
        <f t="shared" si="7"/>
        <v>1</v>
      </c>
    </row>
    <row r="65" spans="1:27" x14ac:dyDescent="0.3">
      <c r="A65" s="42" t="s">
        <v>1533</v>
      </c>
      <c r="B65" s="95" t="s">
        <v>470</v>
      </c>
      <c r="C65" s="95">
        <v>1460</v>
      </c>
      <c r="D65" s="97">
        <f t="shared" si="22"/>
        <v>0.50733904147670406</v>
      </c>
      <c r="E65" s="98">
        <f t="shared" si="23"/>
        <v>131.40094314340951</v>
      </c>
      <c r="F65" s="99">
        <v>0.1</v>
      </c>
      <c r="G65" s="42">
        <v>3.9041095890410958E-2</v>
      </c>
      <c r="H65" s="42">
        <v>0</v>
      </c>
      <c r="I65" s="42">
        <v>0</v>
      </c>
      <c r="J65" s="42">
        <v>0</v>
      </c>
      <c r="K65" s="42">
        <v>0</v>
      </c>
      <c r="L65" s="42">
        <v>0.30068493150684933</v>
      </c>
      <c r="M65" s="42">
        <v>2.9452054794520548E-2</v>
      </c>
      <c r="N65" s="42">
        <v>0.18356164383561643</v>
      </c>
      <c r="O65" s="42">
        <v>6.8493150684931507E-4</v>
      </c>
      <c r="P65" s="42">
        <v>2.1917808219178082E-2</v>
      </c>
      <c r="Q65" s="42">
        <v>0.28904109589041094</v>
      </c>
      <c r="R65" s="42">
        <v>0</v>
      </c>
      <c r="S65" s="42">
        <v>3.5616438356164383E-2</v>
      </c>
      <c r="T65" s="100">
        <v>0</v>
      </c>
      <c r="V65" s="42">
        <f t="shared" si="2"/>
        <v>0.13561643835616438</v>
      </c>
      <c r="W65" s="42">
        <f t="shared" si="3"/>
        <v>0.28904109589041094</v>
      </c>
      <c r="X65" s="42">
        <f t="shared" si="4"/>
        <v>0.5363013698630138</v>
      </c>
      <c r="Y65" s="42">
        <f t="shared" si="5"/>
        <v>3.9041095890410958E-2</v>
      </c>
      <c r="Z65" s="42">
        <f t="shared" si="6"/>
        <v>0</v>
      </c>
      <c r="AA65" s="42">
        <f t="shared" si="7"/>
        <v>1.0000000000000002</v>
      </c>
    </row>
    <row r="66" spans="1:27" x14ac:dyDescent="0.3">
      <c r="A66" s="42" t="s">
        <v>1534</v>
      </c>
      <c r="B66" s="95" t="s">
        <v>477</v>
      </c>
      <c r="C66" s="95">
        <v>2952</v>
      </c>
      <c r="D66" s="97">
        <f t="shared" si="22"/>
        <v>1.0257978427665961</v>
      </c>
      <c r="E66" s="98">
        <f t="shared" si="23"/>
        <v>265.68190695845539</v>
      </c>
      <c r="F66" s="99">
        <v>0.27879403794037938</v>
      </c>
      <c r="G66" s="42">
        <v>3.7262872628726289E-2</v>
      </c>
      <c r="H66" s="42">
        <v>6.7750677506775068E-4</v>
      </c>
      <c r="I66" s="42">
        <v>0</v>
      </c>
      <c r="J66" s="42">
        <v>0</v>
      </c>
      <c r="K66" s="42">
        <v>0</v>
      </c>
      <c r="L66" s="42">
        <v>0.125</v>
      </c>
      <c r="M66" s="42">
        <v>1.5582655826558265E-2</v>
      </c>
      <c r="N66" s="42">
        <v>1.2872628726287264E-2</v>
      </c>
      <c r="O66" s="42">
        <v>0.1209349593495935</v>
      </c>
      <c r="P66" s="42">
        <v>1.6937669376693768E-3</v>
      </c>
      <c r="Q66" s="42">
        <v>0.18834688346883469</v>
      </c>
      <c r="R66" s="42">
        <v>1.8970189701897018E-2</v>
      </c>
      <c r="S66" s="42">
        <v>0.16361788617886178</v>
      </c>
      <c r="T66" s="100">
        <v>3.6246612466124664E-2</v>
      </c>
      <c r="V66" s="42">
        <f t="shared" ref="V66:V129" si="24">F66+S66+T66</f>
        <v>0.47865853658536578</v>
      </c>
      <c r="W66" s="42">
        <f t="shared" ref="W66:W129" si="25">Q66+R66</f>
        <v>0.2073170731707317</v>
      </c>
      <c r="X66" s="42">
        <f t="shared" ref="X66:X129" si="26">SUM(K66:P66)</f>
        <v>0.27608401084010842</v>
      </c>
      <c r="Y66" s="42">
        <f t="shared" ref="Y66:Y129" si="27">SUM(G66:I66)</f>
        <v>3.7940379403794036E-2</v>
      </c>
      <c r="Z66" s="42">
        <f t="shared" ref="Z66:Z129" si="28">J66</f>
        <v>0</v>
      </c>
      <c r="AA66" s="42">
        <f t="shared" ref="AA66:AA129" si="29">SUM(V66:Z66)</f>
        <v>1</v>
      </c>
    </row>
    <row r="67" spans="1:27" x14ac:dyDescent="0.3">
      <c r="A67" s="42" t="s">
        <v>1535</v>
      </c>
      <c r="B67" s="95" t="s">
        <v>481</v>
      </c>
      <c r="C67" s="95">
        <v>4284</v>
      </c>
      <c r="D67" s="97">
        <f t="shared" si="22"/>
        <v>1.4886578449905481</v>
      </c>
      <c r="E67" s="98">
        <f t="shared" si="23"/>
        <v>385.5627674153194</v>
      </c>
      <c r="F67" s="99">
        <v>0.17880485527544351</v>
      </c>
      <c r="G67" s="42">
        <v>2.1008403361344537E-3</v>
      </c>
      <c r="H67" s="42">
        <v>0</v>
      </c>
      <c r="I67" s="42">
        <v>0</v>
      </c>
      <c r="J67" s="42">
        <v>0</v>
      </c>
      <c r="K67" s="42">
        <v>0</v>
      </c>
      <c r="L67" s="42">
        <v>0.72875816993464049</v>
      </c>
      <c r="M67" s="42">
        <v>3.6414565826330535E-2</v>
      </c>
      <c r="N67" s="42">
        <v>1.8207282913165267E-2</v>
      </c>
      <c r="O67" s="42">
        <v>2.8944911297852476E-2</v>
      </c>
      <c r="P67" s="42">
        <v>0</v>
      </c>
      <c r="Q67" s="42">
        <v>0</v>
      </c>
      <c r="R67" s="42">
        <v>0</v>
      </c>
      <c r="S67" s="42">
        <v>3.5014005602240898E-3</v>
      </c>
      <c r="T67" s="100">
        <v>3.2679738562091504E-3</v>
      </c>
      <c r="V67" s="42">
        <f t="shared" si="24"/>
        <v>0.18557422969187673</v>
      </c>
      <c r="W67" s="42">
        <f t="shared" si="25"/>
        <v>0</v>
      </c>
      <c r="X67" s="42">
        <f t="shared" si="26"/>
        <v>0.8123249299719888</v>
      </c>
      <c r="Y67" s="42">
        <f t="shared" si="27"/>
        <v>2.1008403361344537E-3</v>
      </c>
      <c r="Z67" s="42">
        <f t="shared" si="28"/>
        <v>0</v>
      </c>
      <c r="AA67" s="42">
        <f t="shared" si="29"/>
        <v>1</v>
      </c>
    </row>
    <row r="68" spans="1:27" x14ac:dyDescent="0.3">
      <c r="A68" s="42" t="s">
        <v>1536</v>
      </c>
      <c r="B68" s="95" t="s">
        <v>486</v>
      </c>
      <c r="C68" s="95">
        <v>14783</v>
      </c>
      <c r="D68" s="97">
        <f t="shared" si="22"/>
        <v>5.1369815411987094</v>
      </c>
      <c r="E68" s="98">
        <f t="shared" si="23"/>
        <v>1330.4795496500155</v>
      </c>
      <c r="F68" s="99">
        <v>0.16586619765947372</v>
      </c>
      <c r="G68" s="42">
        <v>1.2852600960562809E-2</v>
      </c>
      <c r="H68" s="42">
        <v>7.4409795034837312E-4</v>
      </c>
      <c r="I68" s="42">
        <v>0</v>
      </c>
      <c r="J68" s="42">
        <v>0</v>
      </c>
      <c r="K68" s="42">
        <v>0</v>
      </c>
      <c r="L68" s="42">
        <v>0.114388148549009</v>
      </c>
      <c r="M68" s="42">
        <v>0.54447676385036869</v>
      </c>
      <c r="N68" s="42">
        <v>0.13468172901305553</v>
      </c>
      <c r="O68" s="42">
        <v>1.1499695596293039E-3</v>
      </c>
      <c r="P68" s="42">
        <v>2.7058107285395387E-4</v>
      </c>
      <c r="Q68" s="42">
        <v>0</v>
      </c>
      <c r="R68" s="42">
        <v>0</v>
      </c>
      <c r="S68" s="42">
        <v>2.5299330311844687E-2</v>
      </c>
      <c r="T68" s="100">
        <v>2.7058107285395387E-4</v>
      </c>
      <c r="V68" s="42">
        <f t="shared" si="24"/>
        <v>0.19143610904417238</v>
      </c>
      <c r="W68" s="42">
        <f t="shared" si="25"/>
        <v>0</v>
      </c>
      <c r="X68" s="42">
        <f t="shared" si="26"/>
        <v>0.7949671920449165</v>
      </c>
      <c r="Y68" s="42">
        <f t="shared" si="27"/>
        <v>1.3596698910911182E-2</v>
      </c>
      <c r="Z68" s="42">
        <f t="shared" si="28"/>
        <v>0</v>
      </c>
      <c r="AA68" s="42">
        <f t="shared" si="29"/>
        <v>1</v>
      </c>
    </row>
    <row r="69" spans="1:27" x14ac:dyDescent="0.3">
      <c r="A69" s="42" t="s">
        <v>1537</v>
      </c>
      <c r="B69" s="95" t="s">
        <v>492</v>
      </c>
      <c r="C69" s="95">
        <v>2940</v>
      </c>
      <c r="D69" s="97">
        <f t="shared" si="22"/>
        <v>1.0216279328366507</v>
      </c>
      <c r="E69" s="98">
        <f t="shared" si="23"/>
        <v>264.60189920659172</v>
      </c>
      <c r="F69" s="99">
        <v>6.9727891156462579E-2</v>
      </c>
      <c r="G69" s="42">
        <v>2.0068027210884354E-2</v>
      </c>
      <c r="H69" s="42">
        <v>3.4013605442176869E-3</v>
      </c>
      <c r="I69" s="42">
        <v>0</v>
      </c>
      <c r="J69" s="42">
        <v>0</v>
      </c>
      <c r="K69" s="42">
        <v>4.4217687074829936E-3</v>
      </c>
      <c r="L69" s="42">
        <v>0.38537414965986394</v>
      </c>
      <c r="M69" s="42">
        <v>0.40850340136054419</v>
      </c>
      <c r="N69" s="42">
        <v>1.7006802721088437E-2</v>
      </c>
      <c r="O69" s="42">
        <v>4.5918367346938778E-2</v>
      </c>
      <c r="P69" s="42">
        <v>6.8027210884353739E-3</v>
      </c>
      <c r="Q69" s="42">
        <v>1.292517006802721E-2</v>
      </c>
      <c r="R69" s="42">
        <v>0</v>
      </c>
      <c r="S69" s="42">
        <v>2.5850340136054421E-2</v>
      </c>
      <c r="T69" s="100">
        <v>0</v>
      </c>
      <c r="V69" s="42">
        <f t="shared" si="24"/>
        <v>9.5578231292516996E-2</v>
      </c>
      <c r="W69" s="42">
        <f t="shared" si="25"/>
        <v>1.292517006802721E-2</v>
      </c>
      <c r="X69" s="42">
        <f t="shared" si="26"/>
        <v>0.86802721088435375</v>
      </c>
      <c r="Y69" s="42">
        <f t="shared" si="27"/>
        <v>2.3469387755102041E-2</v>
      </c>
      <c r="Z69" s="42">
        <f t="shared" si="28"/>
        <v>0</v>
      </c>
      <c r="AA69" s="42">
        <f t="shared" si="29"/>
        <v>1</v>
      </c>
    </row>
    <row r="70" spans="1:27" x14ac:dyDescent="0.3">
      <c r="A70" s="42" t="s">
        <v>1538</v>
      </c>
      <c r="B70" s="95" t="s">
        <v>497</v>
      </c>
      <c r="C70" s="95">
        <v>21986</v>
      </c>
      <c r="D70" s="97">
        <f t="shared" si="22"/>
        <v>7.6399699766485041</v>
      </c>
      <c r="E70" s="98">
        <f t="shared" si="23"/>
        <v>1978.7542027061654</v>
      </c>
      <c r="F70" s="99">
        <v>0.11643773310288365</v>
      </c>
      <c r="G70" s="42">
        <v>6.5086873464932235E-2</v>
      </c>
      <c r="H70" s="42">
        <v>8.7328299827162739E-3</v>
      </c>
      <c r="I70" s="42">
        <v>2.7744928590921493E-3</v>
      </c>
      <c r="J70" s="42">
        <v>0</v>
      </c>
      <c r="K70" s="42">
        <v>0</v>
      </c>
      <c r="L70" s="42">
        <v>0.40216501409988176</v>
      </c>
      <c r="M70" s="42">
        <v>0.13563176566906213</v>
      </c>
      <c r="N70" s="42">
        <v>0.13749658873828799</v>
      </c>
      <c r="O70" s="42">
        <v>2.1695624488310743E-2</v>
      </c>
      <c r="P70" s="42">
        <v>3.1838442645319748E-3</v>
      </c>
      <c r="Q70" s="42">
        <v>3.8660966069316836E-3</v>
      </c>
      <c r="R70" s="42">
        <v>0</v>
      </c>
      <c r="S70" s="42">
        <v>9.524242699899936E-2</v>
      </c>
      <c r="T70" s="100">
        <v>7.6867097243700534E-3</v>
      </c>
      <c r="V70" s="42">
        <f t="shared" si="24"/>
        <v>0.21936686982625306</v>
      </c>
      <c r="W70" s="42">
        <f t="shared" si="25"/>
        <v>3.8660966069316836E-3</v>
      </c>
      <c r="X70" s="42">
        <f t="shared" si="26"/>
        <v>0.70017283726007462</v>
      </c>
      <c r="Y70" s="42">
        <f t="shared" si="27"/>
        <v>7.6594196306740664E-2</v>
      </c>
      <c r="Z70" s="42">
        <f t="shared" si="28"/>
        <v>0</v>
      </c>
      <c r="AA70" s="42">
        <f t="shared" si="29"/>
        <v>1</v>
      </c>
    </row>
    <row r="71" spans="1:27" x14ac:dyDescent="0.3">
      <c r="A71" s="115" t="s">
        <v>1539</v>
      </c>
      <c r="B71" s="95" t="s">
        <v>1540</v>
      </c>
      <c r="C71" s="95">
        <v>22082</v>
      </c>
      <c r="D71" s="97">
        <f t="shared" si="22"/>
        <v>7.6733292560880679</v>
      </c>
      <c r="E71" s="98">
        <f t="shared" si="23"/>
        <v>1987.3942647210745</v>
      </c>
      <c r="F71" s="99">
        <v>7.3045919753645508E-2</v>
      </c>
      <c r="G71" s="42">
        <v>6.20414817498415E-3</v>
      </c>
      <c r="H71" s="42">
        <v>5.8871479032696311E-4</v>
      </c>
      <c r="I71" s="42">
        <v>6.3400054342903724E-4</v>
      </c>
      <c r="J71" s="42">
        <v>0</v>
      </c>
      <c r="K71" s="42">
        <v>0</v>
      </c>
      <c r="L71" s="42">
        <v>0.47839869577031063</v>
      </c>
      <c r="M71" s="42">
        <v>0.10764423512363011</v>
      </c>
      <c r="N71" s="42">
        <v>9.1930078797210404E-3</v>
      </c>
      <c r="O71" s="42">
        <v>6.9060773480662987E-2</v>
      </c>
      <c r="P71" s="42">
        <v>1.3993297708540893E-2</v>
      </c>
      <c r="Q71" s="42">
        <v>0.16017570872203604</v>
      </c>
      <c r="R71" s="42">
        <v>2.5133592971651117E-2</v>
      </c>
      <c r="S71" s="42">
        <v>4.8410470066117199E-2</v>
      </c>
      <c r="T71" s="100">
        <v>7.5174350149442987E-3</v>
      </c>
      <c r="V71" s="42">
        <f t="shared" si="24"/>
        <v>0.12897382483470698</v>
      </c>
      <c r="W71" s="42">
        <f t="shared" si="25"/>
        <v>0.18530930169368715</v>
      </c>
      <c r="X71" s="42">
        <f t="shared" si="26"/>
        <v>0.67829000996286559</v>
      </c>
      <c r="Y71" s="42">
        <f t="shared" si="27"/>
        <v>7.4268635087401504E-3</v>
      </c>
      <c r="Z71" s="42">
        <f t="shared" si="28"/>
        <v>0</v>
      </c>
      <c r="AA71" s="42">
        <f t="shared" si="29"/>
        <v>0.99999999999999989</v>
      </c>
    </row>
    <row r="72" spans="1:27" x14ac:dyDescent="0.3">
      <c r="A72" s="42" t="s">
        <v>1541</v>
      </c>
      <c r="B72" s="95" t="s">
        <v>508</v>
      </c>
      <c r="C72" s="95">
        <v>3146</v>
      </c>
      <c r="D72" s="97">
        <f t="shared" si="22"/>
        <v>1.0932113866340487</v>
      </c>
      <c r="E72" s="98">
        <f t="shared" si="23"/>
        <v>283.14203228025093</v>
      </c>
      <c r="F72" s="99">
        <v>7.7558804831532102E-2</v>
      </c>
      <c r="G72" s="42">
        <v>2.225047679593134E-2</v>
      </c>
      <c r="H72" s="42">
        <v>0</v>
      </c>
      <c r="I72" s="42">
        <v>0</v>
      </c>
      <c r="J72" s="42">
        <v>0</v>
      </c>
      <c r="K72" s="42">
        <v>0</v>
      </c>
      <c r="L72" s="42">
        <v>0.17450731087094723</v>
      </c>
      <c r="M72" s="42">
        <v>0.14272091544818818</v>
      </c>
      <c r="N72" s="42">
        <v>0.35696122059758423</v>
      </c>
      <c r="O72" s="42">
        <v>0</v>
      </c>
      <c r="P72" s="42">
        <v>6.0394151303242213E-3</v>
      </c>
      <c r="Q72" s="42">
        <v>0.11061665607120152</v>
      </c>
      <c r="R72" s="42">
        <v>2.6382708200890018E-2</v>
      </c>
      <c r="S72" s="42">
        <v>7.0247933884297523E-2</v>
      </c>
      <c r="T72" s="100">
        <v>1.2714558169103624E-2</v>
      </c>
      <c r="V72" s="42">
        <f t="shared" si="24"/>
        <v>0.16052129688493325</v>
      </c>
      <c r="W72" s="42">
        <f t="shared" si="25"/>
        <v>0.13699936427209153</v>
      </c>
      <c r="X72" s="42">
        <f t="shared" si="26"/>
        <v>0.6802288620470438</v>
      </c>
      <c r="Y72" s="42">
        <f t="shared" si="27"/>
        <v>2.225047679593134E-2</v>
      </c>
      <c r="Z72" s="42">
        <f t="shared" si="28"/>
        <v>0</v>
      </c>
      <c r="AA72" s="42">
        <f t="shared" si="29"/>
        <v>1</v>
      </c>
    </row>
    <row r="73" spans="1:27" x14ac:dyDescent="0.3">
      <c r="A73" s="42" t="s">
        <v>1542</v>
      </c>
      <c r="B73" s="95" t="s">
        <v>512</v>
      </c>
      <c r="C73" s="95">
        <v>722531</v>
      </c>
      <c r="D73" s="97">
        <f t="shared" si="22"/>
        <v>251.0740992994551</v>
      </c>
      <c r="E73" s="98">
        <f t="shared" si="23"/>
        <v>65028.256746815619</v>
      </c>
      <c r="F73" s="99">
        <v>8.9574011357298158E-2</v>
      </c>
      <c r="G73" s="42">
        <v>3.9029467247772066E-4</v>
      </c>
      <c r="H73" s="42">
        <v>0</v>
      </c>
      <c r="I73" s="42">
        <v>1.9376331257759184E-5</v>
      </c>
      <c r="J73" s="42">
        <v>0</v>
      </c>
      <c r="K73" s="42">
        <v>8.2930697783209304E-3</v>
      </c>
      <c r="L73" s="42">
        <v>0.54076295688351084</v>
      </c>
      <c r="M73" s="42">
        <v>0.15321695539706948</v>
      </c>
      <c r="N73" s="42">
        <v>8.8100026158047198E-2</v>
      </c>
      <c r="O73" s="42">
        <v>5.450423580441531E-2</v>
      </c>
      <c r="P73" s="42">
        <v>1.4213923001227629E-3</v>
      </c>
      <c r="Q73" s="42">
        <v>4.0413490909040582E-4</v>
      </c>
      <c r="R73" s="42">
        <v>2.3528402241564722E-5</v>
      </c>
      <c r="S73" s="42">
        <v>5.1381878424593547E-2</v>
      </c>
      <c r="T73" s="100">
        <v>1.1908139581554286E-2</v>
      </c>
      <c r="V73" s="42">
        <f t="shared" si="24"/>
        <v>0.15286402936344601</v>
      </c>
      <c r="W73" s="42">
        <f t="shared" si="25"/>
        <v>4.2766331133197057E-4</v>
      </c>
      <c r="X73" s="42">
        <f t="shared" si="26"/>
        <v>0.8462986363214865</v>
      </c>
      <c r="Y73" s="42">
        <f t="shared" si="27"/>
        <v>4.0967100373547982E-4</v>
      </c>
      <c r="Z73" s="42">
        <f t="shared" si="28"/>
        <v>0</v>
      </c>
      <c r="AA73" s="42">
        <f t="shared" si="29"/>
        <v>0.99999999999999989</v>
      </c>
    </row>
    <row r="74" spans="1:27" x14ac:dyDescent="0.3">
      <c r="A74" s="42" t="s">
        <v>1543</v>
      </c>
      <c r="B74" s="95" t="s">
        <v>518</v>
      </c>
      <c r="C74" s="95">
        <v>13971</v>
      </c>
      <c r="D74" s="97">
        <f t="shared" si="22"/>
        <v>4.8548176359390638</v>
      </c>
      <c r="E74" s="98">
        <f t="shared" si="23"/>
        <v>1257.3990251072428</v>
      </c>
      <c r="F74" s="99">
        <v>0.10471691360675685</v>
      </c>
      <c r="G74" s="42">
        <v>1.0163910958413857E-2</v>
      </c>
      <c r="H74" s="42">
        <v>0</v>
      </c>
      <c r="I74" s="42">
        <v>0</v>
      </c>
      <c r="J74" s="42">
        <v>0</v>
      </c>
      <c r="K74" s="42">
        <v>0</v>
      </c>
      <c r="L74" s="42">
        <v>0.33662586786915755</v>
      </c>
      <c r="M74" s="42">
        <v>0.33855844248801087</v>
      </c>
      <c r="N74" s="42">
        <v>0.1649846109798869</v>
      </c>
      <c r="O74" s="42">
        <v>7.3724142867368121E-3</v>
      </c>
      <c r="P74" s="42">
        <v>1.002075728294324E-3</v>
      </c>
      <c r="Q74" s="42">
        <v>0</v>
      </c>
      <c r="R74" s="42">
        <v>0</v>
      </c>
      <c r="S74" s="42">
        <v>3.6575764082742823E-2</v>
      </c>
      <c r="T74" s="100">
        <v>0</v>
      </c>
      <c r="V74" s="42">
        <f t="shared" si="24"/>
        <v>0.14129267768949966</v>
      </c>
      <c r="W74" s="42">
        <f t="shared" si="25"/>
        <v>0</v>
      </c>
      <c r="X74" s="42">
        <f t="shared" si="26"/>
        <v>0.84854341135208655</v>
      </c>
      <c r="Y74" s="42">
        <f t="shared" si="27"/>
        <v>1.0163910958413857E-2</v>
      </c>
      <c r="Z74" s="42">
        <f t="shared" si="28"/>
        <v>0</v>
      </c>
      <c r="AA74" s="42">
        <f t="shared" si="29"/>
        <v>1.0000000000000002</v>
      </c>
    </row>
    <row r="75" spans="1:27" x14ac:dyDescent="0.3">
      <c r="A75" s="42" t="s">
        <v>1544</v>
      </c>
      <c r="B75" s="95" t="s">
        <v>524</v>
      </c>
      <c r="C75" s="95">
        <v>14432</v>
      </c>
      <c r="D75" s="97">
        <f t="shared" si="22"/>
        <v>5.0150116757478038</v>
      </c>
      <c r="E75" s="98">
        <f t="shared" si="23"/>
        <v>1298.8893229080043</v>
      </c>
      <c r="F75" s="99">
        <v>9.264135254988913E-2</v>
      </c>
      <c r="G75" s="42">
        <v>3.6931818181818184E-2</v>
      </c>
      <c r="H75" s="42">
        <v>1.4828159645232816E-2</v>
      </c>
      <c r="I75" s="42">
        <v>1.9401330376940134E-3</v>
      </c>
      <c r="J75" s="42">
        <v>0</v>
      </c>
      <c r="K75" s="42">
        <v>6.9290465631929052E-4</v>
      </c>
      <c r="L75" s="42">
        <v>0.41421840354767187</v>
      </c>
      <c r="M75" s="42">
        <v>4.3514412416851445E-2</v>
      </c>
      <c r="N75" s="42">
        <v>3.402161862527716E-2</v>
      </c>
      <c r="O75" s="42">
        <v>2.2657982261640799E-2</v>
      </c>
      <c r="P75" s="42">
        <v>2.5083148558758313E-2</v>
      </c>
      <c r="Q75" s="42">
        <v>0.14689578713968957</v>
      </c>
      <c r="R75" s="42">
        <v>0.13407705099778269</v>
      </c>
      <c r="S75" s="42">
        <v>2.3628048780487805E-2</v>
      </c>
      <c r="T75" s="100">
        <v>8.869179600886918E-3</v>
      </c>
      <c r="V75" s="42">
        <f t="shared" si="24"/>
        <v>0.12513858093126387</v>
      </c>
      <c r="W75" s="42">
        <f t="shared" si="25"/>
        <v>0.28097283813747226</v>
      </c>
      <c r="X75" s="42">
        <f t="shared" si="26"/>
        <v>0.54018847006651882</v>
      </c>
      <c r="Y75" s="42">
        <f t="shared" si="27"/>
        <v>5.3700110864745007E-2</v>
      </c>
      <c r="Z75" s="42">
        <f t="shared" si="28"/>
        <v>0</v>
      </c>
      <c r="AA75" s="42">
        <f t="shared" si="29"/>
        <v>1</v>
      </c>
    </row>
    <row r="76" spans="1:27" x14ac:dyDescent="0.3">
      <c r="A76" s="42" t="s">
        <v>1545</v>
      </c>
      <c r="B76" s="95" t="s">
        <v>530</v>
      </c>
      <c r="C76" s="95">
        <v>526</v>
      </c>
      <c r="D76" s="97">
        <f t="shared" si="22"/>
        <v>0.18278105192927832</v>
      </c>
      <c r="E76" s="98">
        <f t="shared" si="23"/>
        <v>47.340339790022874</v>
      </c>
      <c r="F76" s="99">
        <v>0.16539923954372623</v>
      </c>
      <c r="G76" s="42">
        <v>1.9011406844106464E-3</v>
      </c>
      <c r="H76" s="42">
        <v>0</v>
      </c>
      <c r="I76" s="42">
        <v>0</v>
      </c>
      <c r="J76" s="42">
        <v>0</v>
      </c>
      <c r="K76" s="42">
        <v>0</v>
      </c>
      <c r="L76" s="42">
        <v>0</v>
      </c>
      <c r="M76" s="42">
        <v>0.23193916349809887</v>
      </c>
      <c r="N76" s="42">
        <v>0.56083650190114065</v>
      </c>
      <c r="O76" s="42">
        <v>0</v>
      </c>
      <c r="P76" s="42">
        <v>0</v>
      </c>
      <c r="Q76" s="42">
        <v>0</v>
      </c>
      <c r="R76" s="42">
        <v>0</v>
      </c>
      <c r="S76" s="42">
        <v>3.9923954372623575E-2</v>
      </c>
      <c r="T76" s="100">
        <v>0</v>
      </c>
      <c r="V76" s="42">
        <f t="shared" si="24"/>
        <v>0.20532319391634982</v>
      </c>
      <c r="W76" s="42">
        <f t="shared" si="25"/>
        <v>0</v>
      </c>
      <c r="X76" s="42">
        <f t="shared" si="26"/>
        <v>0.79277566539923949</v>
      </c>
      <c r="Y76" s="42">
        <f t="shared" si="27"/>
        <v>1.9011406844106464E-3</v>
      </c>
      <c r="Z76" s="42">
        <f t="shared" si="28"/>
        <v>0</v>
      </c>
      <c r="AA76" s="42">
        <f t="shared" si="29"/>
        <v>0.99999999999999989</v>
      </c>
    </row>
    <row r="77" spans="1:27" x14ac:dyDescent="0.3">
      <c r="A77" s="115" t="s">
        <v>1546</v>
      </c>
      <c r="B77" s="95" t="s">
        <v>534</v>
      </c>
      <c r="C77" s="95">
        <v>17270</v>
      </c>
      <c r="D77" s="97">
        <f>C77/2877.76</f>
        <v>6.0011953741799173</v>
      </c>
      <c r="E77" s="98">
        <f>D77/0.003861</f>
        <v>1554.3111562237548</v>
      </c>
      <c r="F77" s="99">
        <v>2.1366531557614359E-2</v>
      </c>
      <c r="G77" s="42">
        <v>3.1094383323682688E-2</v>
      </c>
      <c r="H77" s="42">
        <v>3.821656050955414E-3</v>
      </c>
      <c r="I77" s="42">
        <v>0</v>
      </c>
      <c r="J77" s="42">
        <v>0</v>
      </c>
      <c r="K77" s="42">
        <v>0</v>
      </c>
      <c r="L77" s="42">
        <v>0.22246670526925305</v>
      </c>
      <c r="M77" s="42">
        <v>0.33914302258251305</v>
      </c>
      <c r="N77" s="42">
        <v>0.29669947886508397</v>
      </c>
      <c r="O77" s="42">
        <v>5.4371742906774753E-2</v>
      </c>
      <c r="P77" s="42">
        <v>0</v>
      </c>
      <c r="Q77" s="42">
        <v>0</v>
      </c>
      <c r="R77" s="42">
        <v>6.2536189924724955E-3</v>
      </c>
      <c r="S77" s="42">
        <v>2.4782860451650259E-2</v>
      </c>
      <c r="T77" s="100">
        <v>0</v>
      </c>
      <c r="V77" s="42">
        <f>F77+S77+T77</f>
        <v>4.6149392009264614E-2</v>
      </c>
      <c r="W77" s="42">
        <f>Q77+R77</f>
        <v>6.2536189924724955E-3</v>
      </c>
      <c r="X77" s="42">
        <f>SUM(K77:P77)</f>
        <v>0.91268094962362478</v>
      </c>
      <c r="Y77" s="42">
        <f>SUM(G77:I77)</f>
        <v>3.4916039374638101E-2</v>
      </c>
      <c r="Z77" s="42">
        <f>J77</f>
        <v>0</v>
      </c>
      <c r="AA77" s="42">
        <f>SUM(V77:Z77)</f>
        <v>0.99999999999999989</v>
      </c>
    </row>
    <row r="78" spans="1:27" x14ac:dyDescent="0.3">
      <c r="A78" s="42"/>
      <c r="B78" s="102" t="s">
        <v>540</v>
      </c>
      <c r="C78" s="102"/>
      <c r="D78" s="103">
        <f t="shared" si="22"/>
        <v>0</v>
      </c>
      <c r="E78" s="104">
        <f t="shared" si="23"/>
        <v>0</v>
      </c>
      <c r="F78" s="105"/>
      <c r="G78" s="42"/>
      <c r="H78" s="42"/>
      <c r="I78" s="42"/>
      <c r="J78" s="42"/>
      <c r="K78" s="42"/>
      <c r="L78" s="42"/>
      <c r="M78" s="42"/>
      <c r="N78" s="42"/>
      <c r="O78" s="42"/>
      <c r="P78" s="42"/>
      <c r="Q78" s="42"/>
      <c r="R78" s="42"/>
      <c r="S78" s="42"/>
      <c r="T78" s="106"/>
      <c r="V78" s="42"/>
      <c r="W78" s="42"/>
      <c r="X78" s="42"/>
      <c r="Y78" s="42"/>
      <c r="Z78" s="42"/>
      <c r="AA78" s="42"/>
    </row>
    <row r="79" spans="1:27" x14ac:dyDescent="0.3">
      <c r="A79" s="42" t="s">
        <v>1547</v>
      </c>
      <c r="B79" s="95" t="s">
        <v>543</v>
      </c>
      <c r="C79" s="95">
        <v>15861</v>
      </c>
      <c r="D79" s="97">
        <f t="shared" si="22"/>
        <v>5.5115784499054818</v>
      </c>
      <c r="E79" s="98">
        <f t="shared" si="23"/>
        <v>1427.5002460257658</v>
      </c>
      <c r="F79" s="99">
        <v>0.13933547695605572</v>
      </c>
      <c r="G79" s="42">
        <v>3.871130445747431E-2</v>
      </c>
      <c r="H79" s="42">
        <v>3.7828636277662192E-4</v>
      </c>
      <c r="I79" s="42">
        <v>1.6392409053653616E-3</v>
      </c>
      <c r="J79" s="42">
        <v>3.1523863564718492E-4</v>
      </c>
      <c r="K79" s="42">
        <v>0</v>
      </c>
      <c r="L79" s="42">
        <v>0.14166824285984489</v>
      </c>
      <c r="M79" s="42">
        <v>0.35350860601475315</v>
      </c>
      <c r="N79" s="42">
        <v>0.22684572221171426</v>
      </c>
      <c r="O79" s="42">
        <v>3.6882920370720634E-2</v>
      </c>
      <c r="P79" s="42">
        <v>4.0350545362839666E-3</v>
      </c>
      <c r="Q79" s="42">
        <v>1.6833743143559676E-2</v>
      </c>
      <c r="R79" s="42">
        <v>5.4851522602610177E-3</v>
      </c>
      <c r="S79" s="42">
        <v>3.4361011285543155E-2</v>
      </c>
      <c r="T79" s="100">
        <v>0</v>
      </c>
      <c r="V79" s="42">
        <f t="shared" si="24"/>
        <v>0.17369648824159889</v>
      </c>
      <c r="W79" s="42">
        <f t="shared" si="25"/>
        <v>2.2318895403820694E-2</v>
      </c>
      <c r="X79" s="42">
        <f t="shared" si="26"/>
        <v>0.76294054599331684</v>
      </c>
      <c r="Y79" s="42">
        <f t="shared" si="27"/>
        <v>4.0728831725616289E-2</v>
      </c>
      <c r="Z79" s="42">
        <f t="shared" si="28"/>
        <v>3.1523863564718492E-4</v>
      </c>
      <c r="AA79" s="42">
        <f t="shared" si="29"/>
        <v>0.99999999999999989</v>
      </c>
    </row>
    <row r="80" spans="1:27" x14ac:dyDescent="0.3">
      <c r="A80" s="42" t="s">
        <v>1548</v>
      </c>
      <c r="B80" s="95" t="s">
        <v>548</v>
      </c>
      <c r="C80" s="95">
        <v>129568</v>
      </c>
      <c r="D80" s="97">
        <f t="shared" si="22"/>
        <v>45.02390748359835</v>
      </c>
      <c r="E80" s="98">
        <f t="shared" si="23"/>
        <v>11661.203699455673</v>
      </c>
      <c r="F80" s="99">
        <v>0.1498749691281798</v>
      </c>
      <c r="G80" s="42">
        <v>2.3562916769572735E-2</v>
      </c>
      <c r="H80" s="42">
        <v>1.8600271672017782E-3</v>
      </c>
      <c r="I80" s="42">
        <v>1.3506421338602124E-3</v>
      </c>
      <c r="J80" s="42">
        <v>2.3925660656952334E-4</v>
      </c>
      <c r="K80" s="42">
        <v>4.630773030377871E-5</v>
      </c>
      <c r="L80" s="42">
        <v>0.53376605334650529</v>
      </c>
      <c r="M80" s="42">
        <v>0.11237342553716967</v>
      </c>
      <c r="N80" s="42">
        <v>8.0575450728574957E-2</v>
      </c>
      <c r="O80" s="42">
        <v>5.9574895035811308E-2</v>
      </c>
      <c r="P80" s="42">
        <v>1.2194368979995061E-3</v>
      </c>
      <c r="Q80" s="42">
        <v>0</v>
      </c>
      <c r="R80" s="42">
        <v>4.7851321313904669E-4</v>
      </c>
      <c r="S80" s="42">
        <v>3.2284205976784393E-2</v>
      </c>
      <c r="T80" s="100">
        <v>2.7938997283279824E-3</v>
      </c>
      <c r="V80" s="42">
        <f t="shared" si="24"/>
        <v>0.18495307483329215</v>
      </c>
      <c r="W80" s="42">
        <f t="shared" si="25"/>
        <v>4.7851321313904669E-4</v>
      </c>
      <c r="X80" s="42">
        <f t="shared" si="26"/>
        <v>0.7875555692763645</v>
      </c>
      <c r="Y80" s="42">
        <f t="shared" si="27"/>
        <v>2.6773586070634726E-2</v>
      </c>
      <c r="Z80" s="42">
        <f t="shared" si="28"/>
        <v>2.3925660656952334E-4</v>
      </c>
      <c r="AA80" s="42">
        <f t="shared" si="29"/>
        <v>1</v>
      </c>
    </row>
    <row r="81" spans="1:27" x14ac:dyDescent="0.3">
      <c r="A81" s="42" t="s">
        <v>1549</v>
      </c>
      <c r="B81" s="95" t="s">
        <v>554</v>
      </c>
      <c r="C81" s="95">
        <v>27051</v>
      </c>
      <c r="D81" s="97">
        <f t="shared" si="22"/>
        <v>9.4000194595796724</v>
      </c>
      <c r="E81" s="98">
        <f t="shared" si="23"/>
        <v>2434.6074746386098</v>
      </c>
      <c r="F81" s="99">
        <v>9.9256959077298437E-2</v>
      </c>
      <c r="G81" s="42">
        <v>5.1162618757162395E-2</v>
      </c>
      <c r="H81" s="42">
        <v>6.6540978152378836E-3</v>
      </c>
      <c r="I81" s="42">
        <v>1.1459835126243023E-3</v>
      </c>
      <c r="J81" s="42">
        <v>0</v>
      </c>
      <c r="K81" s="42">
        <v>0</v>
      </c>
      <c r="L81" s="42">
        <v>0.15378359395216443</v>
      </c>
      <c r="M81" s="42">
        <v>0.39070644338471777</v>
      </c>
      <c r="N81" s="42">
        <v>5.6485897009352706E-2</v>
      </c>
      <c r="O81" s="42">
        <v>5.545081512698237E-4</v>
      </c>
      <c r="P81" s="42">
        <v>3.4749177479575614E-3</v>
      </c>
      <c r="Q81" s="42">
        <v>9.0421795867065918E-2</v>
      </c>
      <c r="R81" s="42">
        <v>8.3915566892166643E-3</v>
      </c>
      <c r="S81" s="42">
        <v>0.13374736608628146</v>
      </c>
      <c r="T81" s="100">
        <v>4.2142619496506597E-3</v>
      </c>
      <c r="V81" s="42">
        <f t="shared" si="24"/>
        <v>0.23721858711323054</v>
      </c>
      <c r="W81" s="42">
        <f t="shared" si="25"/>
        <v>9.8813352556282583E-2</v>
      </c>
      <c r="X81" s="42">
        <f t="shared" si="26"/>
        <v>0.60500536024546225</v>
      </c>
      <c r="Y81" s="42">
        <f t="shared" si="27"/>
        <v>5.8962700085024577E-2</v>
      </c>
      <c r="Z81" s="42">
        <f t="shared" si="28"/>
        <v>0</v>
      </c>
      <c r="AA81" s="42">
        <f t="shared" si="29"/>
        <v>1</v>
      </c>
    </row>
    <row r="82" spans="1:27" x14ac:dyDescent="0.3">
      <c r="A82" s="42" t="s">
        <v>1550</v>
      </c>
      <c r="B82" s="95" t="s">
        <v>560</v>
      </c>
      <c r="C82" s="95">
        <v>24416</v>
      </c>
      <c r="D82" s="97">
        <f t="shared" si="22"/>
        <v>8.4843767374624708</v>
      </c>
      <c r="E82" s="98">
        <f t="shared" si="23"/>
        <v>2197.4557724585525</v>
      </c>
      <c r="F82" s="99">
        <v>8.559960681520315E-2</v>
      </c>
      <c r="G82" s="42">
        <v>9.8296199213630396E-4</v>
      </c>
      <c r="H82" s="42">
        <v>0</v>
      </c>
      <c r="I82" s="42">
        <v>0</v>
      </c>
      <c r="J82" s="42">
        <v>0</v>
      </c>
      <c r="K82" s="42">
        <v>0</v>
      </c>
      <c r="L82" s="42">
        <v>0.57368119266055051</v>
      </c>
      <c r="M82" s="42">
        <v>0.19212811271297509</v>
      </c>
      <c r="N82" s="42">
        <v>9.0186762778505902E-2</v>
      </c>
      <c r="O82" s="42">
        <v>2.887450851900393E-2</v>
      </c>
      <c r="P82" s="42">
        <v>0</v>
      </c>
      <c r="Q82" s="42">
        <v>0</v>
      </c>
      <c r="R82" s="42">
        <v>0</v>
      </c>
      <c r="S82" s="42">
        <v>2.633519003931848E-2</v>
      </c>
      <c r="T82" s="100">
        <v>2.2116644823066841E-3</v>
      </c>
      <c r="V82" s="42">
        <f t="shared" si="24"/>
        <v>0.11414646133682831</v>
      </c>
      <c r="W82" s="42">
        <f t="shared" si="25"/>
        <v>0</v>
      </c>
      <c r="X82" s="42">
        <f t="shared" si="26"/>
        <v>0.88487057667103541</v>
      </c>
      <c r="Y82" s="42">
        <f t="shared" si="27"/>
        <v>9.8296199213630396E-4</v>
      </c>
      <c r="Z82" s="42">
        <f t="shared" si="28"/>
        <v>0</v>
      </c>
      <c r="AA82" s="42">
        <f t="shared" si="29"/>
        <v>1</v>
      </c>
    </row>
    <row r="83" spans="1:27" x14ac:dyDescent="0.3">
      <c r="A83" s="42" t="s">
        <v>1551</v>
      </c>
      <c r="B83" s="95" t="s">
        <v>566</v>
      </c>
      <c r="C83" s="95">
        <v>14566</v>
      </c>
      <c r="D83" s="97">
        <f t="shared" si="22"/>
        <v>5.0615756699655288</v>
      </c>
      <c r="E83" s="98">
        <f t="shared" si="23"/>
        <v>1310.9494094704814</v>
      </c>
      <c r="F83" s="99">
        <v>3.6386104627214061E-2</v>
      </c>
      <c r="G83" s="42">
        <v>1.4142523685294521E-2</v>
      </c>
      <c r="H83" s="42">
        <v>0</v>
      </c>
      <c r="I83" s="42">
        <v>0</v>
      </c>
      <c r="J83" s="42">
        <v>0</v>
      </c>
      <c r="K83" s="42">
        <v>0</v>
      </c>
      <c r="L83" s="42">
        <v>0.44322394617602634</v>
      </c>
      <c r="M83" s="42">
        <v>9.3024852395990662E-2</v>
      </c>
      <c r="N83" s="42">
        <v>0.19717149526294109</v>
      </c>
      <c r="O83" s="42">
        <v>4.943017987093231E-3</v>
      </c>
      <c r="P83" s="42">
        <v>4.8057119318961969E-4</v>
      </c>
      <c r="Q83" s="42">
        <v>0.1405327474941645</v>
      </c>
      <c r="R83" s="42">
        <v>0</v>
      </c>
      <c r="S83" s="42">
        <v>6.4396539887409038E-2</v>
      </c>
      <c r="T83" s="100">
        <v>5.6982012906769191E-3</v>
      </c>
      <c r="V83" s="42">
        <f t="shared" si="24"/>
        <v>0.10648084580530001</v>
      </c>
      <c r="W83" s="42">
        <f t="shared" si="25"/>
        <v>0.1405327474941645</v>
      </c>
      <c r="X83" s="42">
        <f t="shared" si="26"/>
        <v>0.73884388301524095</v>
      </c>
      <c r="Y83" s="42">
        <f t="shared" si="27"/>
        <v>1.4142523685294521E-2</v>
      </c>
      <c r="Z83" s="42">
        <f t="shared" si="28"/>
        <v>0</v>
      </c>
      <c r="AA83" s="42">
        <f t="shared" si="29"/>
        <v>1</v>
      </c>
    </row>
    <row r="84" spans="1:27" x14ac:dyDescent="0.3">
      <c r="A84" s="110" t="s">
        <v>1552</v>
      </c>
      <c r="B84" s="95" t="s">
        <v>570</v>
      </c>
      <c r="C84" s="95">
        <v>12487</v>
      </c>
      <c r="D84" s="97">
        <f t="shared" si="22"/>
        <v>4.3391387746024686</v>
      </c>
      <c r="E84" s="98">
        <f t="shared" si="23"/>
        <v>1123.8380664601059</v>
      </c>
      <c r="F84" s="99">
        <v>8.312645150956996E-2</v>
      </c>
      <c r="G84" s="42">
        <v>4.3405141347000881E-2</v>
      </c>
      <c r="H84" s="42">
        <v>1.3053575718747497E-2</v>
      </c>
      <c r="I84" s="42">
        <v>1.0170577400496516E-2</v>
      </c>
      <c r="J84" s="42">
        <v>0</v>
      </c>
      <c r="K84" s="42">
        <v>0</v>
      </c>
      <c r="L84" s="42">
        <v>0.4288459998398334</v>
      </c>
      <c r="M84" s="42">
        <v>0.13710258669015776</v>
      </c>
      <c r="N84" s="42">
        <v>0.19900696724593578</v>
      </c>
      <c r="O84" s="42">
        <v>6.9672459357732041E-3</v>
      </c>
      <c r="P84" s="42">
        <v>8.0083286618082809E-5</v>
      </c>
      <c r="Q84" s="42">
        <v>5.1413470008809165E-2</v>
      </c>
      <c r="R84" s="42">
        <v>0</v>
      </c>
      <c r="S84" s="42">
        <v>2.3544486265716345E-2</v>
      </c>
      <c r="T84" s="100">
        <v>3.283414751341395E-3</v>
      </c>
      <c r="V84" s="42">
        <f t="shared" si="24"/>
        <v>0.10995435252662769</v>
      </c>
      <c r="W84" s="42">
        <f t="shared" si="25"/>
        <v>5.1413470008809165E-2</v>
      </c>
      <c r="X84" s="42">
        <f t="shared" si="26"/>
        <v>0.77200288299831832</v>
      </c>
      <c r="Y84" s="42">
        <f t="shared" si="27"/>
        <v>6.6629294466244895E-2</v>
      </c>
      <c r="Z84" s="42">
        <f t="shared" si="28"/>
        <v>0</v>
      </c>
      <c r="AA84" s="42">
        <f t="shared" si="29"/>
        <v>1.0000000000000002</v>
      </c>
    </row>
    <row r="85" spans="1:27" x14ac:dyDescent="0.3">
      <c r="A85" s="42" t="s">
        <v>1553</v>
      </c>
      <c r="B85" s="95" t="s">
        <v>575</v>
      </c>
      <c r="C85" s="95">
        <v>34147</v>
      </c>
      <c r="D85" s="97">
        <f t="shared" si="22"/>
        <v>11.865826198154119</v>
      </c>
      <c r="E85" s="98">
        <f t="shared" si="23"/>
        <v>3073.2520585739753</v>
      </c>
      <c r="F85" s="99">
        <v>7.1162913286672333E-2</v>
      </c>
      <c r="G85" s="42">
        <v>0.112425688933142</v>
      </c>
      <c r="H85" s="42">
        <v>7.1485049931179892E-2</v>
      </c>
      <c r="I85" s="42">
        <v>2.231528391952441E-2</v>
      </c>
      <c r="J85" s="42">
        <v>9.6348141857264188E-3</v>
      </c>
      <c r="K85" s="42">
        <v>2.1085307640495506E-3</v>
      </c>
      <c r="L85" s="42">
        <v>0.25360939467595983</v>
      </c>
      <c r="M85" s="42">
        <v>0.26710984859577708</v>
      </c>
      <c r="N85" s="42">
        <v>0.11125428295311447</v>
      </c>
      <c r="O85" s="42">
        <v>7.2041467771692975E-3</v>
      </c>
      <c r="P85" s="42">
        <v>1.2885465780302808E-3</v>
      </c>
      <c r="Q85" s="42">
        <v>0</v>
      </c>
      <c r="R85" s="42">
        <v>5.3591823586259411E-3</v>
      </c>
      <c r="S85" s="42">
        <v>5.5934635546314462E-2</v>
      </c>
      <c r="T85" s="100">
        <v>9.1076814947140313E-3</v>
      </c>
      <c r="V85" s="42">
        <f t="shared" si="24"/>
        <v>0.13620523032770082</v>
      </c>
      <c r="W85" s="42">
        <f t="shared" si="25"/>
        <v>5.3591823586259411E-3</v>
      </c>
      <c r="X85" s="42">
        <f t="shared" si="26"/>
        <v>0.6425747503441005</v>
      </c>
      <c r="Y85" s="42">
        <f t="shared" si="27"/>
        <v>0.20622602278384633</v>
      </c>
      <c r="Z85" s="42">
        <f t="shared" si="28"/>
        <v>9.6348141857264188E-3</v>
      </c>
      <c r="AA85" s="42">
        <f t="shared" si="29"/>
        <v>1</v>
      </c>
    </row>
    <row r="86" spans="1:27" x14ac:dyDescent="0.3">
      <c r="A86" s="42" t="s">
        <v>1554</v>
      </c>
      <c r="B86" s="95" t="s">
        <v>583</v>
      </c>
      <c r="C86" s="95">
        <v>74143</v>
      </c>
      <c r="D86" s="97">
        <f t="shared" si="22"/>
        <v>25.764135994662514</v>
      </c>
      <c r="E86" s="98">
        <f t="shared" si="23"/>
        <v>6672.9178955354864</v>
      </c>
      <c r="F86" s="99">
        <v>4.363190051656933E-2</v>
      </c>
      <c r="G86" s="42">
        <v>4.4778333760435917E-3</v>
      </c>
      <c r="H86" s="42">
        <v>0</v>
      </c>
      <c r="I86" s="42">
        <v>0</v>
      </c>
      <c r="J86" s="42">
        <v>0</v>
      </c>
      <c r="K86" s="42">
        <v>0</v>
      </c>
      <c r="L86" s="42">
        <v>0.69494085753206636</v>
      </c>
      <c r="M86" s="42">
        <v>0.12562210862792172</v>
      </c>
      <c r="N86" s="42">
        <v>6.1624158720310754E-2</v>
      </c>
      <c r="O86" s="42">
        <v>2.5491280363621649E-3</v>
      </c>
      <c r="P86" s="42">
        <v>0</v>
      </c>
      <c r="Q86" s="42">
        <v>0</v>
      </c>
      <c r="R86" s="42">
        <v>0</v>
      </c>
      <c r="S86" s="42">
        <v>6.0167514128103797E-2</v>
      </c>
      <c r="T86" s="100">
        <v>6.9864990626222296E-3</v>
      </c>
      <c r="V86" s="42">
        <f t="shared" si="24"/>
        <v>0.11078591370729536</v>
      </c>
      <c r="W86" s="42">
        <f t="shared" si="25"/>
        <v>0</v>
      </c>
      <c r="X86" s="42">
        <f t="shared" si="26"/>
        <v>0.88473625291666103</v>
      </c>
      <c r="Y86" s="42">
        <f t="shared" si="27"/>
        <v>4.4778333760435917E-3</v>
      </c>
      <c r="Z86" s="42">
        <f t="shared" si="28"/>
        <v>0</v>
      </c>
      <c r="AA86" s="42">
        <f t="shared" si="29"/>
        <v>1</v>
      </c>
    </row>
    <row r="87" spans="1:27" x14ac:dyDescent="0.3">
      <c r="A87" s="42" t="s">
        <v>1555</v>
      </c>
      <c r="B87" s="95" t="s">
        <v>588</v>
      </c>
      <c r="C87" s="95">
        <v>1106</v>
      </c>
      <c r="D87" s="97">
        <f t="shared" si="22"/>
        <v>0.38432669854331142</v>
      </c>
      <c r="E87" s="98">
        <f t="shared" si="23"/>
        <v>99.540714463432124</v>
      </c>
      <c r="F87" s="99">
        <v>0.1003616636528029</v>
      </c>
      <c r="G87" s="42">
        <v>0</v>
      </c>
      <c r="H87" s="42">
        <v>0</v>
      </c>
      <c r="I87" s="42">
        <v>0</v>
      </c>
      <c r="J87" s="42">
        <v>0</v>
      </c>
      <c r="K87" s="42">
        <v>0</v>
      </c>
      <c r="L87" s="42">
        <v>0.72423146473779387</v>
      </c>
      <c r="M87" s="42">
        <v>6.2386980108499093E-2</v>
      </c>
      <c r="N87" s="42">
        <v>3.3453887884267633E-2</v>
      </c>
      <c r="O87" s="42">
        <v>3.1645569620253167E-2</v>
      </c>
      <c r="P87" s="42">
        <v>2.7124773960216998E-3</v>
      </c>
      <c r="Q87" s="42">
        <v>0</v>
      </c>
      <c r="R87" s="42">
        <v>0</v>
      </c>
      <c r="S87" s="42">
        <v>3.7974683544303799E-2</v>
      </c>
      <c r="T87" s="100">
        <v>7.2332730560578659E-3</v>
      </c>
      <c r="V87" s="42">
        <f t="shared" si="24"/>
        <v>0.14556962025316456</v>
      </c>
      <c r="W87" s="42">
        <f t="shared" si="25"/>
        <v>0</v>
      </c>
      <c r="X87" s="42">
        <f t="shared" si="26"/>
        <v>0.85443037974683533</v>
      </c>
      <c r="Y87" s="42">
        <f t="shared" si="27"/>
        <v>0</v>
      </c>
      <c r="Z87" s="42">
        <f t="shared" si="28"/>
        <v>0</v>
      </c>
      <c r="AA87" s="42">
        <f t="shared" si="29"/>
        <v>0.99999999999999989</v>
      </c>
    </row>
    <row r="88" spans="1:27" x14ac:dyDescent="0.3">
      <c r="A88" s="42" t="s">
        <v>1556</v>
      </c>
      <c r="B88" s="95" t="s">
        <v>592</v>
      </c>
      <c r="C88" s="95">
        <v>510</v>
      </c>
      <c r="D88" s="97">
        <f t="shared" si="22"/>
        <v>0.17722117202268431</v>
      </c>
      <c r="E88" s="98">
        <f t="shared" si="23"/>
        <v>45.900329454204694</v>
      </c>
      <c r="F88" s="99">
        <v>9.8039215686274508E-3</v>
      </c>
      <c r="G88" s="42">
        <v>1.9607843137254902E-3</v>
      </c>
      <c r="H88" s="42">
        <v>1.9607843137254902E-3</v>
      </c>
      <c r="I88" s="42">
        <v>0</v>
      </c>
      <c r="J88" s="42">
        <v>0</v>
      </c>
      <c r="K88" s="42">
        <v>0</v>
      </c>
      <c r="L88" s="42">
        <v>0.98627450980392162</v>
      </c>
      <c r="M88" s="42">
        <v>0</v>
      </c>
      <c r="N88" s="42">
        <v>0</v>
      </c>
      <c r="O88" s="42">
        <v>0</v>
      </c>
      <c r="P88" s="42">
        <v>0</v>
      </c>
      <c r="Q88" s="42">
        <v>0</v>
      </c>
      <c r="R88" s="42">
        <v>0</v>
      </c>
      <c r="S88" s="42">
        <v>0</v>
      </c>
      <c r="T88" s="100">
        <v>0</v>
      </c>
      <c r="V88" s="42">
        <f t="shared" si="24"/>
        <v>9.8039215686274508E-3</v>
      </c>
      <c r="W88" s="42">
        <f t="shared" si="25"/>
        <v>0</v>
      </c>
      <c r="X88" s="42">
        <f t="shared" si="26"/>
        <v>0.98627450980392162</v>
      </c>
      <c r="Y88" s="42">
        <f t="shared" si="27"/>
        <v>3.9215686274509803E-3</v>
      </c>
      <c r="Z88" s="42">
        <f t="shared" si="28"/>
        <v>0</v>
      </c>
      <c r="AA88" s="42">
        <f t="shared" si="29"/>
        <v>1</v>
      </c>
    </row>
    <row r="89" spans="1:27" x14ac:dyDescent="0.3">
      <c r="A89" s="42" t="s">
        <v>1557</v>
      </c>
      <c r="B89" s="95" t="s">
        <v>597</v>
      </c>
      <c r="C89" s="95">
        <v>7434</v>
      </c>
      <c r="D89" s="97">
        <f t="shared" si="22"/>
        <v>2.583259201601245</v>
      </c>
      <c r="E89" s="98">
        <f t="shared" si="23"/>
        <v>669.06480227952477</v>
      </c>
      <c r="F89" s="99">
        <v>0.22854452515469464</v>
      </c>
      <c r="G89" s="42">
        <v>2.4213075060532689E-3</v>
      </c>
      <c r="H89" s="42">
        <v>0</v>
      </c>
      <c r="I89" s="42">
        <v>0</v>
      </c>
      <c r="J89" s="42">
        <v>0</v>
      </c>
      <c r="K89" s="42">
        <v>0</v>
      </c>
      <c r="L89" s="42">
        <v>0.43502824858757061</v>
      </c>
      <c r="M89" s="42">
        <v>0.12375571697605596</v>
      </c>
      <c r="N89" s="42">
        <v>3.0131826741996232E-2</v>
      </c>
      <c r="O89" s="42">
        <v>1.6814635458703254E-2</v>
      </c>
      <c r="P89" s="42">
        <v>1.6411084207694378E-2</v>
      </c>
      <c r="Q89" s="42">
        <v>0</v>
      </c>
      <c r="R89" s="42">
        <v>2.1522733387140166E-3</v>
      </c>
      <c r="S89" s="42">
        <v>0.1353241861716438</v>
      </c>
      <c r="T89" s="100">
        <v>9.4161958568738224E-3</v>
      </c>
      <c r="V89" s="42">
        <f t="shared" si="24"/>
        <v>0.37328490718321228</v>
      </c>
      <c r="W89" s="42">
        <f t="shared" si="25"/>
        <v>2.1522733387140166E-3</v>
      </c>
      <c r="X89" s="42">
        <f t="shared" si="26"/>
        <v>0.62214151197202028</v>
      </c>
      <c r="Y89" s="42">
        <f t="shared" si="27"/>
        <v>2.4213075060532689E-3</v>
      </c>
      <c r="Z89" s="42">
        <f t="shared" si="28"/>
        <v>0</v>
      </c>
      <c r="AA89" s="42">
        <f t="shared" si="29"/>
        <v>0.99999999999999989</v>
      </c>
    </row>
    <row r="90" spans="1:27" x14ac:dyDescent="0.3">
      <c r="A90" s="42" t="s">
        <v>1558</v>
      </c>
      <c r="B90" s="95" t="s">
        <v>602</v>
      </c>
      <c r="C90" s="95">
        <v>6305</v>
      </c>
      <c r="D90" s="97">
        <f t="shared" si="22"/>
        <v>2.1909401756922047</v>
      </c>
      <c r="E90" s="98">
        <f t="shared" si="23"/>
        <v>567.454072958354</v>
      </c>
      <c r="F90" s="99">
        <v>5.7731958762886601E-2</v>
      </c>
      <c r="G90" s="42">
        <v>2.6645519429024583E-2</v>
      </c>
      <c r="H90" s="42">
        <v>3.3306899286280728E-3</v>
      </c>
      <c r="I90" s="42">
        <v>0</v>
      </c>
      <c r="J90" s="42">
        <v>0</v>
      </c>
      <c r="K90" s="42">
        <v>0</v>
      </c>
      <c r="L90" s="42">
        <v>0.24869151467089612</v>
      </c>
      <c r="M90" s="42">
        <v>0.10658207771609833</v>
      </c>
      <c r="N90" s="42">
        <v>0.10293417922283901</v>
      </c>
      <c r="O90" s="42">
        <v>1.5860428231562252E-3</v>
      </c>
      <c r="P90" s="42">
        <v>0</v>
      </c>
      <c r="Q90" s="42">
        <v>0.39540047581284693</v>
      </c>
      <c r="R90" s="42">
        <v>1.6336241078509121E-2</v>
      </c>
      <c r="S90" s="42">
        <v>3.5051546391752578E-2</v>
      </c>
      <c r="T90" s="100">
        <v>5.7097541633624104E-3</v>
      </c>
      <c r="V90" s="42">
        <f t="shared" si="24"/>
        <v>9.8493259318001583E-2</v>
      </c>
      <c r="W90" s="42">
        <f t="shared" si="25"/>
        <v>0.41173671689135605</v>
      </c>
      <c r="X90" s="42">
        <f t="shared" si="26"/>
        <v>0.45979381443298972</v>
      </c>
      <c r="Y90" s="42">
        <f t="shared" si="27"/>
        <v>2.9976209357652654E-2</v>
      </c>
      <c r="Z90" s="42">
        <f t="shared" si="28"/>
        <v>0</v>
      </c>
      <c r="AA90" s="42">
        <f t="shared" si="29"/>
        <v>1</v>
      </c>
    </row>
    <row r="91" spans="1:27" x14ac:dyDescent="0.3">
      <c r="A91" s="42" t="s">
        <v>1559</v>
      </c>
      <c r="B91" s="95" t="s">
        <v>607</v>
      </c>
      <c r="C91" s="95">
        <v>15336</v>
      </c>
      <c r="D91" s="97">
        <f t="shared" si="22"/>
        <v>5.3291448904703653</v>
      </c>
      <c r="E91" s="98">
        <f t="shared" si="23"/>
        <v>1380.2499068817315</v>
      </c>
      <c r="F91" s="99">
        <v>0.16138497652582159</v>
      </c>
      <c r="G91" s="42">
        <v>1.1150234741784037E-2</v>
      </c>
      <c r="H91" s="42">
        <v>0</v>
      </c>
      <c r="I91" s="42">
        <v>0</v>
      </c>
      <c r="J91" s="42">
        <v>0</v>
      </c>
      <c r="K91" s="42">
        <v>0</v>
      </c>
      <c r="L91" s="42">
        <v>0.74941314553990612</v>
      </c>
      <c r="M91" s="42">
        <v>4.5839853938445488E-2</v>
      </c>
      <c r="N91" s="42">
        <v>1.0367762128325509E-2</v>
      </c>
      <c r="O91" s="42">
        <v>5.8033385498174233E-3</v>
      </c>
      <c r="P91" s="42">
        <v>0</v>
      </c>
      <c r="Q91" s="42">
        <v>0</v>
      </c>
      <c r="R91" s="42">
        <v>0</v>
      </c>
      <c r="S91" s="42">
        <v>1.4280125195618153E-2</v>
      </c>
      <c r="T91" s="100">
        <v>1.7605633802816902E-3</v>
      </c>
      <c r="V91" s="42">
        <f t="shared" si="24"/>
        <v>0.17742566510172145</v>
      </c>
      <c r="W91" s="42">
        <f t="shared" si="25"/>
        <v>0</v>
      </c>
      <c r="X91" s="42">
        <f t="shared" si="26"/>
        <v>0.81142410015649447</v>
      </c>
      <c r="Y91" s="42">
        <f t="shared" si="27"/>
        <v>1.1150234741784037E-2</v>
      </c>
      <c r="Z91" s="42">
        <f t="shared" si="28"/>
        <v>0</v>
      </c>
      <c r="AA91" s="42">
        <f t="shared" si="29"/>
        <v>0.99999999999999989</v>
      </c>
    </row>
    <row r="92" spans="1:27" x14ac:dyDescent="0.3">
      <c r="A92" s="42" t="s">
        <v>1560</v>
      </c>
      <c r="B92" s="95" t="s">
        <v>610</v>
      </c>
      <c r="C92" s="95">
        <v>26059</v>
      </c>
      <c r="D92" s="97">
        <f t="shared" si="22"/>
        <v>9.055306905370843</v>
      </c>
      <c r="E92" s="98">
        <f t="shared" si="23"/>
        <v>2345.3268338178823</v>
      </c>
      <c r="F92" s="99">
        <v>4.5627230515368968E-2</v>
      </c>
      <c r="G92" s="42">
        <v>2.4943397674507848E-2</v>
      </c>
      <c r="H92" s="42">
        <v>2.3408419356076597E-3</v>
      </c>
      <c r="I92" s="42">
        <v>1.9187228980390651E-4</v>
      </c>
      <c r="J92" s="42">
        <v>0</v>
      </c>
      <c r="K92" s="42">
        <v>0</v>
      </c>
      <c r="L92" s="42">
        <v>0.48996507924325566</v>
      </c>
      <c r="M92" s="42">
        <v>0.18657661460531871</v>
      </c>
      <c r="N92" s="42">
        <v>0.17974596108829963</v>
      </c>
      <c r="O92" s="42">
        <v>2.0261713803292527E-2</v>
      </c>
      <c r="P92" s="42">
        <v>0</v>
      </c>
      <c r="Q92" s="42">
        <v>9.0947465367051689E-3</v>
      </c>
      <c r="R92" s="42">
        <v>0</v>
      </c>
      <c r="S92" s="42">
        <v>2.0875705130665029E-2</v>
      </c>
      <c r="T92" s="100">
        <v>2.0376837177174874E-2</v>
      </c>
      <c r="V92" s="42">
        <f t="shared" si="24"/>
        <v>8.6879772823208856E-2</v>
      </c>
      <c r="W92" s="42">
        <f t="shared" si="25"/>
        <v>9.0947465367051689E-3</v>
      </c>
      <c r="X92" s="42">
        <f t="shared" si="26"/>
        <v>0.87654936874016665</v>
      </c>
      <c r="Y92" s="42">
        <f t="shared" si="27"/>
        <v>2.7476111899919414E-2</v>
      </c>
      <c r="Z92" s="42">
        <f t="shared" si="28"/>
        <v>0</v>
      </c>
      <c r="AA92" s="42">
        <f t="shared" si="29"/>
        <v>1</v>
      </c>
    </row>
    <row r="93" spans="1:27" x14ac:dyDescent="0.3">
      <c r="A93" s="42" t="s">
        <v>1561</v>
      </c>
      <c r="B93" s="95" t="s">
        <v>617</v>
      </c>
      <c r="C93" s="95">
        <v>3836</v>
      </c>
      <c r="D93" s="97">
        <f t="shared" si="22"/>
        <v>1.3329812076059155</v>
      </c>
      <c r="E93" s="98">
        <f t="shared" si="23"/>
        <v>345.24247801241017</v>
      </c>
      <c r="F93" s="99">
        <v>0.1681438998957247</v>
      </c>
      <c r="G93" s="42">
        <v>1.1209593326381648E-2</v>
      </c>
      <c r="H93" s="42">
        <v>2.6068821689259644E-3</v>
      </c>
      <c r="I93" s="42">
        <v>0</v>
      </c>
      <c r="J93" s="42">
        <v>0</v>
      </c>
      <c r="K93" s="42">
        <v>0</v>
      </c>
      <c r="L93" s="42">
        <v>0.38738269030239836</v>
      </c>
      <c r="M93" s="42">
        <v>3.70177267987487E-2</v>
      </c>
      <c r="N93" s="42">
        <v>1.6162669447340981E-2</v>
      </c>
      <c r="O93" s="42">
        <v>6.4129301355578733E-2</v>
      </c>
      <c r="P93" s="42">
        <v>3.2846715328467155E-2</v>
      </c>
      <c r="Q93" s="42">
        <v>0.15328467153284672</v>
      </c>
      <c r="R93" s="42">
        <v>7.8206465067778938E-2</v>
      </c>
      <c r="S93" s="42">
        <v>4.5099061522419187E-2</v>
      </c>
      <c r="T93" s="100">
        <v>3.9103232533889472E-3</v>
      </c>
      <c r="V93" s="42">
        <f t="shared" si="24"/>
        <v>0.21715328467153283</v>
      </c>
      <c r="W93" s="42">
        <f t="shared" si="25"/>
        <v>0.23149113660062565</v>
      </c>
      <c r="X93" s="42">
        <f t="shared" si="26"/>
        <v>0.53753910323253395</v>
      </c>
      <c r="Y93" s="42">
        <f t="shared" si="27"/>
        <v>1.3816475495307613E-2</v>
      </c>
      <c r="Z93" s="42">
        <f t="shared" si="28"/>
        <v>0</v>
      </c>
      <c r="AA93" s="42">
        <f t="shared" si="29"/>
        <v>1</v>
      </c>
    </row>
    <row r="94" spans="1:27" x14ac:dyDescent="0.3">
      <c r="A94" s="42" t="s">
        <v>1562</v>
      </c>
      <c r="B94" s="95" t="s">
        <v>621</v>
      </c>
      <c r="C94" s="95">
        <v>4513</v>
      </c>
      <c r="D94" s="97">
        <f t="shared" si="22"/>
        <v>1.5682336261536749</v>
      </c>
      <c r="E94" s="98">
        <f t="shared" si="23"/>
        <v>406.17291534671716</v>
      </c>
      <c r="F94" s="99">
        <v>0.12541546643031243</v>
      </c>
      <c r="G94" s="42">
        <v>9.7496122313317085E-2</v>
      </c>
      <c r="H94" s="42">
        <v>3.323731442499446E-2</v>
      </c>
      <c r="I94" s="42">
        <v>1.9942388654996678E-3</v>
      </c>
      <c r="J94" s="42">
        <v>0</v>
      </c>
      <c r="K94" s="42">
        <v>0</v>
      </c>
      <c r="L94" s="42">
        <v>0.17571460226013738</v>
      </c>
      <c r="M94" s="42">
        <v>4.2765344560159541E-2</v>
      </c>
      <c r="N94" s="42">
        <v>1.3294925769997783E-2</v>
      </c>
      <c r="O94" s="42">
        <v>7.7553733658320412E-3</v>
      </c>
      <c r="P94" s="42">
        <v>5.317970307999114E-3</v>
      </c>
      <c r="Q94" s="42">
        <v>0.39906935519610015</v>
      </c>
      <c r="R94" s="42">
        <v>5.3622867272324397E-2</v>
      </c>
      <c r="S94" s="42">
        <v>1.9499224462663417E-2</v>
      </c>
      <c r="T94" s="100">
        <v>2.4817194770662531E-2</v>
      </c>
      <c r="V94" s="42">
        <f t="shared" si="24"/>
        <v>0.16973188566363837</v>
      </c>
      <c r="W94" s="42">
        <f t="shared" si="25"/>
        <v>0.45269222246842455</v>
      </c>
      <c r="X94" s="42">
        <f t="shared" si="26"/>
        <v>0.24484821626412584</v>
      </c>
      <c r="Y94" s="42">
        <f t="shared" si="27"/>
        <v>0.13272767560381124</v>
      </c>
      <c r="Z94" s="42">
        <f t="shared" si="28"/>
        <v>0</v>
      </c>
      <c r="AA94" s="42">
        <f t="shared" si="29"/>
        <v>1</v>
      </c>
    </row>
    <row r="95" spans="1:27" x14ac:dyDescent="0.3">
      <c r="A95" s="110" t="s">
        <v>1563</v>
      </c>
      <c r="B95" s="95" t="s">
        <v>624</v>
      </c>
      <c r="C95" s="95">
        <v>123355</v>
      </c>
      <c r="D95" s="97">
        <f t="shared" si="22"/>
        <v>42.864936617369061</v>
      </c>
      <c r="E95" s="98">
        <f t="shared" si="23"/>
        <v>11102.029685928273</v>
      </c>
      <c r="F95" s="111">
        <v>7.4532852336751651E-2</v>
      </c>
      <c r="G95" s="112">
        <v>4.4197640954967372E-2</v>
      </c>
      <c r="H95" s="112">
        <v>3.4777674192371611E-3</v>
      </c>
      <c r="I95" s="112">
        <v>4.2154756596814072E-4</v>
      </c>
      <c r="J95" s="112">
        <v>0</v>
      </c>
      <c r="K95" s="112">
        <v>2.2698715090592193E-4</v>
      </c>
      <c r="L95" s="112">
        <v>0.35458635645089376</v>
      </c>
      <c r="M95" s="112">
        <v>6.6393741639982171E-2</v>
      </c>
      <c r="N95" s="112">
        <v>0.12824774026184591</v>
      </c>
      <c r="O95" s="112">
        <v>6.9652628592274335E-2</v>
      </c>
      <c r="P95" s="112">
        <v>5.2125977868752787E-3</v>
      </c>
      <c r="Q95" s="112">
        <v>0.15007093348465811</v>
      </c>
      <c r="R95" s="112">
        <v>7.650277653925662E-2</v>
      </c>
      <c r="S95" s="112">
        <v>1.6902436058530257E-2</v>
      </c>
      <c r="T95" s="113">
        <v>9.5739937578533506E-3</v>
      </c>
      <c r="V95" s="42">
        <f t="shared" si="24"/>
        <v>0.10100928215313526</v>
      </c>
      <c r="W95" s="42">
        <f t="shared" si="25"/>
        <v>0.22657371002391474</v>
      </c>
      <c r="X95" s="42">
        <f t="shared" si="26"/>
        <v>0.62432005188277739</v>
      </c>
      <c r="Y95" s="42">
        <f t="shared" si="27"/>
        <v>4.8096955940172673E-2</v>
      </c>
      <c r="Z95" s="42">
        <f t="shared" si="28"/>
        <v>0</v>
      </c>
      <c r="AA95" s="42">
        <f t="shared" si="29"/>
        <v>1</v>
      </c>
    </row>
    <row r="96" spans="1:27" x14ac:dyDescent="0.3">
      <c r="A96" s="110" t="s">
        <v>1563</v>
      </c>
      <c r="B96" s="102" t="s">
        <v>628</v>
      </c>
      <c r="C96" s="95">
        <v>123355</v>
      </c>
      <c r="D96" s="97">
        <f>C96/2877.76</f>
        <v>42.864936617369061</v>
      </c>
      <c r="E96" s="98">
        <f>D96/0.003861</f>
        <v>11102.029685928273</v>
      </c>
      <c r="F96" s="111">
        <v>7.4532852336751651E-2</v>
      </c>
      <c r="G96" s="112">
        <v>4.4197640954967372E-2</v>
      </c>
      <c r="H96" s="112">
        <v>3.4777674192371611E-3</v>
      </c>
      <c r="I96" s="112">
        <v>4.2154756596814072E-4</v>
      </c>
      <c r="J96" s="112">
        <v>0</v>
      </c>
      <c r="K96" s="112">
        <v>2.2698715090592193E-4</v>
      </c>
      <c r="L96" s="112">
        <v>0.35458635645089376</v>
      </c>
      <c r="M96" s="112">
        <v>6.6393741639982171E-2</v>
      </c>
      <c r="N96" s="112">
        <v>0.12824774026184591</v>
      </c>
      <c r="O96" s="112">
        <v>6.9652628592274335E-2</v>
      </c>
      <c r="P96" s="112">
        <v>5.2125977868752787E-3</v>
      </c>
      <c r="Q96" s="112">
        <v>0.15007093348465811</v>
      </c>
      <c r="R96" s="112">
        <v>7.650277653925662E-2</v>
      </c>
      <c r="S96" s="112">
        <v>1.6902436058530257E-2</v>
      </c>
      <c r="T96" s="113">
        <v>9.5739937578533506E-3</v>
      </c>
      <c r="V96" s="42">
        <f>F96+S96+T96</f>
        <v>0.10100928215313526</v>
      </c>
      <c r="W96" s="42">
        <f>Q96+R96</f>
        <v>0.22657371002391474</v>
      </c>
      <c r="X96" s="42">
        <f>SUM(K96:P96)</f>
        <v>0.62432005188277739</v>
      </c>
      <c r="Y96" s="42">
        <f>SUM(G96:I96)</f>
        <v>4.8096955940172673E-2</v>
      </c>
      <c r="Z96" s="42">
        <f>J96</f>
        <v>0</v>
      </c>
      <c r="AA96" s="42">
        <f>SUM(V96:Z96)</f>
        <v>1</v>
      </c>
    </row>
    <row r="97" spans="1:27" x14ac:dyDescent="0.3">
      <c r="A97" s="110" t="s">
        <v>1563</v>
      </c>
      <c r="B97" s="102" t="s">
        <v>629</v>
      </c>
      <c r="C97" s="95">
        <v>123355</v>
      </c>
      <c r="D97" s="97">
        <f>C97/2877.76</f>
        <v>42.864936617369061</v>
      </c>
      <c r="E97" s="98">
        <f>D97/0.003861</f>
        <v>11102.029685928273</v>
      </c>
      <c r="F97" s="111">
        <v>7.4532852336751651E-2</v>
      </c>
      <c r="G97" s="112">
        <v>4.4197640954967372E-2</v>
      </c>
      <c r="H97" s="112">
        <v>3.4777674192371611E-3</v>
      </c>
      <c r="I97" s="112">
        <v>4.2154756596814072E-4</v>
      </c>
      <c r="J97" s="112">
        <v>0</v>
      </c>
      <c r="K97" s="112">
        <v>2.2698715090592193E-4</v>
      </c>
      <c r="L97" s="112">
        <v>0.35458635645089376</v>
      </c>
      <c r="M97" s="112">
        <v>6.6393741639982171E-2</v>
      </c>
      <c r="N97" s="112">
        <v>0.12824774026184591</v>
      </c>
      <c r="O97" s="112">
        <v>6.9652628592274335E-2</v>
      </c>
      <c r="P97" s="112">
        <v>5.2125977868752787E-3</v>
      </c>
      <c r="Q97" s="112">
        <v>0.15007093348465811</v>
      </c>
      <c r="R97" s="112">
        <v>7.650277653925662E-2</v>
      </c>
      <c r="S97" s="112">
        <v>1.6902436058530257E-2</v>
      </c>
      <c r="T97" s="113">
        <v>9.5739937578533506E-3</v>
      </c>
      <c r="V97" s="42">
        <f>F97+S97+T97</f>
        <v>0.10100928215313526</v>
      </c>
      <c r="W97" s="42">
        <f>Q97+R97</f>
        <v>0.22657371002391474</v>
      </c>
      <c r="X97" s="42">
        <f>SUM(K97:P97)</f>
        <v>0.62432005188277739</v>
      </c>
      <c r="Y97" s="42">
        <f>SUM(G97:I97)</f>
        <v>4.8096955940172673E-2</v>
      </c>
      <c r="Z97" s="42">
        <f>J97</f>
        <v>0</v>
      </c>
      <c r="AA97" s="42">
        <f>SUM(V97:Z97)</f>
        <v>1</v>
      </c>
    </row>
    <row r="98" spans="1:27" x14ac:dyDescent="0.3">
      <c r="A98" s="42" t="s">
        <v>1564</v>
      </c>
      <c r="B98" s="95" t="s">
        <v>630</v>
      </c>
      <c r="C98" s="95">
        <v>2065</v>
      </c>
      <c r="D98" s="97">
        <f t="shared" si="22"/>
        <v>0.7175720004447903</v>
      </c>
      <c r="E98" s="98">
        <f t="shared" si="23"/>
        <v>185.85133396653467</v>
      </c>
      <c r="F98" s="99">
        <v>0.25084745762711863</v>
      </c>
      <c r="G98" s="42">
        <v>7.7481840193704601E-3</v>
      </c>
      <c r="H98" s="42">
        <v>0</v>
      </c>
      <c r="I98" s="42">
        <v>0</v>
      </c>
      <c r="J98" s="42">
        <v>0</v>
      </c>
      <c r="K98" s="42">
        <v>0</v>
      </c>
      <c r="L98" s="42">
        <v>0.40774818401937046</v>
      </c>
      <c r="M98" s="42">
        <v>7.5060532687651338E-2</v>
      </c>
      <c r="N98" s="42">
        <v>0.20338983050847459</v>
      </c>
      <c r="O98" s="42">
        <v>0</v>
      </c>
      <c r="P98" s="42">
        <v>0</v>
      </c>
      <c r="Q98" s="42">
        <v>4.0193704600484263E-2</v>
      </c>
      <c r="R98" s="42">
        <v>0</v>
      </c>
      <c r="S98" s="42">
        <v>1.5012106537530266E-2</v>
      </c>
      <c r="T98" s="100">
        <v>0</v>
      </c>
      <c r="V98" s="42">
        <f t="shared" si="24"/>
        <v>0.2658595641646489</v>
      </c>
      <c r="W98" s="42">
        <f t="shared" si="25"/>
        <v>4.0193704600484263E-2</v>
      </c>
      <c r="X98" s="42">
        <f t="shared" si="26"/>
        <v>0.68619854721549634</v>
      </c>
      <c r="Y98" s="42">
        <f t="shared" si="27"/>
        <v>7.7481840193704601E-3</v>
      </c>
      <c r="Z98" s="42">
        <f t="shared" si="28"/>
        <v>0</v>
      </c>
      <c r="AA98" s="42">
        <f t="shared" si="29"/>
        <v>1</v>
      </c>
    </row>
    <row r="99" spans="1:27" x14ac:dyDescent="0.3">
      <c r="A99" s="42" t="s">
        <v>1565</v>
      </c>
      <c r="B99" s="95" t="s">
        <v>637</v>
      </c>
      <c r="C99" s="95">
        <v>971</v>
      </c>
      <c r="D99" s="97">
        <f t="shared" si="22"/>
        <v>0.33741521183142442</v>
      </c>
      <c r="E99" s="98">
        <f t="shared" si="23"/>
        <v>87.390627254966191</v>
      </c>
      <c r="F99" s="99">
        <v>0</v>
      </c>
      <c r="G99" s="42">
        <v>0.51390319258496397</v>
      </c>
      <c r="H99" s="42">
        <v>0.19876416065911431</v>
      </c>
      <c r="I99" s="42">
        <v>2.0597322348094749E-2</v>
      </c>
      <c r="J99" s="42">
        <v>0</v>
      </c>
      <c r="K99" s="42">
        <v>0</v>
      </c>
      <c r="L99" s="42">
        <v>0.11946446961894953</v>
      </c>
      <c r="M99" s="42">
        <v>0</v>
      </c>
      <c r="N99" s="42">
        <v>1.5447991761071062E-2</v>
      </c>
      <c r="O99" s="42">
        <v>8.2389289392378988E-3</v>
      </c>
      <c r="P99" s="42">
        <v>0</v>
      </c>
      <c r="Q99" s="42">
        <v>2.1627188465499485E-2</v>
      </c>
      <c r="R99" s="42">
        <v>0</v>
      </c>
      <c r="S99" s="42">
        <v>0</v>
      </c>
      <c r="T99" s="100">
        <v>0.101956745623069</v>
      </c>
      <c r="V99" s="42">
        <f t="shared" si="24"/>
        <v>0.101956745623069</v>
      </c>
      <c r="W99" s="42">
        <f t="shared" si="25"/>
        <v>2.1627188465499485E-2</v>
      </c>
      <c r="X99" s="42">
        <f t="shared" si="26"/>
        <v>0.1431513903192585</v>
      </c>
      <c r="Y99" s="42">
        <f t="shared" si="27"/>
        <v>0.73326467559217301</v>
      </c>
      <c r="Z99" s="42">
        <f t="shared" si="28"/>
        <v>0</v>
      </c>
      <c r="AA99" s="42">
        <f t="shared" si="29"/>
        <v>1</v>
      </c>
    </row>
    <row r="100" spans="1:27" x14ac:dyDescent="0.3">
      <c r="A100" s="42" t="s">
        <v>1566</v>
      </c>
      <c r="B100" s="95" t="s">
        <v>641</v>
      </c>
      <c r="C100" s="95">
        <v>115298</v>
      </c>
      <c r="D100" s="97">
        <f t="shared" si="22"/>
        <v>40.065189591904812</v>
      </c>
      <c r="E100" s="98">
        <f t="shared" si="23"/>
        <v>10376.894481197827</v>
      </c>
      <c r="F100" s="99">
        <v>7.0235390032784617E-2</v>
      </c>
      <c r="G100" s="42">
        <v>3.3842737948620097E-2</v>
      </c>
      <c r="H100" s="42">
        <v>2.940207115474683E-3</v>
      </c>
      <c r="I100" s="42">
        <v>3.7294662526670021E-4</v>
      </c>
      <c r="J100" s="42">
        <v>0</v>
      </c>
      <c r="K100" s="42">
        <v>0</v>
      </c>
      <c r="L100" s="42">
        <v>0.57809328869538068</v>
      </c>
      <c r="M100" s="42">
        <v>4.0850665232701346E-2</v>
      </c>
      <c r="N100" s="42">
        <v>5.4797134382209581E-2</v>
      </c>
      <c r="O100" s="42">
        <v>5.6956755537823728E-2</v>
      </c>
      <c r="P100" s="42">
        <v>1.613210983711773E-3</v>
      </c>
      <c r="Q100" s="42">
        <v>9.504935037901785E-2</v>
      </c>
      <c r="R100" s="42">
        <v>2.2827802737254765E-2</v>
      </c>
      <c r="S100" s="42">
        <v>3.8994605283699628E-2</v>
      </c>
      <c r="T100" s="100">
        <v>3.4259050460545715E-3</v>
      </c>
      <c r="V100" s="42">
        <f t="shared" si="24"/>
        <v>0.11265590036253882</v>
      </c>
      <c r="W100" s="42">
        <f t="shared" si="25"/>
        <v>0.11787715311627261</v>
      </c>
      <c r="X100" s="42">
        <f t="shared" si="26"/>
        <v>0.73231105483182712</v>
      </c>
      <c r="Y100" s="42">
        <f t="shared" si="27"/>
        <v>3.7155891689361481E-2</v>
      </c>
      <c r="Z100" s="42">
        <f t="shared" si="28"/>
        <v>0</v>
      </c>
      <c r="AA100" s="42">
        <f t="shared" si="29"/>
        <v>1</v>
      </c>
    </row>
    <row r="101" spans="1:27" x14ac:dyDescent="0.3">
      <c r="A101" s="42" t="s">
        <v>1566</v>
      </c>
      <c r="B101" s="102" t="s">
        <v>646</v>
      </c>
      <c r="C101" s="95">
        <v>115298</v>
      </c>
      <c r="D101" s="97">
        <f>C101/2877.76</f>
        <v>40.065189591904812</v>
      </c>
      <c r="E101" s="98">
        <f>D101/0.003861</f>
        <v>10376.894481197827</v>
      </c>
      <c r="F101" s="99">
        <v>7.0235390032784617E-2</v>
      </c>
      <c r="G101" s="42">
        <v>3.3842737948620097E-2</v>
      </c>
      <c r="H101" s="42">
        <v>2.940207115474683E-3</v>
      </c>
      <c r="I101" s="42">
        <v>3.7294662526670021E-4</v>
      </c>
      <c r="J101" s="42">
        <v>0</v>
      </c>
      <c r="K101" s="42">
        <v>0</v>
      </c>
      <c r="L101" s="42">
        <v>0.57809328869538068</v>
      </c>
      <c r="M101" s="42">
        <v>4.0850665232701346E-2</v>
      </c>
      <c r="N101" s="42">
        <v>5.4797134382209581E-2</v>
      </c>
      <c r="O101" s="42">
        <v>5.6956755537823728E-2</v>
      </c>
      <c r="P101" s="42">
        <v>1.613210983711773E-3</v>
      </c>
      <c r="Q101" s="42">
        <v>9.504935037901785E-2</v>
      </c>
      <c r="R101" s="42">
        <v>2.2827802737254765E-2</v>
      </c>
      <c r="S101" s="42">
        <v>3.8994605283699628E-2</v>
      </c>
      <c r="T101" s="100">
        <v>3.4259050460545715E-3</v>
      </c>
      <c r="V101" s="42">
        <f>F101+S101+T101</f>
        <v>0.11265590036253882</v>
      </c>
      <c r="W101" s="42">
        <f>Q101+R101</f>
        <v>0.11787715311627261</v>
      </c>
      <c r="X101" s="42">
        <f>SUM(K101:P101)</f>
        <v>0.73231105483182712</v>
      </c>
      <c r="Y101" s="42">
        <f>SUM(G101:I101)</f>
        <v>3.7155891689361481E-2</v>
      </c>
      <c r="Z101" s="42">
        <f>J101</f>
        <v>0</v>
      </c>
      <c r="AA101" s="42">
        <f>SUM(V101:Z101)</f>
        <v>1</v>
      </c>
    </row>
    <row r="102" spans="1:27" x14ac:dyDescent="0.3">
      <c r="A102" s="107" t="s">
        <v>1567</v>
      </c>
      <c r="B102" s="95" t="s">
        <v>1568</v>
      </c>
      <c r="C102" s="95">
        <v>19988</v>
      </c>
      <c r="D102" s="97">
        <f t="shared" si="22"/>
        <v>6.9456799733125756</v>
      </c>
      <c r="E102" s="98">
        <f t="shared" si="23"/>
        <v>1798.9329120208693</v>
      </c>
      <c r="F102" s="99">
        <v>5.0880528316990192E-2</v>
      </c>
      <c r="G102" s="42">
        <v>3.817290374224535E-2</v>
      </c>
      <c r="H102" s="42">
        <v>7.9547728637182312E-3</v>
      </c>
      <c r="I102" s="42">
        <v>8.0048028817290373E-4</v>
      </c>
      <c r="J102" s="42">
        <v>4.0024014408645187E-4</v>
      </c>
      <c r="K102" s="42">
        <v>9.0054032419451674E-4</v>
      </c>
      <c r="L102" s="42">
        <v>0.57649589753852315</v>
      </c>
      <c r="M102" s="42">
        <v>0.17780668401040625</v>
      </c>
      <c r="N102" s="42">
        <v>2.1963177906744045E-2</v>
      </c>
      <c r="O102" s="42">
        <v>2.7716629977986792E-2</v>
      </c>
      <c r="P102" s="42">
        <v>2.2513508104862918E-3</v>
      </c>
      <c r="Q102" s="42">
        <v>1.9011406844106464E-3</v>
      </c>
      <c r="R102" s="42">
        <v>0</v>
      </c>
      <c r="S102" s="42">
        <v>9.0354212527516506E-2</v>
      </c>
      <c r="T102" s="100">
        <v>2.4014408645187113E-3</v>
      </c>
      <c r="V102" s="42">
        <f t="shared" si="24"/>
        <v>0.14363618170902542</v>
      </c>
      <c r="W102" s="42">
        <f t="shared" si="25"/>
        <v>1.9011406844106464E-3</v>
      </c>
      <c r="X102" s="42">
        <f t="shared" si="26"/>
        <v>0.80713428056834102</v>
      </c>
      <c r="Y102" s="42">
        <f t="shared" si="27"/>
        <v>4.6928156894136479E-2</v>
      </c>
      <c r="Z102" s="42">
        <f t="shared" si="28"/>
        <v>4.0024014408645187E-4</v>
      </c>
      <c r="AA102" s="42">
        <f t="shared" si="29"/>
        <v>1</v>
      </c>
    </row>
    <row r="103" spans="1:27" x14ac:dyDescent="0.3">
      <c r="A103" s="42" t="s">
        <v>1569</v>
      </c>
      <c r="B103" s="95" t="s">
        <v>649</v>
      </c>
      <c r="C103" s="95">
        <v>6208</v>
      </c>
      <c r="D103" s="97">
        <f t="shared" si="22"/>
        <v>2.1572334037584788</v>
      </c>
      <c r="E103" s="98">
        <f t="shared" si="23"/>
        <v>558.72401029745629</v>
      </c>
      <c r="F103" s="99">
        <v>9.8421391752577317E-2</v>
      </c>
      <c r="G103" s="42">
        <v>7.7319587628865982E-3</v>
      </c>
      <c r="H103" s="42">
        <v>0</v>
      </c>
      <c r="I103" s="42">
        <v>0</v>
      </c>
      <c r="J103" s="42">
        <v>0</v>
      </c>
      <c r="K103" s="42">
        <v>0</v>
      </c>
      <c r="L103" s="42">
        <v>0.46665592783505155</v>
      </c>
      <c r="M103" s="42">
        <v>0.25402706185567009</v>
      </c>
      <c r="N103" s="42">
        <v>0.14529639175257733</v>
      </c>
      <c r="O103" s="42">
        <v>1.3047680412371135E-2</v>
      </c>
      <c r="P103" s="42">
        <v>1.6108247422680412E-3</v>
      </c>
      <c r="Q103" s="42">
        <v>0</v>
      </c>
      <c r="R103" s="42">
        <v>0</v>
      </c>
      <c r="S103" s="42">
        <v>1.3208762886597938E-2</v>
      </c>
      <c r="T103" s="100">
        <v>0</v>
      </c>
      <c r="V103" s="42">
        <f t="shared" si="24"/>
        <v>0.11163015463917525</v>
      </c>
      <c r="W103" s="42">
        <f t="shared" si="25"/>
        <v>0</v>
      </c>
      <c r="X103" s="42">
        <f t="shared" si="26"/>
        <v>0.88063788659793818</v>
      </c>
      <c r="Y103" s="42">
        <f t="shared" si="27"/>
        <v>7.7319587628865982E-3</v>
      </c>
      <c r="Z103" s="42">
        <f t="shared" si="28"/>
        <v>0</v>
      </c>
      <c r="AA103" s="42">
        <f t="shared" si="29"/>
        <v>1</v>
      </c>
    </row>
    <row r="104" spans="1:27" x14ac:dyDescent="0.3">
      <c r="A104" s="42" t="s">
        <v>1570</v>
      </c>
      <c r="B104" s="95" t="s">
        <v>652</v>
      </c>
      <c r="C104" s="95">
        <v>5970</v>
      </c>
      <c r="D104" s="97">
        <f t="shared" si="22"/>
        <v>2.0745301901478927</v>
      </c>
      <c r="E104" s="98">
        <f t="shared" si="23"/>
        <v>537.30385655216082</v>
      </c>
      <c r="F104" s="99">
        <v>0.14137353433835845</v>
      </c>
      <c r="G104" s="42">
        <v>2.0938023450586266E-2</v>
      </c>
      <c r="H104" s="42">
        <v>1.0720268006700168E-2</v>
      </c>
      <c r="I104" s="42">
        <v>0</v>
      </c>
      <c r="J104" s="42">
        <v>0</v>
      </c>
      <c r="K104" s="42">
        <v>0</v>
      </c>
      <c r="L104" s="42">
        <v>0.22914572864321608</v>
      </c>
      <c r="M104" s="42">
        <v>0.17185929648241205</v>
      </c>
      <c r="N104" s="42">
        <v>2.7638190954773871E-2</v>
      </c>
      <c r="O104" s="42">
        <v>5.0418760469011725E-2</v>
      </c>
      <c r="P104" s="42">
        <v>5.1926298157453935E-2</v>
      </c>
      <c r="Q104" s="42">
        <v>0.15795644891122279</v>
      </c>
      <c r="R104" s="42">
        <v>0</v>
      </c>
      <c r="S104" s="42">
        <v>0.13299832495812394</v>
      </c>
      <c r="T104" s="100">
        <v>5.0251256281407036E-3</v>
      </c>
      <c r="V104" s="42">
        <f t="shared" si="24"/>
        <v>0.27939698492462312</v>
      </c>
      <c r="W104" s="42">
        <f t="shared" si="25"/>
        <v>0.15795644891122279</v>
      </c>
      <c r="X104" s="42">
        <f t="shared" si="26"/>
        <v>0.53098827470686771</v>
      </c>
      <c r="Y104" s="42">
        <f t="shared" si="27"/>
        <v>3.1658291457286436E-2</v>
      </c>
      <c r="Z104" s="42">
        <f t="shared" si="28"/>
        <v>0</v>
      </c>
      <c r="AA104" s="42">
        <f t="shared" si="29"/>
        <v>1</v>
      </c>
    </row>
    <row r="105" spans="1:27" x14ac:dyDescent="0.3">
      <c r="A105" s="42" t="s">
        <v>1571</v>
      </c>
      <c r="B105" s="95" t="s">
        <v>1572</v>
      </c>
      <c r="C105" s="95">
        <v>373667</v>
      </c>
      <c r="D105" s="97">
        <f t="shared" si="22"/>
        <v>129.84647781607916</v>
      </c>
      <c r="E105" s="98">
        <f t="shared" si="23"/>
        <v>33630.271384635889</v>
      </c>
      <c r="F105" s="99">
        <v>7.0865235624232276E-2</v>
      </c>
      <c r="G105" s="42">
        <v>9.096334436811385E-3</v>
      </c>
      <c r="H105" s="42">
        <v>2.1409436744481049E-4</v>
      </c>
      <c r="I105" s="42">
        <v>2.1409436744481049E-5</v>
      </c>
      <c r="J105" s="42">
        <v>0</v>
      </c>
      <c r="K105" s="42">
        <v>0</v>
      </c>
      <c r="L105" s="42">
        <v>0.67650876315007746</v>
      </c>
      <c r="M105" s="42">
        <v>0.13311049677921785</v>
      </c>
      <c r="N105" s="42">
        <v>6.3310380633023522E-2</v>
      </c>
      <c r="O105" s="42">
        <v>1.9862604939692292E-2</v>
      </c>
      <c r="P105" s="42">
        <v>2.2212290622399087E-4</v>
      </c>
      <c r="Q105" s="42">
        <v>7.7609208198743803E-5</v>
      </c>
      <c r="R105" s="42">
        <v>0</v>
      </c>
      <c r="S105" s="42">
        <v>2.2629774638916467E-2</v>
      </c>
      <c r="T105" s="100">
        <v>4.0811738794166996E-3</v>
      </c>
      <c r="V105" s="42">
        <f t="shared" si="24"/>
        <v>9.7576184142565442E-2</v>
      </c>
      <c r="W105" s="42">
        <f t="shared" si="25"/>
        <v>7.7609208198743803E-5</v>
      </c>
      <c r="X105" s="42">
        <f t="shared" si="26"/>
        <v>0.89301436840823512</v>
      </c>
      <c r="Y105" s="42">
        <f t="shared" si="27"/>
        <v>9.3318382410006763E-3</v>
      </c>
      <c r="Z105" s="42">
        <f t="shared" si="28"/>
        <v>0</v>
      </c>
      <c r="AA105" s="42">
        <f t="shared" si="29"/>
        <v>1</v>
      </c>
    </row>
    <row r="106" spans="1:27" x14ac:dyDescent="0.3">
      <c r="A106" s="115" t="s">
        <v>1573</v>
      </c>
      <c r="B106" s="95" t="s">
        <v>1574</v>
      </c>
      <c r="C106" s="95">
        <v>973</v>
      </c>
      <c r="D106" s="97">
        <f t="shared" si="22"/>
        <v>0.33811019681974869</v>
      </c>
      <c r="E106" s="98">
        <f t="shared" si="23"/>
        <v>87.570628546943453</v>
      </c>
      <c r="F106" s="99">
        <v>0.20349434737923947</v>
      </c>
      <c r="G106" s="42">
        <v>8.2219938335046247E-2</v>
      </c>
      <c r="H106" s="42">
        <v>0</v>
      </c>
      <c r="I106" s="42">
        <v>0</v>
      </c>
      <c r="J106" s="42">
        <v>0</v>
      </c>
      <c r="K106" s="42">
        <v>0</v>
      </c>
      <c r="L106" s="42">
        <v>0.50770811921891057</v>
      </c>
      <c r="M106" s="42">
        <v>0.19116135662898254</v>
      </c>
      <c r="N106" s="42">
        <v>0</v>
      </c>
      <c r="O106" s="42">
        <v>0</v>
      </c>
      <c r="P106" s="42">
        <v>0</v>
      </c>
      <c r="Q106" s="42">
        <v>0</v>
      </c>
      <c r="R106" s="42">
        <v>0</v>
      </c>
      <c r="S106" s="42">
        <v>1.5416238437821172E-2</v>
      </c>
      <c r="T106" s="100">
        <v>0</v>
      </c>
      <c r="V106" s="42">
        <f t="shared" si="24"/>
        <v>0.21891058581706063</v>
      </c>
      <c r="W106" s="42">
        <f t="shared" si="25"/>
        <v>0</v>
      </c>
      <c r="X106" s="42">
        <f t="shared" si="26"/>
        <v>0.69886947584789305</v>
      </c>
      <c r="Y106" s="42">
        <f t="shared" si="27"/>
        <v>8.2219938335046247E-2</v>
      </c>
      <c r="Z106" s="42">
        <f t="shared" si="28"/>
        <v>0</v>
      </c>
      <c r="AA106" s="42">
        <f t="shared" si="29"/>
        <v>0.99999999999999989</v>
      </c>
    </row>
    <row r="107" spans="1:27" x14ac:dyDescent="0.3">
      <c r="A107" s="42" t="s">
        <v>1575</v>
      </c>
      <c r="B107" s="95" t="s">
        <v>665</v>
      </c>
      <c r="C107" s="95">
        <v>125466</v>
      </c>
      <c r="D107" s="97">
        <f t="shared" si="22"/>
        <v>43.598493272545312</v>
      </c>
      <c r="E107" s="98">
        <f t="shared" si="23"/>
        <v>11292.021049610286</v>
      </c>
      <c r="F107" s="99">
        <v>8.2412765211292306E-3</v>
      </c>
      <c r="G107" s="42">
        <v>4.8570927581974399E-2</v>
      </c>
      <c r="H107" s="42">
        <v>5.2683595555768096E-3</v>
      </c>
      <c r="I107" s="42">
        <v>2.7098975021121261E-4</v>
      </c>
      <c r="J107" s="42">
        <v>0</v>
      </c>
      <c r="K107" s="42">
        <v>5.8980122104793325E-4</v>
      </c>
      <c r="L107" s="42">
        <v>0.36782873447786651</v>
      </c>
      <c r="M107" s="42">
        <v>2.7752538536336538E-2</v>
      </c>
      <c r="N107" s="42">
        <v>2.5241898203497364E-2</v>
      </c>
      <c r="O107" s="42">
        <v>0.10795753431208455</v>
      </c>
      <c r="P107" s="42">
        <v>4.8060829228635648E-3</v>
      </c>
      <c r="Q107" s="42">
        <v>0.2324613839605949</v>
      </c>
      <c r="R107" s="42">
        <v>0.12397781072162976</v>
      </c>
      <c r="S107" s="42">
        <v>3.9891285288444676E-2</v>
      </c>
      <c r="T107" s="100">
        <v>7.1413769467425434E-3</v>
      </c>
      <c r="V107" s="42">
        <f t="shared" si="24"/>
        <v>5.5273938756316449E-2</v>
      </c>
      <c r="W107" s="42">
        <f t="shared" si="25"/>
        <v>0.35643919468222468</v>
      </c>
      <c r="X107" s="42">
        <f t="shared" si="26"/>
        <v>0.53417658967369652</v>
      </c>
      <c r="Y107" s="42">
        <f t="shared" si="27"/>
        <v>5.4110276887762418E-2</v>
      </c>
      <c r="Z107" s="42">
        <f t="shared" si="28"/>
        <v>0</v>
      </c>
      <c r="AA107" s="42">
        <f t="shared" si="29"/>
        <v>1</v>
      </c>
    </row>
    <row r="108" spans="1:27" x14ac:dyDescent="0.3">
      <c r="A108" s="42" t="s">
        <v>1576</v>
      </c>
      <c r="B108" s="95" t="s">
        <v>671</v>
      </c>
      <c r="C108" s="95">
        <v>2030</v>
      </c>
      <c r="D108" s="97">
        <f t="shared" si="22"/>
        <v>0.70540976314911596</v>
      </c>
      <c r="E108" s="98">
        <f t="shared" si="23"/>
        <v>182.70131135693239</v>
      </c>
      <c r="F108" s="99">
        <v>9.4581280788177347E-2</v>
      </c>
      <c r="G108" s="42">
        <v>4.1871921182266007E-2</v>
      </c>
      <c r="H108" s="42">
        <v>1.6256157635467981E-2</v>
      </c>
      <c r="I108" s="42">
        <v>7.8817733990147777E-3</v>
      </c>
      <c r="J108" s="42">
        <v>0</v>
      </c>
      <c r="K108" s="42">
        <v>0</v>
      </c>
      <c r="L108" s="42">
        <v>5.2709359605911332E-2</v>
      </c>
      <c r="M108" s="42">
        <v>1.9704433497536944E-3</v>
      </c>
      <c r="N108" s="42">
        <v>3.1034482758620689E-2</v>
      </c>
      <c r="O108" s="42">
        <v>0</v>
      </c>
      <c r="P108" s="42">
        <v>0</v>
      </c>
      <c r="Q108" s="42">
        <v>4.6305418719211823E-2</v>
      </c>
      <c r="R108" s="42">
        <v>0.22266009852216748</v>
      </c>
      <c r="S108" s="42">
        <v>0.3896551724137931</v>
      </c>
      <c r="T108" s="100">
        <v>9.5073891625615761E-2</v>
      </c>
      <c r="V108" s="42">
        <f t="shared" si="24"/>
        <v>0.57931034482758625</v>
      </c>
      <c r="W108" s="42">
        <f t="shared" si="25"/>
        <v>0.26896551724137929</v>
      </c>
      <c r="X108" s="42">
        <f t="shared" si="26"/>
        <v>8.5714285714285715E-2</v>
      </c>
      <c r="Y108" s="42">
        <f t="shared" si="27"/>
        <v>6.6009852216748766E-2</v>
      </c>
      <c r="Z108" s="42">
        <f t="shared" si="28"/>
        <v>0</v>
      </c>
      <c r="AA108" s="42">
        <f t="shared" si="29"/>
        <v>1</v>
      </c>
    </row>
    <row r="109" spans="1:27" x14ac:dyDescent="0.3">
      <c r="A109" s="42" t="s">
        <v>1577</v>
      </c>
      <c r="B109" s="95" t="s">
        <v>678</v>
      </c>
      <c r="C109" s="95">
        <v>1991</v>
      </c>
      <c r="D109" s="97">
        <f t="shared" si="22"/>
        <v>0.69185755587679298</v>
      </c>
      <c r="E109" s="98">
        <f t="shared" si="23"/>
        <v>179.19128616337557</v>
      </c>
      <c r="F109" s="99">
        <v>0.19588146659969866</v>
      </c>
      <c r="G109" s="42">
        <v>2.5113008538422903E-2</v>
      </c>
      <c r="H109" s="42">
        <v>0</v>
      </c>
      <c r="I109" s="42">
        <v>0</v>
      </c>
      <c r="J109" s="42">
        <v>0</v>
      </c>
      <c r="K109" s="42">
        <v>0</v>
      </c>
      <c r="L109" s="42">
        <v>0.16373681567051732</v>
      </c>
      <c r="M109" s="42">
        <v>0.45203415369161226</v>
      </c>
      <c r="N109" s="42">
        <v>0.14163736815670516</v>
      </c>
      <c r="O109" s="42">
        <v>0</v>
      </c>
      <c r="P109" s="42">
        <v>0</v>
      </c>
      <c r="Q109" s="42">
        <v>0</v>
      </c>
      <c r="R109" s="42">
        <v>0</v>
      </c>
      <c r="S109" s="42">
        <v>2.1597187343043698E-2</v>
      </c>
      <c r="T109" s="100">
        <v>0</v>
      </c>
      <c r="V109" s="42">
        <f t="shared" si="24"/>
        <v>0.21747865394274235</v>
      </c>
      <c r="W109" s="42">
        <f t="shared" si="25"/>
        <v>0</v>
      </c>
      <c r="X109" s="42">
        <f t="shared" si="26"/>
        <v>0.75740833751883474</v>
      </c>
      <c r="Y109" s="42">
        <f t="shared" si="27"/>
        <v>2.5113008538422903E-2</v>
      </c>
      <c r="Z109" s="42">
        <f t="shared" si="28"/>
        <v>0</v>
      </c>
      <c r="AA109" s="42">
        <f t="shared" si="29"/>
        <v>1</v>
      </c>
    </row>
    <row r="110" spans="1:27" x14ac:dyDescent="0.3">
      <c r="A110" s="101" t="s">
        <v>1578</v>
      </c>
      <c r="B110" s="95" t="s">
        <v>1579</v>
      </c>
      <c r="C110" s="95">
        <v>60978</v>
      </c>
      <c r="D110" s="97">
        <f t="shared" si="22"/>
        <v>21.189397309018123</v>
      </c>
      <c r="E110" s="98">
        <f t="shared" si="23"/>
        <v>5488.0593910950847</v>
      </c>
      <c r="F110" s="99">
        <v>3.4061464790580212E-2</v>
      </c>
      <c r="G110" s="42">
        <v>0</v>
      </c>
      <c r="H110" s="42">
        <v>0</v>
      </c>
      <c r="I110" s="42">
        <v>0</v>
      </c>
      <c r="J110" s="42">
        <v>0</v>
      </c>
      <c r="K110" s="42">
        <v>6.0677621437239663E-4</v>
      </c>
      <c r="L110" s="42">
        <v>0.4975564957853652</v>
      </c>
      <c r="M110" s="42">
        <v>0.29766473154252354</v>
      </c>
      <c r="N110" s="42">
        <v>2.5484601003640656E-2</v>
      </c>
      <c r="O110" s="42">
        <v>2.4172652432024665E-2</v>
      </c>
      <c r="P110" s="42">
        <v>2.1975138574567878E-3</v>
      </c>
      <c r="Q110" s="42">
        <v>0</v>
      </c>
      <c r="R110" s="42">
        <v>0</v>
      </c>
      <c r="S110" s="42">
        <v>0.10438190822919742</v>
      </c>
      <c r="T110" s="100">
        <v>1.3873856144839122E-2</v>
      </c>
      <c r="V110" s="42">
        <f t="shared" si="24"/>
        <v>0.15231722916461676</v>
      </c>
      <c r="W110" s="42">
        <f t="shared" si="25"/>
        <v>0</v>
      </c>
      <c r="X110" s="42">
        <f t="shared" si="26"/>
        <v>0.84768277083538335</v>
      </c>
      <c r="Y110" s="42">
        <f t="shared" si="27"/>
        <v>0</v>
      </c>
      <c r="Z110" s="42">
        <f t="shared" si="28"/>
        <v>0</v>
      </c>
      <c r="AA110" s="42">
        <f t="shared" si="29"/>
        <v>1</v>
      </c>
    </row>
    <row r="111" spans="1:27" x14ac:dyDescent="0.3">
      <c r="A111" s="42" t="s">
        <v>1580</v>
      </c>
      <c r="B111" s="95" t="s">
        <v>683</v>
      </c>
      <c r="C111" s="95">
        <v>20963</v>
      </c>
      <c r="D111" s="97">
        <f t="shared" si="22"/>
        <v>7.2844851551206489</v>
      </c>
      <c r="E111" s="98">
        <f t="shared" si="23"/>
        <v>1886.68354185979</v>
      </c>
      <c r="F111" s="99">
        <v>2.9862138052759623E-2</v>
      </c>
      <c r="G111" s="42">
        <v>8.2049325001192584E-3</v>
      </c>
      <c r="H111" s="42">
        <v>0</v>
      </c>
      <c r="I111" s="42">
        <v>0</v>
      </c>
      <c r="J111" s="42">
        <v>0</v>
      </c>
      <c r="K111" s="42">
        <v>0</v>
      </c>
      <c r="L111" s="42">
        <v>0.62099890282879355</v>
      </c>
      <c r="M111" s="42">
        <v>8.2335543576778136E-2</v>
      </c>
      <c r="N111" s="42">
        <v>3.8448695320326291E-2</v>
      </c>
      <c r="O111" s="42">
        <v>0.10518532652769165</v>
      </c>
      <c r="P111" s="42">
        <v>2.2897486046844439E-3</v>
      </c>
      <c r="Q111" s="42">
        <v>8.6104088155321279E-2</v>
      </c>
      <c r="R111" s="42">
        <v>3.6731383866812958E-3</v>
      </c>
      <c r="S111" s="42">
        <v>1.7554739302580738E-2</v>
      </c>
      <c r="T111" s="100">
        <v>5.3427467442637025E-3</v>
      </c>
      <c r="V111" s="42">
        <f t="shared" si="24"/>
        <v>5.2759624099604066E-2</v>
      </c>
      <c r="W111" s="42">
        <f t="shared" si="25"/>
        <v>8.9777226542002569E-2</v>
      </c>
      <c r="X111" s="42">
        <f t="shared" si="26"/>
        <v>0.84925821685827407</v>
      </c>
      <c r="Y111" s="42">
        <f t="shared" si="27"/>
        <v>8.2049325001192584E-3</v>
      </c>
      <c r="Z111" s="42">
        <f t="shared" si="28"/>
        <v>0</v>
      </c>
      <c r="AA111" s="42">
        <f t="shared" si="29"/>
        <v>1</v>
      </c>
    </row>
    <row r="112" spans="1:27" x14ac:dyDescent="0.3">
      <c r="A112" s="115" t="s">
        <v>1581</v>
      </c>
      <c r="B112" s="95" t="s">
        <v>690</v>
      </c>
      <c r="C112" s="95">
        <v>603</v>
      </c>
      <c r="D112" s="97">
        <f>C112/2877.76</f>
        <v>0.20953797397976201</v>
      </c>
      <c r="E112" s="98">
        <f>D112/0.003861</f>
        <v>54.270389531147892</v>
      </c>
      <c r="F112" s="99">
        <v>0.1558872305140962</v>
      </c>
      <c r="G112" s="42">
        <v>0.45107794361525705</v>
      </c>
      <c r="H112" s="42">
        <v>0</v>
      </c>
      <c r="I112" s="42">
        <v>9.9502487562189053E-3</v>
      </c>
      <c r="J112" s="42">
        <v>0</v>
      </c>
      <c r="K112" s="42">
        <v>0</v>
      </c>
      <c r="L112" s="42">
        <v>0.32172470978441126</v>
      </c>
      <c r="M112" s="42">
        <v>6.1359867330016582E-2</v>
      </c>
      <c r="N112" s="42">
        <v>0</v>
      </c>
      <c r="O112" s="42">
        <v>0</v>
      </c>
      <c r="P112" s="42">
        <v>0</v>
      </c>
      <c r="Q112" s="42">
        <v>0</v>
      </c>
      <c r="R112" s="42">
        <v>0</v>
      </c>
      <c r="S112" s="42">
        <v>0</v>
      </c>
      <c r="T112" s="100">
        <v>0</v>
      </c>
      <c r="V112" s="42">
        <f>F112+S112+T112</f>
        <v>0.1558872305140962</v>
      </c>
      <c r="W112" s="42">
        <f>Q112+R112</f>
        <v>0</v>
      </c>
      <c r="X112" s="42">
        <f>SUM(K112:P112)</f>
        <v>0.38308457711442784</v>
      </c>
      <c r="Y112" s="42">
        <f>SUM(G112:I112)</f>
        <v>0.46102819237147596</v>
      </c>
      <c r="Z112" s="42">
        <f>J112</f>
        <v>0</v>
      </c>
      <c r="AA112" s="42">
        <f>SUM(V112:Z112)</f>
        <v>1</v>
      </c>
    </row>
    <row r="113" spans="1:27" x14ac:dyDescent="0.3">
      <c r="A113" s="42" t="s">
        <v>1582</v>
      </c>
      <c r="B113" s="95" t="s">
        <v>698</v>
      </c>
      <c r="C113" s="95">
        <v>419642</v>
      </c>
      <c r="D113" s="97">
        <f t="shared" ref="D113:D175" si="30">C113/2877.76</f>
        <v>145.8224452351829</v>
      </c>
      <c r="E113" s="98">
        <f t="shared" ref="E113:E175" si="31">D113/0.003861</f>
        <v>37768.051083963459</v>
      </c>
      <c r="F113" s="99">
        <v>2.5271540980168809E-2</v>
      </c>
      <c r="G113" s="42">
        <v>8.1021442086349799E-4</v>
      </c>
      <c r="H113" s="42">
        <v>4.384689807025989E-4</v>
      </c>
      <c r="I113" s="42">
        <v>1.0485127799409973E-4</v>
      </c>
      <c r="J113" s="42">
        <v>0</v>
      </c>
      <c r="K113" s="42">
        <v>0</v>
      </c>
      <c r="L113" s="42">
        <v>0.55722973391605224</v>
      </c>
      <c r="M113" s="42">
        <v>0.14851706931146072</v>
      </c>
      <c r="N113" s="42">
        <v>9.3179424366483812E-2</v>
      </c>
      <c r="O113" s="42">
        <v>5.5456794124515658E-2</v>
      </c>
      <c r="P113" s="42">
        <v>2.6069840483078435E-3</v>
      </c>
      <c r="Q113" s="42">
        <v>1.0647170683582672E-2</v>
      </c>
      <c r="R113" s="42">
        <v>1.6776204479055958E-3</v>
      </c>
      <c r="S113" s="42">
        <v>9.6811091358824902E-2</v>
      </c>
      <c r="T113" s="100">
        <v>7.2490360831375311E-3</v>
      </c>
      <c r="V113" s="42">
        <f t="shared" si="24"/>
        <v>0.12933166842213126</v>
      </c>
      <c r="W113" s="42">
        <f t="shared" si="25"/>
        <v>1.2324791131488268E-2</v>
      </c>
      <c r="X113" s="42">
        <f t="shared" si="26"/>
        <v>0.85699000576682027</v>
      </c>
      <c r="Y113" s="42">
        <f t="shared" si="27"/>
        <v>1.3535346795601965E-3</v>
      </c>
      <c r="Z113" s="42">
        <f t="shared" si="28"/>
        <v>0</v>
      </c>
      <c r="AA113" s="42">
        <f t="shared" si="29"/>
        <v>1</v>
      </c>
    </row>
    <row r="114" spans="1:27" x14ac:dyDescent="0.3">
      <c r="A114" s="42" t="s">
        <v>1583</v>
      </c>
      <c r="B114" s="95" t="s">
        <v>701</v>
      </c>
      <c r="C114" s="95">
        <v>6463</v>
      </c>
      <c r="D114" s="97">
        <f t="shared" si="30"/>
        <v>2.2458439897698206</v>
      </c>
      <c r="E114" s="98">
        <f t="shared" si="31"/>
        <v>581.67417502455862</v>
      </c>
      <c r="F114" s="99">
        <v>6.74609314559802E-2</v>
      </c>
      <c r="G114" s="42">
        <v>2.073340553922327E-2</v>
      </c>
      <c r="H114" s="42">
        <v>0</v>
      </c>
      <c r="I114" s="42">
        <v>0</v>
      </c>
      <c r="J114" s="42">
        <v>0</v>
      </c>
      <c r="K114" s="42">
        <v>0</v>
      </c>
      <c r="L114" s="42">
        <v>0.19990716385579452</v>
      </c>
      <c r="M114" s="42">
        <v>0.34674299860745783</v>
      </c>
      <c r="N114" s="42">
        <v>0.29939656506266438</v>
      </c>
      <c r="O114" s="42">
        <v>3.0945381401825778E-3</v>
      </c>
      <c r="P114" s="42">
        <v>0</v>
      </c>
      <c r="Q114" s="42">
        <v>0</v>
      </c>
      <c r="R114" s="42">
        <v>0</v>
      </c>
      <c r="S114" s="42">
        <v>6.2664397338697206E-2</v>
      </c>
      <c r="T114" s="100">
        <v>0</v>
      </c>
      <c r="V114" s="42">
        <f t="shared" si="24"/>
        <v>0.13012532879467742</v>
      </c>
      <c r="W114" s="42">
        <f t="shared" si="25"/>
        <v>0</v>
      </c>
      <c r="X114" s="42">
        <f t="shared" si="26"/>
        <v>0.84914126566609927</v>
      </c>
      <c r="Y114" s="42">
        <f t="shared" si="27"/>
        <v>2.073340553922327E-2</v>
      </c>
      <c r="Z114" s="42">
        <f t="shared" si="28"/>
        <v>0</v>
      </c>
      <c r="AA114" s="42">
        <f t="shared" si="29"/>
        <v>1</v>
      </c>
    </row>
    <row r="115" spans="1:27" x14ac:dyDescent="0.3">
      <c r="A115" s="110" t="s">
        <v>1584</v>
      </c>
      <c r="B115" s="95" t="s">
        <v>703</v>
      </c>
      <c r="C115" s="95">
        <v>507307</v>
      </c>
      <c r="D115" s="97">
        <f t="shared" si="30"/>
        <v>176.28537473590569</v>
      </c>
      <c r="E115" s="98">
        <f t="shared" si="31"/>
        <v>45657.957714557291</v>
      </c>
      <c r="F115" s="111">
        <v>0.10464866441819254</v>
      </c>
      <c r="G115" s="112">
        <v>4.4525307161146999E-2</v>
      </c>
      <c r="H115" s="112">
        <v>5.889924641292156E-3</v>
      </c>
      <c r="I115" s="112">
        <v>1.5966663184225724E-3</v>
      </c>
      <c r="J115" s="112">
        <v>2.5034150918477373E-4</v>
      </c>
      <c r="K115" s="112">
        <v>4.533743867125823E-5</v>
      </c>
      <c r="L115" s="112">
        <v>0.26563402436788769</v>
      </c>
      <c r="M115" s="112">
        <v>3.185053626305176E-2</v>
      </c>
      <c r="N115" s="112">
        <v>0.12955863017857036</v>
      </c>
      <c r="O115" s="112">
        <v>7.4244983806649623E-2</v>
      </c>
      <c r="P115" s="112">
        <v>3.3589128476445231E-3</v>
      </c>
      <c r="Q115" s="112">
        <v>0.21933267232661879</v>
      </c>
      <c r="R115" s="112">
        <v>9.914706479508463E-2</v>
      </c>
      <c r="S115" s="112">
        <v>1.4535577076602531E-2</v>
      </c>
      <c r="T115" s="113">
        <v>5.3813568509797818E-3</v>
      </c>
      <c r="V115" s="42">
        <f t="shared" si="24"/>
        <v>0.12456559834577484</v>
      </c>
      <c r="W115" s="42">
        <f t="shared" si="25"/>
        <v>0.31847973712170341</v>
      </c>
      <c r="X115" s="42">
        <f t="shared" si="26"/>
        <v>0.50469242490247535</v>
      </c>
      <c r="Y115" s="42">
        <f t="shared" si="27"/>
        <v>5.2011898120861724E-2</v>
      </c>
      <c r="Z115" s="42">
        <f t="shared" si="28"/>
        <v>2.5034150918477373E-4</v>
      </c>
      <c r="AA115" s="42">
        <f t="shared" si="29"/>
        <v>1</v>
      </c>
    </row>
    <row r="116" spans="1:27" x14ac:dyDescent="0.3">
      <c r="A116" s="110" t="s">
        <v>1584</v>
      </c>
      <c r="B116" s="102" t="s">
        <v>711</v>
      </c>
      <c r="C116" s="95">
        <v>507307</v>
      </c>
      <c r="D116" s="97">
        <f>C116/2877.76</f>
        <v>176.28537473590569</v>
      </c>
      <c r="E116" s="98">
        <f>D116/0.003861</f>
        <v>45657.957714557291</v>
      </c>
      <c r="F116" s="111">
        <v>0.10464866441819254</v>
      </c>
      <c r="G116" s="112">
        <v>4.4525307161146999E-2</v>
      </c>
      <c r="H116" s="112">
        <v>5.889924641292156E-3</v>
      </c>
      <c r="I116" s="112">
        <v>1.5966663184225724E-3</v>
      </c>
      <c r="J116" s="112">
        <v>2.5034150918477373E-4</v>
      </c>
      <c r="K116" s="112">
        <v>4.533743867125823E-5</v>
      </c>
      <c r="L116" s="112">
        <v>0.26563402436788769</v>
      </c>
      <c r="M116" s="112">
        <v>3.185053626305176E-2</v>
      </c>
      <c r="N116" s="112">
        <v>0.12955863017857036</v>
      </c>
      <c r="O116" s="112">
        <v>7.4244983806649623E-2</v>
      </c>
      <c r="P116" s="112">
        <v>3.3589128476445231E-3</v>
      </c>
      <c r="Q116" s="112">
        <v>0.21933267232661879</v>
      </c>
      <c r="R116" s="112">
        <v>9.914706479508463E-2</v>
      </c>
      <c r="S116" s="112">
        <v>1.4535577076602531E-2</v>
      </c>
      <c r="T116" s="113">
        <v>5.3813568509797818E-3</v>
      </c>
      <c r="V116" s="42">
        <f>F116+S116+T116</f>
        <v>0.12456559834577484</v>
      </c>
      <c r="W116" s="42">
        <f>Q116+R116</f>
        <v>0.31847973712170341</v>
      </c>
      <c r="X116" s="42">
        <f>SUM(K116:P116)</f>
        <v>0.50469242490247535</v>
      </c>
      <c r="Y116" s="42">
        <f>SUM(G116:I116)</f>
        <v>5.2011898120861724E-2</v>
      </c>
      <c r="Z116" s="42">
        <f>J116</f>
        <v>2.5034150918477373E-4</v>
      </c>
      <c r="AA116" s="42">
        <f>SUM(V116:Z116)</f>
        <v>1</v>
      </c>
    </row>
    <row r="117" spans="1:27" x14ac:dyDescent="0.3">
      <c r="A117" s="110" t="s">
        <v>1584</v>
      </c>
      <c r="B117" s="102" t="s">
        <v>712</v>
      </c>
      <c r="C117" s="95">
        <v>507307</v>
      </c>
      <c r="D117" s="97">
        <f>C117/2877.76</f>
        <v>176.28537473590569</v>
      </c>
      <c r="E117" s="98">
        <f>D117/0.003861</f>
        <v>45657.957714557291</v>
      </c>
      <c r="F117" s="111">
        <v>0.10464866441819254</v>
      </c>
      <c r="G117" s="112">
        <v>4.4525307161146999E-2</v>
      </c>
      <c r="H117" s="112">
        <v>5.889924641292156E-3</v>
      </c>
      <c r="I117" s="112">
        <v>1.5966663184225724E-3</v>
      </c>
      <c r="J117" s="112">
        <v>2.5034150918477373E-4</v>
      </c>
      <c r="K117" s="112">
        <v>4.533743867125823E-5</v>
      </c>
      <c r="L117" s="112">
        <v>0.26563402436788769</v>
      </c>
      <c r="M117" s="112">
        <v>3.185053626305176E-2</v>
      </c>
      <c r="N117" s="112">
        <v>0.12955863017857036</v>
      </c>
      <c r="O117" s="112">
        <v>7.4244983806649623E-2</v>
      </c>
      <c r="P117" s="112">
        <v>3.3589128476445231E-3</v>
      </c>
      <c r="Q117" s="112">
        <v>0.21933267232661879</v>
      </c>
      <c r="R117" s="112">
        <v>9.914706479508463E-2</v>
      </c>
      <c r="S117" s="112">
        <v>1.4535577076602531E-2</v>
      </c>
      <c r="T117" s="113">
        <v>5.3813568509797818E-3</v>
      </c>
      <c r="V117" s="42">
        <f>F117+S117+T117</f>
        <v>0.12456559834577484</v>
      </c>
      <c r="W117" s="42">
        <f>Q117+R117</f>
        <v>0.31847973712170341</v>
      </c>
      <c r="X117" s="42">
        <f>SUM(K117:P117)</f>
        <v>0.50469242490247535</v>
      </c>
      <c r="Y117" s="42">
        <f>SUM(G117:I117)</f>
        <v>5.2011898120861724E-2</v>
      </c>
      <c r="Z117" s="42">
        <f>J117</f>
        <v>2.5034150918477373E-4</v>
      </c>
      <c r="AA117" s="42">
        <f>SUM(V117:Z117)</f>
        <v>1</v>
      </c>
    </row>
    <row r="118" spans="1:27" x14ac:dyDescent="0.3">
      <c r="A118" s="42" t="s">
        <v>1585</v>
      </c>
      <c r="B118" s="95" t="s">
        <v>713</v>
      </c>
      <c r="C118" s="95">
        <v>109515</v>
      </c>
      <c r="D118" s="97">
        <f t="shared" si="30"/>
        <v>38.055640498165239</v>
      </c>
      <c r="E118" s="98">
        <f t="shared" si="31"/>
        <v>9856.4207454455427</v>
      </c>
      <c r="F118" s="99">
        <v>2.6042094690225084E-2</v>
      </c>
      <c r="G118" s="42">
        <v>6.7917636853399077E-2</v>
      </c>
      <c r="H118" s="42">
        <v>2.5749897274345981E-2</v>
      </c>
      <c r="I118" s="42">
        <v>1.0236040725014838E-2</v>
      </c>
      <c r="J118" s="42">
        <v>1.0044286170844176E-3</v>
      </c>
      <c r="K118" s="42">
        <v>0</v>
      </c>
      <c r="L118" s="42">
        <v>0.33916815048166915</v>
      </c>
      <c r="M118" s="42">
        <v>0.10141989681778751</v>
      </c>
      <c r="N118" s="42">
        <v>6.8638999223850611E-2</v>
      </c>
      <c r="O118" s="42">
        <v>5.6987627265671366E-2</v>
      </c>
      <c r="P118" s="42">
        <v>4.3464365612016619E-3</v>
      </c>
      <c r="Q118" s="42">
        <v>0.19529744783819569</v>
      </c>
      <c r="R118" s="42">
        <v>1.7422270921791536E-2</v>
      </c>
      <c r="S118" s="42">
        <v>7.6665296991279733E-2</v>
      </c>
      <c r="T118" s="100">
        <v>9.1037757384833124E-3</v>
      </c>
      <c r="V118" s="42">
        <f t="shared" si="24"/>
        <v>0.11181116741998813</v>
      </c>
      <c r="W118" s="42">
        <f t="shared" si="25"/>
        <v>0.21271971875998724</v>
      </c>
      <c r="X118" s="42">
        <f t="shared" si="26"/>
        <v>0.57056111035018042</v>
      </c>
      <c r="Y118" s="42">
        <f t="shared" si="27"/>
        <v>0.1039035748527599</v>
      </c>
      <c r="Z118" s="42">
        <f t="shared" si="28"/>
        <v>1.0044286170844176E-3</v>
      </c>
      <c r="AA118" s="42">
        <f t="shared" si="29"/>
        <v>1.0000000000000002</v>
      </c>
    </row>
    <row r="119" spans="1:27" x14ac:dyDescent="0.3">
      <c r="A119" s="42" t="s">
        <v>1586</v>
      </c>
      <c r="B119" s="95" t="s">
        <v>721</v>
      </c>
      <c r="C119" s="95">
        <v>8926</v>
      </c>
      <c r="D119" s="97">
        <f t="shared" si="30"/>
        <v>3.1017180028911375</v>
      </c>
      <c r="E119" s="98">
        <f t="shared" si="31"/>
        <v>803.34576609457076</v>
      </c>
      <c r="F119" s="99">
        <v>5.9489132870266637E-2</v>
      </c>
      <c r="G119" s="42">
        <v>0.21386959444319964</v>
      </c>
      <c r="H119" s="42">
        <v>3.1481066547165586E-2</v>
      </c>
      <c r="I119" s="42">
        <v>6.7219359175442524E-3</v>
      </c>
      <c r="J119" s="42">
        <v>1.1203226529240421E-3</v>
      </c>
      <c r="K119" s="42">
        <v>0</v>
      </c>
      <c r="L119" s="42">
        <v>0.52688774367017699</v>
      </c>
      <c r="M119" s="42">
        <v>1.9493614160878334E-2</v>
      </c>
      <c r="N119" s="42">
        <v>6.9460004481290616E-3</v>
      </c>
      <c r="O119" s="42">
        <v>9.298678019269549E-3</v>
      </c>
      <c r="P119" s="42">
        <v>0</v>
      </c>
      <c r="Q119" s="42">
        <v>3.4842034505937709E-2</v>
      </c>
      <c r="R119" s="42">
        <v>0</v>
      </c>
      <c r="S119" s="42">
        <v>8.3800134438718352E-2</v>
      </c>
      <c r="T119" s="100">
        <v>6.0497423257898277E-3</v>
      </c>
      <c r="V119" s="42">
        <f t="shared" si="24"/>
        <v>0.14933900963477484</v>
      </c>
      <c r="W119" s="42">
        <f t="shared" si="25"/>
        <v>3.4842034505937709E-2</v>
      </c>
      <c r="X119" s="42">
        <f t="shared" si="26"/>
        <v>0.56262603629845398</v>
      </c>
      <c r="Y119" s="42">
        <f t="shared" si="27"/>
        <v>0.25207259690790951</v>
      </c>
      <c r="Z119" s="42">
        <f t="shared" si="28"/>
        <v>1.1203226529240421E-3</v>
      </c>
      <c r="AA119" s="42">
        <f t="shared" si="29"/>
        <v>1</v>
      </c>
    </row>
    <row r="120" spans="1:27" x14ac:dyDescent="0.3">
      <c r="A120" s="42" t="s">
        <v>1587</v>
      </c>
      <c r="B120" s="95" t="s">
        <v>727</v>
      </c>
      <c r="C120" s="95">
        <v>662809</v>
      </c>
      <c r="D120" s="97">
        <f t="shared" si="30"/>
        <v>230.32115256310462</v>
      </c>
      <c r="E120" s="98">
        <f t="shared" si="31"/>
        <v>59653.238167082265</v>
      </c>
      <c r="F120" s="99">
        <v>8.9754363625116733E-3</v>
      </c>
      <c r="G120" s="42">
        <v>3.7160026493303501E-2</v>
      </c>
      <c r="H120" s="42">
        <v>1.7913154468330996E-2</v>
      </c>
      <c r="I120" s="42">
        <v>4.1731479204416356E-3</v>
      </c>
      <c r="J120" s="42">
        <v>1.2733683459337456E-3</v>
      </c>
      <c r="K120" s="42">
        <v>1.0364976939057859E-3</v>
      </c>
      <c r="L120" s="42">
        <v>9.1866585999888353E-2</v>
      </c>
      <c r="M120" s="42">
        <v>2.4758263692858727E-3</v>
      </c>
      <c r="N120" s="42">
        <v>8.9090522307331381E-3</v>
      </c>
      <c r="O120" s="42">
        <v>2.908831956114054E-3</v>
      </c>
      <c r="P120" s="42">
        <v>8.1018815375168412E-4</v>
      </c>
      <c r="Q120" s="42">
        <v>0.20550867595340438</v>
      </c>
      <c r="R120" s="42">
        <v>0.39441377531083616</v>
      </c>
      <c r="S120" s="42">
        <v>0.19294698774458405</v>
      </c>
      <c r="T120" s="100">
        <v>2.9628444996974996E-2</v>
      </c>
      <c r="V120" s="42">
        <f t="shared" si="24"/>
        <v>0.23155086910407072</v>
      </c>
      <c r="W120" s="42">
        <f t="shared" si="25"/>
        <v>0.59992245126424049</v>
      </c>
      <c r="X120" s="42">
        <f t="shared" si="26"/>
        <v>0.10800698240367888</v>
      </c>
      <c r="Y120" s="42">
        <f t="shared" si="27"/>
        <v>5.9246328882076128E-2</v>
      </c>
      <c r="Z120" s="42">
        <f t="shared" si="28"/>
        <v>1.2733683459337456E-3</v>
      </c>
      <c r="AA120" s="42">
        <f t="shared" si="29"/>
        <v>1</v>
      </c>
    </row>
    <row r="121" spans="1:27" x14ac:dyDescent="0.3">
      <c r="A121" s="42" t="s">
        <v>1588</v>
      </c>
      <c r="B121" s="95" t="s">
        <v>731</v>
      </c>
      <c r="C121" s="95">
        <v>48644</v>
      </c>
      <c r="D121" s="97">
        <f t="shared" si="30"/>
        <v>16.90342488602246</v>
      </c>
      <c r="E121" s="98">
        <f t="shared" si="31"/>
        <v>4377.9914234712405</v>
      </c>
      <c r="F121" s="99">
        <v>0.14051064879532932</v>
      </c>
      <c r="G121" s="42">
        <v>1.533590987583258E-2</v>
      </c>
      <c r="H121" s="42">
        <v>1.2128936765068662E-3</v>
      </c>
      <c r="I121" s="42">
        <v>4.1115039881588683E-4</v>
      </c>
      <c r="J121" s="42">
        <v>0</v>
      </c>
      <c r="K121" s="42">
        <v>3.659238549461393E-3</v>
      </c>
      <c r="L121" s="42">
        <v>0.48236164789079844</v>
      </c>
      <c r="M121" s="42">
        <v>0.10985938656360497</v>
      </c>
      <c r="N121" s="42">
        <v>2.0660307540498316E-2</v>
      </c>
      <c r="O121" s="42">
        <v>5.4066277444289124E-3</v>
      </c>
      <c r="P121" s="42">
        <v>1.155332620672642E-2</v>
      </c>
      <c r="Q121" s="42">
        <v>9.9292821314036668E-3</v>
      </c>
      <c r="R121" s="42">
        <v>1.7679467149083134E-3</v>
      </c>
      <c r="S121" s="42">
        <v>0.18137899843762847</v>
      </c>
      <c r="T121" s="100">
        <v>1.5952635474056408E-2</v>
      </c>
      <c r="V121" s="42">
        <f t="shared" si="24"/>
        <v>0.33784228270701416</v>
      </c>
      <c r="W121" s="42">
        <f t="shared" si="25"/>
        <v>1.1697228846311979E-2</v>
      </c>
      <c r="X121" s="42">
        <f t="shared" si="26"/>
        <v>0.63350053449551846</v>
      </c>
      <c r="Y121" s="42">
        <f t="shared" si="27"/>
        <v>1.6959953951155331E-2</v>
      </c>
      <c r="Z121" s="42">
        <f t="shared" si="28"/>
        <v>0</v>
      </c>
      <c r="AA121" s="42">
        <f t="shared" si="29"/>
        <v>1</v>
      </c>
    </row>
    <row r="122" spans="1:27" x14ac:dyDescent="0.3">
      <c r="A122" s="42" t="s">
        <v>1589</v>
      </c>
      <c r="B122" s="95" t="s">
        <v>737</v>
      </c>
      <c r="C122" s="95">
        <v>37592</v>
      </c>
      <c r="D122" s="97">
        <f t="shared" si="30"/>
        <v>13.062937840542643</v>
      </c>
      <c r="E122" s="98">
        <f t="shared" si="31"/>
        <v>3383.3042840048288</v>
      </c>
      <c r="F122" s="99">
        <v>3.7295169184932968E-2</v>
      </c>
      <c r="G122" s="42">
        <v>0.13417748457118536</v>
      </c>
      <c r="H122" s="42">
        <v>7.2143009150883161E-2</v>
      </c>
      <c r="I122" s="42">
        <v>1.681208767822941E-2</v>
      </c>
      <c r="J122" s="42">
        <v>1.4630772504788253E-3</v>
      </c>
      <c r="K122" s="42">
        <v>0</v>
      </c>
      <c r="L122" s="42">
        <v>0.63947116407746329</v>
      </c>
      <c r="M122" s="42">
        <v>6.0917216429027454E-3</v>
      </c>
      <c r="N122" s="42">
        <v>2.2345179825494785E-3</v>
      </c>
      <c r="O122" s="42">
        <v>3.5379868057033412E-3</v>
      </c>
      <c r="P122" s="42">
        <v>0</v>
      </c>
      <c r="Q122" s="42">
        <v>2.7186635454351991E-2</v>
      </c>
      <c r="R122" s="42">
        <v>4.2562247286656737E-4</v>
      </c>
      <c r="S122" s="42">
        <v>5.0489465843796551E-2</v>
      </c>
      <c r="T122" s="100">
        <v>8.6720578846563104E-3</v>
      </c>
      <c r="V122" s="42">
        <f t="shared" si="24"/>
        <v>9.6456692913385822E-2</v>
      </c>
      <c r="W122" s="42">
        <f t="shared" si="25"/>
        <v>2.7612257927218557E-2</v>
      </c>
      <c r="X122" s="42">
        <f t="shared" si="26"/>
        <v>0.65133539050861888</v>
      </c>
      <c r="Y122" s="42">
        <f t="shared" si="27"/>
        <v>0.22313258140029793</v>
      </c>
      <c r="Z122" s="42">
        <f t="shared" si="28"/>
        <v>1.4630772504788253E-3</v>
      </c>
      <c r="AA122" s="42">
        <f t="shared" si="29"/>
        <v>1</v>
      </c>
    </row>
    <row r="123" spans="1:27" x14ac:dyDescent="0.3">
      <c r="A123" s="42" t="s">
        <v>1590</v>
      </c>
      <c r="B123" s="95" t="s">
        <v>658</v>
      </c>
      <c r="C123" s="95">
        <v>3173</v>
      </c>
      <c r="D123" s="97">
        <f t="shared" si="30"/>
        <v>1.1025936839764261</v>
      </c>
      <c r="E123" s="98">
        <f t="shared" si="31"/>
        <v>285.5720497219441</v>
      </c>
      <c r="F123" s="99">
        <v>7.8789788843365901E-3</v>
      </c>
      <c r="G123" s="42">
        <v>6.9965332492908913E-2</v>
      </c>
      <c r="H123" s="42">
        <v>0</v>
      </c>
      <c r="I123" s="42">
        <v>0</v>
      </c>
      <c r="J123" s="42">
        <v>0</v>
      </c>
      <c r="K123" s="42">
        <v>0</v>
      </c>
      <c r="L123" s="42">
        <v>0.83170501103057048</v>
      </c>
      <c r="M123" s="42">
        <v>3.2461393003466753E-2</v>
      </c>
      <c r="N123" s="42">
        <v>3.1515915537346359E-3</v>
      </c>
      <c r="O123" s="42">
        <v>5.3577056413488811E-3</v>
      </c>
      <c r="P123" s="42">
        <v>0</v>
      </c>
      <c r="Q123" s="42">
        <v>3.7819098644815631E-3</v>
      </c>
      <c r="R123" s="42">
        <v>0</v>
      </c>
      <c r="S123" s="42">
        <v>3.9394894421682952E-2</v>
      </c>
      <c r="T123" s="100">
        <v>6.3031831074692717E-3</v>
      </c>
      <c r="V123" s="42">
        <f t="shared" si="24"/>
        <v>5.3577056413488817E-2</v>
      </c>
      <c r="W123" s="42">
        <f t="shared" si="25"/>
        <v>3.7819098644815631E-3</v>
      </c>
      <c r="X123" s="42">
        <f t="shared" si="26"/>
        <v>0.87267570122912075</v>
      </c>
      <c r="Y123" s="42">
        <f t="shared" si="27"/>
        <v>6.9965332492908913E-2</v>
      </c>
      <c r="Z123" s="42">
        <f t="shared" si="28"/>
        <v>0</v>
      </c>
      <c r="AA123" s="42">
        <f t="shared" si="29"/>
        <v>1</v>
      </c>
    </row>
    <row r="124" spans="1:27" x14ac:dyDescent="0.3">
      <c r="A124" s="42" t="s">
        <v>1591</v>
      </c>
      <c r="B124" s="95" t="s">
        <v>745</v>
      </c>
      <c r="C124" s="95">
        <v>31614</v>
      </c>
      <c r="D124" s="97">
        <f t="shared" si="30"/>
        <v>10.985627710441454</v>
      </c>
      <c r="E124" s="98">
        <f t="shared" si="31"/>
        <v>2845.280422284759</v>
      </c>
      <c r="F124" s="99">
        <v>0.17055734801037514</v>
      </c>
      <c r="G124" s="42">
        <v>2.9259188966913392E-2</v>
      </c>
      <c r="H124" s="42">
        <v>2.3407351173530713E-3</v>
      </c>
      <c r="I124" s="42">
        <v>8.2242044663756561E-4</v>
      </c>
      <c r="J124" s="42">
        <v>0</v>
      </c>
      <c r="K124" s="42">
        <v>0</v>
      </c>
      <c r="L124" s="42">
        <v>0.33067628265958121</v>
      </c>
      <c r="M124" s="42">
        <v>0.31163408616435756</v>
      </c>
      <c r="N124" s="42">
        <v>8.3127728221673941E-2</v>
      </c>
      <c r="O124" s="42">
        <v>4.447396722970836E-2</v>
      </c>
      <c r="P124" s="42">
        <v>7.8762573543366861E-3</v>
      </c>
      <c r="Q124" s="42">
        <v>0</v>
      </c>
      <c r="R124" s="42">
        <v>0</v>
      </c>
      <c r="S124" s="42">
        <v>1.6954513822989816E-2</v>
      </c>
      <c r="T124" s="100">
        <v>2.2774720060732587E-3</v>
      </c>
      <c r="V124" s="42">
        <f t="shared" si="24"/>
        <v>0.18978933383943822</v>
      </c>
      <c r="W124" s="42">
        <f t="shared" si="25"/>
        <v>0</v>
      </c>
      <c r="X124" s="42">
        <f t="shared" si="26"/>
        <v>0.77778832162965772</v>
      </c>
      <c r="Y124" s="42">
        <f t="shared" si="27"/>
        <v>3.2422344530904028E-2</v>
      </c>
      <c r="Z124" s="42">
        <f t="shared" si="28"/>
        <v>0</v>
      </c>
      <c r="AA124" s="42">
        <f t="shared" si="29"/>
        <v>0.99999999999999989</v>
      </c>
    </row>
    <row r="125" spans="1:27" x14ac:dyDescent="0.3">
      <c r="A125" s="42" t="s">
        <v>1592</v>
      </c>
      <c r="B125" s="95" t="s">
        <v>749</v>
      </c>
      <c r="C125" s="95">
        <v>8819</v>
      </c>
      <c r="D125" s="97">
        <f t="shared" si="30"/>
        <v>3.06453630601579</v>
      </c>
      <c r="E125" s="98">
        <f t="shared" si="31"/>
        <v>793.71569697378663</v>
      </c>
      <c r="F125" s="99">
        <v>0.17825150243791812</v>
      </c>
      <c r="G125" s="42">
        <v>5.7489511282458328E-2</v>
      </c>
      <c r="H125" s="42">
        <v>2.7780927542805308E-2</v>
      </c>
      <c r="I125" s="42">
        <v>2.9821975280644064E-2</v>
      </c>
      <c r="J125" s="42">
        <v>3.8553123936954305E-3</v>
      </c>
      <c r="K125" s="42">
        <v>0</v>
      </c>
      <c r="L125" s="42">
        <v>0.26930490985372491</v>
      </c>
      <c r="M125" s="42">
        <v>0.33552556979249348</v>
      </c>
      <c r="N125" s="42">
        <v>3.5378160789205124E-2</v>
      </c>
      <c r="O125" s="42">
        <v>4.9325320331103296E-2</v>
      </c>
      <c r="P125" s="42">
        <v>7.2570586234266925E-3</v>
      </c>
      <c r="Q125" s="42">
        <v>0</v>
      </c>
      <c r="R125" s="42">
        <v>2.4946139018029254E-3</v>
      </c>
      <c r="S125" s="42">
        <v>3.5151377707223043E-3</v>
      </c>
      <c r="T125" s="100">
        <v>0</v>
      </c>
      <c r="V125" s="42">
        <f t="shared" si="24"/>
        <v>0.18176664020864042</v>
      </c>
      <c r="W125" s="42">
        <f t="shared" si="25"/>
        <v>2.4946139018029254E-3</v>
      </c>
      <c r="X125" s="42">
        <f t="shared" si="26"/>
        <v>0.69679101938995347</v>
      </c>
      <c r="Y125" s="42">
        <f t="shared" si="27"/>
        <v>0.1150924141059077</v>
      </c>
      <c r="Z125" s="42">
        <f t="shared" si="28"/>
        <v>3.8553123936954305E-3</v>
      </c>
      <c r="AA125" s="42">
        <f t="shared" si="29"/>
        <v>0.99999999999999989</v>
      </c>
    </row>
    <row r="126" spans="1:27" x14ac:dyDescent="0.3">
      <c r="A126" s="42" t="s">
        <v>1593</v>
      </c>
      <c r="B126" s="95" t="s">
        <v>753</v>
      </c>
      <c r="C126" s="95">
        <v>11483</v>
      </c>
      <c r="D126" s="97">
        <f t="shared" si="30"/>
        <v>3.9902563104636939</v>
      </c>
      <c r="E126" s="98">
        <f t="shared" si="31"/>
        <v>1033.4774178875145</v>
      </c>
      <c r="F126" s="99">
        <v>3.1002351301924583E-2</v>
      </c>
      <c r="G126" s="42">
        <v>3.7446660280414525E-2</v>
      </c>
      <c r="H126" s="42">
        <v>0</v>
      </c>
      <c r="I126" s="42">
        <v>8.708525646608029E-4</v>
      </c>
      <c r="J126" s="42">
        <v>0</v>
      </c>
      <c r="K126" s="42">
        <v>0</v>
      </c>
      <c r="L126" s="42">
        <v>0.40111469128276583</v>
      </c>
      <c r="M126" s="42">
        <v>5.3905773752503702E-2</v>
      </c>
      <c r="N126" s="42">
        <v>2.7606026299747451E-2</v>
      </c>
      <c r="O126" s="42">
        <v>6.6620221196551421E-2</v>
      </c>
      <c r="P126" s="42">
        <v>1.6546198728555255E-3</v>
      </c>
      <c r="Q126" s="42">
        <v>0.19777061743446833</v>
      </c>
      <c r="R126" s="42">
        <v>0.12339980841243578</v>
      </c>
      <c r="S126" s="42">
        <v>5.4602455804232342E-2</v>
      </c>
      <c r="T126" s="100">
        <v>4.0059217974396932E-3</v>
      </c>
      <c r="V126" s="42">
        <f t="shared" si="24"/>
        <v>8.9610728903596615E-2</v>
      </c>
      <c r="W126" s="42">
        <f t="shared" si="25"/>
        <v>0.32117042584690414</v>
      </c>
      <c r="X126" s="42">
        <f t="shared" si="26"/>
        <v>0.55090133240442396</v>
      </c>
      <c r="Y126" s="42">
        <f t="shared" si="27"/>
        <v>3.8317512845075327E-2</v>
      </c>
      <c r="Z126" s="42">
        <f t="shared" si="28"/>
        <v>0</v>
      </c>
      <c r="AA126" s="42">
        <f t="shared" si="29"/>
        <v>1</v>
      </c>
    </row>
    <row r="127" spans="1:27" x14ac:dyDescent="0.3">
      <c r="A127" s="115" t="s">
        <v>1594</v>
      </c>
      <c r="B127" s="95" t="s">
        <v>761</v>
      </c>
      <c r="C127" s="95">
        <v>812</v>
      </c>
      <c r="D127" s="97">
        <f t="shared" si="30"/>
        <v>0.28216390525964635</v>
      </c>
      <c r="E127" s="98">
        <f t="shared" si="31"/>
        <v>73.080524542772949</v>
      </c>
      <c r="F127" s="99">
        <v>0.16379310344827586</v>
      </c>
      <c r="G127" s="42">
        <v>4.9261083743842367E-2</v>
      </c>
      <c r="H127" s="42">
        <v>0</v>
      </c>
      <c r="I127" s="42">
        <v>0</v>
      </c>
      <c r="J127" s="42">
        <v>0</v>
      </c>
      <c r="K127" s="42">
        <v>0</v>
      </c>
      <c r="L127" s="42">
        <v>0.33743842364532017</v>
      </c>
      <c r="M127" s="42">
        <v>0.13916256157635468</v>
      </c>
      <c r="N127" s="42">
        <v>0.14039408866995073</v>
      </c>
      <c r="O127" s="42">
        <v>6.1576354679802959E-3</v>
      </c>
      <c r="P127" s="42">
        <v>0</v>
      </c>
      <c r="Q127" s="42">
        <v>9.4827586206896547E-2</v>
      </c>
      <c r="R127" s="42">
        <v>5.7881773399014777E-2</v>
      </c>
      <c r="S127" s="42">
        <v>1.1083743842364532E-2</v>
      </c>
      <c r="T127" s="100">
        <v>0</v>
      </c>
      <c r="V127" s="42">
        <f t="shared" si="24"/>
        <v>0.1748768472906404</v>
      </c>
      <c r="W127" s="42">
        <f t="shared" si="25"/>
        <v>0.15270935960591131</v>
      </c>
      <c r="X127" s="42">
        <f t="shared" si="26"/>
        <v>0.62315270935960587</v>
      </c>
      <c r="Y127" s="42">
        <f t="shared" si="27"/>
        <v>4.9261083743842367E-2</v>
      </c>
      <c r="Z127" s="42">
        <f t="shared" si="28"/>
        <v>0</v>
      </c>
      <c r="AA127" s="42">
        <f t="shared" si="29"/>
        <v>1</v>
      </c>
    </row>
    <row r="128" spans="1:27" x14ac:dyDescent="0.3">
      <c r="A128" s="42" t="s">
        <v>1595</v>
      </c>
      <c r="B128" s="95" t="s">
        <v>1596</v>
      </c>
      <c r="C128" s="95">
        <v>568</v>
      </c>
      <c r="D128" s="97">
        <f t="shared" si="30"/>
        <v>0.19737573668408762</v>
      </c>
      <c r="E128" s="98">
        <f t="shared" si="31"/>
        <v>51.120366921545617</v>
      </c>
      <c r="F128" s="99">
        <v>0.45246478873239437</v>
      </c>
      <c r="G128" s="42">
        <v>0.16725352112676056</v>
      </c>
      <c r="H128" s="42">
        <v>0</v>
      </c>
      <c r="I128" s="42">
        <v>0</v>
      </c>
      <c r="J128" s="42">
        <v>0</v>
      </c>
      <c r="K128" s="42">
        <v>7.746478873239436E-2</v>
      </c>
      <c r="L128" s="42">
        <v>0.26056338028169013</v>
      </c>
      <c r="M128" s="42">
        <v>2.464788732394366E-2</v>
      </c>
      <c r="N128" s="42">
        <v>1.7605633802816902E-2</v>
      </c>
      <c r="O128" s="42">
        <v>0</v>
      </c>
      <c r="P128" s="42">
        <v>0</v>
      </c>
      <c r="Q128" s="42">
        <v>0</v>
      </c>
      <c r="R128" s="42">
        <v>0</v>
      </c>
      <c r="S128" s="42">
        <v>0</v>
      </c>
      <c r="T128" s="100">
        <v>0</v>
      </c>
      <c r="V128" s="42">
        <f t="shared" si="24"/>
        <v>0.45246478873239437</v>
      </c>
      <c r="W128" s="42">
        <f t="shared" si="25"/>
        <v>0</v>
      </c>
      <c r="X128" s="42">
        <f t="shared" si="26"/>
        <v>0.38028169014084506</v>
      </c>
      <c r="Y128" s="42">
        <f t="shared" si="27"/>
        <v>0.16725352112676056</v>
      </c>
      <c r="Z128" s="42">
        <f t="shared" si="28"/>
        <v>0</v>
      </c>
      <c r="AA128" s="42">
        <f t="shared" si="29"/>
        <v>1</v>
      </c>
    </row>
    <row r="129" spans="1:27" x14ac:dyDescent="0.3">
      <c r="A129" s="42" t="s">
        <v>1597</v>
      </c>
      <c r="B129" s="95" t="s">
        <v>774</v>
      </c>
      <c r="C129" s="95">
        <v>669183</v>
      </c>
      <c r="D129" s="97">
        <f t="shared" si="30"/>
        <v>232.53606972089401</v>
      </c>
      <c r="E129" s="98">
        <f t="shared" si="31"/>
        <v>60226.902284613832</v>
      </c>
      <c r="F129" s="99">
        <v>0.20173405481011922</v>
      </c>
      <c r="G129" s="42">
        <v>3.8342277075179731E-2</v>
      </c>
      <c r="H129" s="42">
        <v>7.6003126200157502E-3</v>
      </c>
      <c r="I129" s="42">
        <v>2.7466328343666831E-3</v>
      </c>
      <c r="J129" s="42">
        <v>7.217756577797105E-4</v>
      </c>
      <c r="K129" s="42">
        <v>5.6785662516830221E-5</v>
      </c>
      <c r="L129" s="42">
        <v>0.32664458003266672</v>
      </c>
      <c r="M129" s="42">
        <v>0.28401797415654612</v>
      </c>
      <c r="N129" s="42">
        <v>9.9434683786049555E-2</v>
      </c>
      <c r="O129" s="42">
        <v>5.2840553331450438E-3</v>
      </c>
      <c r="P129" s="42">
        <v>1.1401963289563543E-3</v>
      </c>
      <c r="Q129" s="42">
        <v>6.2434341577714911E-3</v>
      </c>
      <c r="R129" s="42">
        <v>1.2896322829480127E-3</v>
      </c>
      <c r="S129" s="42">
        <v>2.3552600708625294E-2</v>
      </c>
      <c r="T129" s="100">
        <v>1.1910045533135181E-3</v>
      </c>
      <c r="V129" s="42">
        <f t="shared" si="24"/>
        <v>0.22647766007205805</v>
      </c>
      <c r="W129" s="42">
        <f t="shared" si="25"/>
        <v>7.533066440719504E-3</v>
      </c>
      <c r="X129" s="42">
        <f t="shared" si="26"/>
        <v>0.71657827529988061</v>
      </c>
      <c r="Y129" s="42">
        <f t="shared" si="27"/>
        <v>4.8689222529562169E-2</v>
      </c>
      <c r="Z129" s="42">
        <f t="shared" si="28"/>
        <v>7.217756577797105E-4</v>
      </c>
      <c r="AA129" s="42">
        <f t="shared" si="29"/>
        <v>1</v>
      </c>
    </row>
    <row r="130" spans="1:27" x14ac:dyDescent="0.3">
      <c r="A130" s="42" t="s">
        <v>1597</v>
      </c>
      <c r="B130" s="47" t="s">
        <v>781</v>
      </c>
      <c r="C130" s="95">
        <v>669183</v>
      </c>
      <c r="D130" s="97">
        <f t="shared" si="30"/>
        <v>232.53606972089401</v>
      </c>
      <c r="E130" s="98">
        <f t="shared" si="31"/>
        <v>60226.902284613832</v>
      </c>
      <c r="F130" s="99">
        <v>0.20173405481011922</v>
      </c>
      <c r="G130" s="42">
        <v>3.8342277075179731E-2</v>
      </c>
      <c r="H130" s="42">
        <v>7.6003126200157502E-3</v>
      </c>
      <c r="I130" s="42">
        <v>2.7466328343666831E-3</v>
      </c>
      <c r="J130" s="42">
        <v>7.217756577797105E-4</v>
      </c>
      <c r="K130" s="42">
        <v>5.6785662516830221E-5</v>
      </c>
      <c r="L130" s="42">
        <v>0.32664458003266672</v>
      </c>
      <c r="M130" s="42">
        <v>0.28401797415654612</v>
      </c>
      <c r="N130" s="42">
        <v>9.9434683786049555E-2</v>
      </c>
      <c r="O130" s="42">
        <v>5.2840553331450438E-3</v>
      </c>
      <c r="P130" s="42">
        <v>1.1401963289563543E-3</v>
      </c>
      <c r="Q130" s="42">
        <v>6.2434341577714911E-3</v>
      </c>
      <c r="R130" s="42">
        <v>1.2896322829480127E-3</v>
      </c>
      <c r="S130" s="42">
        <v>2.3552600708625294E-2</v>
      </c>
      <c r="T130" s="100">
        <v>1.1910045533135181E-3</v>
      </c>
      <c r="V130" s="42">
        <f t="shared" ref="V130:V192" si="32">F130+S130+T130</f>
        <v>0.22647766007205805</v>
      </c>
      <c r="W130" s="42">
        <f t="shared" ref="W130:W192" si="33">Q130+R130</f>
        <v>7.533066440719504E-3</v>
      </c>
      <c r="X130" s="42">
        <f t="shared" ref="X130:X192" si="34">SUM(K130:P130)</f>
        <v>0.71657827529988061</v>
      </c>
      <c r="Y130" s="42">
        <f t="shared" ref="Y130:Y192" si="35">SUM(G130:I130)</f>
        <v>4.8689222529562169E-2</v>
      </c>
      <c r="Z130" s="42">
        <f t="shared" ref="Z130:Z192" si="36">J130</f>
        <v>7.217756577797105E-4</v>
      </c>
      <c r="AA130" s="42">
        <f t="shared" ref="AA130:AA192" si="37">SUM(V130:Z130)</f>
        <v>1</v>
      </c>
    </row>
    <row r="131" spans="1:27" x14ac:dyDescent="0.3">
      <c r="A131" s="42" t="s">
        <v>1597</v>
      </c>
      <c r="B131" s="16" t="s">
        <v>784</v>
      </c>
      <c r="C131" s="95">
        <v>669183</v>
      </c>
      <c r="D131" s="97">
        <f t="shared" si="30"/>
        <v>232.53606972089401</v>
      </c>
      <c r="E131" s="98">
        <f t="shared" si="31"/>
        <v>60226.902284613832</v>
      </c>
      <c r="F131" s="99">
        <v>0.20173405481011922</v>
      </c>
      <c r="G131" s="42">
        <v>3.8342277075179731E-2</v>
      </c>
      <c r="H131" s="42">
        <v>7.6003126200157502E-3</v>
      </c>
      <c r="I131" s="42">
        <v>2.7466328343666831E-3</v>
      </c>
      <c r="J131" s="42">
        <v>7.217756577797105E-4</v>
      </c>
      <c r="K131" s="42">
        <v>5.6785662516830221E-5</v>
      </c>
      <c r="L131" s="42">
        <v>0.32664458003266672</v>
      </c>
      <c r="M131" s="42">
        <v>0.28401797415654612</v>
      </c>
      <c r="N131" s="42">
        <v>9.9434683786049555E-2</v>
      </c>
      <c r="O131" s="42">
        <v>5.2840553331450438E-3</v>
      </c>
      <c r="P131" s="42">
        <v>1.1401963289563543E-3</v>
      </c>
      <c r="Q131" s="42">
        <v>6.2434341577714911E-3</v>
      </c>
      <c r="R131" s="42">
        <v>1.2896322829480127E-3</v>
      </c>
      <c r="S131" s="42">
        <v>2.3552600708625294E-2</v>
      </c>
      <c r="T131" s="100">
        <v>1.1910045533135181E-3</v>
      </c>
      <c r="V131" s="42">
        <f t="shared" si="32"/>
        <v>0.22647766007205805</v>
      </c>
      <c r="W131" s="42">
        <f t="shared" si="33"/>
        <v>7.533066440719504E-3</v>
      </c>
      <c r="X131" s="42">
        <f t="shared" si="34"/>
        <v>0.71657827529988061</v>
      </c>
      <c r="Y131" s="42">
        <f t="shared" si="35"/>
        <v>4.8689222529562169E-2</v>
      </c>
      <c r="Z131" s="42">
        <f t="shared" si="36"/>
        <v>7.217756577797105E-4</v>
      </c>
      <c r="AA131" s="42">
        <f t="shared" si="37"/>
        <v>1</v>
      </c>
    </row>
    <row r="132" spans="1:27" x14ac:dyDescent="0.3">
      <c r="A132" s="42" t="s">
        <v>1597</v>
      </c>
      <c r="B132" s="47" t="s">
        <v>786</v>
      </c>
      <c r="C132" s="95">
        <v>669183</v>
      </c>
      <c r="D132" s="97">
        <f t="shared" si="30"/>
        <v>232.53606972089401</v>
      </c>
      <c r="E132" s="98">
        <f t="shared" si="31"/>
        <v>60226.902284613832</v>
      </c>
      <c r="F132" s="99">
        <v>0.20173405481011922</v>
      </c>
      <c r="G132" s="42">
        <v>3.8342277075179731E-2</v>
      </c>
      <c r="H132" s="42">
        <v>7.6003126200157502E-3</v>
      </c>
      <c r="I132" s="42">
        <v>2.7466328343666831E-3</v>
      </c>
      <c r="J132" s="42">
        <v>7.217756577797105E-4</v>
      </c>
      <c r="K132" s="42">
        <v>5.6785662516830221E-5</v>
      </c>
      <c r="L132" s="42">
        <v>0.32664458003266672</v>
      </c>
      <c r="M132" s="42">
        <v>0.28401797415654612</v>
      </c>
      <c r="N132" s="42">
        <v>9.9434683786049555E-2</v>
      </c>
      <c r="O132" s="42">
        <v>5.2840553331450438E-3</v>
      </c>
      <c r="P132" s="42">
        <v>1.1401963289563543E-3</v>
      </c>
      <c r="Q132" s="42">
        <v>6.2434341577714911E-3</v>
      </c>
      <c r="R132" s="42">
        <v>1.2896322829480127E-3</v>
      </c>
      <c r="S132" s="42">
        <v>2.3552600708625294E-2</v>
      </c>
      <c r="T132" s="100">
        <v>1.1910045533135181E-3</v>
      </c>
      <c r="V132" s="42">
        <f t="shared" si="32"/>
        <v>0.22647766007205805</v>
      </c>
      <c r="W132" s="42">
        <f t="shared" si="33"/>
        <v>7.533066440719504E-3</v>
      </c>
      <c r="X132" s="42">
        <f t="shared" si="34"/>
        <v>0.71657827529988061</v>
      </c>
      <c r="Y132" s="42">
        <f t="shared" si="35"/>
        <v>4.8689222529562169E-2</v>
      </c>
      <c r="Z132" s="42">
        <f t="shared" si="36"/>
        <v>7.217756577797105E-4</v>
      </c>
      <c r="AA132" s="42">
        <f t="shared" si="37"/>
        <v>1</v>
      </c>
    </row>
    <row r="133" spans="1:27" x14ac:dyDescent="0.3">
      <c r="A133" s="42" t="s">
        <v>1597</v>
      </c>
      <c r="B133" s="67" t="s">
        <v>1598</v>
      </c>
      <c r="C133" s="95">
        <v>669183</v>
      </c>
      <c r="D133" s="97">
        <f t="shared" si="30"/>
        <v>232.53606972089401</v>
      </c>
      <c r="E133" s="98">
        <f t="shared" si="31"/>
        <v>60226.902284613832</v>
      </c>
      <c r="F133" s="99">
        <v>0.20173405481011922</v>
      </c>
      <c r="G133" s="42">
        <v>3.8342277075179731E-2</v>
      </c>
      <c r="H133" s="42">
        <v>7.6003126200157502E-3</v>
      </c>
      <c r="I133" s="42">
        <v>2.7466328343666831E-3</v>
      </c>
      <c r="J133" s="42">
        <v>7.217756577797105E-4</v>
      </c>
      <c r="K133" s="42">
        <v>5.6785662516830221E-5</v>
      </c>
      <c r="L133" s="42">
        <v>0.32664458003266672</v>
      </c>
      <c r="M133" s="42">
        <v>0.28401797415654612</v>
      </c>
      <c r="N133" s="42">
        <v>9.9434683786049555E-2</v>
      </c>
      <c r="O133" s="42">
        <v>5.2840553331450438E-3</v>
      </c>
      <c r="P133" s="42">
        <v>1.1401963289563543E-3</v>
      </c>
      <c r="Q133" s="42">
        <v>6.2434341577714911E-3</v>
      </c>
      <c r="R133" s="42">
        <v>1.2896322829480127E-3</v>
      </c>
      <c r="S133" s="42">
        <v>2.3552600708625294E-2</v>
      </c>
      <c r="T133" s="100">
        <v>1.1910045533135181E-3</v>
      </c>
      <c r="V133" s="42">
        <f t="shared" si="32"/>
        <v>0.22647766007205805</v>
      </c>
      <c r="W133" s="42">
        <f t="shared" si="33"/>
        <v>7.533066440719504E-3</v>
      </c>
      <c r="X133" s="42">
        <f t="shared" si="34"/>
        <v>0.71657827529988061</v>
      </c>
      <c r="Y133" s="42">
        <f t="shared" si="35"/>
        <v>4.8689222529562169E-2</v>
      </c>
      <c r="Z133" s="42">
        <f t="shared" si="36"/>
        <v>7.217756577797105E-4</v>
      </c>
      <c r="AA133" s="42">
        <f t="shared" si="37"/>
        <v>1</v>
      </c>
    </row>
    <row r="134" spans="1:27" x14ac:dyDescent="0.3">
      <c r="A134" s="42" t="s">
        <v>1597</v>
      </c>
      <c r="B134" s="47" t="s">
        <v>791</v>
      </c>
      <c r="C134" s="95">
        <v>669183</v>
      </c>
      <c r="D134" s="97">
        <f t="shared" si="30"/>
        <v>232.53606972089401</v>
      </c>
      <c r="E134" s="98">
        <f t="shared" si="31"/>
        <v>60226.902284613832</v>
      </c>
      <c r="F134" s="99">
        <v>0.20173405481011922</v>
      </c>
      <c r="G134" s="42">
        <v>3.8342277075179731E-2</v>
      </c>
      <c r="H134" s="42">
        <v>7.6003126200157502E-3</v>
      </c>
      <c r="I134" s="42">
        <v>2.7466328343666831E-3</v>
      </c>
      <c r="J134" s="42">
        <v>7.217756577797105E-4</v>
      </c>
      <c r="K134" s="42">
        <v>5.6785662516830221E-5</v>
      </c>
      <c r="L134" s="42">
        <v>0.32664458003266672</v>
      </c>
      <c r="M134" s="42">
        <v>0.28401797415654612</v>
      </c>
      <c r="N134" s="42">
        <v>9.9434683786049555E-2</v>
      </c>
      <c r="O134" s="42">
        <v>5.2840553331450438E-3</v>
      </c>
      <c r="P134" s="42">
        <v>1.1401963289563543E-3</v>
      </c>
      <c r="Q134" s="42">
        <v>6.2434341577714911E-3</v>
      </c>
      <c r="R134" s="42">
        <v>1.2896322829480127E-3</v>
      </c>
      <c r="S134" s="42">
        <v>2.3552600708625294E-2</v>
      </c>
      <c r="T134" s="100">
        <v>1.1910045533135181E-3</v>
      </c>
      <c r="V134" s="42">
        <f t="shared" si="32"/>
        <v>0.22647766007205805</v>
      </c>
      <c r="W134" s="42">
        <f t="shared" si="33"/>
        <v>7.533066440719504E-3</v>
      </c>
      <c r="X134" s="42">
        <f t="shared" si="34"/>
        <v>0.71657827529988061</v>
      </c>
      <c r="Y134" s="42">
        <f t="shared" si="35"/>
        <v>4.8689222529562169E-2</v>
      </c>
      <c r="Z134" s="42">
        <f t="shared" si="36"/>
        <v>7.217756577797105E-4</v>
      </c>
      <c r="AA134" s="42">
        <f t="shared" si="37"/>
        <v>1</v>
      </c>
    </row>
    <row r="135" spans="1:27" x14ac:dyDescent="0.3">
      <c r="A135" s="42" t="s">
        <v>1597</v>
      </c>
      <c r="B135" s="47" t="s">
        <v>793</v>
      </c>
      <c r="C135" s="95">
        <v>669183</v>
      </c>
      <c r="D135" s="97">
        <f t="shared" si="30"/>
        <v>232.53606972089401</v>
      </c>
      <c r="E135" s="98">
        <f t="shared" si="31"/>
        <v>60226.902284613832</v>
      </c>
      <c r="F135" s="99">
        <v>0.20173405481011922</v>
      </c>
      <c r="G135" s="42">
        <v>3.8342277075179731E-2</v>
      </c>
      <c r="H135" s="42">
        <v>7.6003126200157502E-3</v>
      </c>
      <c r="I135" s="42">
        <v>2.7466328343666831E-3</v>
      </c>
      <c r="J135" s="42">
        <v>7.217756577797105E-4</v>
      </c>
      <c r="K135" s="42">
        <v>5.6785662516830221E-5</v>
      </c>
      <c r="L135" s="42">
        <v>0.32664458003266672</v>
      </c>
      <c r="M135" s="42">
        <v>0.28401797415654612</v>
      </c>
      <c r="N135" s="42">
        <v>9.9434683786049555E-2</v>
      </c>
      <c r="O135" s="42">
        <v>5.2840553331450438E-3</v>
      </c>
      <c r="P135" s="42">
        <v>1.1401963289563543E-3</v>
      </c>
      <c r="Q135" s="42">
        <v>6.2434341577714911E-3</v>
      </c>
      <c r="R135" s="42">
        <v>1.2896322829480127E-3</v>
      </c>
      <c r="S135" s="42">
        <v>2.3552600708625294E-2</v>
      </c>
      <c r="T135" s="100">
        <v>1.1910045533135181E-3</v>
      </c>
      <c r="V135" s="42">
        <f t="shared" si="32"/>
        <v>0.22647766007205805</v>
      </c>
      <c r="W135" s="42">
        <f t="shared" si="33"/>
        <v>7.533066440719504E-3</v>
      </c>
      <c r="X135" s="42">
        <f t="shared" si="34"/>
        <v>0.71657827529988061</v>
      </c>
      <c r="Y135" s="42">
        <f t="shared" si="35"/>
        <v>4.8689222529562169E-2</v>
      </c>
      <c r="Z135" s="42">
        <f t="shared" si="36"/>
        <v>7.217756577797105E-4</v>
      </c>
      <c r="AA135" s="42">
        <f t="shared" si="37"/>
        <v>1</v>
      </c>
    </row>
    <row r="136" spans="1:27" x14ac:dyDescent="0.3">
      <c r="A136" s="42" t="s">
        <v>1597</v>
      </c>
      <c r="B136" s="47" t="s">
        <v>795</v>
      </c>
      <c r="C136" s="95">
        <v>669183</v>
      </c>
      <c r="D136" s="97">
        <f t="shared" si="30"/>
        <v>232.53606972089401</v>
      </c>
      <c r="E136" s="98">
        <f t="shared" si="31"/>
        <v>60226.902284613832</v>
      </c>
      <c r="F136" s="99">
        <v>0.20173405481011922</v>
      </c>
      <c r="G136" s="42">
        <v>3.8342277075179731E-2</v>
      </c>
      <c r="H136" s="42">
        <v>7.6003126200157502E-3</v>
      </c>
      <c r="I136" s="42">
        <v>2.7466328343666831E-3</v>
      </c>
      <c r="J136" s="42">
        <v>7.217756577797105E-4</v>
      </c>
      <c r="K136" s="42">
        <v>5.6785662516830221E-5</v>
      </c>
      <c r="L136" s="42">
        <v>0.32664458003266672</v>
      </c>
      <c r="M136" s="42">
        <v>0.28401797415654612</v>
      </c>
      <c r="N136" s="42">
        <v>9.9434683786049555E-2</v>
      </c>
      <c r="O136" s="42">
        <v>5.2840553331450438E-3</v>
      </c>
      <c r="P136" s="42">
        <v>1.1401963289563543E-3</v>
      </c>
      <c r="Q136" s="42">
        <v>6.2434341577714911E-3</v>
      </c>
      <c r="R136" s="42">
        <v>1.2896322829480127E-3</v>
      </c>
      <c r="S136" s="42">
        <v>2.3552600708625294E-2</v>
      </c>
      <c r="T136" s="100">
        <v>1.1910045533135181E-3</v>
      </c>
      <c r="V136" s="42">
        <f t="shared" si="32"/>
        <v>0.22647766007205805</v>
      </c>
      <c r="W136" s="42">
        <f t="shared" si="33"/>
        <v>7.533066440719504E-3</v>
      </c>
      <c r="X136" s="42">
        <f t="shared" si="34"/>
        <v>0.71657827529988061</v>
      </c>
      <c r="Y136" s="42">
        <f t="shared" si="35"/>
        <v>4.8689222529562169E-2</v>
      </c>
      <c r="Z136" s="42">
        <f t="shared" si="36"/>
        <v>7.217756577797105E-4</v>
      </c>
      <c r="AA136" s="42">
        <f t="shared" si="37"/>
        <v>1</v>
      </c>
    </row>
    <row r="137" spans="1:27" x14ac:dyDescent="0.3">
      <c r="A137" s="42" t="s">
        <v>1597</v>
      </c>
      <c r="B137" s="47" t="s">
        <v>797</v>
      </c>
      <c r="C137" s="95">
        <v>669183</v>
      </c>
      <c r="D137" s="97">
        <f t="shared" si="30"/>
        <v>232.53606972089401</v>
      </c>
      <c r="E137" s="98">
        <f t="shared" si="31"/>
        <v>60226.902284613832</v>
      </c>
      <c r="F137" s="99">
        <v>0.20173405481011922</v>
      </c>
      <c r="G137" s="42">
        <v>3.8342277075179731E-2</v>
      </c>
      <c r="H137" s="42">
        <v>7.6003126200157502E-3</v>
      </c>
      <c r="I137" s="42">
        <v>2.7466328343666831E-3</v>
      </c>
      <c r="J137" s="42">
        <v>7.217756577797105E-4</v>
      </c>
      <c r="K137" s="42">
        <v>5.6785662516830221E-5</v>
      </c>
      <c r="L137" s="42">
        <v>0.32664458003266672</v>
      </c>
      <c r="M137" s="42">
        <v>0.28401797415654612</v>
      </c>
      <c r="N137" s="42">
        <v>9.9434683786049555E-2</v>
      </c>
      <c r="O137" s="42">
        <v>5.2840553331450438E-3</v>
      </c>
      <c r="P137" s="42">
        <v>1.1401963289563543E-3</v>
      </c>
      <c r="Q137" s="42">
        <v>6.2434341577714911E-3</v>
      </c>
      <c r="R137" s="42">
        <v>1.2896322829480127E-3</v>
      </c>
      <c r="S137" s="42">
        <v>2.3552600708625294E-2</v>
      </c>
      <c r="T137" s="100">
        <v>1.1910045533135181E-3</v>
      </c>
      <c r="V137" s="42">
        <f t="shared" si="32"/>
        <v>0.22647766007205805</v>
      </c>
      <c r="W137" s="42">
        <f t="shared" si="33"/>
        <v>7.533066440719504E-3</v>
      </c>
      <c r="X137" s="42">
        <f t="shared" si="34"/>
        <v>0.71657827529988061</v>
      </c>
      <c r="Y137" s="42">
        <f t="shared" si="35"/>
        <v>4.8689222529562169E-2</v>
      </c>
      <c r="Z137" s="42">
        <f t="shared" si="36"/>
        <v>7.217756577797105E-4</v>
      </c>
      <c r="AA137" s="42">
        <f t="shared" si="37"/>
        <v>1</v>
      </c>
    </row>
    <row r="138" spans="1:27" x14ac:dyDescent="0.3">
      <c r="A138" s="42" t="s">
        <v>1597</v>
      </c>
      <c r="B138" s="116" t="s">
        <v>800</v>
      </c>
      <c r="C138" s="95">
        <v>669183</v>
      </c>
      <c r="D138" s="97">
        <f t="shared" si="30"/>
        <v>232.53606972089401</v>
      </c>
      <c r="E138" s="98">
        <f t="shared" si="31"/>
        <v>60226.902284613832</v>
      </c>
      <c r="F138" s="99">
        <v>0.20173405481011922</v>
      </c>
      <c r="G138" s="42">
        <v>3.8342277075179731E-2</v>
      </c>
      <c r="H138" s="42">
        <v>7.6003126200157502E-3</v>
      </c>
      <c r="I138" s="42">
        <v>2.7466328343666831E-3</v>
      </c>
      <c r="J138" s="42">
        <v>7.217756577797105E-4</v>
      </c>
      <c r="K138" s="42">
        <v>5.6785662516830221E-5</v>
      </c>
      <c r="L138" s="42">
        <v>0.32664458003266672</v>
      </c>
      <c r="M138" s="42">
        <v>0.28401797415654612</v>
      </c>
      <c r="N138" s="42">
        <v>9.9434683786049555E-2</v>
      </c>
      <c r="O138" s="42">
        <v>5.2840553331450438E-3</v>
      </c>
      <c r="P138" s="42">
        <v>1.1401963289563543E-3</v>
      </c>
      <c r="Q138" s="42">
        <v>6.2434341577714911E-3</v>
      </c>
      <c r="R138" s="42">
        <v>1.2896322829480127E-3</v>
      </c>
      <c r="S138" s="42">
        <v>2.3552600708625294E-2</v>
      </c>
      <c r="T138" s="100">
        <v>1.1910045533135181E-3</v>
      </c>
      <c r="V138" s="42">
        <f t="shared" si="32"/>
        <v>0.22647766007205805</v>
      </c>
      <c r="W138" s="42">
        <f t="shared" si="33"/>
        <v>7.533066440719504E-3</v>
      </c>
      <c r="X138" s="42">
        <f t="shared" si="34"/>
        <v>0.71657827529988061</v>
      </c>
      <c r="Y138" s="42">
        <f t="shared" si="35"/>
        <v>4.8689222529562169E-2</v>
      </c>
      <c r="Z138" s="42">
        <f t="shared" si="36"/>
        <v>7.217756577797105E-4</v>
      </c>
      <c r="AA138" s="42">
        <f t="shared" si="37"/>
        <v>1</v>
      </c>
    </row>
    <row r="139" spans="1:27" x14ac:dyDescent="0.3">
      <c r="A139" s="42" t="s">
        <v>1599</v>
      </c>
      <c r="B139" s="95" t="s">
        <v>802</v>
      </c>
      <c r="C139" s="95">
        <v>594</v>
      </c>
      <c r="D139" s="97">
        <f t="shared" si="30"/>
        <v>0.2064105415323029</v>
      </c>
      <c r="E139" s="98">
        <f t="shared" si="31"/>
        <v>53.460383717250167</v>
      </c>
      <c r="F139" s="99">
        <v>0.23905723905723905</v>
      </c>
      <c r="G139" s="42">
        <v>8.7542087542087546E-2</v>
      </c>
      <c r="H139" s="42">
        <v>8.4175084175084174E-3</v>
      </c>
      <c r="I139" s="42">
        <v>0</v>
      </c>
      <c r="J139" s="42">
        <v>0</v>
      </c>
      <c r="K139" s="42">
        <v>0</v>
      </c>
      <c r="L139" s="42">
        <v>0.45286195286195285</v>
      </c>
      <c r="M139" s="42">
        <v>2.1885521885521887E-2</v>
      </c>
      <c r="N139" s="42">
        <v>3.7037037037037035E-2</v>
      </c>
      <c r="O139" s="42">
        <v>2.0202020202020204E-2</v>
      </c>
      <c r="P139" s="42">
        <v>0</v>
      </c>
      <c r="Q139" s="42">
        <v>0</v>
      </c>
      <c r="R139" s="42">
        <v>0</v>
      </c>
      <c r="S139" s="42">
        <v>7.9124579124579125E-2</v>
      </c>
      <c r="T139" s="100">
        <v>5.387205387205387E-2</v>
      </c>
      <c r="V139" s="42">
        <f t="shared" si="32"/>
        <v>0.37205387205387203</v>
      </c>
      <c r="W139" s="42">
        <f t="shared" si="33"/>
        <v>0</v>
      </c>
      <c r="X139" s="42">
        <f t="shared" si="34"/>
        <v>0.53198653198653201</v>
      </c>
      <c r="Y139" s="42">
        <f t="shared" si="35"/>
        <v>9.5959595959595967E-2</v>
      </c>
      <c r="Z139" s="42">
        <f t="shared" si="36"/>
        <v>0</v>
      </c>
      <c r="AA139" s="42">
        <f t="shared" si="37"/>
        <v>1</v>
      </c>
    </row>
    <row r="140" spans="1:27" x14ac:dyDescent="0.3">
      <c r="A140" s="108" t="s">
        <v>1600</v>
      </c>
      <c r="B140" s="95" t="s">
        <v>807</v>
      </c>
      <c r="C140" s="95">
        <v>1245</v>
      </c>
      <c r="D140" s="97">
        <f>C140/2877.76</f>
        <v>0.43262815523184694</v>
      </c>
      <c r="E140" s="98">
        <f>D140/0.003861</f>
        <v>112.05080425585263</v>
      </c>
      <c r="F140" s="99">
        <v>0.11887550200803212</v>
      </c>
      <c r="G140" s="42">
        <v>0.13815261044176708</v>
      </c>
      <c r="H140" s="42">
        <v>8.8353413654618466E-3</v>
      </c>
      <c r="I140" s="42">
        <v>0</v>
      </c>
      <c r="J140" s="42">
        <v>0</v>
      </c>
      <c r="K140" s="42">
        <v>0</v>
      </c>
      <c r="L140" s="42">
        <v>0.61445783132530118</v>
      </c>
      <c r="M140" s="42">
        <v>0</v>
      </c>
      <c r="N140" s="42">
        <v>9.1566265060240959E-2</v>
      </c>
      <c r="O140" s="42">
        <v>0</v>
      </c>
      <c r="P140" s="42">
        <v>0</v>
      </c>
      <c r="Q140" s="42">
        <v>1.7670682730923693E-2</v>
      </c>
      <c r="R140" s="42">
        <v>8.0321285140562252E-4</v>
      </c>
      <c r="S140" s="42">
        <v>9.6385542168674707E-3</v>
      </c>
      <c r="T140" s="100">
        <v>0</v>
      </c>
      <c r="V140" s="42">
        <f>F140+S140+T140</f>
        <v>0.12851405622489959</v>
      </c>
      <c r="W140" s="42">
        <f>Q140+R140</f>
        <v>1.8473895582329317E-2</v>
      </c>
      <c r="X140" s="42">
        <f>SUM(K140:P140)</f>
        <v>0.7060240963855422</v>
      </c>
      <c r="Y140" s="42">
        <f>SUM(G140:I140)</f>
        <v>0.14698795180722893</v>
      </c>
      <c r="Z140" s="42">
        <f>J140</f>
        <v>0</v>
      </c>
      <c r="AA140" s="42">
        <f>SUM(V140:Z140)</f>
        <v>1</v>
      </c>
    </row>
    <row r="141" spans="1:27" x14ac:dyDescent="0.3">
      <c r="A141" s="42"/>
      <c r="B141" s="16" t="s">
        <v>812</v>
      </c>
      <c r="C141" s="102"/>
      <c r="D141" s="103">
        <f>C141/2877.76</f>
        <v>0</v>
      </c>
      <c r="E141" s="104">
        <f>D141/0.003861</f>
        <v>0</v>
      </c>
      <c r="F141" s="105"/>
      <c r="G141" s="42"/>
      <c r="H141" s="42"/>
      <c r="I141" s="42"/>
      <c r="J141" s="42"/>
      <c r="K141" s="42"/>
      <c r="L141" s="42"/>
      <c r="M141" s="42"/>
      <c r="N141" s="42"/>
      <c r="O141" s="42"/>
      <c r="P141" s="42"/>
      <c r="Q141" s="42"/>
      <c r="R141" s="42"/>
      <c r="S141" s="42"/>
      <c r="T141" s="106"/>
      <c r="V141" s="42"/>
      <c r="W141" s="42"/>
      <c r="X141" s="42"/>
      <c r="Y141" s="42"/>
      <c r="Z141" s="42"/>
      <c r="AA141" s="42"/>
    </row>
    <row r="142" spans="1:27" x14ac:dyDescent="0.3">
      <c r="A142" s="42"/>
      <c r="B142" s="16" t="s">
        <v>814</v>
      </c>
      <c r="C142" s="102"/>
      <c r="D142" s="103">
        <f>C142/2877.76</f>
        <v>0</v>
      </c>
      <c r="E142" s="104">
        <f>D142/0.003861</f>
        <v>0</v>
      </c>
      <c r="F142" s="105"/>
      <c r="G142" s="42"/>
      <c r="H142" s="42"/>
      <c r="I142" s="42"/>
      <c r="J142" s="42"/>
      <c r="K142" s="42"/>
      <c r="L142" s="42"/>
      <c r="M142" s="42"/>
      <c r="N142" s="42"/>
      <c r="O142" s="42"/>
      <c r="P142" s="42"/>
      <c r="Q142" s="42"/>
      <c r="R142" s="42"/>
      <c r="S142" s="42"/>
      <c r="T142" s="106"/>
      <c r="V142" s="42"/>
      <c r="W142" s="42"/>
      <c r="X142" s="42"/>
      <c r="Y142" s="42"/>
      <c r="Z142" s="42"/>
      <c r="AA142" s="42"/>
    </row>
    <row r="143" spans="1:27" x14ac:dyDescent="0.3">
      <c r="A143" s="110" t="s">
        <v>1601</v>
      </c>
      <c r="B143" s="95" t="s">
        <v>815</v>
      </c>
      <c r="C143" s="95">
        <v>147</v>
      </c>
      <c r="D143" s="97">
        <f t="shared" si="30"/>
        <v>5.1081396641832533E-2</v>
      </c>
      <c r="E143" s="98">
        <f t="shared" si="31"/>
        <v>13.230094960329588</v>
      </c>
      <c r="F143" s="99">
        <v>0.24489795918367346</v>
      </c>
      <c r="G143" s="42">
        <v>1.3605442176870748E-2</v>
      </c>
      <c r="H143" s="42">
        <v>0</v>
      </c>
      <c r="I143" s="42">
        <v>0</v>
      </c>
      <c r="J143" s="42">
        <v>0</v>
      </c>
      <c r="K143" s="42">
        <v>0</v>
      </c>
      <c r="L143" s="42">
        <v>0.20408163265306123</v>
      </c>
      <c r="M143" s="42">
        <v>0.12925170068027211</v>
      </c>
      <c r="N143" s="42">
        <v>0.32653061224489793</v>
      </c>
      <c r="O143" s="42">
        <v>0</v>
      </c>
      <c r="P143" s="42">
        <v>0</v>
      </c>
      <c r="Q143" s="42">
        <v>0</v>
      </c>
      <c r="R143" s="42">
        <v>0</v>
      </c>
      <c r="S143" s="42">
        <v>2.7210884353741496E-2</v>
      </c>
      <c r="T143" s="100">
        <v>5.4421768707482991E-2</v>
      </c>
      <c r="V143" s="42">
        <f t="shared" si="32"/>
        <v>0.32653061224489793</v>
      </c>
      <c r="W143" s="42">
        <f t="shared" si="33"/>
        <v>0</v>
      </c>
      <c r="X143" s="42">
        <f t="shared" si="34"/>
        <v>0.65986394557823136</v>
      </c>
      <c r="Y143" s="42">
        <f t="shared" si="35"/>
        <v>1.3605442176870748E-2</v>
      </c>
      <c r="Z143" s="42">
        <f t="shared" si="36"/>
        <v>0</v>
      </c>
      <c r="AA143" s="42">
        <f t="shared" si="37"/>
        <v>1</v>
      </c>
    </row>
    <row r="144" spans="1:27" x14ac:dyDescent="0.3">
      <c r="A144" s="42" t="s">
        <v>1602</v>
      </c>
      <c r="B144" s="95" t="s">
        <v>823</v>
      </c>
      <c r="C144" s="95">
        <v>5228</v>
      </c>
      <c r="D144" s="97">
        <f t="shared" si="30"/>
        <v>1.8166907594795951</v>
      </c>
      <c r="E144" s="98">
        <f t="shared" si="31"/>
        <v>470.52337722859238</v>
      </c>
      <c r="F144" s="99">
        <v>8.91354246365723E-2</v>
      </c>
      <c r="G144" s="42">
        <v>6.1017597551644986E-2</v>
      </c>
      <c r="H144" s="42">
        <v>3.7872991583779651E-2</v>
      </c>
      <c r="I144" s="42">
        <v>1.090283091048202E-2</v>
      </c>
      <c r="J144" s="42">
        <v>0</v>
      </c>
      <c r="K144" s="42">
        <v>0</v>
      </c>
      <c r="L144" s="42">
        <v>0.35195103289977048</v>
      </c>
      <c r="M144" s="42">
        <v>6.6182096403978583E-2</v>
      </c>
      <c r="N144" s="42">
        <v>6.3504208110175972E-2</v>
      </c>
      <c r="O144" s="42">
        <v>2.6205049732211171E-2</v>
      </c>
      <c r="P144" s="42">
        <v>4.2081101759755164E-3</v>
      </c>
      <c r="Q144" s="42">
        <v>0.13485080336648814</v>
      </c>
      <c r="R144" s="42">
        <v>8.5692425401683245E-2</v>
      </c>
      <c r="S144" s="42">
        <v>6.7138485080336652E-2</v>
      </c>
      <c r="T144" s="100">
        <v>1.3389441469013007E-3</v>
      </c>
      <c r="V144" s="42">
        <f t="shared" si="32"/>
        <v>0.15761285386381027</v>
      </c>
      <c r="W144" s="42">
        <f t="shared" si="33"/>
        <v>0.2205432287681714</v>
      </c>
      <c r="X144" s="42">
        <f t="shared" si="34"/>
        <v>0.51205049732211183</v>
      </c>
      <c r="Y144" s="42">
        <f t="shared" si="35"/>
        <v>0.10979342004590667</v>
      </c>
      <c r="Z144" s="42">
        <f t="shared" si="36"/>
        <v>0</v>
      </c>
      <c r="AA144" s="42">
        <f t="shared" si="37"/>
        <v>1.0000000000000002</v>
      </c>
    </row>
    <row r="145" spans="1:27" x14ac:dyDescent="0.3">
      <c r="A145" s="42" t="s">
        <v>1603</v>
      </c>
      <c r="B145" s="95" t="s">
        <v>830</v>
      </c>
      <c r="C145" s="95">
        <v>1543</v>
      </c>
      <c r="D145" s="97">
        <f t="shared" si="30"/>
        <v>0.53618091849216054</v>
      </c>
      <c r="E145" s="98">
        <f t="shared" si="31"/>
        <v>138.87099676046634</v>
      </c>
      <c r="F145" s="99">
        <v>5.1847051198963059E-2</v>
      </c>
      <c r="G145" s="42">
        <v>0.55735580038885291</v>
      </c>
      <c r="H145" s="42">
        <v>0.23136746597537264</v>
      </c>
      <c r="I145" s="42">
        <v>1.9442644199611146E-2</v>
      </c>
      <c r="J145" s="42">
        <v>0</v>
      </c>
      <c r="K145" s="42">
        <v>0</v>
      </c>
      <c r="L145" s="42">
        <v>0.13285806869734285</v>
      </c>
      <c r="M145" s="42">
        <v>6.4808813998703824E-4</v>
      </c>
      <c r="N145" s="42">
        <v>2.592352559948153E-3</v>
      </c>
      <c r="O145" s="42">
        <v>3.8885288399222295E-3</v>
      </c>
      <c r="P145" s="42">
        <v>0</v>
      </c>
      <c r="Q145" s="42">
        <v>0</v>
      </c>
      <c r="R145" s="42">
        <v>0</v>
      </c>
      <c r="S145" s="42">
        <v>0</v>
      </c>
      <c r="T145" s="100">
        <v>0</v>
      </c>
      <c r="V145" s="42">
        <f t="shared" si="32"/>
        <v>5.1847051198963059E-2</v>
      </c>
      <c r="W145" s="42">
        <f t="shared" si="33"/>
        <v>0</v>
      </c>
      <c r="X145" s="42">
        <f t="shared" si="34"/>
        <v>0.13998703823720027</v>
      </c>
      <c r="Y145" s="42">
        <f t="shared" si="35"/>
        <v>0.80816591056383669</v>
      </c>
      <c r="Z145" s="42">
        <f t="shared" si="36"/>
        <v>0</v>
      </c>
      <c r="AA145" s="42">
        <f t="shared" si="37"/>
        <v>1</v>
      </c>
    </row>
    <row r="146" spans="1:27" x14ac:dyDescent="0.3">
      <c r="A146" s="42" t="s">
        <v>1604</v>
      </c>
      <c r="B146" s="95" t="s">
        <v>835</v>
      </c>
      <c r="C146" s="95">
        <v>14580</v>
      </c>
      <c r="D146" s="97">
        <f t="shared" si="30"/>
        <v>5.0664405648837985</v>
      </c>
      <c r="E146" s="98">
        <f t="shared" si="31"/>
        <v>1312.2094185143224</v>
      </c>
      <c r="F146" s="99">
        <v>2.3319615912208505E-3</v>
      </c>
      <c r="G146" s="42">
        <v>0.35932784636488341</v>
      </c>
      <c r="H146" s="42">
        <v>7.2427983539094645E-2</v>
      </c>
      <c r="I146" s="42">
        <v>3.3676268861454049E-2</v>
      </c>
      <c r="J146" s="42">
        <v>2.1947873799725653E-3</v>
      </c>
      <c r="K146" s="42">
        <v>0</v>
      </c>
      <c r="L146" s="42">
        <v>0.44732510288065841</v>
      </c>
      <c r="M146" s="42">
        <v>3.4293552812071328E-4</v>
      </c>
      <c r="N146" s="42">
        <v>4.1152263374485596E-4</v>
      </c>
      <c r="O146" s="42">
        <v>3.635116598079561E-3</v>
      </c>
      <c r="P146" s="42">
        <v>3.2921810699588477E-3</v>
      </c>
      <c r="Q146" s="42">
        <v>0</v>
      </c>
      <c r="R146" s="42">
        <v>2.5720164609053499E-2</v>
      </c>
      <c r="S146" s="42">
        <v>4.931412894375857E-2</v>
      </c>
      <c r="T146" s="100">
        <v>0</v>
      </c>
      <c r="V146" s="42">
        <f t="shared" si="32"/>
        <v>5.1646090534979421E-2</v>
      </c>
      <c r="W146" s="42">
        <f t="shared" si="33"/>
        <v>2.5720164609053499E-2</v>
      </c>
      <c r="X146" s="42">
        <f t="shared" si="34"/>
        <v>0.45500685871056235</v>
      </c>
      <c r="Y146" s="42">
        <f t="shared" si="35"/>
        <v>0.46543209876543207</v>
      </c>
      <c r="Z146" s="42">
        <f t="shared" si="36"/>
        <v>2.1947873799725653E-3</v>
      </c>
      <c r="AA146" s="42">
        <f t="shared" si="37"/>
        <v>1</v>
      </c>
    </row>
    <row r="147" spans="1:27" x14ac:dyDescent="0.3">
      <c r="A147" s="42" t="s">
        <v>1605</v>
      </c>
      <c r="B147" s="95" t="s">
        <v>535</v>
      </c>
      <c r="C147" s="95">
        <v>73524</v>
      </c>
      <c r="D147" s="97">
        <f t="shared" si="30"/>
        <v>25.549038140776158</v>
      </c>
      <c r="E147" s="98">
        <f t="shared" si="31"/>
        <v>6617.207495668521</v>
      </c>
      <c r="F147" s="99">
        <v>2.2183232685925685E-2</v>
      </c>
      <c r="G147" s="42">
        <v>4.0408574071051633E-2</v>
      </c>
      <c r="H147" s="42">
        <v>3.1010282356781459E-3</v>
      </c>
      <c r="I147" s="42">
        <v>1.0608780806267341E-3</v>
      </c>
      <c r="J147" s="42">
        <v>2.7202002067352157E-5</v>
      </c>
      <c r="K147" s="42">
        <v>0</v>
      </c>
      <c r="L147" s="42">
        <v>0.31106849464120562</v>
      </c>
      <c r="M147" s="42">
        <v>0.3355230944997552</v>
      </c>
      <c r="N147" s="42">
        <v>0.21935694467112779</v>
      </c>
      <c r="O147" s="42">
        <v>1.9952668516402806E-2</v>
      </c>
      <c r="P147" s="42">
        <v>3.0738262336107939E-3</v>
      </c>
      <c r="Q147" s="42">
        <v>0</v>
      </c>
      <c r="R147" s="42">
        <v>3.291442250149611E-3</v>
      </c>
      <c r="S147" s="42">
        <v>3.8735650943909475E-2</v>
      </c>
      <c r="T147" s="100">
        <v>2.2169631684892006E-3</v>
      </c>
      <c r="V147" s="42">
        <f t="shared" si="32"/>
        <v>6.313584679832436E-2</v>
      </c>
      <c r="W147" s="42">
        <f t="shared" si="33"/>
        <v>3.291442250149611E-3</v>
      </c>
      <c r="X147" s="42">
        <f t="shared" si="34"/>
        <v>0.88897502856210209</v>
      </c>
      <c r="Y147" s="42">
        <f t="shared" si="35"/>
        <v>4.4570480387356511E-2</v>
      </c>
      <c r="Z147" s="42">
        <f t="shared" si="36"/>
        <v>2.7202002067352157E-5</v>
      </c>
      <c r="AA147" s="42">
        <f t="shared" si="37"/>
        <v>1</v>
      </c>
    </row>
    <row r="148" spans="1:27" x14ac:dyDescent="0.3">
      <c r="A148" s="42"/>
      <c r="B148" s="16" t="s">
        <v>845</v>
      </c>
      <c r="C148" s="102"/>
      <c r="D148" s="103">
        <f>C148/2877.76</f>
        <v>0</v>
      </c>
      <c r="E148" s="104">
        <f>D148/0.003861</f>
        <v>0</v>
      </c>
      <c r="F148" s="105"/>
      <c r="G148" s="42"/>
      <c r="H148" s="42"/>
      <c r="I148" s="42"/>
      <c r="J148" s="42"/>
      <c r="K148" s="42"/>
      <c r="L148" s="42"/>
      <c r="M148" s="42"/>
      <c r="N148" s="42"/>
      <c r="O148" s="42"/>
      <c r="P148" s="42"/>
      <c r="Q148" s="42"/>
      <c r="R148" s="42"/>
      <c r="S148" s="42"/>
      <c r="T148" s="106"/>
      <c r="V148" s="42"/>
      <c r="W148" s="42"/>
      <c r="X148" s="42"/>
      <c r="Y148" s="42"/>
      <c r="Z148" s="42"/>
      <c r="AA148" s="42"/>
    </row>
    <row r="149" spans="1:27" x14ac:dyDescent="0.3">
      <c r="A149" s="42"/>
      <c r="B149" s="16" t="s">
        <v>850</v>
      </c>
      <c r="C149" s="102"/>
      <c r="D149" s="103">
        <f>C149/2877.76</f>
        <v>0</v>
      </c>
      <c r="E149" s="104">
        <f>D149/0.003861</f>
        <v>0</v>
      </c>
      <c r="F149" s="105"/>
      <c r="G149" s="42"/>
      <c r="H149" s="42"/>
      <c r="I149" s="42"/>
      <c r="J149" s="42"/>
      <c r="K149" s="42"/>
      <c r="L149" s="42"/>
      <c r="M149" s="42"/>
      <c r="N149" s="42"/>
      <c r="O149" s="42"/>
      <c r="P149" s="42"/>
      <c r="Q149" s="42"/>
      <c r="R149" s="42"/>
      <c r="S149" s="42"/>
      <c r="T149" s="106"/>
      <c r="V149" s="42"/>
      <c r="W149" s="42"/>
      <c r="X149" s="42"/>
      <c r="Y149" s="42"/>
      <c r="Z149" s="42"/>
      <c r="AA149" s="42"/>
    </row>
    <row r="150" spans="1:27" x14ac:dyDescent="0.3">
      <c r="A150" s="115" t="s">
        <v>1606</v>
      </c>
      <c r="B150" s="95" t="s">
        <v>1607</v>
      </c>
      <c r="C150" s="95">
        <v>3006</v>
      </c>
      <c r="D150" s="97">
        <f>C150/2877.76</f>
        <v>1.0445624374513509</v>
      </c>
      <c r="E150" s="98">
        <f>D150/0.003861</f>
        <v>270.54194184184172</v>
      </c>
      <c r="F150" s="99">
        <v>0.14737192282102463</v>
      </c>
      <c r="G150" s="42">
        <v>0.45908183632734528</v>
      </c>
      <c r="H150" s="42">
        <v>0.10612109115103127</v>
      </c>
      <c r="I150" s="42">
        <v>6.3206919494344649E-2</v>
      </c>
      <c r="J150" s="42">
        <v>8.3166999334664E-3</v>
      </c>
      <c r="K150" s="42">
        <v>0</v>
      </c>
      <c r="L150" s="42">
        <v>0.14836992681304059</v>
      </c>
      <c r="M150" s="42">
        <v>1.1976047904191617E-2</v>
      </c>
      <c r="N150" s="42">
        <v>2.6613439787092482E-3</v>
      </c>
      <c r="O150" s="42">
        <v>0</v>
      </c>
      <c r="P150" s="42">
        <v>0</v>
      </c>
      <c r="Q150" s="42">
        <v>8.3166999334664E-3</v>
      </c>
      <c r="R150" s="42">
        <v>0</v>
      </c>
      <c r="S150" s="42">
        <v>4.2581503659347972E-2</v>
      </c>
      <c r="T150" s="100">
        <v>1.996007984031936E-3</v>
      </c>
      <c r="V150" s="42">
        <f>F150+S150+T150</f>
        <v>0.19194943446440454</v>
      </c>
      <c r="W150" s="42">
        <f>Q150+R150</f>
        <v>8.3166999334664E-3</v>
      </c>
      <c r="X150" s="42">
        <f>SUM(K150:P150)</f>
        <v>0.16300731869594146</v>
      </c>
      <c r="Y150" s="42">
        <f>SUM(G150:I150)</f>
        <v>0.62840984697272118</v>
      </c>
      <c r="Z150" s="42">
        <f>J150</f>
        <v>8.3166999334664E-3</v>
      </c>
      <c r="AA150" s="42">
        <f>SUM(V150:Z150)</f>
        <v>1</v>
      </c>
    </row>
    <row r="151" spans="1:27" x14ac:dyDescent="0.3">
      <c r="A151" s="42" t="s">
        <v>1608</v>
      </c>
      <c r="B151" s="95" t="s">
        <v>860</v>
      </c>
      <c r="C151" s="95">
        <v>23160</v>
      </c>
      <c r="D151" s="97">
        <f t="shared" si="30"/>
        <v>8.0479261647948395</v>
      </c>
      <c r="E151" s="98">
        <f t="shared" si="31"/>
        <v>2084.4149610968248</v>
      </c>
      <c r="F151" s="99">
        <v>5.3367875647668393E-2</v>
      </c>
      <c r="G151" s="42">
        <v>1.7443868739205528E-2</v>
      </c>
      <c r="H151" s="42">
        <v>2.1157167530224527E-3</v>
      </c>
      <c r="I151" s="42">
        <v>0</v>
      </c>
      <c r="J151" s="42">
        <v>0</v>
      </c>
      <c r="K151" s="42">
        <v>2.158894645941278E-4</v>
      </c>
      <c r="L151" s="42">
        <v>0.25414507772020728</v>
      </c>
      <c r="M151" s="42">
        <v>4.6373056994818654E-2</v>
      </c>
      <c r="N151" s="42">
        <v>4.0587219343696029E-3</v>
      </c>
      <c r="O151" s="42">
        <v>0.10526770293609672</v>
      </c>
      <c r="P151" s="42">
        <v>6.7141623488773741E-2</v>
      </c>
      <c r="Q151" s="42">
        <v>0.27672711571675301</v>
      </c>
      <c r="R151" s="42">
        <v>0.13303108808290157</v>
      </c>
      <c r="S151" s="42">
        <v>3.2037996545768568E-2</v>
      </c>
      <c r="T151" s="100">
        <v>8.07426597582038E-3</v>
      </c>
      <c r="V151" s="42">
        <f t="shared" si="32"/>
        <v>9.3480138169257335E-2</v>
      </c>
      <c r="W151" s="42">
        <f t="shared" si="33"/>
        <v>0.40975820379965455</v>
      </c>
      <c r="X151" s="42">
        <f t="shared" si="34"/>
        <v>0.4772020725388601</v>
      </c>
      <c r="Y151" s="42">
        <f t="shared" si="35"/>
        <v>1.9559585492227981E-2</v>
      </c>
      <c r="Z151" s="42">
        <f t="shared" si="36"/>
        <v>0</v>
      </c>
      <c r="AA151" s="42">
        <f t="shared" si="37"/>
        <v>1</v>
      </c>
    </row>
    <row r="152" spans="1:27" x14ac:dyDescent="0.3">
      <c r="A152" s="42"/>
      <c r="B152" s="16" t="s">
        <v>864</v>
      </c>
      <c r="C152" s="102"/>
      <c r="D152" s="103">
        <f>C152/2877.76</f>
        <v>0</v>
      </c>
      <c r="E152" s="104">
        <f>D152/0.003861</f>
        <v>0</v>
      </c>
      <c r="F152" s="105"/>
      <c r="G152" s="42"/>
      <c r="H152" s="42"/>
      <c r="I152" s="42"/>
      <c r="J152" s="42"/>
      <c r="K152" s="42"/>
      <c r="L152" s="42"/>
      <c r="M152" s="42"/>
      <c r="N152" s="42"/>
      <c r="O152" s="42"/>
      <c r="P152" s="42"/>
      <c r="Q152" s="42"/>
      <c r="R152" s="42"/>
      <c r="S152" s="42"/>
      <c r="T152" s="106"/>
      <c r="V152" s="42"/>
      <c r="W152" s="42"/>
      <c r="X152" s="42"/>
      <c r="Y152" s="42"/>
      <c r="Z152" s="42"/>
      <c r="AA152" s="42"/>
    </row>
    <row r="153" spans="1:27" x14ac:dyDescent="0.3">
      <c r="A153" s="42"/>
      <c r="B153" s="16" t="s">
        <v>869</v>
      </c>
      <c r="C153" s="102"/>
      <c r="D153" s="103">
        <f>C153/2877.76</f>
        <v>0</v>
      </c>
      <c r="E153" s="104">
        <f>D153/0.003861</f>
        <v>0</v>
      </c>
      <c r="F153" s="105"/>
      <c r="G153" s="42"/>
      <c r="H153" s="42"/>
      <c r="I153" s="42"/>
      <c r="J153" s="42"/>
      <c r="K153" s="42"/>
      <c r="L153" s="42"/>
      <c r="M153" s="42"/>
      <c r="N153" s="42"/>
      <c r="O153" s="42"/>
      <c r="P153" s="42"/>
      <c r="Q153" s="42"/>
      <c r="R153" s="42"/>
      <c r="S153" s="42"/>
      <c r="T153" s="106"/>
      <c r="V153" s="42"/>
      <c r="W153" s="42"/>
      <c r="X153" s="42"/>
      <c r="Y153" s="42"/>
      <c r="Z153" s="42"/>
      <c r="AA153" s="42"/>
    </row>
    <row r="154" spans="1:27" x14ac:dyDescent="0.3">
      <c r="A154" s="42" t="s">
        <v>1609</v>
      </c>
      <c r="B154" s="95" t="s">
        <v>870</v>
      </c>
      <c r="C154" s="95">
        <v>14547</v>
      </c>
      <c r="D154" s="97">
        <f t="shared" si="30"/>
        <v>5.0549733125764478</v>
      </c>
      <c r="E154" s="98">
        <f t="shared" si="31"/>
        <v>1309.2393971966972</v>
      </c>
      <c r="F154" s="99">
        <v>0.29353131229806834</v>
      </c>
      <c r="G154" s="42">
        <v>3.4302605348181754E-2</v>
      </c>
      <c r="H154" s="42">
        <v>2.5297312160582938E-2</v>
      </c>
      <c r="I154" s="42">
        <v>1.746064480648931E-2</v>
      </c>
      <c r="J154" s="42">
        <v>3.918333677046814E-3</v>
      </c>
      <c r="K154" s="42">
        <v>0</v>
      </c>
      <c r="L154" s="42">
        <v>0.38557778236062418</v>
      </c>
      <c r="M154" s="42">
        <v>2.9353131229806834E-2</v>
      </c>
      <c r="N154" s="42">
        <v>4.5370179418436794E-3</v>
      </c>
      <c r="O154" s="42">
        <v>3.017804358286932E-2</v>
      </c>
      <c r="P154" s="42">
        <v>1.746064480648931E-2</v>
      </c>
      <c r="Q154" s="42">
        <v>2.2478861620952775E-2</v>
      </c>
      <c r="R154" s="42">
        <v>2.8871932357187047E-3</v>
      </c>
      <c r="S154" s="42">
        <v>7.025503540248848E-2</v>
      </c>
      <c r="T154" s="100">
        <v>6.2762081528837554E-2</v>
      </c>
      <c r="V154" s="42">
        <f t="shared" si="32"/>
        <v>0.4265484292293944</v>
      </c>
      <c r="W154" s="42">
        <f t="shared" si="33"/>
        <v>2.5366054856671479E-2</v>
      </c>
      <c r="X154" s="42">
        <f t="shared" si="34"/>
        <v>0.46710661992163327</v>
      </c>
      <c r="Y154" s="42">
        <f t="shared" si="35"/>
        <v>7.7060562315254003E-2</v>
      </c>
      <c r="Z154" s="42">
        <f t="shared" si="36"/>
        <v>3.918333677046814E-3</v>
      </c>
      <c r="AA154" s="42">
        <f t="shared" si="37"/>
        <v>1</v>
      </c>
    </row>
    <row r="155" spans="1:27" x14ac:dyDescent="0.3">
      <c r="A155" s="42" t="s">
        <v>1610</v>
      </c>
      <c r="B155" s="95" t="s">
        <v>240</v>
      </c>
      <c r="C155" s="95">
        <v>3059</v>
      </c>
      <c r="D155" s="97">
        <f t="shared" si="30"/>
        <v>1.0629795396419437</v>
      </c>
      <c r="E155" s="98">
        <f t="shared" si="31"/>
        <v>275.31197607923951</v>
      </c>
      <c r="F155" s="99">
        <v>0.32003922850604771</v>
      </c>
      <c r="G155" s="42">
        <v>1.5691402419091206E-2</v>
      </c>
      <c r="H155" s="42">
        <v>0</v>
      </c>
      <c r="I155" s="42">
        <v>0</v>
      </c>
      <c r="J155" s="42">
        <v>0</v>
      </c>
      <c r="K155" s="42">
        <v>0</v>
      </c>
      <c r="L155" s="42">
        <v>0.38443935926773454</v>
      </c>
      <c r="M155" s="42">
        <v>0.13533834586466165</v>
      </c>
      <c r="N155" s="42">
        <v>4.7074207257273619E-2</v>
      </c>
      <c r="O155" s="42">
        <v>8.8264138607388031E-3</v>
      </c>
      <c r="P155" s="42">
        <v>1.1768551814318405E-2</v>
      </c>
      <c r="Q155" s="42">
        <v>6.8976789800588426E-2</v>
      </c>
      <c r="R155" s="42">
        <v>0</v>
      </c>
      <c r="S155" s="42">
        <v>7.8457012095456032E-3</v>
      </c>
      <c r="T155" s="100">
        <v>0</v>
      </c>
      <c r="V155" s="42">
        <f t="shared" si="32"/>
        <v>0.3278849297155933</v>
      </c>
      <c r="W155" s="42">
        <f t="shared" si="33"/>
        <v>6.8976789800588426E-2</v>
      </c>
      <c r="X155" s="42">
        <f t="shared" si="34"/>
        <v>0.58744687806472695</v>
      </c>
      <c r="Y155" s="42">
        <f t="shared" si="35"/>
        <v>1.5691402419091206E-2</v>
      </c>
      <c r="Z155" s="42">
        <f t="shared" si="36"/>
        <v>0</v>
      </c>
      <c r="AA155" s="42">
        <f t="shared" si="37"/>
        <v>0.99999999999999989</v>
      </c>
    </row>
    <row r="156" spans="1:27" x14ac:dyDescent="0.3">
      <c r="A156" s="42"/>
      <c r="B156" s="16" t="s">
        <v>874</v>
      </c>
      <c r="C156" s="102"/>
      <c r="D156" s="103">
        <f>C156/2877.76</f>
        <v>0</v>
      </c>
      <c r="E156" s="104">
        <f>D156/0.003861</f>
        <v>0</v>
      </c>
      <c r="F156" s="105"/>
      <c r="G156" s="42"/>
      <c r="H156" s="42"/>
      <c r="I156" s="42"/>
      <c r="J156" s="42"/>
      <c r="K156" s="42"/>
      <c r="L156" s="42"/>
      <c r="M156" s="42"/>
      <c r="N156" s="42"/>
      <c r="O156" s="42"/>
      <c r="P156" s="42"/>
      <c r="Q156" s="42"/>
      <c r="R156" s="42"/>
      <c r="S156" s="42"/>
      <c r="T156" s="106"/>
      <c r="V156" s="42"/>
      <c r="W156" s="42"/>
      <c r="X156" s="42"/>
      <c r="Y156" s="42"/>
      <c r="Z156" s="42"/>
      <c r="AA156" s="42"/>
    </row>
    <row r="157" spans="1:27" x14ac:dyDescent="0.3">
      <c r="A157" s="42"/>
      <c r="B157" s="16" t="s">
        <v>881</v>
      </c>
      <c r="C157" s="102"/>
      <c r="D157" s="103">
        <f>C157/2877.76</f>
        <v>0</v>
      </c>
      <c r="E157" s="104">
        <f>D157/0.003861</f>
        <v>0</v>
      </c>
      <c r="F157" s="105"/>
      <c r="G157" s="42"/>
      <c r="H157" s="42"/>
      <c r="I157" s="42"/>
      <c r="J157" s="42"/>
      <c r="K157" s="42"/>
      <c r="L157" s="42"/>
      <c r="M157" s="42"/>
      <c r="N157" s="42"/>
      <c r="O157" s="42"/>
      <c r="P157" s="42"/>
      <c r="Q157" s="42"/>
      <c r="R157" s="42"/>
      <c r="S157" s="42"/>
      <c r="T157" s="106"/>
      <c r="V157" s="42"/>
      <c r="W157" s="42"/>
      <c r="X157" s="42"/>
      <c r="Y157" s="42"/>
      <c r="Z157" s="42"/>
      <c r="AA157" s="42"/>
    </row>
    <row r="158" spans="1:27" x14ac:dyDescent="0.3">
      <c r="A158" s="42" t="s">
        <v>1611</v>
      </c>
      <c r="B158" s="95" t="s">
        <v>885</v>
      </c>
      <c r="C158" s="95">
        <v>5747</v>
      </c>
      <c r="D158" s="97">
        <f t="shared" si="30"/>
        <v>1.9970393639497386</v>
      </c>
      <c r="E158" s="98">
        <f t="shared" si="31"/>
        <v>517.23371249669481</v>
      </c>
      <c r="F158" s="99">
        <v>0.11084043848964677</v>
      </c>
      <c r="G158" s="42">
        <v>6.3859404906907946E-2</v>
      </c>
      <c r="H158" s="42">
        <v>0</v>
      </c>
      <c r="I158" s="42">
        <v>0</v>
      </c>
      <c r="J158" s="42">
        <v>0</v>
      </c>
      <c r="K158" s="42">
        <v>0</v>
      </c>
      <c r="L158" s="42">
        <v>0.59474508439185658</v>
      </c>
      <c r="M158" s="42">
        <v>0.11101444231773099</v>
      </c>
      <c r="N158" s="42">
        <v>1.5660344527579608E-2</v>
      </c>
      <c r="O158" s="42">
        <v>1.0440229685053071E-3</v>
      </c>
      <c r="P158" s="42">
        <v>0</v>
      </c>
      <c r="Q158" s="42">
        <v>1.4094310074821646E-2</v>
      </c>
      <c r="R158" s="42">
        <v>0</v>
      </c>
      <c r="S158" s="42">
        <v>8.5261875761266745E-2</v>
      </c>
      <c r="T158" s="100">
        <v>3.4800765616843569E-3</v>
      </c>
      <c r="V158" s="42">
        <f t="shared" si="32"/>
        <v>0.19958239081259788</v>
      </c>
      <c r="W158" s="42">
        <f t="shared" si="33"/>
        <v>1.4094310074821646E-2</v>
      </c>
      <c r="X158" s="42">
        <f t="shared" si="34"/>
        <v>0.72246389420567236</v>
      </c>
      <c r="Y158" s="42">
        <f t="shared" si="35"/>
        <v>6.3859404906907946E-2</v>
      </c>
      <c r="Z158" s="42">
        <f t="shared" si="36"/>
        <v>0</v>
      </c>
      <c r="AA158" s="42">
        <f t="shared" si="37"/>
        <v>0.99999999999999978</v>
      </c>
    </row>
    <row r="159" spans="1:27" x14ac:dyDescent="0.3">
      <c r="A159" s="42"/>
      <c r="B159" s="16" t="s">
        <v>891</v>
      </c>
      <c r="C159" s="102"/>
      <c r="D159" s="103">
        <f>C159/2877.76</f>
        <v>0</v>
      </c>
      <c r="E159" s="104">
        <f>D159/0.003861</f>
        <v>0</v>
      </c>
      <c r="F159" s="105"/>
      <c r="G159" s="42"/>
      <c r="H159" s="42"/>
      <c r="I159" s="42"/>
      <c r="J159" s="42"/>
      <c r="K159" s="42"/>
      <c r="L159" s="42"/>
      <c r="M159" s="42"/>
      <c r="N159" s="42"/>
      <c r="O159" s="42"/>
      <c r="P159" s="42"/>
      <c r="Q159" s="42"/>
      <c r="R159" s="42"/>
      <c r="S159" s="42"/>
      <c r="T159" s="106"/>
      <c r="V159" s="42"/>
      <c r="W159" s="42"/>
      <c r="X159" s="42"/>
      <c r="Y159" s="42"/>
      <c r="Z159" s="42"/>
      <c r="AA159" s="42"/>
    </row>
    <row r="160" spans="1:27" x14ac:dyDescent="0.3">
      <c r="A160" s="42"/>
      <c r="B160" s="16" t="s">
        <v>894</v>
      </c>
      <c r="C160" s="102"/>
      <c r="D160" s="103">
        <f>C160/2877.76</f>
        <v>0</v>
      </c>
      <c r="E160" s="104">
        <f>D160/0.003861</f>
        <v>0</v>
      </c>
      <c r="F160" s="105"/>
      <c r="G160" s="42"/>
      <c r="H160" s="42"/>
      <c r="I160" s="42"/>
      <c r="J160" s="42"/>
      <c r="K160" s="42"/>
      <c r="L160" s="42"/>
      <c r="M160" s="42"/>
      <c r="N160" s="42"/>
      <c r="O160" s="42"/>
      <c r="P160" s="42"/>
      <c r="Q160" s="42"/>
      <c r="R160" s="42"/>
      <c r="S160" s="42"/>
      <c r="T160" s="106"/>
      <c r="V160" s="42"/>
      <c r="W160" s="42"/>
      <c r="X160" s="42"/>
      <c r="Y160" s="42"/>
      <c r="Z160" s="42"/>
      <c r="AA160" s="42"/>
    </row>
    <row r="161" spans="1:27" x14ac:dyDescent="0.3">
      <c r="A161" s="42" t="s">
        <v>1612</v>
      </c>
      <c r="B161" s="95" t="s">
        <v>896</v>
      </c>
      <c r="C161" s="95">
        <v>2012</v>
      </c>
      <c r="D161" s="97">
        <f>C161/2877.76</f>
        <v>0.69915489825419763</v>
      </c>
      <c r="E161" s="98">
        <f>D161/0.003861</f>
        <v>181.08129972913693</v>
      </c>
      <c r="F161" s="99">
        <v>0.1257455268389662</v>
      </c>
      <c r="G161" s="42">
        <v>0.3812127236580517</v>
      </c>
      <c r="H161" s="42">
        <v>4.125248508946322E-2</v>
      </c>
      <c r="I161" s="42">
        <v>1.1928429423459244E-2</v>
      </c>
      <c r="J161" s="42">
        <v>1.4910536779324055E-3</v>
      </c>
      <c r="K161" s="42">
        <v>0</v>
      </c>
      <c r="L161" s="42">
        <v>0.3548707753479125</v>
      </c>
      <c r="M161" s="42">
        <v>4.970178926441352E-3</v>
      </c>
      <c r="N161" s="42">
        <v>0</v>
      </c>
      <c r="O161" s="42">
        <v>8.4493041749502985E-3</v>
      </c>
      <c r="P161" s="42">
        <v>0</v>
      </c>
      <c r="Q161" s="42">
        <v>1.8389662027833001E-2</v>
      </c>
      <c r="R161" s="42">
        <v>0</v>
      </c>
      <c r="S161" s="42">
        <v>4.8210735586481111E-2</v>
      </c>
      <c r="T161" s="100">
        <v>3.4791252485089465E-3</v>
      </c>
      <c r="V161" s="42">
        <f>F161+S161+T161</f>
        <v>0.17743538767395625</v>
      </c>
      <c r="W161" s="42">
        <f>Q161+R161</f>
        <v>1.8389662027833001E-2</v>
      </c>
      <c r="X161" s="42">
        <f>SUM(K161:P161)</f>
        <v>0.36829025844930419</v>
      </c>
      <c r="Y161" s="42">
        <f>SUM(G161:I161)</f>
        <v>0.43439363817097415</v>
      </c>
      <c r="Z161" s="42">
        <f>J161</f>
        <v>1.4910536779324055E-3</v>
      </c>
      <c r="AA161" s="42">
        <f>SUM(V161:Z161)</f>
        <v>1</v>
      </c>
    </row>
    <row r="162" spans="1:27" x14ac:dyDescent="0.3">
      <c r="A162" s="42" t="s">
        <v>1613</v>
      </c>
      <c r="B162" s="95" t="s">
        <v>900</v>
      </c>
      <c r="C162" s="95">
        <v>62289</v>
      </c>
      <c r="D162" s="97">
        <f t="shared" si="30"/>
        <v>21.644959968864672</v>
      </c>
      <c r="E162" s="98">
        <f t="shared" si="31"/>
        <v>5606.0502379861882</v>
      </c>
      <c r="F162" s="99">
        <v>0.1509094703719758</v>
      </c>
      <c r="G162" s="42">
        <v>2.2861179341456758E-2</v>
      </c>
      <c r="H162" s="42">
        <v>6.9675223554720739E-3</v>
      </c>
      <c r="I162" s="42">
        <v>5.137343672237474E-3</v>
      </c>
      <c r="J162" s="42">
        <v>6.9033055595691057E-4</v>
      </c>
      <c r="K162" s="42">
        <v>1.4448779078167894E-4</v>
      </c>
      <c r="L162" s="42">
        <v>0.30377755301899212</v>
      </c>
      <c r="M162" s="42">
        <v>0.27626065597457017</v>
      </c>
      <c r="N162" s="42">
        <v>0.21774310070799016</v>
      </c>
      <c r="O162" s="42">
        <v>1.5090947037197579E-3</v>
      </c>
      <c r="P162" s="42">
        <v>4.4951757132077896E-4</v>
      </c>
      <c r="Q162" s="42">
        <v>0</v>
      </c>
      <c r="R162" s="42">
        <v>0</v>
      </c>
      <c r="S162" s="42">
        <v>1.2570437798006068E-2</v>
      </c>
      <c r="T162" s="100">
        <v>9.7930613752026849E-4</v>
      </c>
      <c r="V162" s="42">
        <f t="shared" si="32"/>
        <v>0.16445921430750213</v>
      </c>
      <c r="W162" s="42">
        <f t="shared" si="33"/>
        <v>0</v>
      </c>
      <c r="X162" s="42">
        <f t="shared" si="34"/>
        <v>0.79988440976737474</v>
      </c>
      <c r="Y162" s="42">
        <f t="shared" si="35"/>
        <v>3.496604536916631E-2</v>
      </c>
      <c r="Z162" s="42">
        <f t="shared" si="36"/>
        <v>6.9033055595691057E-4</v>
      </c>
      <c r="AA162" s="42">
        <f t="shared" si="37"/>
        <v>1</v>
      </c>
    </row>
    <row r="163" spans="1:27" x14ac:dyDescent="0.3">
      <c r="A163" s="42" t="s">
        <v>1614</v>
      </c>
      <c r="B163" s="95" t="s">
        <v>906</v>
      </c>
      <c r="C163" s="95">
        <v>96053</v>
      </c>
      <c r="D163" s="97">
        <f t="shared" si="30"/>
        <v>33.377696541754695</v>
      </c>
      <c r="E163" s="98">
        <f t="shared" si="31"/>
        <v>8644.8320491465147</v>
      </c>
      <c r="F163" s="99">
        <v>0.16751168625654586</v>
      </c>
      <c r="G163" s="42">
        <v>2.8265645008484899E-2</v>
      </c>
      <c r="H163" s="42">
        <v>2.9462900690243928E-3</v>
      </c>
      <c r="I163" s="42">
        <v>1.6969797924062757E-3</v>
      </c>
      <c r="J163" s="42">
        <v>5.2054594859088214E-4</v>
      </c>
      <c r="K163" s="42">
        <v>0</v>
      </c>
      <c r="L163" s="42">
        <v>0.52554318969735458</v>
      </c>
      <c r="M163" s="42">
        <v>0.13179182326423952</v>
      </c>
      <c r="N163" s="42">
        <v>7.8831478454603185E-2</v>
      </c>
      <c r="O163" s="42">
        <v>2.0655263240086201E-2</v>
      </c>
      <c r="P163" s="42">
        <v>8.1205167980177612E-4</v>
      </c>
      <c r="Q163" s="42">
        <v>1.6657470354908228E-4</v>
      </c>
      <c r="R163" s="42">
        <v>8.536953556890467E-4</v>
      </c>
      <c r="S163" s="42">
        <v>2.8359343279231258E-2</v>
      </c>
      <c r="T163" s="100">
        <v>1.2045433250393011E-2</v>
      </c>
      <c r="V163" s="42">
        <f t="shared" si="32"/>
        <v>0.20791646278617013</v>
      </c>
      <c r="W163" s="42">
        <f t="shared" si="33"/>
        <v>1.0202700592381289E-3</v>
      </c>
      <c r="X163" s="42">
        <f t="shared" si="34"/>
        <v>0.75763380633608524</v>
      </c>
      <c r="Y163" s="42">
        <f t="shared" si="35"/>
        <v>3.2908914869915568E-2</v>
      </c>
      <c r="Z163" s="42">
        <f t="shared" si="36"/>
        <v>5.2054594859088214E-4</v>
      </c>
      <c r="AA163" s="42">
        <f t="shared" si="37"/>
        <v>0.99999999999999989</v>
      </c>
    </row>
    <row r="164" spans="1:27" x14ac:dyDescent="0.3">
      <c r="A164" s="42" t="s">
        <v>1615</v>
      </c>
      <c r="B164" s="95" t="s">
        <v>910</v>
      </c>
      <c r="C164" s="95">
        <v>1248</v>
      </c>
      <c r="D164" s="97">
        <f t="shared" si="30"/>
        <v>0.43367063271433332</v>
      </c>
      <c r="E164" s="98">
        <f t="shared" si="31"/>
        <v>112.32080619381853</v>
      </c>
      <c r="F164" s="99">
        <v>0.12419871794871795</v>
      </c>
      <c r="G164" s="42">
        <v>5.0480769230769232E-2</v>
      </c>
      <c r="H164" s="42">
        <v>0</v>
      </c>
      <c r="I164" s="42">
        <v>0</v>
      </c>
      <c r="J164" s="42">
        <v>0</v>
      </c>
      <c r="K164" s="42">
        <v>0</v>
      </c>
      <c r="L164" s="42">
        <v>0.66266025641025639</v>
      </c>
      <c r="M164" s="42">
        <v>3.685897435897436E-2</v>
      </c>
      <c r="N164" s="42">
        <v>2.403846153846154E-3</v>
      </c>
      <c r="O164" s="42">
        <v>0</v>
      </c>
      <c r="P164" s="42">
        <v>0</v>
      </c>
      <c r="Q164" s="42">
        <v>9.6153846153846159E-3</v>
      </c>
      <c r="R164" s="42">
        <v>0</v>
      </c>
      <c r="S164" s="42">
        <v>0.11378205128205128</v>
      </c>
      <c r="T164" s="100">
        <v>0</v>
      </c>
      <c r="V164" s="42">
        <f t="shared" si="32"/>
        <v>0.23798076923076922</v>
      </c>
      <c r="W164" s="42">
        <f t="shared" si="33"/>
        <v>9.6153846153846159E-3</v>
      </c>
      <c r="X164" s="42">
        <f t="shared" si="34"/>
        <v>0.70192307692307687</v>
      </c>
      <c r="Y164" s="42">
        <f t="shared" si="35"/>
        <v>5.0480769230769232E-2</v>
      </c>
      <c r="Z164" s="42">
        <f t="shared" si="36"/>
        <v>0</v>
      </c>
      <c r="AA164" s="42">
        <f t="shared" si="37"/>
        <v>1</v>
      </c>
    </row>
    <row r="165" spans="1:27" x14ac:dyDescent="0.3">
      <c r="A165" s="42" t="s">
        <v>1616</v>
      </c>
      <c r="B165" s="95" t="s">
        <v>913</v>
      </c>
      <c r="C165" s="95">
        <v>2289</v>
      </c>
      <c r="D165" s="97">
        <f t="shared" si="30"/>
        <v>0.79541031913710658</v>
      </c>
      <c r="E165" s="98">
        <f t="shared" si="31"/>
        <v>206.01147866798928</v>
      </c>
      <c r="F165" s="99">
        <v>0.11446046308431629</v>
      </c>
      <c r="G165" s="42">
        <v>5.5919615552643076E-2</v>
      </c>
      <c r="H165" s="42">
        <v>3.9755351681957186E-2</v>
      </c>
      <c r="I165" s="42">
        <v>6.1162079510703364E-3</v>
      </c>
      <c r="J165" s="42">
        <v>0</v>
      </c>
      <c r="K165" s="42">
        <v>0</v>
      </c>
      <c r="L165" s="42">
        <v>0.39755351681957185</v>
      </c>
      <c r="M165" s="42">
        <v>0</v>
      </c>
      <c r="N165" s="42">
        <v>4.3687199650502403E-3</v>
      </c>
      <c r="O165" s="42">
        <v>3.9755351681957186E-2</v>
      </c>
      <c r="P165" s="42">
        <v>1.7911751856705984E-2</v>
      </c>
      <c r="Q165" s="42">
        <v>1.4416775884665793E-2</v>
      </c>
      <c r="R165" s="42">
        <v>0.29051987767584098</v>
      </c>
      <c r="S165" s="42">
        <v>6.55307994757536E-3</v>
      </c>
      <c r="T165" s="100">
        <v>1.2669287898645697E-2</v>
      </c>
      <c r="V165" s="42">
        <f t="shared" si="32"/>
        <v>0.13368283093053734</v>
      </c>
      <c r="W165" s="42">
        <f t="shared" si="33"/>
        <v>0.30493665356050675</v>
      </c>
      <c r="X165" s="42">
        <f t="shared" si="34"/>
        <v>0.45958934032328524</v>
      </c>
      <c r="Y165" s="42">
        <f t="shared" si="35"/>
        <v>0.10179117518567059</v>
      </c>
      <c r="Z165" s="42">
        <f t="shared" si="36"/>
        <v>0</v>
      </c>
      <c r="AA165" s="42">
        <f t="shared" si="37"/>
        <v>1</v>
      </c>
    </row>
    <row r="166" spans="1:27" x14ac:dyDescent="0.3">
      <c r="A166" s="42"/>
      <c r="B166" s="16" t="s">
        <v>918</v>
      </c>
      <c r="C166" s="102"/>
      <c r="D166" s="103">
        <f>C166/2877.76</f>
        <v>0</v>
      </c>
      <c r="E166" s="104">
        <f>D166/0.003861</f>
        <v>0</v>
      </c>
      <c r="F166" s="105"/>
      <c r="G166" s="42"/>
      <c r="H166" s="42"/>
      <c r="I166" s="42"/>
      <c r="J166" s="42"/>
      <c r="K166" s="42"/>
      <c r="L166" s="42"/>
      <c r="M166" s="42"/>
      <c r="N166" s="42"/>
      <c r="O166" s="42"/>
      <c r="P166" s="42"/>
      <c r="Q166" s="42"/>
      <c r="R166" s="42"/>
      <c r="S166" s="42"/>
      <c r="T166" s="106"/>
      <c r="V166" s="42"/>
      <c r="W166" s="42"/>
      <c r="X166" s="42"/>
      <c r="Y166" s="42"/>
      <c r="Z166" s="42"/>
      <c r="AA166" s="42"/>
    </row>
    <row r="167" spans="1:27" x14ac:dyDescent="0.3">
      <c r="A167" s="42"/>
      <c r="B167" s="16" t="s">
        <v>155</v>
      </c>
      <c r="C167" s="102"/>
      <c r="D167" s="103">
        <f>C167/2877.76</f>
        <v>0</v>
      </c>
      <c r="E167" s="104">
        <f>D167/0.003861</f>
        <v>0</v>
      </c>
      <c r="F167" s="105"/>
      <c r="G167" s="42"/>
      <c r="H167" s="42"/>
      <c r="I167" s="42"/>
      <c r="J167" s="42"/>
      <c r="K167" s="42"/>
      <c r="L167" s="42"/>
      <c r="M167" s="42"/>
      <c r="N167" s="42"/>
      <c r="O167" s="42"/>
      <c r="P167" s="42"/>
      <c r="Q167" s="42"/>
      <c r="R167" s="42"/>
      <c r="S167" s="42"/>
      <c r="T167" s="106"/>
      <c r="V167" s="42"/>
      <c r="W167" s="42"/>
      <c r="X167" s="42"/>
      <c r="Y167" s="42"/>
      <c r="Z167" s="42"/>
      <c r="AA167" s="42"/>
    </row>
    <row r="168" spans="1:27" x14ac:dyDescent="0.3">
      <c r="A168" s="42"/>
      <c r="B168" s="16" t="s">
        <v>922</v>
      </c>
      <c r="C168" s="102"/>
      <c r="D168" s="103">
        <f>C168/2877.76</f>
        <v>0</v>
      </c>
      <c r="E168" s="104">
        <f>D168/0.003861</f>
        <v>0</v>
      </c>
      <c r="F168" s="105"/>
      <c r="G168" s="42"/>
      <c r="H168" s="42"/>
      <c r="I168" s="42"/>
      <c r="J168" s="42"/>
      <c r="K168" s="42"/>
      <c r="L168" s="42"/>
      <c r="M168" s="42"/>
      <c r="N168" s="42"/>
      <c r="O168" s="42"/>
      <c r="P168" s="42"/>
      <c r="Q168" s="42"/>
      <c r="R168" s="42"/>
      <c r="S168" s="42"/>
      <c r="T168" s="106"/>
      <c r="V168" s="42"/>
      <c r="W168" s="42"/>
      <c r="X168" s="42"/>
      <c r="Y168" s="42"/>
      <c r="Z168" s="42"/>
      <c r="AA168" s="42"/>
    </row>
    <row r="169" spans="1:27" x14ac:dyDescent="0.3">
      <c r="A169" s="42" t="s">
        <v>1617</v>
      </c>
      <c r="B169" s="95" t="s">
        <v>925</v>
      </c>
      <c r="C169" s="95">
        <v>11028</v>
      </c>
      <c r="D169" s="97">
        <f>C169/2877.76</f>
        <v>3.8321472256199263</v>
      </c>
      <c r="E169" s="98">
        <f>D169/0.003861</f>
        <v>992.52712396268487</v>
      </c>
      <c r="F169" s="99">
        <v>4.1439970982952483E-2</v>
      </c>
      <c r="G169" s="42">
        <v>0.14898440333696047</v>
      </c>
      <c r="H169" s="42">
        <v>4.1712005803409506E-3</v>
      </c>
      <c r="I169" s="42">
        <v>2.6296699310845123E-3</v>
      </c>
      <c r="J169" s="42">
        <v>0</v>
      </c>
      <c r="K169" s="42">
        <v>0</v>
      </c>
      <c r="L169" s="42">
        <v>0.56329343489299966</v>
      </c>
      <c r="M169" s="42">
        <v>3.5545883206383751E-2</v>
      </c>
      <c r="N169" s="42">
        <v>1.9495828799419659E-2</v>
      </c>
      <c r="O169" s="42">
        <v>4.5339136742836416E-3</v>
      </c>
      <c r="P169" s="42">
        <v>6.3474791439970988E-4</v>
      </c>
      <c r="Q169" s="42">
        <v>2.8382299601015598E-2</v>
      </c>
      <c r="R169" s="42">
        <v>0</v>
      </c>
      <c r="S169" s="42">
        <v>0.14970982952484585</v>
      </c>
      <c r="T169" s="100">
        <v>1.1788175553137468E-3</v>
      </c>
      <c r="V169" s="42">
        <f>F169+S169+T169</f>
        <v>0.19232861806311208</v>
      </c>
      <c r="W169" s="42">
        <f>Q169+R169</f>
        <v>2.8382299601015598E-2</v>
      </c>
      <c r="X169" s="42">
        <f>SUM(K169:P169)</f>
        <v>0.62350380848748643</v>
      </c>
      <c r="Y169" s="42">
        <f>SUM(G169:I169)</f>
        <v>0.15578527384838595</v>
      </c>
      <c r="Z169" s="42">
        <f>J169</f>
        <v>0</v>
      </c>
      <c r="AA169" s="42">
        <f>SUM(V169:Z169)</f>
        <v>1</v>
      </c>
    </row>
    <row r="170" spans="1:27" x14ac:dyDescent="0.3">
      <c r="A170" s="42" t="s">
        <v>1618</v>
      </c>
      <c r="B170" s="95" t="s">
        <v>930</v>
      </c>
      <c r="C170" s="95">
        <v>3523</v>
      </c>
      <c r="D170" s="97">
        <f t="shared" si="30"/>
        <v>1.2242160569331701</v>
      </c>
      <c r="E170" s="98">
        <f t="shared" si="31"/>
        <v>317.0722758179669</v>
      </c>
      <c r="F170" s="99">
        <v>0.1481691739994323</v>
      </c>
      <c r="G170" s="42">
        <v>0.31138234459267672</v>
      </c>
      <c r="H170" s="42">
        <v>4.8254328697133128E-3</v>
      </c>
      <c r="I170" s="42">
        <v>2.5546409310246948E-3</v>
      </c>
      <c r="J170" s="42">
        <v>0</v>
      </c>
      <c r="K170" s="42">
        <v>0</v>
      </c>
      <c r="L170" s="42">
        <v>0.41754186772636959</v>
      </c>
      <c r="M170" s="42">
        <v>6.6420664206642069E-2</v>
      </c>
      <c r="N170" s="42">
        <v>3.1223389156968492E-3</v>
      </c>
      <c r="O170" s="42">
        <v>8.5154697700823168E-3</v>
      </c>
      <c r="P170" s="42">
        <v>1.1353959693443088E-2</v>
      </c>
      <c r="Q170" s="42">
        <v>3.6900369003690036E-3</v>
      </c>
      <c r="R170" s="42">
        <v>0</v>
      </c>
      <c r="S170" s="42">
        <v>2.0437127448197558E-2</v>
      </c>
      <c r="T170" s="100">
        <v>1.9869429463525404E-3</v>
      </c>
      <c r="V170" s="42">
        <f t="shared" si="32"/>
        <v>0.17059324439398241</v>
      </c>
      <c r="W170" s="42">
        <f t="shared" si="33"/>
        <v>3.6900369003690036E-3</v>
      </c>
      <c r="X170" s="42">
        <f t="shared" si="34"/>
        <v>0.50695430031223387</v>
      </c>
      <c r="Y170" s="42">
        <f t="shared" si="35"/>
        <v>0.31876241839341474</v>
      </c>
      <c r="Z170" s="42">
        <f t="shared" si="36"/>
        <v>0</v>
      </c>
      <c r="AA170" s="42">
        <f t="shared" si="37"/>
        <v>1</v>
      </c>
    </row>
    <row r="171" spans="1:27" x14ac:dyDescent="0.3">
      <c r="A171" s="42"/>
      <c r="B171" s="16" t="s">
        <v>937</v>
      </c>
      <c r="C171" s="102"/>
      <c r="D171" s="103">
        <f>C171/2877.76</f>
        <v>0</v>
      </c>
      <c r="E171" s="104">
        <f>D171/0.003861</f>
        <v>0</v>
      </c>
      <c r="F171" s="105"/>
      <c r="G171" s="42"/>
      <c r="H171" s="42"/>
      <c r="I171" s="42"/>
      <c r="J171" s="42"/>
      <c r="K171" s="42"/>
      <c r="L171" s="42"/>
      <c r="M171" s="42"/>
      <c r="N171" s="42"/>
      <c r="O171" s="42"/>
      <c r="P171" s="42"/>
      <c r="Q171" s="42"/>
      <c r="R171" s="42"/>
      <c r="S171" s="42"/>
      <c r="T171" s="106"/>
      <c r="V171" s="42"/>
      <c r="W171" s="42"/>
      <c r="X171" s="42"/>
      <c r="Y171" s="42"/>
      <c r="Z171" s="42"/>
      <c r="AA171" s="42"/>
    </row>
    <row r="172" spans="1:27" x14ac:dyDescent="0.3">
      <c r="A172" s="115" t="s">
        <v>1619</v>
      </c>
      <c r="B172" s="95" t="s">
        <v>940</v>
      </c>
      <c r="C172" s="95">
        <v>2655</v>
      </c>
      <c r="D172" s="97">
        <f>C172/2877.76</f>
        <v>0.92259257200044475</v>
      </c>
      <c r="E172" s="98">
        <f>D172/0.003861</f>
        <v>238.9517150998303</v>
      </c>
      <c r="F172" s="99">
        <v>5.6497175141242938E-2</v>
      </c>
      <c r="G172" s="42">
        <v>4.2561205273069683E-2</v>
      </c>
      <c r="H172" s="42">
        <v>3.766478342749529E-3</v>
      </c>
      <c r="I172" s="42">
        <v>0</v>
      </c>
      <c r="J172" s="42">
        <v>0</v>
      </c>
      <c r="K172" s="42">
        <v>0</v>
      </c>
      <c r="L172" s="42">
        <v>0.3032015065913371</v>
      </c>
      <c r="M172" s="42">
        <v>9.5668549905838035E-2</v>
      </c>
      <c r="N172" s="42">
        <v>0.13107344632768361</v>
      </c>
      <c r="O172" s="42">
        <v>0</v>
      </c>
      <c r="P172" s="42">
        <v>0</v>
      </c>
      <c r="Q172" s="42">
        <v>0.24595103578154426</v>
      </c>
      <c r="R172" s="42">
        <v>3.8041431261770245E-2</v>
      </c>
      <c r="S172" s="42">
        <v>5.9510357815442561E-2</v>
      </c>
      <c r="T172" s="100">
        <v>2.3728813559322035E-2</v>
      </c>
      <c r="V172" s="42">
        <f>F172+S172+T172</f>
        <v>0.13973634651600753</v>
      </c>
      <c r="W172" s="42">
        <f>Q172+R172</f>
        <v>0.28399246704331449</v>
      </c>
      <c r="X172" s="42">
        <f>SUM(K172:P172)</f>
        <v>0.52994350282485869</v>
      </c>
      <c r="Y172" s="42">
        <f>SUM(G172:I172)</f>
        <v>4.632768361581921E-2</v>
      </c>
      <c r="Z172" s="42">
        <f>J172</f>
        <v>0</v>
      </c>
      <c r="AA172" s="42">
        <f>SUM(V172:Z172)</f>
        <v>0.99999999999999989</v>
      </c>
    </row>
    <row r="173" spans="1:27" x14ac:dyDescent="0.3">
      <c r="A173" s="42" t="s">
        <v>1620</v>
      </c>
      <c r="B173" s="95" t="s">
        <v>943</v>
      </c>
      <c r="C173" s="95">
        <v>106303</v>
      </c>
      <c r="D173" s="97">
        <f t="shared" si="30"/>
        <v>36.93949460691649</v>
      </c>
      <c r="E173" s="98">
        <f t="shared" si="31"/>
        <v>9567.3386705300418</v>
      </c>
      <c r="F173" s="99">
        <v>6.4024533644393852E-2</v>
      </c>
      <c r="G173" s="42">
        <v>3.8888836627376459E-2</v>
      </c>
      <c r="H173" s="42">
        <v>2.916192393441389E-3</v>
      </c>
      <c r="I173" s="42">
        <v>3.7628288947630828E-4</v>
      </c>
      <c r="J173" s="42">
        <v>0</v>
      </c>
      <c r="K173" s="42">
        <v>0</v>
      </c>
      <c r="L173" s="42">
        <v>0.3005277367524905</v>
      </c>
      <c r="M173" s="42">
        <v>1.6321270331034872E-2</v>
      </c>
      <c r="N173" s="42">
        <v>8.5350366405463632E-2</v>
      </c>
      <c r="O173" s="42">
        <v>0.10506758981402219</v>
      </c>
      <c r="P173" s="42">
        <v>6.7166495771521029E-3</v>
      </c>
      <c r="Q173" s="42">
        <v>0.29226832732848557</v>
      </c>
      <c r="R173" s="42">
        <v>5.0280801106271693E-2</v>
      </c>
      <c r="S173" s="42">
        <v>2.8446986444408906E-2</v>
      </c>
      <c r="T173" s="100">
        <v>8.814426685982521E-3</v>
      </c>
      <c r="V173" s="42">
        <f t="shared" si="32"/>
        <v>0.10128594677478528</v>
      </c>
      <c r="W173" s="42">
        <f t="shared" si="33"/>
        <v>0.34254912843475727</v>
      </c>
      <c r="X173" s="42">
        <f t="shared" si="34"/>
        <v>0.51398361288016325</v>
      </c>
      <c r="Y173" s="42">
        <f t="shared" si="35"/>
        <v>4.2181311910294159E-2</v>
      </c>
      <c r="Z173" s="42">
        <f t="shared" si="36"/>
        <v>0</v>
      </c>
      <c r="AA173" s="42">
        <f t="shared" si="37"/>
        <v>1</v>
      </c>
    </row>
    <row r="174" spans="1:27" x14ac:dyDescent="0.3">
      <c r="A174" s="42" t="s">
        <v>1621</v>
      </c>
      <c r="B174" s="95" t="s">
        <v>950</v>
      </c>
      <c r="C174" s="95">
        <v>335</v>
      </c>
      <c r="D174" s="97">
        <f t="shared" si="30"/>
        <v>0.11640998554431223</v>
      </c>
      <c r="E174" s="98">
        <f t="shared" si="31"/>
        <v>30.150216406193273</v>
      </c>
      <c r="F174" s="99">
        <v>0.14029850746268657</v>
      </c>
      <c r="G174" s="42">
        <v>5.3731343283582089E-2</v>
      </c>
      <c r="H174" s="42">
        <v>0</v>
      </c>
      <c r="I174" s="42">
        <v>0</v>
      </c>
      <c r="J174" s="42">
        <v>0</v>
      </c>
      <c r="K174" s="42">
        <v>0</v>
      </c>
      <c r="L174" s="42">
        <v>0.5074626865671642</v>
      </c>
      <c r="M174" s="42">
        <v>0</v>
      </c>
      <c r="N174" s="42">
        <v>1.1940298507462687E-2</v>
      </c>
      <c r="O174" s="42">
        <v>0</v>
      </c>
      <c r="P174" s="42">
        <v>0</v>
      </c>
      <c r="Q174" s="42">
        <v>0.2417910447761194</v>
      </c>
      <c r="R174" s="42">
        <v>0</v>
      </c>
      <c r="S174" s="42">
        <v>2.3880597014925373E-2</v>
      </c>
      <c r="T174" s="100">
        <v>2.0895522388059702E-2</v>
      </c>
      <c r="V174" s="42">
        <f t="shared" si="32"/>
        <v>0.18507462686567164</v>
      </c>
      <c r="W174" s="42">
        <f t="shared" si="33"/>
        <v>0.2417910447761194</v>
      </c>
      <c r="X174" s="42">
        <f t="shared" si="34"/>
        <v>0.5194029850746269</v>
      </c>
      <c r="Y174" s="42">
        <f t="shared" si="35"/>
        <v>5.3731343283582089E-2</v>
      </c>
      <c r="Z174" s="42">
        <f t="shared" si="36"/>
        <v>0</v>
      </c>
      <c r="AA174" s="42">
        <f t="shared" si="37"/>
        <v>1</v>
      </c>
    </row>
    <row r="175" spans="1:27" x14ac:dyDescent="0.3">
      <c r="A175" s="42" t="s">
        <v>1622</v>
      </c>
      <c r="B175" s="95" t="s">
        <v>955</v>
      </c>
      <c r="C175" s="95">
        <v>14565</v>
      </c>
      <c r="D175" s="97">
        <f t="shared" si="30"/>
        <v>5.0612281774713663</v>
      </c>
      <c r="E175" s="98">
        <f t="shared" si="31"/>
        <v>1310.8594088244927</v>
      </c>
      <c r="F175" s="99">
        <v>3.9684174390662547E-2</v>
      </c>
      <c r="G175" s="42">
        <v>8.7195331273601101E-3</v>
      </c>
      <c r="H175" s="42">
        <v>6.8657741160315822E-5</v>
      </c>
      <c r="I175" s="42">
        <v>0</v>
      </c>
      <c r="J175" s="42">
        <v>0</v>
      </c>
      <c r="K175" s="42">
        <v>0</v>
      </c>
      <c r="L175" s="42">
        <v>0.39656711294198421</v>
      </c>
      <c r="M175" s="42">
        <v>7.5042911088225195E-2</v>
      </c>
      <c r="N175" s="42">
        <v>1.874356333676622E-2</v>
      </c>
      <c r="O175" s="42">
        <v>5.3278407140405083E-2</v>
      </c>
      <c r="P175" s="42">
        <v>2.6433230346721594E-2</v>
      </c>
      <c r="Q175" s="42">
        <v>0.26186062478544458</v>
      </c>
      <c r="R175" s="42">
        <v>5.9182972880192239E-2</v>
      </c>
      <c r="S175" s="42">
        <v>5.3553038105046344E-2</v>
      </c>
      <c r="T175" s="100">
        <v>6.8657741160315826E-3</v>
      </c>
      <c r="V175" s="42">
        <f t="shared" si="32"/>
        <v>0.10010298661174047</v>
      </c>
      <c r="W175" s="42">
        <f t="shared" si="33"/>
        <v>0.32104359766563684</v>
      </c>
      <c r="X175" s="42">
        <f t="shared" si="34"/>
        <v>0.57006522485410238</v>
      </c>
      <c r="Y175" s="42">
        <f t="shared" si="35"/>
        <v>8.7881908685204253E-3</v>
      </c>
      <c r="Z175" s="42">
        <f t="shared" si="36"/>
        <v>0</v>
      </c>
      <c r="AA175" s="42">
        <f t="shared" si="37"/>
        <v>1</v>
      </c>
    </row>
    <row r="176" spans="1:27" x14ac:dyDescent="0.3">
      <c r="A176" s="42"/>
      <c r="B176" s="16" t="s">
        <v>961</v>
      </c>
      <c r="C176" s="102"/>
      <c r="D176" s="103">
        <f>C176/2877.76</f>
        <v>0</v>
      </c>
      <c r="E176" s="104">
        <f>D176/0.003861</f>
        <v>0</v>
      </c>
      <c r="F176" s="105"/>
      <c r="G176" s="42"/>
      <c r="H176" s="42"/>
      <c r="I176" s="42"/>
      <c r="J176" s="42"/>
      <c r="K176" s="42"/>
      <c r="L176" s="42"/>
      <c r="M176" s="42"/>
      <c r="N176" s="42"/>
      <c r="O176" s="42"/>
      <c r="P176" s="42"/>
      <c r="Q176" s="42"/>
      <c r="R176" s="42"/>
      <c r="S176" s="42"/>
      <c r="T176" s="106"/>
      <c r="V176" s="42"/>
      <c r="W176" s="42"/>
      <c r="X176" s="42"/>
      <c r="Y176" s="42"/>
      <c r="Z176" s="42"/>
      <c r="AA176" s="42"/>
    </row>
    <row r="177" spans="1:27" x14ac:dyDescent="0.3">
      <c r="A177" s="42"/>
      <c r="B177" s="117" t="s">
        <v>967</v>
      </c>
      <c r="C177" s="102"/>
      <c r="D177" s="103">
        <f>C177/2877.76</f>
        <v>0</v>
      </c>
      <c r="E177" s="104">
        <f>D177/0.003861</f>
        <v>0</v>
      </c>
      <c r="F177" s="105"/>
      <c r="G177" s="42"/>
      <c r="H177" s="42"/>
      <c r="I177" s="42"/>
      <c r="J177" s="42"/>
      <c r="K177" s="42"/>
      <c r="L177" s="42"/>
      <c r="M177" s="42"/>
      <c r="N177" s="42"/>
      <c r="O177" s="42"/>
      <c r="P177" s="42"/>
      <c r="Q177" s="42"/>
      <c r="R177" s="42"/>
      <c r="S177" s="42"/>
      <c r="T177" s="106"/>
      <c r="V177" s="42"/>
      <c r="W177" s="42"/>
      <c r="X177" s="42"/>
      <c r="Y177" s="42"/>
      <c r="Z177" s="42"/>
      <c r="AA177" s="42"/>
    </row>
    <row r="178" spans="1:27" x14ac:dyDescent="0.3">
      <c r="A178" s="115" t="s">
        <v>1623</v>
      </c>
      <c r="B178" s="95" t="s">
        <v>1624</v>
      </c>
      <c r="C178" s="95">
        <v>1742</v>
      </c>
      <c r="D178" s="97">
        <f t="shared" ref="D178:D251" si="38">C178/2877.76</f>
        <v>0.60533192483042364</v>
      </c>
      <c r="E178" s="98">
        <f t="shared" ref="E178:E251" si="39">D178/0.003861</f>
        <v>156.78112531220503</v>
      </c>
      <c r="F178" s="99">
        <v>4.018369690011481E-3</v>
      </c>
      <c r="G178" s="42">
        <v>0.21354764638346727</v>
      </c>
      <c r="H178" s="42">
        <v>0.21239954075774972</v>
      </c>
      <c r="I178" s="42">
        <v>5.9127439724454653E-2</v>
      </c>
      <c r="J178" s="42">
        <v>0</v>
      </c>
      <c r="K178" s="42">
        <v>3.4443168771526979E-3</v>
      </c>
      <c r="L178" s="42">
        <v>0.31056257175660162</v>
      </c>
      <c r="M178" s="42">
        <v>9.7588978185993106E-3</v>
      </c>
      <c r="N178" s="42">
        <v>0</v>
      </c>
      <c r="O178" s="42">
        <v>5.3960964408725602E-2</v>
      </c>
      <c r="P178" s="42">
        <v>4.9942594718714123E-2</v>
      </c>
      <c r="Q178" s="42">
        <v>7.1182548794489098E-2</v>
      </c>
      <c r="R178" s="42">
        <v>0</v>
      </c>
      <c r="S178" s="42">
        <v>0</v>
      </c>
      <c r="T178" s="100">
        <v>1.2055109070034443E-2</v>
      </c>
      <c r="V178" s="42">
        <f t="shared" si="32"/>
        <v>1.6073478760045924E-2</v>
      </c>
      <c r="W178" s="42">
        <f t="shared" si="33"/>
        <v>7.1182548794489098E-2</v>
      </c>
      <c r="X178" s="42">
        <f t="shared" si="34"/>
        <v>0.4276693455797933</v>
      </c>
      <c r="Y178" s="42">
        <f t="shared" si="35"/>
        <v>0.48507462686567165</v>
      </c>
      <c r="Z178" s="42">
        <f t="shared" si="36"/>
        <v>0</v>
      </c>
      <c r="AA178" s="42">
        <f t="shared" si="37"/>
        <v>1</v>
      </c>
    </row>
    <row r="179" spans="1:27" x14ac:dyDescent="0.3">
      <c r="A179" s="42" t="s">
        <v>1625</v>
      </c>
      <c r="B179" s="95" t="s">
        <v>969</v>
      </c>
      <c r="C179" s="95">
        <v>4336</v>
      </c>
      <c r="D179" s="97">
        <f t="shared" si="38"/>
        <v>1.5067274546869787</v>
      </c>
      <c r="E179" s="98">
        <f t="shared" si="39"/>
        <v>390.24280100672848</v>
      </c>
      <c r="F179" s="99">
        <v>0.1559040590405904</v>
      </c>
      <c r="G179" s="42">
        <v>6.3422509225092252E-2</v>
      </c>
      <c r="H179" s="42">
        <v>7.4031365313653133E-2</v>
      </c>
      <c r="I179" s="42">
        <v>6.9188191881918819E-3</v>
      </c>
      <c r="J179" s="42">
        <v>1.8450184501845018E-3</v>
      </c>
      <c r="K179" s="42">
        <v>0</v>
      </c>
      <c r="L179" s="42">
        <v>0.22624538745387454</v>
      </c>
      <c r="M179" s="42">
        <v>1.6143911439114391E-3</v>
      </c>
      <c r="N179" s="42">
        <v>3.0673431734317344E-2</v>
      </c>
      <c r="O179" s="42">
        <v>1.2453874538745387E-2</v>
      </c>
      <c r="P179" s="42">
        <v>7.6107011070110702E-3</v>
      </c>
      <c r="Q179" s="42">
        <v>0.11369926199261993</v>
      </c>
      <c r="R179" s="42">
        <v>0.29428044280442806</v>
      </c>
      <c r="S179" s="42">
        <v>0</v>
      </c>
      <c r="T179" s="100">
        <v>1.1300738007380073E-2</v>
      </c>
      <c r="V179" s="42">
        <f t="shared" si="32"/>
        <v>0.16720479704797048</v>
      </c>
      <c r="W179" s="42">
        <f t="shared" si="33"/>
        <v>0.40797970479704798</v>
      </c>
      <c r="X179" s="42">
        <f t="shared" si="34"/>
        <v>0.27859778597785978</v>
      </c>
      <c r="Y179" s="42">
        <f t="shared" si="35"/>
        <v>0.14437269372693726</v>
      </c>
      <c r="Z179" s="42">
        <f t="shared" si="36"/>
        <v>1.8450184501845018E-3</v>
      </c>
      <c r="AA179" s="42">
        <f t="shared" si="37"/>
        <v>1</v>
      </c>
    </row>
    <row r="180" spans="1:27" x14ac:dyDescent="0.3">
      <c r="A180" s="42" t="s">
        <v>1626</v>
      </c>
      <c r="B180" s="95" t="s">
        <v>975</v>
      </c>
      <c r="C180" s="95">
        <v>42400</v>
      </c>
      <c r="D180" s="97">
        <f t="shared" si="38"/>
        <v>14.733681752474146</v>
      </c>
      <c r="E180" s="98">
        <f t="shared" si="39"/>
        <v>3816.0273899181939</v>
      </c>
      <c r="F180" s="99">
        <v>9.3679245283018867E-2</v>
      </c>
      <c r="G180" s="42">
        <v>2.714622641509434E-2</v>
      </c>
      <c r="H180" s="42">
        <v>8.278301886792452E-3</v>
      </c>
      <c r="I180" s="42">
        <v>9.4339622641509435E-4</v>
      </c>
      <c r="J180" s="42">
        <v>0</v>
      </c>
      <c r="K180" s="42">
        <v>0</v>
      </c>
      <c r="L180" s="42">
        <v>0.25858490566037734</v>
      </c>
      <c r="M180" s="42">
        <v>0.28676886792452833</v>
      </c>
      <c r="N180" s="42">
        <v>0.28834905660377358</v>
      </c>
      <c r="O180" s="42">
        <v>1.214622641509434E-2</v>
      </c>
      <c r="P180" s="42">
        <v>1.1792452830188679E-4</v>
      </c>
      <c r="Q180" s="42">
        <v>0</v>
      </c>
      <c r="R180" s="42">
        <v>0</v>
      </c>
      <c r="S180" s="42">
        <v>2.2429245283018869E-2</v>
      </c>
      <c r="T180" s="100">
        <v>1.5566037735849057E-3</v>
      </c>
      <c r="V180" s="42">
        <f t="shared" si="32"/>
        <v>0.11766509433962265</v>
      </c>
      <c r="W180" s="42">
        <f t="shared" si="33"/>
        <v>0</v>
      </c>
      <c r="X180" s="42">
        <f t="shared" si="34"/>
        <v>0.84596698113207547</v>
      </c>
      <c r="Y180" s="42">
        <f t="shared" si="35"/>
        <v>3.6367924528301884E-2</v>
      </c>
      <c r="Z180" s="42">
        <f t="shared" si="36"/>
        <v>0</v>
      </c>
      <c r="AA180" s="42">
        <f t="shared" si="37"/>
        <v>1</v>
      </c>
    </row>
    <row r="181" spans="1:27" x14ac:dyDescent="0.3">
      <c r="A181" s="42" t="s">
        <v>1627</v>
      </c>
      <c r="B181" s="95" t="s">
        <v>200</v>
      </c>
      <c r="C181" s="95">
        <v>2602</v>
      </c>
      <c r="D181" s="97">
        <f t="shared" si="38"/>
        <v>0.90417546980985208</v>
      </c>
      <c r="E181" s="98">
        <f t="shared" si="39"/>
        <v>234.18168086243256</v>
      </c>
      <c r="F181" s="99">
        <v>3.3435818601076098E-2</v>
      </c>
      <c r="G181" s="42">
        <v>0.19792467332820907</v>
      </c>
      <c r="H181" s="42">
        <v>8.7624903920061489E-2</v>
      </c>
      <c r="I181" s="42">
        <v>4.9577248270561106E-2</v>
      </c>
      <c r="J181" s="42">
        <v>4.6118370484242886E-3</v>
      </c>
      <c r="K181" s="42">
        <v>0</v>
      </c>
      <c r="L181" s="42">
        <v>0.53574173712528828</v>
      </c>
      <c r="M181" s="42">
        <v>1.0760953112990008E-2</v>
      </c>
      <c r="N181" s="42">
        <v>3.0745580322828594E-3</v>
      </c>
      <c r="O181" s="42">
        <v>1.6525749423520367E-2</v>
      </c>
      <c r="P181" s="42">
        <v>0</v>
      </c>
      <c r="Q181" s="42">
        <v>4.7655649500384319E-2</v>
      </c>
      <c r="R181" s="42">
        <v>0</v>
      </c>
      <c r="S181" s="42">
        <v>1.3066871637202153E-2</v>
      </c>
      <c r="T181" s="100">
        <v>0</v>
      </c>
      <c r="V181" s="42">
        <f t="shared" si="32"/>
        <v>4.6502690238278251E-2</v>
      </c>
      <c r="W181" s="42">
        <f t="shared" si="33"/>
        <v>4.7655649500384319E-2</v>
      </c>
      <c r="X181" s="42">
        <f t="shared" si="34"/>
        <v>0.56610299769408146</v>
      </c>
      <c r="Y181" s="42">
        <f t="shared" si="35"/>
        <v>0.33512682551883166</v>
      </c>
      <c r="Z181" s="42">
        <f t="shared" si="36"/>
        <v>4.6118370484242886E-3</v>
      </c>
      <c r="AA181" s="42">
        <f t="shared" si="37"/>
        <v>1</v>
      </c>
    </row>
    <row r="182" spans="1:27" x14ac:dyDescent="0.3">
      <c r="A182" s="42"/>
      <c r="B182" s="16" t="s">
        <v>219</v>
      </c>
      <c r="C182" s="102"/>
      <c r="D182" s="103">
        <f>C182/2877.76</f>
        <v>0</v>
      </c>
      <c r="E182" s="104">
        <f>D182/0.003861</f>
        <v>0</v>
      </c>
      <c r="F182" s="105"/>
      <c r="G182" s="42"/>
      <c r="H182" s="42"/>
      <c r="I182" s="42"/>
      <c r="J182" s="42"/>
      <c r="K182" s="42"/>
      <c r="L182" s="42"/>
      <c r="M182" s="42"/>
      <c r="N182" s="42"/>
      <c r="O182" s="42"/>
      <c r="P182" s="42"/>
      <c r="Q182" s="42"/>
      <c r="R182" s="42"/>
      <c r="S182" s="42"/>
      <c r="T182" s="106"/>
      <c r="V182" s="42"/>
      <c r="W182" s="42"/>
      <c r="X182" s="42"/>
      <c r="Y182" s="42"/>
      <c r="Z182" s="42"/>
      <c r="AA182" s="42"/>
    </row>
    <row r="183" spans="1:27" x14ac:dyDescent="0.3">
      <c r="A183" s="42" t="s">
        <v>1628</v>
      </c>
      <c r="B183" s="95" t="s">
        <v>225</v>
      </c>
      <c r="C183" s="95">
        <v>10388</v>
      </c>
      <c r="D183" s="97">
        <f t="shared" si="38"/>
        <v>3.6097520293561658</v>
      </c>
      <c r="E183" s="98">
        <f t="shared" si="39"/>
        <v>934.92671052995752</v>
      </c>
      <c r="F183" s="99">
        <v>0.23382749326145552</v>
      </c>
      <c r="G183" s="42">
        <v>9.2991913746630725E-2</v>
      </c>
      <c r="H183" s="42">
        <v>1.5979976896418946E-2</v>
      </c>
      <c r="I183" s="42">
        <v>2.9842125529457066E-3</v>
      </c>
      <c r="J183" s="42">
        <v>0</v>
      </c>
      <c r="K183" s="42">
        <v>0</v>
      </c>
      <c r="L183" s="42">
        <v>0.26145552560646901</v>
      </c>
      <c r="M183" s="42">
        <v>2.358490566037736E-2</v>
      </c>
      <c r="N183" s="42">
        <v>0.11137851366961879</v>
      </c>
      <c r="O183" s="42">
        <v>3.0227185213708124E-2</v>
      </c>
      <c r="P183" s="42">
        <v>4.9095109742010009E-3</v>
      </c>
      <c r="Q183" s="42">
        <v>9.7035040431266845E-2</v>
      </c>
      <c r="R183" s="42">
        <v>7.1043511744320373E-2</v>
      </c>
      <c r="S183" s="42">
        <v>4.6784751636503655E-2</v>
      </c>
      <c r="T183" s="100">
        <v>7.7974586060839427E-3</v>
      </c>
      <c r="V183" s="42">
        <f t="shared" si="32"/>
        <v>0.2884097035040431</v>
      </c>
      <c r="W183" s="42">
        <f t="shared" si="33"/>
        <v>0.1680785521755872</v>
      </c>
      <c r="X183" s="42">
        <f t="shared" si="34"/>
        <v>0.43155564112437428</v>
      </c>
      <c r="Y183" s="42">
        <f t="shared" si="35"/>
        <v>0.11195610319599537</v>
      </c>
      <c r="Z183" s="42">
        <f t="shared" si="36"/>
        <v>0</v>
      </c>
      <c r="AA183" s="42">
        <f t="shared" si="37"/>
        <v>0.99999999999999989</v>
      </c>
    </row>
    <row r="184" spans="1:27" x14ac:dyDescent="0.3">
      <c r="A184" s="115" t="s">
        <v>1629</v>
      </c>
      <c r="B184" s="95" t="s">
        <v>1630</v>
      </c>
      <c r="C184" s="95">
        <v>9608</v>
      </c>
      <c r="D184" s="97">
        <f t="shared" si="38"/>
        <v>3.3387078839097075</v>
      </c>
      <c r="E184" s="98">
        <f t="shared" si="39"/>
        <v>864.72620665882096</v>
      </c>
      <c r="F184" s="99">
        <v>0.14082014987510408</v>
      </c>
      <c r="G184" s="42">
        <v>0.10220649458784346</v>
      </c>
      <c r="H184" s="42">
        <v>2.7060782681099086E-3</v>
      </c>
      <c r="I184" s="42">
        <v>0</v>
      </c>
      <c r="J184" s="42">
        <v>0</v>
      </c>
      <c r="K184" s="42">
        <v>0</v>
      </c>
      <c r="L184" s="42">
        <v>0.68005828476269781</v>
      </c>
      <c r="M184" s="42">
        <v>2.6228143213988343E-2</v>
      </c>
      <c r="N184" s="42">
        <v>1.1656952539550375E-2</v>
      </c>
      <c r="O184" s="42">
        <v>1.3530391340549543E-3</v>
      </c>
      <c r="P184" s="42">
        <v>1.8734388009991674E-3</v>
      </c>
      <c r="Q184" s="42">
        <v>2.0815986677768525E-3</v>
      </c>
      <c r="R184" s="42">
        <v>0</v>
      </c>
      <c r="S184" s="42">
        <v>3.1015820149875105E-2</v>
      </c>
      <c r="T184" s="100">
        <v>0</v>
      </c>
      <c r="V184" s="42">
        <f t="shared" si="32"/>
        <v>0.17183597002497919</v>
      </c>
      <c r="W184" s="42">
        <f t="shared" si="33"/>
        <v>2.0815986677768525E-3</v>
      </c>
      <c r="X184" s="42">
        <f t="shared" si="34"/>
        <v>0.72116985845129067</v>
      </c>
      <c r="Y184" s="42">
        <f t="shared" si="35"/>
        <v>0.10491257285595337</v>
      </c>
      <c r="Z184" s="42">
        <f t="shared" si="36"/>
        <v>0</v>
      </c>
      <c r="AA184" s="42">
        <f t="shared" si="37"/>
        <v>1.0000000000000002</v>
      </c>
    </row>
    <row r="185" spans="1:27" x14ac:dyDescent="0.3">
      <c r="A185" s="101" t="s">
        <v>1631</v>
      </c>
      <c r="B185" s="95" t="s">
        <v>1632</v>
      </c>
      <c r="C185" s="95">
        <v>30281</v>
      </c>
      <c r="D185" s="97">
        <f t="shared" si="38"/>
        <v>10.52242021572334</v>
      </c>
      <c r="E185" s="98">
        <f t="shared" si="39"/>
        <v>2725.3095611819062</v>
      </c>
      <c r="F185" s="99">
        <v>0.19048248076351507</v>
      </c>
      <c r="G185" s="42">
        <v>1.8460420725867704E-2</v>
      </c>
      <c r="H185" s="42">
        <v>1.98144050724877E-3</v>
      </c>
      <c r="I185" s="42">
        <v>1.98144050724877E-4</v>
      </c>
      <c r="J185" s="42">
        <v>0</v>
      </c>
      <c r="K185" s="42">
        <v>5.6140814372048484E-4</v>
      </c>
      <c r="L185" s="42">
        <v>0.52811994319870548</v>
      </c>
      <c r="M185" s="42">
        <v>0.19107691291568971</v>
      </c>
      <c r="N185" s="42">
        <v>2.0540933258478913E-2</v>
      </c>
      <c r="O185" s="42">
        <v>1.8064132624417951E-2</v>
      </c>
      <c r="P185" s="42">
        <v>0</v>
      </c>
      <c r="Q185" s="42">
        <v>0</v>
      </c>
      <c r="R185" s="42">
        <v>1.1888643043492619E-3</v>
      </c>
      <c r="S185" s="42">
        <v>2.2918661867177437E-2</v>
      </c>
      <c r="T185" s="100">
        <v>6.4066576401043554E-3</v>
      </c>
      <c r="V185" s="42">
        <f t="shared" si="32"/>
        <v>0.21980780027079688</v>
      </c>
      <c r="W185" s="42">
        <f t="shared" si="33"/>
        <v>1.1888643043492619E-3</v>
      </c>
      <c r="X185" s="42">
        <f t="shared" si="34"/>
        <v>0.75836333014101265</v>
      </c>
      <c r="Y185" s="42">
        <f t="shared" si="35"/>
        <v>2.0640005283841353E-2</v>
      </c>
      <c r="Z185" s="42">
        <f t="shared" si="36"/>
        <v>0</v>
      </c>
      <c r="AA185" s="42">
        <f t="shared" si="37"/>
        <v>1</v>
      </c>
    </row>
    <row r="186" spans="1:27" x14ac:dyDescent="0.3">
      <c r="A186" s="101"/>
      <c r="B186" s="102" t="s">
        <v>130</v>
      </c>
      <c r="C186" s="102"/>
      <c r="D186" s="103">
        <f>C186/2877.76</f>
        <v>0</v>
      </c>
      <c r="E186" s="104">
        <f>D186/0.003861</f>
        <v>0</v>
      </c>
      <c r="F186" s="105"/>
      <c r="G186" s="42"/>
      <c r="H186" s="42"/>
      <c r="I186" s="42"/>
      <c r="J186" s="42"/>
      <c r="K186" s="42"/>
      <c r="L186" s="42"/>
      <c r="M186" s="42"/>
      <c r="N186" s="42"/>
      <c r="O186" s="42"/>
      <c r="P186" s="42"/>
      <c r="Q186" s="42"/>
      <c r="R186" s="42"/>
      <c r="S186" s="42"/>
      <c r="T186" s="106"/>
      <c r="V186" s="42"/>
      <c r="W186" s="42"/>
      <c r="X186" s="42"/>
      <c r="Y186" s="42"/>
      <c r="Z186" s="42"/>
      <c r="AA186" s="42"/>
    </row>
    <row r="187" spans="1:27" x14ac:dyDescent="0.3">
      <c r="A187" s="101"/>
      <c r="B187" s="102" t="s">
        <v>130</v>
      </c>
      <c r="C187" s="102"/>
      <c r="D187" s="103">
        <f>C187/2877.76</f>
        <v>0</v>
      </c>
      <c r="E187" s="104">
        <f>D187/0.003861</f>
        <v>0</v>
      </c>
      <c r="F187" s="105"/>
      <c r="G187" s="42"/>
      <c r="H187" s="42"/>
      <c r="I187" s="42"/>
      <c r="J187" s="42"/>
      <c r="K187" s="42"/>
      <c r="L187" s="42"/>
      <c r="M187" s="42"/>
      <c r="N187" s="42"/>
      <c r="O187" s="42"/>
      <c r="P187" s="42"/>
      <c r="Q187" s="42"/>
      <c r="R187" s="42"/>
      <c r="S187" s="42"/>
      <c r="T187" s="106"/>
      <c r="V187" s="42"/>
      <c r="W187" s="42"/>
      <c r="X187" s="42"/>
      <c r="Y187" s="42"/>
      <c r="Z187" s="42"/>
      <c r="AA187" s="42"/>
    </row>
    <row r="188" spans="1:27" x14ac:dyDescent="0.3">
      <c r="A188" s="118" t="s">
        <v>1633</v>
      </c>
      <c r="B188" s="95" t="s">
        <v>130</v>
      </c>
      <c r="C188" s="95">
        <v>8852</v>
      </c>
      <c r="D188" s="97">
        <f t="shared" si="38"/>
        <v>3.0760035583231402</v>
      </c>
      <c r="E188" s="98">
        <f t="shared" si="39"/>
        <v>796.6857182914116</v>
      </c>
      <c r="F188" s="99">
        <v>8.2000000000000003E-2</v>
      </c>
      <c r="G188" s="42">
        <v>6.2697695436059644E-2</v>
      </c>
      <c r="H188" s="42">
        <v>1.6041572525982827E-2</v>
      </c>
      <c r="I188" s="42">
        <v>9.8282873926796212E-3</v>
      </c>
      <c r="J188" s="42">
        <v>0</v>
      </c>
      <c r="K188" s="42">
        <v>0</v>
      </c>
      <c r="L188" s="42">
        <v>0.30027112516945326</v>
      </c>
      <c r="M188" s="42">
        <v>4.9254405784003613E-2</v>
      </c>
      <c r="N188" s="42">
        <v>5.9873474920921826E-3</v>
      </c>
      <c r="O188" s="42">
        <v>2.9597830998644374E-2</v>
      </c>
      <c r="P188" s="42">
        <v>1.6945323090826931E-3</v>
      </c>
      <c r="Q188" s="42">
        <v>0.3149570718481699</v>
      </c>
      <c r="R188" s="42">
        <v>6.1455038409399004E-2</v>
      </c>
      <c r="S188" s="42">
        <v>5.7275192046995028E-2</v>
      </c>
      <c r="T188" s="100">
        <v>8.6985991866244915E-3</v>
      </c>
      <c r="V188" s="42">
        <f t="shared" si="32"/>
        <v>0.14797379123361953</v>
      </c>
      <c r="W188" s="42">
        <f t="shared" si="33"/>
        <v>0.37641211025756893</v>
      </c>
      <c r="X188" s="42">
        <f t="shared" si="34"/>
        <v>0.38680524175327607</v>
      </c>
      <c r="Y188" s="42">
        <f t="shared" si="35"/>
        <v>8.8567555354722091E-2</v>
      </c>
      <c r="Z188" s="42">
        <f t="shared" si="36"/>
        <v>0</v>
      </c>
      <c r="AA188" s="42">
        <f t="shared" si="37"/>
        <v>0.99975869859918665</v>
      </c>
    </row>
    <row r="189" spans="1:27" x14ac:dyDescent="0.3">
      <c r="A189" s="42" t="s">
        <v>1634</v>
      </c>
      <c r="B189" s="95" t="s">
        <v>1003</v>
      </c>
      <c r="C189" s="95">
        <v>10338</v>
      </c>
      <c r="D189" s="97">
        <f t="shared" si="38"/>
        <v>3.5923774046480594</v>
      </c>
      <c r="E189" s="98">
        <f t="shared" si="39"/>
        <v>930.42667823052568</v>
      </c>
      <c r="F189" s="99">
        <v>0.18146643451344555</v>
      </c>
      <c r="G189" s="42">
        <v>3.3758947572064227E-2</v>
      </c>
      <c r="H189" s="42">
        <v>0</v>
      </c>
      <c r="I189" s="42">
        <v>0</v>
      </c>
      <c r="J189" s="42">
        <v>0</v>
      </c>
      <c r="K189" s="42">
        <v>4.8365254401238153E-4</v>
      </c>
      <c r="L189" s="42">
        <v>0.58879860708067322</v>
      </c>
      <c r="M189" s="42">
        <v>9.5279551170439153E-2</v>
      </c>
      <c r="N189" s="42">
        <v>5.9005610369510545E-3</v>
      </c>
      <c r="O189" s="42">
        <v>5.3298510350164439E-2</v>
      </c>
      <c r="P189" s="42">
        <v>3.5790288256916233E-3</v>
      </c>
      <c r="Q189" s="42">
        <v>0</v>
      </c>
      <c r="R189" s="42">
        <v>0</v>
      </c>
      <c r="S189" s="42">
        <v>3.5016444186496423E-2</v>
      </c>
      <c r="T189" s="100">
        <v>2.4182627200619077E-3</v>
      </c>
      <c r="V189" s="42">
        <f t="shared" si="32"/>
        <v>0.21890114142000389</v>
      </c>
      <c r="W189" s="42">
        <f t="shared" si="33"/>
        <v>0</v>
      </c>
      <c r="X189" s="42">
        <f t="shared" si="34"/>
        <v>0.74733991100793185</v>
      </c>
      <c r="Y189" s="42">
        <f t="shared" si="35"/>
        <v>3.3758947572064227E-2</v>
      </c>
      <c r="Z189" s="42">
        <f t="shared" si="36"/>
        <v>0</v>
      </c>
      <c r="AA189" s="42">
        <f t="shared" si="37"/>
        <v>0.99999999999999989</v>
      </c>
    </row>
    <row r="190" spans="1:27" x14ac:dyDescent="0.3">
      <c r="A190" s="114" t="s">
        <v>1635</v>
      </c>
      <c r="B190" s="95" t="s">
        <v>1003</v>
      </c>
      <c r="C190" s="119">
        <v>37485</v>
      </c>
      <c r="D190" s="97">
        <f t="shared" si="38"/>
        <v>13.025756143667296</v>
      </c>
      <c r="E190" s="98">
        <f t="shared" si="39"/>
        <v>3373.6742148840449</v>
      </c>
      <c r="F190" s="99">
        <v>8.8968920901694004E-2</v>
      </c>
      <c r="G190" s="42">
        <v>5.3194611177804454E-2</v>
      </c>
      <c r="H190" s="42">
        <v>2.2942510337468319E-3</v>
      </c>
      <c r="I190" s="42">
        <v>7.7364279044951309E-4</v>
      </c>
      <c r="J190" s="42">
        <v>0</v>
      </c>
      <c r="K190" s="42">
        <v>0</v>
      </c>
      <c r="L190" s="42">
        <v>0.15710284113645459</v>
      </c>
      <c r="M190" s="42">
        <v>0.41515272775776979</v>
      </c>
      <c r="N190" s="42">
        <v>0.23113245298119248</v>
      </c>
      <c r="O190" s="42">
        <v>3.4947312258236628E-3</v>
      </c>
      <c r="P190" s="42">
        <v>3.2012805122048817E-4</v>
      </c>
      <c r="Q190" s="42">
        <v>5.0686941443243961E-4</v>
      </c>
      <c r="R190" s="42">
        <v>5.3354675203414696E-4</v>
      </c>
      <c r="S190" s="42">
        <v>4.5724956649326395E-2</v>
      </c>
      <c r="T190" s="100">
        <v>8.0032012805122054E-4</v>
      </c>
      <c r="V190" s="42">
        <f t="shared" si="32"/>
        <v>0.13549419767907164</v>
      </c>
      <c r="W190" s="42">
        <f t="shared" si="33"/>
        <v>1.0404161664665866E-3</v>
      </c>
      <c r="X190" s="42">
        <f t="shared" si="34"/>
        <v>0.80720288115246097</v>
      </c>
      <c r="Y190" s="42">
        <f t="shared" si="35"/>
        <v>5.62625050020008E-2</v>
      </c>
      <c r="Z190" s="42">
        <f t="shared" si="36"/>
        <v>0</v>
      </c>
      <c r="AA190" s="42">
        <f t="shared" si="37"/>
        <v>1</v>
      </c>
    </row>
    <row r="191" spans="1:27" x14ac:dyDescent="0.3">
      <c r="A191" s="108"/>
      <c r="B191" s="16" t="s">
        <v>1014</v>
      </c>
      <c r="C191" s="102"/>
      <c r="D191" s="103">
        <f>C191/2877.76</f>
        <v>0</v>
      </c>
      <c r="E191" s="104">
        <f>D191/0.003861</f>
        <v>0</v>
      </c>
      <c r="F191" s="105"/>
      <c r="G191" s="42"/>
      <c r="H191" s="42"/>
      <c r="I191" s="42"/>
      <c r="J191" s="42"/>
      <c r="K191" s="42"/>
      <c r="L191" s="42"/>
      <c r="M191" s="42"/>
      <c r="N191" s="42"/>
      <c r="O191" s="42"/>
      <c r="P191" s="42"/>
      <c r="Q191" s="42"/>
      <c r="R191" s="42"/>
      <c r="S191" s="42"/>
      <c r="T191" s="106"/>
      <c r="V191" s="42"/>
      <c r="W191" s="42"/>
      <c r="X191" s="42"/>
      <c r="Y191" s="42"/>
      <c r="Z191" s="42"/>
      <c r="AA191" s="42"/>
    </row>
    <row r="192" spans="1:27" x14ac:dyDescent="0.3">
      <c r="A192" s="114" t="s">
        <v>1636</v>
      </c>
      <c r="B192" s="95" t="s">
        <v>1019</v>
      </c>
      <c r="C192" s="119">
        <v>17172</v>
      </c>
      <c r="D192" s="97">
        <f t="shared" si="38"/>
        <v>5.9671411097520286</v>
      </c>
      <c r="E192" s="98">
        <f t="shared" si="39"/>
        <v>1545.4910929168684</v>
      </c>
      <c r="F192" s="99">
        <v>6.452364313999534E-2</v>
      </c>
      <c r="G192" s="42">
        <v>4.8101560680177034E-2</v>
      </c>
      <c r="H192" s="42">
        <v>1.5024458420684835E-2</v>
      </c>
      <c r="I192" s="42">
        <v>7.8616352201257862E-3</v>
      </c>
      <c r="J192" s="42">
        <v>6.9881201956673651E-4</v>
      </c>
      <c r="K192" s="42">
        <v>7.5704635453063124E-4</v>
      </c>
      <c r="L192" s="42">
        <v>0.47903563941299793</v>
      </c>
      <c r="M192" s="42">
        <v>2.9757745166550199E-2</v>
      </c>
      <c r="N192" s="42">
        <v>1.2636850687165153E-2</v>
      </c>
      <c r="O192" s="42">
        <v>4.8567435359888188E-2</v>
      </c>
      <c r="P192" s="42">
        <v>2.3060796645702306E-2</v>
      </c>
      <c r="Q192" s="42">
        <v>9.5911949685534598E-2</v>
      </c>
      <c r="R192" s="42">
        <v>8.9331469834614485E-2</v>
      </c>
      <c r="S192" s="42">
        <v>7.3491730724435128E-2</v>
      </c>
      <c r="T192" s="100">
        <v>1.123922664803168E-2</v>
      </c>
      <c r="V192" s="42">
        <f t="shared" si="32"/>
        <v>0.14925460051246214</v>
      </c>
      <c r="W192" s="42">
        <f t="shared" si="33"/>
        <v>0.18524341952014908</v>
      </c>
      <c r="X192" s="42">
        <f t="shared" si="34"/>
        <v>0.59381551362683427</v>
      </c>
      <c r="Y192" s="42">
        <f t="shared" si="35"/>
        <v>7.098765432098765E-2</v>
      </c>
      <c r="Z192" s="42">
        <f t="shared" si="36"/>
        <v>6.9881201956673651E-4</v>
      </c>
      <c r="AA192" s="42">
        <f t="shared" si="37"/>
        <v>0.99999999999999989</v>
      </c>
    </row>
    <row r="193" spans="1:27" x14ac:dyDescent="0.3">
      <c r="A193" s="108"/>
      <c r="B193" s="16" t="s">
        <v>1024</v>
      </c>
      <c r="C193" s="102"/>
      <c r="D193" s="103">
        <f>C193/2877.76</f>
        <v>0</v>
      </c>
      <c r="E193" s="104">
        <f>D193/0.003861</f>
        <v>0</v>
      </c>
      <c r="F193" s="105"/>
      <c r="G193" s="42"/>
      <c r="H193" s="42"/>
      <c r="I193" s="42"/>
      <c r="J193" s="42"/>
      <c r="K193" s="42"/>
      <c r="L193" s="42"/>
      <c r="M193" s="42"/>
      <c r="N193" s="42"/>
      <c r="O193" s="42"/>
      <c r="P193" s="42"/>
      <c r="Q193" s="42"/>
      <c r="R193" s="42"/>
      <c r="S193" s="42"/>
      <c r="T193" s="106"/>
      <c r="V193" s="42"/>
      <c r="W193" s="42"/>
      <c r="X193" s="42"/>
      <c r="Y193" s="42"/>
      <c r="Z193" s="42"/>
      <c r="AA193" s="42"/>
    </row>
    <row r="194" spans="1:27" x14ac:dyDescent="0.3">
      <c r="A194" s="110" t="s">
        <v>1637</v>
      </c>
      <c r="B194" s="95" t="s">
        <v>1638</v>
      </c>
      <c r="C194" s="95">
        <v>7934</v>
      </c>
      <c r="D194" s="97">
        <f t="shared" si="38"/>
        <v>2.7570054486823081</v>
      </c>
      <c r="E194" s="98">
        <f t="shared" si="39"/>
        <v>714.06512527384314</v>
      </c>
      <c r="F194" s="99">
        <v>7.0708343836652379E-2</v>
      </c>
      <c r="G194" s="42">
        <v>6.4910511721704062E-2</v>
      </c>
      <c r="H194" s="42">
        <v>1.7897655659188303E-2</v>
      </c>
      <c r="I194" s="42">
        <v>1.0965465086967482E-2</v>
      </c>
      <c r="J194" s="42">
        <v>0</v>
      </c>
      <c r="K194" s="42">
        <v>0</v>
      </c>
      <c r="L194" s="42">
        <v>0.29026972523317368</v>
      </c>
      <c r="M194" s="42">
        <v>3.403075371817494E-2</v>
      </c>
      <c r="N194" s="42">
        <v>5.2936728006049913E-3</v>
      </c>
      <c r="O194" s="42">
        <v>2.8358961431812452E-2</v>
      </c>
      <c r="P194" s="42">
        <v>1.8905974287874968E-3</v>
      </c>
      <c r="Q194" s="42">
        <v>0.34333249306780944</v>
      </c>
      <c r="R194" s="42">
        <v>6.8565666750693213E-2</v>
      </c>
      <c r="S194" s="42">
        <v>5.4071086463322413E-2</v>
      </c>
      <c r="T194" s="100">
        <v>9.7050668011091513E-3</v>
      </c>
      <c r="V194" s="42">
        <f t="shared" ref="V194:V257" si="40">F194+S194+T194</f>
        <v>0.13448449710108396</v>
      </c>
      <c r="W194" s="42">
        <f t="shared" ref="W194:W257" si="41">Q194+R194</f>
        <v>0.41189815981850264</v>
      </c>
      <c r="X194" s="42">
        <f t="shared" ref="X194:X257" si="42">SUM(K194:P194)</f>
        <v>0.35984371061255355</v>
      </c>
      <c r="Y194" s="42">
        <f t="shared" ref="Y194:Y257" si="43">SUM(G194:I194)</f>
        <v>9.3773632467859844E-2</v>
      </c>
      <c r="Z194" s="42">
        <f t="shared" ref="Z194:Z257" si="44">J194</f>
        <v>0</v>
      </c>
      <c r="AA194" s="42">
        <f t="shared" ref="AA194:AA257" si="45">SUM(V194:Z194)</f>
        <v>1</v>
      </c>
    </row>
    <row r="195" spans="1:27" x14ac:dyDescent="0.3">
      <c r="A195" s="118"/>
      <c r="B195" s="16" t="s">
        <v>1035</v>
      </c>
      <c r="C195" s="102"/>
      <c r="D195" s="103">
        <f>C195/2877.76</f>
        <v>0</v>
      </c>
      <c r="E195" s="104">
        <f>D195/0.003861</f>
        <v>0</v>
      </c>
      <c r="F195" s="105"/>
      <c r="G195" s="42"/>
      <c r="H195" s="42"/>
      <c r="I195" s="42"/>
      <c r="J195" s="42"/>
      <c r="K195" s="42"/>
      <c r="L195" s="42"/>
      <c r="M195" s="42"/>
      <c r="N195" s="42"/>
      <c r="O195" s="42"/>
      <c r="P195" s="42"/>
      <c r="Q195" s="42"/>
      <c r="R195" s="42"/>
      <c r="S195" s="42"/>
      <c r="T195" s="106"/>
      <c r="V195" s="42"/>
      <c r="W195" s="42"/>
      <c r="X195" s="42"/>
      <c r="Y195" s="42"/>
      <c r="Z195" s="42"/>
      <c r="AA195" s="42"/>
    </row>
    <row r="196" spans="1:27" x14ac:dyDescent="0.3">
      <c r="A196" s="118"/>
      <c r="B196" s="16" t="s">
        <v>1039</v>
      </c>
      <c r="C196" s="102"/>
      <c r="D196" s="103">
        <f>C196/2877.76</f>
        <v>0</v>
      </c>
      <c r="E196" s="104">
        <f>D196/0.003861</f>
        <v>0</v>
      </c>
      <c r="F196" s="105"/>
      <c r="G196" s="42"/>
      <c r="H196" s="42"/>
      <c r="I196" s="42"/>
      <c r="J196" s="42"/>
      <c r="K196" s="42"/>
      <c r="L196" s="42"/>
      <c r="M196" s="42"/>
      <c r="N196" s="42"/>
      <c r="O196" s="42"/>
      <c r="P196" s="42"/>
      <c r="Q196" s="42"/>
      <c r="R196" s="42"/>
      <c r="S196" s="42"/>
      <c r="T196" s="106"/>
      <c r="V196" s="42"/>
      <c r="W196" s="42"/>
      <c r="X196" s="42"/>
      <c r="Y196" s="42"/>
      <c r="Z196" s="42"/>
      <c r="AA196" s="42"/>
    </row>
    <row r="197" spans="1:27" x14ac:dyDescent="0.3">
      <c r="A197" s="42" t="s">
        <v>1639</v>
      </c>
      <c r="B197" s="95" t="s">
        <v>1042</v>
      </c>
      <c r="C197" s="95">
        <v>9239</v>
      </c>
      <c r="D197" s="97">
        <f t="shared" si="38"/>
        <v>3.2104831535638829</v>
      </c>
      <c r="E197" s="98">
        <f t="shared" si="39"/>
        <v>831.51596828901404</v>
      </c>
      <c r="F197" s="99">
        <v>0.11083450589890681</v>
      </c>
      <c r="G197" s="42">
        <v>7.3384565429158999E-2</v>
      </c>
      <c r="H197" s="42">
        <v>1.4395497348197856E-2</v>
      </c>
      <c r="I197" s="42">
        <v>4.1129992423422452E-3</v>
      </c>
      <c r="J197" s="42">
        <v>0</v>
      </c>
      <c r="K197" s="42">
        <v>0</v>
      </c>
      <c r="L197" s="42">
        <v>0.41682000216473647</v>
      </c>
      <c r="M197" s="42">
        <v>3.2471046650070355E-2</v>
      </c>
      <c r="N197" s="42">
        <v>0.21149475051412492</v>
      </c>
      <c r="O197" s="42">
        <v>2.9440415629397122E-2</v>
      </c>
      <c r="P197" s="42">
        <v>6.818919796514774E-3</v>
      </c>
      <c r="Q197" s="42">
        <v>1.2122524082692931E-2</v>
      </c>
      <c r="R197" s="42">
        <v>3.2471046650070354E-4</v>
      </c>
      <c r="S197" s="42">
        <v>8.2043511202511091E-2</v>
      </c>
      <c r="T197" s="100">
        <v>5.7365515748457625E-3</v>
      </c>
      <c r="V197" s="42">
        <f t="shared" si="40"/>
        <v>0.19861456867626365</v>
      </c>
      <c r="W197" s="42">
        <f t="shared" si="41"/>
        <v>1.2447234549193635E-2</v>
      </c>
      <c r="X197" s="42">
        <f t="shared" si="42"/>
        <v>0.69704513475484353</v>
      </c>
      <c r="Y197" s="42">
        <f t="shared" si="43"/>
        <v>9.1893062019699101E-2</v>
      </c>
      <c r="Z197" s="42">
        <f t="shared" si="44"/>
        <v>0</v>
      </c>
      <c r="AA197" s="42">
        <f t="shared" si="45"/>
        <v>1</v>
      </c>
    </row>
    <row r="198" spans="1:27" x14ac:dyDescent="0.3">
      <c r="A198" s="42" t="s">
        <v>1640</v>
      </c>
      <c r="B198" s="95" t="s">
        <v>1047</v>
      </c>
      <c r="C198" s="95">
        <v>89575</v>
      </c>
      <c r="D198" s="97">
        <f t="shared" si="38"/>
        <v>31.126640164572443</v>
      </c>
      <c r="E198" s="98">
        <f t="shared" si="39"/>
        <v>8061.8078644321276</v>
      </c>
      <c r="F198" s="99">
        <v>1.8453809656712252E-2</v>
      </c>
      <c r="G198" s="42">
        <v>6.1456879709740439E-2</v>
      </c>
      <c r="H198" s="42">
        <v>3.4753000279095732E-2</v>
      </c>
      <c r="I198" s="42">
        <v>8.2723974323192853E-3</v>
      </c>
      <c r="J198" s="42">
        <v>3.773374267373709E-3</v>
      </c>
      <c r="K198" s="42">
        <v>4.8004465531677366E-4</v>
      </c>
      <c r="L198" s="42">
        <v>0.33759419480881941</v>
      </c>
      <c r="M198" s="42">
        <v>0.22625732626290818</v>
      </c>
      <c r="N198" s="42">
        <v>6.562098799888362E-2</v>
      </c>
      <c r="O198" s="42">
        <v>3.572425341892269E-3</v>
      </c>
      <c r="P198" s="42">
        <v>1.0080937761652246E-2</v>
      </c>
      <c r="Q198" s="42">
        <v>6.8188668713368691E-2</v>
      </c>
      <c r="R198" s="42">
        <v>2.6982975160480045E-2</v>
      </c>
      <c r="S198" s="42">
        <v>0.12982416969020374</v>
      </c>
      <c r="T198" s="100">
        <v>4.6888082612336034E-3</v>
      </c>
      <c r="V198" s="42">
        <f t="shared" si="40"/>
        <v>0.15296678760814961</v>
      </c>
      <c r="W198" s="42">
        <f t="shared" si="41"/>
        <v>9.5171643873848744E-2</v>
      </c>
      <c r="X198" s="42">
        <f t="shared" si="42"/>
        <v>0.64360591682947244</v>
      </c>
      <c r="Y198" s="42">
        <f t="shared" si="43"/>
        <v>0.10448227742115546</v>
      </c>
      <c r="Z198" s="42">
        <f t="shared" si="44"/>
        <v>3.773374267373709E-3</v>
      </c>
      <c r="AA198" s="42">
        <f t="shared" si="45"/>
        <v>0.99999999999999989</v>
      </c>
    </row>
    <row r="199" spans="1:27" x14ac:dyDescent="0.3">
      <c r="A199" s="42" t="s">
        <v>1641</v>
      </c>
      <c r="B199" s="95" t="s">
        <v>440</v>
      </c>
      <c r="C199" s="95">
        <v>4655</v>
      </c>
      <c r="D199" s="97">
        <f t="shared" si="38"/>
        <v>1.6175775603246969</v>
      </c>
      <c r="E199" s="98">
        <f t="shared" si="39"/>
        <v>418.95300707710356</v>
      </c>
      <c r="F199" s="99">
        <v>4.038668098818475E-2</v>
      </c>
      <c r="G199" s="42">
        <v>2.8571428571428571E-2</v>
      </c>
      <c r="H199" s="42">
        <v>6.4446831364124593E-4</v>
      </c>
      <c r="I199" s="42">
        <v>0</v>
      </c>
      <c r="J199" s="42">
        <v>0</v>
      </c>
      <c r="K199" s="42">
        <v>0</v>
      </c>
      <c r="L199" s="42">
        <v>0.16756176154672395</v>
      </c>
      <c r="M199" s="42">
        <v>0.12867883995703544</v>
      </c>
      <c r="N199" s="42">
        <v>0.14414607948442534</v>
      </c>
      <c r="O199" s="42">
        <v>7.5187969924812026E-3</v>
      </c>
      <c r="P199" s="42">
        <v>1.7400644468313641E-2</v>
      </c>
      <c r="Q199" s="42">
        <v>0.26272824919441462</v>
      </c>
      <c r="R199" s="42">
        <v>0.16627282491944145</v>
      </c>
      <c r="S199" s="42">
        <v>3.6090225563909777E-2</v>
      </c>
      <c r="T199" s="100">
        <v>0</v>
      </c>
      <c r="V199" s="42">
        <f t="shared" si="40"/>
        <v>7.647690655209452E-2</v>
      </c>
      <c r="W199" s="42">
        <f t="shared" si="41"/>
        <v>0.42900107411385607</v>
      </c>
      <c r="X199" s="42">
        <f t="shared" si="42"/>
        <v>0.46530612244897962</v>
      </c>
      <c r="Y199" s="42">
        <f t="shared" si="43"/>
        <v>2.9215896885069818E-2</v>
      </c>
      <c r="Z199" s="42">
        <f t="shared" si="44"/>
        <v>0</v>
      </c>
      <c r="AA199" s="42">
        <f t="shared" si="45"/>
        <v>1</v>
      </c>
    </row>
    <row r="200" spans="1:27" x14ac:dyDescent="0.3">
      <c r="A200" s="42" t="s">
        <v>1642</v>
      </c>
      <c r="B200" s="95" t="s">
        <v>1055</v>
      </c>
      <c r="C200" s="95">
        <v>10096</v>
      </c>
      <c r="D200" s="97">
        <f t="shared" si="38"/>
        <v>3.5082842210608249</v>
      </c>
      <c r="E200" s="98">
        <f t="shared" si="39"/>
        <v>908.64652190127561</v>
      </c>
      <c r="F200" s="99">
        <v>0.29100633914421553</v>
      </c>
      <c r="G200" s="42">
        <v>8.5182250396196521E-3</v>
      </c>
      <c r="H200" s="42">
        <v>1.881933438985737E-3</v>
      </c>
      <c r="I200" s="42">
        <v>0</v>
      </c>
      <c r="J200" s="42">
        <v>0</v>
      </c>
      <c r="K200" s="42">
        <v>0</v>
      </c>
      <c r="L200" s="42">
        <v>0.36133122028526149</v>
      </c>
      <c r="M200" s="42">
        <v>0.17026545166402535</v>
      </c>
      <c r="N200" s="42">
        <v>3.9025356576862125E-2</v>
      </c>
      <c r="O200" s="42">
        <v>1.1390649762282093E-2</v>
      </c>
      <c r="P200" s="42">
        <v>1.8522187004754359E-2</v>
      </c>
      <c r="Q200" s="42">
        <v>3.6945324881141044E-2</v>
      </c>
      <c r="R200" s="42">
        <v>2.7733755942947703E-3</v>
      </c>
      <c r="S200" s="42">
        <v>5.7349445324881142E-2</v>
      </c>
      <c r="T200" s="100">
        <v>9.9049128367670368E-4</v>
      </c>
      <c r="V200" s="42">
        <f t="shared" si="40"/>
        <v>0.34934627575277338</v>
      </c>
      <c r="W200" s="42">
        <f t="shared" si="41"/>
        <v>3.9718700475435811E-2</v>
      </c>
      <c r="X200" s="42">
        <f t="shared" si="42"/>
        <v>0.60053486529318545</v>
      </c>
      <c r="Y200" s="42">
        <f t="shared" si="43"/>
        <v>1.0400158478605389E-2</v>
      </c>
      <c r="Z200" s="42">
        <f t="shared" si="44"/>
        <v>0</v>
      </c>
      <c r="AA200" s="42">
        <f t="shared" si="45"/>
        <v>1</v>
      </c>
    </row>
    <row r="201" spans="1:27" x14ac:dyDescent="0.3">
      <c r="A201" s="42" t="s">
        <v>1643</v>
      </c>
      <c r="B201" s="95" t="s">
        <v>1060</v>
      </c>
      <c r="C201" s="95">
        <v>3360</v>
      </c>
      <c r="D201" s="97">
        <f t="shared" si="38"/>
        <v>1.1675747803847436</v>
      </c>
      <c r="E201" s="98">
        <f t="shared" si="39"/>
        <v>302.40217052181913</v>
      </c>
      <c r="F201" s="99">
        <v>0.19375000000000001</v>
      </c>
      <c r="G201" s="42">
        <v>0.17857142857142858</v>
      </c>
      <c r="H201" s="42">
        <v>4.4642857142857144E-2</v>
      </c>
      <c r="I201" s="42">
        <v>3.4821428571428573E-2</v>
      </c>
      <c r="J201" s="42">
        <v>1.2500000000000001E-2</v>
      </c>
      <c r="K201" s="42">
        <v>0</v>
      </c>
      <c r="L201" s="42">
        <v>0.28690476190476188</v>
      </c>
      <c r="M201" s="42">
        <v>0.10089285714285715</v>
      </c>
      <c r="N201" s="42">
        <v>0.12916666666666668</v>
      </c>
      <c r="O201" s="42">
        <v>0</v>
      </c>
      <c r="P201" s="42">
        <v>0</v>
      </c>
      <c r="Q201" s="42">
        <v>0</v>
      </c>
      <c r="R201" s="42">
        <v>0</v>
      </c>
      <c r="S201" s="42">
        <v>1.5476190476190477E-2</v>
      </c>
      <c r="T201" s="100">
        <v>3.2738095238095239E-3</v>
      </c>
      <c r="V201" s="42">
        <f t="shared" si="40"/>
        <v>0.21249999999999999</v>
      </c>
      <c r="W201" s="42">
        <f t="shared" si="41"/>
        <v>0</v>
      </c>
      <c r="X201" s="42">
        <f t="shared" si="42"/>
        <v>0.51696428571428565</v>
      </c>
      <c r="Y201" s="42">
        <f t="shared" si="43"/>
        <v>0.25803571428571431</v>
      </c>
      <c r="Z201" s="42">
        <f t="shared" si="44"/>
        <v>1.2500000000000001E-2</v>
      </c>
      <c r="AA201" s="42">
        <f t="shared" si="45"/>
        <v>1</v>
      </c>
    </row>
    <row r="202" spans="1:27" x14ac:dyDescent="0.3">
      <c r="A202" s="115"/>
      <c r="B202" s="16" t="s">
        <v>1063</v>
      </c>
      <c r="C202" s="102"/>
      <c r="D202" s="103">
        <f>C202/2877.76</f>
        <v>0</v>
      </c>
      <c r="E202" s="104">
        <f>D202/0.003861</f>
        <v>0</v>
      </c>
      <c r="F202" s="105"/>
      <c r="G202" s="42"/>
      <c r="H202" s="42"/>
      <c r="I202" s="42"/>
      <c r="J202" s="42"/>
      <c r="K202" s="42"/>
      <c r="L202" s="42"/>
      <c r="M202" s="42"/>
      <c r="N202" s="42"/>
      <c r="O202" s="42"/>
      <c r="P202" s="42"/>
      <c r="Q202" s="42"/>
      <c r="R202" s="42"/>
      <c r="S202" s="42"/>
      <c r="T202" s="106"/>
      <c r="V202" s="42"/>
      <c r="W202" s="42"/>
      <c r="X202" s="42"/>
      <c r="Y202" s="42"/>
      <c r="Z202" s="42"/>
      <c r="AA202" s="42"/>
    </row>
    <row r="203" spans="1:27" x14ac:dyDescent="0.3">
      <c r="A203" s="42" t="s">
        <v>1644</v>
      </c>
      <c r="B203" s="95" t="s">
        <v>1064</v>
      </c>
      <c r="C203" s="95">
        <v>682</v>
      </c>
      <c r="D203" s="97">
        <f t="shared" si="38"/>
        <v>0.23698988101856999</v>
      </c>
      <c r="E203" s="98">
        <f t="shared" si="39"/>
        <v>61.380440564250193</v>
      </c>
      <c r="F203" s="99">
        <v>0.12609970674486803</v>
      </c>
      <c r="G203" s="42">
        <v>1.3196480938416423E-2</v>
      </c>
      <c r="H203" s="42">
        <v>0</v>
      </c>
      <c r="I203" s="42">
        <v>0</v>
      </c>
      <c r="J203" s="42">
        <v>0</v>
      </c>
      <c r="K203" s="42">
        <v>0</v>
      </c>
      <c r="L203" s="42">
        <v>0.5161290322580645</v>
      </c>
      <c r="M203" s="42">
        <v>2.4926686217008796E-2</v>
      </c>
      <c r="N203" s="42">
        <v>0.31964809384164222</v>
      </c>
      <c r="O203" s="42">
        <v>0</v>
      </c>
      <c r="P203" s="42">
        <v>0</v>
      </c>
      <c r="Q203" s="42">
        <v>0</v>
      </c>
      <c r="R203" s="42">
        <v>0</v>
      </c>
      <c r="S203" s="42">
        <v>0</v>
      </c>
      <c r="T203" s="100">
        <v>0</v>
      </c>
      <c r="V203" s="42">
        <f t="shared" si="40"/>
        <v>0.12609970674486803</v>
      </c>
      <c r="W203" s="42">
        <f t="shared" si="41"/>
        <v>0</v>
      </c>
      <c r="X203" s="42">
        <f t="shared" si="42"/>
        <v>0.86070381231671544</v>
      </c>
      <c r="Y203" s="42">
        <f t="shared" si="43"/>
        <v>1.3196480938416423E-2</v>
      </c>
      <c r="Z203" s="42">
        <f t="shared" si="44"/>
        <v>0</v>
      </c>
      <c r="AA203" s="42">
        <f t="shared" si="45"/>
        <v>0.99999999999999989</v>
      </c>
    </row>
    <row r="204" spans="1:27" x14ac:dyDescent="0.3">
      <c r="A204" s="42" t="s">
        <v>1645</v>
      </c>
      <c r="B204" s="95" t="s">
        <v>1068</v>
      </c>
      <c r="C204" s="95">
        <v>5186</v>
      </c>
      <c r="D204" s="97">
        <f t="shared" si="38"/>
        <v>1.8020960747247858</v>
      </c>
      <c r="E204" s="98">
        <f t="shared" si="39"/>
        <v>466.74335009706965</v>
      </c>
      <c r="F204" s="99">
        <v>0.23023524874662554</v>
      </c>
      <c r="G204" s="42">
        <v>2.5260316236020056E-2</v>
      </c>
      <c r="H204" s="42">
        <v>0</v>
      </c>
      <c r="I204" s="42">
        <v>0</v>
      </c>
      <c r="J204" s="42">
        <v>0</v>
      </c>
      <c r="K204" s="42">
        <v>0</v>
      </c>
      <c r="L204" s="42">
        <v>0.55264172772849984</v>
      </c>
      <c r="M204" s="42">
        <v>2.6802930967990746E-2</v>
      </c>
      <c r="N204" s="42">
        <v>2.3139220979560355E-2</v>
      </c>
      <c r="O204" s="42">
        <v>8.291554184342461E-3</v>
      </c>
      <c r="P204" s="42">
        <v>6.9417662938681063E-3</v>
      </c>
      <c r="Q204" s="42">
        <v>2.9116853065946781E-2</v>
      </c>
      <c r="R204" s="42">
        <v>0</v>
      </c>
      <c r="S204" s="42">
        <v>9.6799074431160814E-2</v>
      </c>
      <c r="T204" s="100">
        <v>7.7130736598534516E-4</v>
      </c>
      <c r="V204" s="42">
        <f t="shared" si="40"/>
        <v>0.32780563054377171</v>
      </c>
      <c r="W204" s="42">
        <f t="shared" si="41"/>
        <v>2.9116853065946781E-2</v>
      </c>
      <c r="X204" s="42">
        <f t="shared" si="42"/>
        <v>0.61781720015426145</v>
      </c>
      <c r="Y204" s="42">
        <f t="shared" si="43"/>
        <v>2.5260316236020056E-2</v>
      </c>
      <c r="Z204" s="42">
        <f t="shared" si="44"/>
        <v>0</v>
      </c>
      <c r="AA204" s="42">
        <f t="shared" si="45"/>
        <v>1</v>
      </c>
    </row>
    <row r="205" spans="1:27" x14ac:dyDescent="0.3">
      <c r="A205" s="42" t="s">
        <v>1646</v>
      </c>
      <c r="B205" s="95" t="s">
        <v>1071</v>
      </c>
      <c r="C205" s="95">
        <v>4676</v>
      </c>
      <c r="D205" s="97">
        <f t="shared" si="38"/>
        <v>1.6248749027021014</v>
      </c>
      <c r="E205" s="98">
        <f t="shared" si="39"/>
        <v>420.84302064286493</v>
      </c>
      <c r="F205" s="99">
        <v>0.11740804106073567</v>
      </c>
      <c r="G205" s="42">
        <v>4.2771599657827203E-3</v>
      </c>
      <c r="H205" s="42">
        <v>0</v>
      </c>
      <c r="I205" s="42">
        <v>0</v>
      </c>
      <c r="J205" s="42">
        <v>0</v>
      </c>
      <c r="K205" s="42">
        <v>1.2831479897348161E-3</v>
      </c>
      <c r="L205" s="42">
        <v>0.39927288280581696</v>
      </c>
      <c r="M205" s="42">
        <v>0.28186484174508125</v>
      </c>
      <c r="N205" s="42">
        <v>0.14349871685201027</v>
      </c>
      <c r="O205" s="42">
        <v>0</v>
      </c>
      <c r="P205" s="42">
        <v>0</v>
      </c>
      <c r="Q205" s="42">
        <v>0</v>
      </c>
      <c r="R205" s="42">
        <v>9.8374679213002574E-3</v>
      </c>
      <c r="S205" s="42">
        <v>4.148845166809239E-2</v>
      </c>
      <c r="T205" s="100">
        <v>1.0692899914456801E-3</v>
      </c>
      <c r="V205" s="42">
        <f t="shared" si="40"/>
        <v>0.15996578272027373</v>
      </c>
      <c r="W205" s="42">
        <f t="shared" si="41"/>
        <v>9.8374679213002574E-3</v>
      </c>
      <c r="X205" s="42">
        <f t="shared" si="42"/>
        <v>0.82591958939264343</v>
      </c>
      <c r="Y205" s="42">
        <f t="shared" si="43"/>
        <v>4.2771599657827203E-3</v>
      </c>
      <c r="Z205" s="42">
        <f t="shared" si="44"/>
        <v>0</v>
      </c>
      <c r="AA205" s="42">
        <f t="shared" si="45"/>
        <v>1.0000000000000002</v>
      </c>
    </row>
    <row r="206" spans="1:27" x14ac:dyDescent="0.3">
      <c r="A206" s="101" t="s">
        <v>1647</v>
      </c>
      <c r="B206" s="95" t="s">
        <v>1648</v>
      </c>
      <c r="C206" s="95">
        <v>1439</v>
      </c>
      <c r="D206" s="97">
        <f t="shared" si="38"/>
        <v>0.50004169909929941</v>
      </c>
      <c r="E206" s="98">
        <f t="shared" si="39"/>
        <v>129.51092957764814</v>
      </c>
      <c r="F206" s="99">
        <v>0.13898540653231412</v>
      </c>
      <c r="G206" s="42">
        <v>2.7797081306462822E-2</v>
      </c>
      <c r="H206" s="42">
        <v>0</v>
      </c>
      <c r="I206" s="42">
        <v>0</v>
      </c>
      <c r="J206" s="42">
        <v>0</v>
      </c>
      <c r="K206" s="42">
        <v>0</v>
      </c>
      <c r="L206" s="42">
        <v>0.30715774843641419</v>
      </c>
      <c r="M206" s="42">
        <v>0.34398888116747739</v>
      </c>
      <c r="N206" s="42">
        <v>0.14454482279360667</v>
      </c>
      <c r="O206" s="42">
        <v>0</v>
      </c>
      <c r="P206" s="42">
        <v>0</v>
      </c>
      <c r="Q206" s="42">
        <v>0</v>
      </c>
      <c r="R206" s="42">
        <v>0</v>
      </c>
      <c r="S206" s="42">
        <v>3.7526059763724806E-2</v>
      </c>
      <c r="T206" s="100">
        <v>0</v>
      </c>
      <c r="V206" s="42">
        <f t="shared" si="40"/>
        <v>0.17651146629603892</v>
      </c>
      <c r="W206" s="42">
        <f t="shared" si="41"/>
        <v>0</v>
      </c>
      <c r="X206" s="42">
        <f t="shared" si="42"/>
        <v>0.79569145239749828</v>
      </c>
      <c r="Y206" s="42">
        <f t="shared" si="43"/>
        <v>2.7797081306462822E-2</v>
      </c>
      <c r="Z206" s="42">
        <f t="shared" si="44"/>
        <v>0</v>
      </c>
      <c r="AA206" s="42">
        <f t="shared" si="45"/>
        <v>1</v>
      </c>
    </row>
    <row r="207" spans="1:27" x14ac:dyDescent="0.3">
      <c r="A207" s="101" t="s">
        <v>1649</v>
      </c>
      <c r="B207" s="95" t="s">
        <v>1650</v>
      </c>
      <c r="C207" s="95">
        <v>129621</v>
      </c>
      <c r="D207" s="97">
        <f t="shared" si="38"/>
        <v>45.042324585788947</v>
      </c>
      <c r="E207" s="98">
        <f t="shared" si="39"/>
        <v>11665.973733693072</v>
      </c>
      <c r="F207" s="99">
        <v>4.9675592689456184E-2</v>
      </c>
      <c r="G207" s="42">
        <v>1.4395815492859954E-2</v>
      </c>
      <c r="H207" s="42">
        <v>1.6201078528942071E-4</v>
      </c>
      <c r="I207" s="42">
        <v>9.2577591593954683E-5</v>
      </c>
      <c r="J207" s="42">
        <v>0</v>
      </c>
      <c r="K207" s="42">
        <v>6.0175434536070545E-4</v>
      </c>
      <c r="L207" s="42">
        <v>0.6095462926531966</v>
      </c>
      <c r="M207" s="42">
        <v>0.14510766002422448</v>
      </c>
      <c r="N207" s="42">
        <v>2.5898581248408822E-2</v>
      </c>
      <c r="O207" s="42">
        <v>3.6737874264201019E-2</v>
      </c>
      <c r="P207" s="42">
        <v>4.5903055832002531E-3</v>
      </c>
      <c r="Q207" s="42">
        <v>0</v>
      </c>
      <c r="R207" s="42">
        <v>0</v>
      </c>
      <c r="S207" s="42">
        <v>0.10980473842972975</v>
      </c>
      <c r="T207" s="100">
        <v>3.3867968924788422E-3</v>
      </c>
      <c r="V207" s="42">
        <f t="shared" si="40"/>
        <v>0.16286712801166478</v>
      </c>
      <c r="W207" s="42">
        <f t="shared" si="41"/>
        <v>0</v>
      </c>
      <c r="X207" s="42">
        <f t="shared" si="42"/>
        <v>0.82248246811859194</v>
      </c>
      <c r="Y207" s="42">
        <f t="shared" si="43"/>
        <v>1.4650403869743329E-2</v>
      </c>
      <c r="Z207" s="42">
        <f t="shared" si="44"/>
        <v>0</v>
      </c>
      <c r="AA207" s="42">
        <f t="shared" si="45"/>
        <v>1</v>
      </c>
    </row>
    <row r="208" spans="1:27" x14ac:dyDescent="0.3">
      <c r="A208" s="42" t="s">
        <v>1651</v>
      </c>
      <c r="B208" s="95" t="s">
        <v>1083</v>
      </c>
      <c r="C208" s="95">
        <v>48432</v>
      </c>
      <c r="D208" s="97">
        <f t="shared" si="38"/>
        <v>16.829756477260091</v>
      </c>
      <c r="E208" s="98">
        <f t="shared" si="39"/>
        <v>4358.9112865216503</v>
      </c>
      <c r="F208" s="99">
        <v>2.4715064420218039E-2</v>
      </c>
      <c r="G208" s="42">
        <v>6.778576148001321E-2</v>
      </c>
      <c r="H208" s="42">
        <v>1.441195903534853E-2</v>
      </c>
      <c r="I208" s="42">
        <v>5.7813016187644528E-3</v>
      </c>
      <c r="J208" s="42">
        <v>1.8582755203171457E-4</v>
      </c>
      <c r="K208" s="42">
        <v>0</v>
      </c>
      <c r="L208" s="42">
        <v>0.37272877436405683</v>
      </c>
      <c r="M208" s="42">
        <v>0.13932936901222331</v>
      </c>
      <c r="N208" s="42">
        <v>0.11597703997357119</v>
      </c>
      <c r="O208" s="42">
        <v>5.5417905517013547E-2</v>
      </c>
      <c r="P208" s="42">
        <v>4.6456888007928646E-3</v>
      </c>
      <c r="Q208" s="42">
        <v>0.12378179715890321</v>
      </c>
      <c r="R208" s="42">
        <v>3.8817310868847045E-3</v>
      </c>
      <c r="S208" s="42">
        <v>6.3594317806408993E-2</v>
      </c>
      <c r="T208" s="100">
        <v>7.7634621737694091E-3</v>
      </c>
      <c r="V208" s="42">
        <f t="shared" si="40"/>
        <v>9.6072844400396443E-2</v>
      </c>
      <c r="W208" s="42">
        <f t="shared" si="41"/>
        <v>0.12766352824578792</v>
      </c>
      <c r="X208" s="42">
        <f t="shared" si="42"/>
        <v>0.6880987776676577</v>
      </c>
      <c r="Y208" s="42">
        <f t="shared" si="43"/>
        <v>8.79790221341262E-2</v>
      </c>
      <c r="Z208" s="42">
        <f t="shared" si="44"/>
        <v>1.8582755203171457E-4</v>
      </c>
      <c r="AA208" s="42">
        <f t="shared" si="45"/>
        <v>0.99999999999999989</v>
      </c>
    </row>
    <row r="209" spans="1:27" x14ac:dyDescent="0.3">
      <c r="A209" s="42" t="s">
        <v>1652</v>
      </c>
      <c r="B209" s="95" t="s">
        <v>1091</v>
      </c>
      <c r="C209" s="95">
        <v>252953</v>
      </c>
      <c r="D209" s="97">
        <f t="shared" si="38"/>
        <v>87.899268875792274</v>
      </c>
      <c r="E209" s="98">
        <f t="shared" si="39"/>
        <v>22765.933404763604</v>
      </c>
      <c r="F209" s="99">
        <v>5.0100216245705723E-2</v>
      </c>
      <c r="G209" s="42">
        <v>2.6016690847706886E-2</v>
      </c>
      <c r="H209" s="42">
        <v>6.965720904673991E-3</v>
      </c>
      <c r="I209" s="42">
        <v>1.7552667886919704E-3</v>
      </c>
      <c r="J209" s="42">
        <v>3.3207750056334578E-4</v>
      </c>
      <c r="K209" s="42">
        <v>2.4668614327562829E-3</v>
      </c>
      <c r="L209" s="42">
        <v>0.38751467663953382</v>
      </c>
      <c r="M209" s="42">
        <v>0.11242404715500508</v>
      </c>
      <c r="N209" s="42">
        <v>2.4846512988578907E-2</v>
      </c>
      <c r="O209" s="42">
        <v>0.10465975892754781</v>
      </c>
      <c r="P209" s="42">
        <v>1.4595596810474672E-2</v>
      </c>
      <c r="Q209" s="42">
        <v>0.13164105584831964</v>
      </c>
      <c r="R209" s="42">
        <v>5.2361505892398984E-2</v>
      </c>
      <c r="S209" s="42">
        <v>7.5950868343130931E-2</v>
      </c>
      <c r="T209" s="100">
        <v>8.3691436749119396E-3</v>
      </c>
      <c r="V209" s="42">
        <f t="shared" si="40"/>
        <v>0.13442022826374858</v>
      </c>
      <c r="W209" s="42">
        <f t="shared" si="41"/>
        <v>0.18400256174071863</v>
      </c>
      <c r="X209" s="42">
        <f t="shared" si="42"/>
        <v>0.64650745395389653</v>
      </c>
      <c r="Y209" s="42">
        <f t="shared" si="43"/>
        <v>3.4737678541072847E-2</v>
      </c>
      <c r="Z209" s="42">
        <f t="shared" si="44"/>
        <v>3.3207750056334578E-4</v>
      </c>
      <c r="AA209" s="42">
        <f t="shared" si="45"/>
        <v>1</v>
      </c>
    </row>
    <row r="210" spans="1:27" x14ac:dyDescent="0.3">
      <c r="A210" s="42" t="s">
        <v>1653</v>
      </c>
      <c r="B210" s="95" t="s">
        <v>1095</v>
      </c>
      <c r="C210" s="95">
        <v>2884</v>
      </c>
      <c r="D210" s="97">
        <f t="shared" si="38"/>
        <v>1.0021683531635717</v>
      </c>
      <c r="E210" s="98">
        <f t="shared" si="39"/>
        <v>259.56186303122809</v>
      </c>
      <c r="F210" s="99">
        <v>0.21081830790568654</v>
      </c>
      <c r="G210" s="42">
        <v>3.6754507628294034E-2</v>
      </c>
      <c r="H210" s="42">
        <v>0</v>
      </c>
      <c r="I210" s="42">
        <v>0</v>
      </c>
      <c r="J210" s="42">
        <v>0</v>
      </c>
      <c r="K210" s="42">
        <v>0</v>
      </c>
      <c r="L210" s="42">
        <v>0.52635228848821081</v>
      </c>
      <c r="M210" s="42">
        <v>5.0624133148404991E-2</v>
      </c>
      <c r="N210" s="42">
        <v>0.12517337031900139</v>
      </c>
      <c r="O210" s="42">
        <v>2.4271844660194173E-3</v>
      </c>
      <c r="P210" s="42">
        <v>0</v>
      </c>
      <c r="Q210" s="42">
        <v>3.2940360610263522E-2</v>
      </c>
      <c r="R210" s="42">
        <v>0</v>
      </c>
      <c r="S210" s="42">
        <v>9.7087378640776691E-3</v>
      </c>
      <c r="T210" s="100">
        <v>5.2011095700416092E-3</v>
      </c>
      <c r="V210" s="42">
        <f t="shared" si="40"/>
        <v>0.22572815533980581</v>
      </c>
      <c r="W210" s="42">
        <f t="shared" si="41"/>
        <v>3.2940360610263522E-2</v>
      </c>
      <c r="X210" s="42">
        <f t="shared" si="42"/>
        <v>0.70457697642163664</v>
      </c>
      <c r="Y210" s="42">
        <f t="shared" si="43"/>
        <v>3.6754507628294034E-2</v>
      </c>
      <c r="Z210" s="42">
        <f t="shared" si="44"/>
        <v>0</v>
      </c>
      <c r="AA210" s="42">
        <f t="shared" si="45"/>
        <v>1</v>
      </c>
    </row>
    <row r="211" spans="1:27" x14ac:dyDescent="0.3">
      <c r="A211" s="115" t="s">
        <v>1654</v>
      </c>
      <c r="B211" s="95" t="s">
        <v>1655</v>
      </c>
      <c r="C211" s="95">
        <v>37617</v>
      </c>
      <c r="D211" s="97">
        <f t="shared" si="38"/>
        <v>13.071625152896697</v>
      </c>
      <c r="E211" s="98">
        <f t="shared" si="39"/>
        <v>3385.5543001545448</v>
      </c>
      <c r="F211" s="99">
        <v>5.181168088895978E-2</v>
      </c>
      <c r="G211" s="42">
        <v>0.11324667038838823</v>
      </c>
      <c r="H211" s="42">
        <v>3.3761331312970197E-2</v>
      </c>
      <c r="I211" s="42">
        <v>1.3079192918095542E-2</v>
      </c>
      <c r="J211" s="42">
        <v>1.0766408804529866E-2</v>
      </c>
      <c r="K211" s="42">
        <v>0</v>
      </c>
      <c r="L211" s="42">
        <v>0.31310311827099452</v>
      </c>
      <c r="M211" s="42">
        <v>3.1368796023074673E-3</v>
      </c>
      <c r="N211" s="42">
        <v>6.996836536672249E-2</v>
      </c>
      <c r="O211" s="42">
        <v>6.5130127336044874E-3</v>
      </c>
      <c r="P211" s="42">
        <v>8.5067921418507594E-4</v>
      </c>
      <c r="Q211" s="42">
        <v>3.0278863279900044E-2</v>
      </c>
      <c r="R211" s="42">
        <v>6.209958263551054E-2</v>
      </c>
      <c r="S211" s="42">
        <v>0.2781721030385198</v>
      </c>
      <c r="T211" s="100">
        <v>1.3212111545311961E-2</v>
      </c>
      <c r="V211" s="42">
        <f t="shared" si="40"/>
        <v>0.3431958954727915</v>
      </c>
      <c r="W211" s="42">
        <f t="shared" si="41"/>
        <v>9.2378445915410584E-2</v>
      </c>
      <c r="X211" s="42">
        <f t="shared" si="42"/>
        <v>0.39357205518781407</v>
      </c>
      <c r="Y211" s="42">
        <f t="shared" si="43"/>
        <v>0.16008719461945395</v>
      </c>
      <c r="Z211" s="42">
        <f t="shared" si="44"/>
        <v>1.0766408804529866E-2</v>
      </c>
      <c r="AA211" s="42">
        <f t="shared" si="45"/>
        <v>1</v>
      </c>
    </row>
    <row r="212" spans="1:27" x14ac:dyDescent="0.3">
      <c r="A212" s="110" t="s">
        <v>1656</v>
      </c>
      <c r="B212" s="95" t="s">
        <v>1104</v>
      </c>
      <c r="C212" s="95">
        <v>121878</v>
      </c>
      <c r="D212" s="97">
        <f t="shared" si="38"/>
        <v>42.3516902034916</v>
      </c>
      <c r="E212" s="98">
        <f t="shared" si="39"/>
        <v>10969.098731803057</v>
      </c>
      <c r="F212" s="111">
        <v>8.5052265380134232E-2</v>
      </c>
      <c r="G212" s="112">
        <v>4.0401056794499415E-2</v>
      </c>
      <c r="H212" s="112">
        <v>3.5773478396429214E-3</v>
      </c>
      <c r="I212" s="112">
        <v>3.8563153317251677E-4</v>
      </c>
      <c r="J212" s="112">
        <v>4.1024631188565612E-5</v>
      </c>
      <c r="K212" s="112">
        <v>4.9229557426278739E-5</v>
      </c>
      <c r="L212" s="112">
        <v>0.30284382743399135</v>
      </c>
      <c r="M212" s="112">
        <v>1.7131885984345001E-2</v>
      </c>
      <c r="N212" s="112">
        <v>1.9199527396248708E-2</v>
      </c>
      <c r="O212" s="112">
        <v>7.476328787804197E-2</v>
      </c>
      <c r="P212" s="112">
        <v>2.3548138302236662E-3</v>
      </c>
      <c r="Q212" s="112">
        <v>0.27232970675593626</v>
      </c>
      <c r="R212" s="112">
        <v>0.14759021316398366</v>
      </c>
      <c r="S212" s="112">
        <v>2.7461888117625823E-2</v>
      </c>
      <c r="T212" s="113">
        <v>6.8182937035396055E-3</v>
      </c>
      <c r="V212" s="42">
        <f t="shared" si="40"/>
        <v>0.11933244720129967</v>
      </c>
      <c r="W212" s="42">
        <f t="shared" si="41"/>
        <v>0.41991991991991995</v>
      </c>
      <c r="X212" s="42">
        <f t="shared" si="42"/>
        <v>0.41634257208027697</v>
      </c>
      <c r="Y212" s="42">
        <f t="shared" si="43"/>
        <v>4.4364036167314852E-2</v>
      </c>
      <c r="Z212" s="42">
        <f t="shared" si="44"/>
        <v>4.1024631188565612E-5</v>
      </c>
      <c r="AA212" s="42">
        <f t="shared" si="45"/>
        <v>1</v>
      </c>
    </row>
    <row r="213" spans="1:27" x14ac:dyDescent="0.3">
      <c r="A213" s="110" t="s">
        <v>1656</v>
      </c>
      <c r="B213" s="102" t="s">
        <v>1110</v>
      </c>
      <c r="C213" s="95">
        <v>121878</v>
      </c>
      <c r="D213" s="97">
        <f>C213/2877.76</f>
        <v>42.3516902034916</v>
      </c>
      <c r="E213" s="98">
        <f>D213/0.003861</f>
        <v>10969.098731803057</v>
      </c>
      <c r="F213" s="111">
        <v>8.5052265380134232E-2</v>
      </c>
      <c r="G213" s="112">
        <v>4.0401056794499415E-2</v>
      </c>
      <c r="H213" s="112">
        <v>3.5773478396429214E-3</v>
      </c>
      <c r="I213" s="112">
        <v>3.8563153317251677E-4</v>
      </c>
      <c r="J213" s="112">
        <v>4.1024631188565612E-5</v>
      </c>
      <c r="K213" s="112">
        <v>4.9229557426278739E-5</v>
      </c>
      <c r="L213" s="112">
        <v>0.30284382743399135</v>
      </c>
      <c r="M213" s="112">
        <v>1.7131885984345001E-2</v>
      </c>
      <c r="N213" s="112">
        <v>1.9199527396248708E-2</v>
      </c>
      <c r="O213" s="112">
        <v>7.476328787804197E-2</v>
      </c>
      <c r="P213" s="112">
        <v>2.3548138302236662E-3</v>
      </c>
      <c r="Q213" s="112">
        <v>0.27232970675593626</v>
      </c>
      <c r="R213" s="112">
        <v>0.14759021316398366</v>
      </c>
      <c r="S213" s="112">
        <v>2.7461888117625823E-2</v>
      </c>
      <c r="T213" s="113">
        <v>6.8182937035396055E-3</v>
      </c>
      <c r="V213" s="42">
        <f>F213+S213+T213</f>
        <v>0.11933244720129967</v>
      </c>
      <c r="W213" s="42">
        <f>Q213+R213</f>
        <v>0.41991991991991995</v>
      </c>
      <c r="X213" s="42">
        <f>SUM(K213:P213)</f>
        <v>0.41634257208027697</v>
      </c>
      <c r="Y213" s="42">
        <f>SUM(G213:I213)</f>
        <v>4.4364036167314852E-2</v>
      </c>
      <c r="Z213" s="42">
        <f>J213</f>
        <v>4.1024631188565612E-5</v>
      </c>
      <c r="AA213" s="42">
        <f>SUM(V213:Z213)</f>
        <v>1</v>
      </c>
    </row>
    <row r="214" spans="1:27" x14ac:dyDescent="0.3">
      <c r="A214" s="42" t="s">
        <v>1657</v>
      </c>
      <c r="B214" s="95" t="s">
        <v>1111</v>
      </c>
      <c r="C214" s="95">
        <v>6368</v>
      </c>
      <c r="D214" s="97">
        <f t="shared" si="38"/>
        <v>2.2128322028244187</v>
      </c>
      <c r="E214" s="98">
        <f t="shared" si="39"/>
        <v>573.1241136556381</v>
      </c>
      <c r="F214" s="99">
        <v>8.0087939698492469E-2</v>
      </c>
      <c r="G214" s="42">
        <v>0</v>
      </c>
      <c r="H214" s="42">
        <v>0</v>
      </c>
      <c r="I214" s="42">
        <v>0</v>
      </c>
      <c r="J214" s="42">
        <v>0</v>
      </c>
      <c r="K214" s="42">
        <v>0</v>
      </c>
      <c r="L214" s="42">
        <v>0.56972361809045224</v>
      </c>
      <c r="M214" s="42">
        <v>0.16944095477386933</v>
      </c>
      <c r="N214" s="42">
        <v>9.2964824120603015E-2</v>
      </c>
      <c r="O214" s="42">
        <v>1.3190954773869347E-2</v>
      </c>
      <c r="P214" s="42">
        <v>0</v>
      </c>
      <c r="Q214" s="42">
        <v>0</v>
      </c>
      <c r="R214" s="42">
        <v>0</v>
      </c>
      <c r="S214" s="42">
        <v>7.3963567839195984E-2</v>
      </c>
      <c r="T214" s="100">
        <v>6.2814070351758795E-4</v>
      </c>
      <c r="V214" s="42">
        <f t="shared" si="40"/>
        <v>0.15467964824120603</v>
      </c>
      <c r="W214" s="42">
        <f t="shared" si="41"/>
        <v>0</v>
      </c>
      <c r="X214" s="42">
        <f t="shared" si="42"/>
        <v>0.84532035175879394</v>
      </c>
      <c r="Y214" s="42">
        <f t="shared" si="43"/>
        <v>0</v>
      </c>
      <c r="Z214" s="42">
        <f t="shared" si="44"/>
        <v>0</v>
      </c>
      <c r="AA214" s="42">
        <f t="shared" si="45"/>
        <v>1</v>
      </c>
    </row>
    <row r="215" spans="1:27" x14ac:dyDescent="0.3">
      <c r="A215" s="42" t="s">
        <v>1658</v>
      </c>
      <c r="B215" s="95" t="s">
        <v>1114</v>
      </c>
      <c r="C215" s="95">
        <v>581093</v>
      </c>
      <c r="D215" s="97">
        <f t="shared" si="38"/>
        <v>201.92545591015232</v>
      </c>
      <c r="E215" s="98">
        <f t="shared" si="39"/>
        <v>52298.745379474836</v>
      </c>
      <c r="F215" s="99">
        <v>5.3896708444259353E-2</v>
      </c>
      <c r="G215" s="42">
        <v>3.6995799295465613E-2</v>
      </c>
      <c r="H215" s="42">
        <v>6.2089889225993089E-3</v>
      </c>
      <c r="I215" s="42">
        <v>1.3113219398616057E-3</v>
      </c>
      <c r="J215" s="42">
        <v>3.7687599059014652E-4</v>
      </c>
      <c r="K215" s="42">
        <v>3.7859688552434807E-5</v>
      </c>
      <c r="L215" s="42">
        <v>0.23929044060073001</v>
      </c>
      <c r="M215" s="42">
        <v>2.7007725097359631E-2</v>
      </c>
      <c r="N215" s="42">
        <v>2.3101293596722038E-2</v>
      </c>
      <c r="O215" s="42">
        <v>6.2554530858227514E-2</v>
      </c>
      <c r="P215" s="42">
        <v>3.9804299828082599E-3</v>
      </c>
      <c r="Q215" s="42">
        <v>0.26709494005262496</v>
      </c>
      <c r="R215" s="42">
        <v>0.21877393119517874</v>
      </c>
      <c r="S215" s="42">
        <v>5.3099934089724021E-2</v>
      </c>
      <c r="T215" s="100">
        <v>6.2692202452963638E-3</v>
      </c>
      <c r="V215" s="42">
        <f t="shared" si="40"/>
        <v>0.11326586277927973</v>
      </c>
      <c r="W215" s="42">
        <f t="shared" si="41"/>
        <v>0.4858688712478037</v>
      </c>
      <c r="X215" s="42">
        <f t="shared" si="42"/>
        <v>0.35597227982439988</v>
      </c>
      <c r="Y215" s="42">
        <f t="shared" si="43"/>
        <v>4.4516110157926524E-2</v>
      </c>
      <c r="Z215" s="42">
        <f t="shared" si="44"/>
        <v>3.7687599059014652E-4</v>
      </c>
      <c r="AA215" s="42">
        <f t="shared" si="45"/>
        <v>0.99999999999999989</v>
      </c>
    </row>
    <row r="216" spans="1:27" x14ac:dyDescent="0.3">
      <c r="A216" s="42" t="s">
        <v>1658</v>
      </c>
      <c r="B216" s="102" t="s">
        <v>1121</v>
      </c>
      <c r="C216" s="95">
        <v>581093</v>
      </c>
      <c r="D216" s="97">
        <f>C216/2877.76</f>
        <v>201.92545591015232</v>
      </c>
      <c r="E216" s="98">
        <f>D216/0.003861</f>
        <v>52298.745379474836</v>
      </c>
      <c r="F216" s="99">
        <v>5.3896708444259353E-2</v>
      </c>
      <c r="G216" s="42">
        <v>3.6995799295465613E-2</v>
      </c>
      <c r="H216" s="42">
        <v>6.2089889225993089E-3</v>
      </c>
      <c r="I216" s="42">
        <v>1.3113219398616057E-3</v>
      </c>
      <c r="J216" s="42">
        <v>3.7687599059014652E-4</v>
      </c>
      <c r="K216" s="42">
        <v>3.7859688552434807E-5</v>
      </c>
      <c r="L216" s="42">
        <v>0.23929044060073001</v>
      </c>
      <c r="M216" s="42">
        <v>2.7007725097359631E-2</v>
      </c>
      <c r="N216" s="42">
        <v>2.3101293596722038E-2</v>
      </c>
      <c r="O216" s="42">
        <v>6.2554530858227514E-2</v>
      </c>
      <c r="P216" s="42">
        <v>3.9804299828082599E-3</v>
      </c>
      <c r="Q216" s="42">
        <v>0.26709494005262496</v>
      </c>
      <c r="R216" s="42">
        <v>0.21877393119517874</v>
      </c>
      <c r="S216" s="42">
        <v>5.3099934089724021E-2</v>
      </c>
      <c r="T216" s="100">
        <v>6.2692202452963638E-3</v>
      </c>
      <c r="V216" s="42">
        <f>F216+S216+T216</f>
        <v>0.11326586277927973</v>
      </c>
      <c r="W216" s="42">
        <f>Q216+R216</f>
        <v>0.4858688712478037</v>
      </c>
      <c r="X216" s="42">
        <f>SUM(K216:P216)</f>
        <v>0.35597227982439988</v>
      </c>
      <c r="Y216" s="42">
        <f>SUM(G216:I216)</f>
        <v>4.4516110157926524E-2</v>
      </c>
      <c r="Z216" s="42">
        <f>J216</f>
        <v>3.7687599059014652E-4</v>
      </c>
      <c r="AA216" s="42">
        <f>SUM(V216:Z216)</f>
        <v>0.99999999999999989</v>
      </c>
    </row>
    <row r="217" spans="1:27" x14ac:dyDescent="0.3">
      <c r="A217" s="42" t="s">
        <v>1659</v>
      </c>
      <c r="B217" s="95" t="s">
        <v>1122</v>
      </c>
      <c r="C217" s="95">
        <v>2188</v>
      </c>
      <c r="D217" s="97">
        <f t="shared" si="38"/>
        <v>0.76031357722673187</v>
      </c>
      <c r="E217" s="98">
        <f t="shared" si="39"/>
        <v>196.92141342313698</v>
      </c>
      <c r="F217" s="99">
        <v>1.8738574040219377E-2</v>
      </c>
      <c r="G217" s="42">
        <v>0.23857404021937842</v>
      </c>
      <c r="H217" s="42">
        <v>6.2157221206581355E-2</v>
      </c>
      <c r="I217" s="42">
        <v>2.9707495429616086E-2</v>
      </c>
      <c r="J217" s="42">
        <v>6.3985374771480807E-3</v>
      </c>
      <c r="K217" s="42">
        <v>0</v>
      </c>
      <c r="L217" s="42">
        <v>0.50914076782449724</v>
      </c>
      <c r="M217" s="42">
        <v>1.2340036563071298E-2</v>
      </c>
      <c r="N217" s="42">
        <v>1.5539305301645339E-2</v>
      </c>
      <c r="O217" s="42">
        <v>2.9250457038391225E-2</v>
      </c>
      <c r="P217" s="42">
        <v>4.570383912248629E-3</v>
      </c>
      <c r="Q217" s="42">
        <v>5.3016453382084092E-2</v>
      </c>
      <c r="R217" s="42">
        <v>0</v>
      </c>
      <c r="S217" s="42">
        <v>2.056672760511883E-2</v>
      </c>
      <c r="T217" s="100">
        <v>0</v>
      </c>
      <c r="V217" s="42">
        <f t="shared" si="40"/>
        <v>3.9305301645338207E-2</v>
      </c>
      <c r="W217" s="42">
        <f t="shared" si="41"/>
        <v>5.3016453382084092E-2</v>
      </c>
      <c r="X217" s="42">
        <f t="shared" si="42"/>
        <v>0.57084095063985374</v>
      </c>
      <c r="Y217" s="42">
        <f t="shared" si="43"/>
        <v>0.33043875685557589</v>
      </c>
      <c r="Z217" s="42">
        <f t="shared" si="44"/>
        <v>6.3985374771480807E-3</v>
      </c>
      <c r="AA217" s="42">
        <f t="shared" si="45"/>
        <v>1</v>
      </c>
    </row>
    <row r="218" spans="1:27" x14ac:dyDescent="0.3">
      <c r="A218" s="42" t="s">
        <v>1660</v>
      </c>
      <c r="B218" s="95" t="s">
        <v>1125</v>
      </c>
      <c r="C218" s="95">
        <v>2514</v>
      </c>
      <c r="D218" s="97">
        <f t="shared" si="38"/>
        <v>0.87359613032358496</v>
      </c>
      <c r="E218" s="98">
        <f t="shared" si="39"/>
        <v>226.26162401543252</v>
      </c>
      <c r="F218" s="99">
        <v>0.24502784407319014</v>
      </c>
      <c r="G218" s="42">
        <v>5.5688146380270488E-3</v>
      </c>
      <c r="H218" s="42">
        <v>0</v>
      </c>
      <c r="I218" s="42">
        <v>0</v>
      </c>
      <c r="J218" s="42">
        <v>0</v>
      </c>
      <c r="K218" s="42">
        <v>0</v>
      </c>
      <c r="L218" s="42">
        <v>0.25139220365950676</v>
      </c>
      <c r="M218" s="42">
        <v>0.15393794749403342</v>
      </c>
      <c r="N218" s="42">
        <v>4.2163882259347654E-2</v>
      </c>
      <c r="O218" s="42">
        <v>0.26332537788385046</v>
      </c>
      <c r="P218" s="42">
        <v>0</v>
      </c>
      <c r="Q218" s="42">
        <v>3.6992840095465392E-2</v>
      </c>
      <c r="R218" s="42">
        <v>0</v>
      </c>
      <c r="S218" s="42">
        <v>3.977724741447892E-4</v>
      </c>
      <c r="T218" s="100">
        <v>1.1933174224343676E-3</v>
      </c>
      <c r="V218" s="42">
        <f t="shared" si="40"/>
        <v>0.24661893396976931</v>
      </c>
      <c r="W218" s="42">
        <f t="shared" si="41"/>
        <v>3.6992840095465392E-2</v>
      </c>
      <c r="X218" s="42">
        <f t="shared" si="42"/>
        <v>0.71081941129673831</v>
      </c>
      <c r="Y218" s="42">
        <f t="shared" si="43"/>
        <v>5.5688146380270488E-3</v>
      </c>
      <c r="Z218" s="42">
        <f t="shared" si="44"/>
        <v>0</v>
      </c>
      <c r="AA218" s="42">
        <f t="shared" si="45"/>
        <v>1</v>
      </c>
    </row>
    <row r="219" spans="1:27" x14ac:dyDescent="0.3">
      <c r="A219" s="42"/>
      <c r="B219" s="16" t="s">
        <v>1129</v>
      </c>
      <c r="C219" s="102"/>
      <c r="D219" s="103">
        <f>C219/2877.76</f>
        <v>0</v>
      </c>
      <c r="E219" s="104">
        <f>D219/0.003861</f>
        <v>0</v>
      </c>
      <c r="F219" s="105"/>
      <c r="G219" s="42"/>
      <c r="H219" s="42"/>
      <c r="I219" s="42"/>
      <c r="J219" s="42"/>
      <c r="K219" s="42"/>
      <c r="L219" s="42"/>
      <c r="M219" s="42"/>
      <c r="N219" s="42"/>
      <c r="O219" s="42"/>
      <c r="P219" s="42"/>
      <c r="Q219" s="42"/>
      <c r="R219" s="42"/>
      <c r="S219" s="42"/>
      <c r="T219" s="106"/>
      <c r="V219" s="42"/>
      <c r="W219" s="42"/>
      <c r="X219" s="42"/>
      <c r="Y219" s="42"/>
      <c r="Z219" s="42"/>
      <c r="AA219" s="42"/>
    </row>
    <row r="220" spans="1:27" x14ac:dyDescent="0.3">
      <c r="A220" s="42"/>
      <c r="B220" s="47" t="s">
        <v>1133</v>
      </c>
      <c r="C220" s="102"/>
      <c r="D220" s="103">
        <f>C220/2877.76</f>
        <v>0</v>
      </c>
      <c r="E220" s="104">
        <f>D220/0.003861</f>
        <v>0</v>
      </c>
      <c r="F220" s="105"/>
      <c r="G220" s="42"/>
      <c r="H220" s="42"/>
      <c r="I220" s="42"/>
      <c r="J220" s="42"/>
      <c r="K220" s="42"/>
      <c r="L220" s="42"/>
      <c r="M220" s="42"/>
      <c r="N220" s="42"/>
      <c r="O220" s="42"/>
      <c r="P220" s="42"/>
      <c r="Q220" s="42"/>
      <c r="R220" s="42"/>
      <c r="S220" s="42"/>
      <c r="T220" s="106"/>
      <c r="V220" s="42"/>
      <c r="W220" s="42"/>
      <c r="X220" s="42"/>
      <c r="Y220" s="42"/>
      <c r="Z220" s="42"/>
      <c r="AA220" s="42"/>
    </row>
    <row r="221" spans="1:27" x14ac:dyDescent="0.3">
      <c r="A221" s="42" t="s">
        <v>1661</v>
      </c>
      <c r="B221" s="95" t="s">
        <v>1134</v>
      </c>
      <c r="C221" s="95">
        <v>5235</v>
      </c>
      <c r="D221" s="97">
        <f t="shared" si="38"/>
        <v>1.81912320693873</v>
      </c>
      <c r="E221" s="98">
        <f t="shared" si="39"/>
        <v>471.15338175051284</v>
      </c>
      <c r="F221" s="99">
        <v>0.20974212034383954</v>
      </c>
      <c r="G221" s="42">
        <v>0.14212034383954156</v>
      </c>
      <c r="H221" s="42">
        <v>4.355300859598854E-2</v>
      </c>
      <c r="I221" s="42">
        <v>1.4326647564469915E-2</v>
      </c>
      <c r="J221" s="42">
        <v>0</v>
      </c>
      <c r="K221" s="42">
        <v>0</v>
      </c>
      <c r="L221" s="42">
        <v>0.32683858643744029</v>
      </c>
      <c r="M221" s="42">
        <v>1.2416427889207259E-2</v>
      </c>
      <c r="N221" s="42">
        <v>6.6857688634192934E-3</v>
      </c>
      <c r="O221" s="42">
        <v>3.0563514804202484E-3</v>
      </c>
      <c r="P221" s="42">
        <v>1.9102196752626553E-4</v>
      </c>
      <c r="Q221" s="42">
        <v>0.17975167144221585</v>
      </c>
      <c r="R221" s="42">
        <v>0</v>
      </c>
      <c r="S221" s="42">
        <v>5.2913085004775547E-2</v>
      </c>
      <c r="T221" s="100">
        <v>8.4049665711556833E-3</v>
      </c>
      <c r="V221" s="42">
        <f t="shared" si="40"/>
        <v>0.27106017191977078</v>
      </c>
      <c r="W221" s="42">
        <f t="shared" si="41"/>
        <v>0.17975167144221585</v>
      </c>
      <c r="X221" s="42">
        <f t="shared" si="42"/>
        <v>0.34918815663801339</v>
      </c>
      <c r="Y221" s="42">
        <f t="shared" si="43"/>
        <v>0.2</v>
      </c>
      <c r="Z221" s="42">
        <f t="shared" si="44"/>
        <v>0</v>
      </c>
      <c r="AA221" s="42">
        <f t="shared" si="45"/>
        <v>1</v>
      </c>
    </row>
    <row r="222" spans="1:27" x14ac:dyDescent="0.3">
      <c r="A222" s="42" t="s">
        <v>1662</v>
      </c>
      <c r="B222" s="95" t="s">
        <v>1078</v>
      </c>
      <c r="C222" s="95">
        <v>54413</v>
      </c>
      <c r="D222" s="97">
        <f t="shared" si="38"/>
        <v>18.908109084843765</v>
      </c>
      <c r="E222" s="98">
        <f t="shared" si="39"/>
        <v>4897.2051501796859</v>
      </c>
      <c r="F222" s="99">
        <v>0.14595776744527961</v>
      </c>
      <c r="G222" s="42">
        <v>1.5805046588131512E-2</v>
      </c>
      <c r="H222" s="42">
        <v>1.1026776689394079E-4</v>
      </c>
      <c r="I222" s="42">
        <v>2.0215757263889145E-4</v>
      </c>
      <c r="J222" s="42">
        <v>0</v>
      </c>
      <c r="K222" s="42">
        <v>0</v>
      </c>
      <c r="L222" s="42">
        <v>0.41644459963611635</v>
      </c>
      <c r="M222" s="42">
        <v>0.20598018855788139</v>
      </c>
      <c r="N222" s="42">
        <v>0.12348152096006469</v>
      </c>
      <c r="O222" s="42">
        <v>1.2074320474886517E-2</v>
      </c>
      <c r="P222" s="42">
        <v>5.8809475676768416E-4</v>
      </c>
      <c r="Q222" s="42">
        <v>0</v>
      </c>
      <c r="R222" s="42">
        <v>0</v>
      </c>
      <c r="S222" s="42">
        <v>7.4669656148346905E-2</v>
      </c>
      <c r="T222" s="100">
        <v>4.686380092992483E-3</v>
      </c>
      <c r="V222" s="42">
        <f t="shared" si="40"/>
        <v>0.22531380368661902</v>
      </c>
      <c r="W222" s="42">
        <f t="shared" si="41"/>
        <v>0</v>
      </c>
      <c r="X222" s="42">
        <f t="shared" si="42"/>
        <v>0.75856872438571665</v>
      </c>
      <c r="Y222" s="42">
        <f t="shared" si="43"/>
        <v>1.6117471927664346E-2</v>
      </c>
      <c r="Z222" s="42">
        <f t="shared" si="44"/>
        <v>0</v>
      </c>
      <c r="AA222" s="42">
        <f t="shared" si="45"/>
        <v>1</v>
      </c>
    </row>
    <row r="223" spans="1:27" x14ac:dyDescent="0.3">
      <c r="A223" s="115" t="s">
        <v>1663</v>
      </c>
      <c r="B223" s="95" t="s">
        <v>1141</v>
      </c>
      <c r="C223" s="95">
        <v>1598</v>
      </c>
      <c r="D223" s="97">
        <f>C223/2877.76</f>
        <v>0.55529300567107742</v>
      </c>
      <c r="E223" s="98">
        <f>D223/0.003861</f>
        <v>143.82103228984136</v>
      </c>
      <c r="F223" s="99">
        <v>6.5081351689612016E-2</v>
      </c>
      <c r="G223" s="42">
        <v>3.3792240300375469E-2</v>
      </c>
      <c r="H223" s="42">
        <v>0</v>
      </c>
      <c r="I223" s="42">
        <v>0</v>
      </c>
      <c r="J223" s="42">
        <v>0</v>
      </c>
      <c r="K223" s="42">
        <v>0</v>
      </c>
      <c r="L223" s="42">
        <v>0.43679599499374216</v>
      </c>
      <c r="M223" s="42">
        <v>7.07133917396746E-2</v>
      </c>
      <c r="N223" s="42">
        <v>0.19899874843554444</v>
      </c>
      <c r="O223" s="42">
        <v>3.7546933667083854E-3</v>
      </c>
      <c r="P223" s="42">
        <v>0</v>
      </c>
      <c r="Q223" s="42">
        <v>0.17584480600750937</v>
      </c>
      <c r="R223" s="42">
        <v>0</v>
      </c>
      <c r="S223" s="42">
        <v>1.1889862327909888E-2</v>
      </c>
      <c r="T223" s="100">
        <v>3.1289111389236545E-3</v>
      </c>
      <c r="V223" s="42">
        <f>F223+S223+T223</f>
        <v>8.0100125156445559E-2</v>
      </c>
      <c r="W223" s="42">
        <f>Q223+R223</f>
        <v>0.17584480600750937</v>
      </c>
      <c r="X223" s="42">
        <f>SUM(K223:P223)</f>
        <v>0.71026282853566958</v>
      </c>
      <c r="Y223" s="42">
        <f>SUM(G223:I223)</f>
        <v>3.3792240300375469E-2</v>
      </c>
      <c r="Z223" s="42">
        <f>J223</f>
        <v>0</v>
      </c>
      <c r="AA223" s="42">
        <f>SUM(V223:Z223)</f>
        <v>1</v>
      </c>
    </row>
    <row r="224" spans="1:27" x14ac:dyDescent="0.3">
      <c r="A224" s="42"/>
      <c r="B224" s="16" t="s">
        <v>1145</v>
      </c>
      <c r="C224" s="102"/>
      <c r="D224" s="103">
        <f>C224/2877.76</f>
        <v>0</v>
      </c>
      <c r="E224" s="104">
        <f>D224/0.003861</f>
        <v>0</v>
      </c>
      <c r="F224" s="105"/>
      <c r="G224" s="42"/>
      <c r="H224" s="42"/>
      <c r="I224" s="42"/>
      <c r="J224" s="42"/>
      <c r="K224" s="42"/>
      <c r="L224" s="42"/>
      <c r="M224" s="42"/>
      <c r="N224" s="42"/>
      <c r="O224" s="42"/>
      <c r="P224" s="42"/>
      <c r="Q224" s="42"/>
      <c r="R224" s="42"/>
      <c r="S224" s="42"/>
      <c r="T224" s="106"/>
      <c r="V224" s="42"/>
      <c r="W224" s="42"/>
      <c r="X224" s="42"/>
      <c r="Y224" s="42"/>
      <c r="Z224" s="42"/>
      <c r="AA224" s="42"/>
    </row>
    <row r="225" spans="1:27" x14ac:dyDescent="0.3">
      <c r="A225" s="115" t="s">
        <v>1664</v>
      </c>
      <c r="B225" s="95" t="s">
        <v>1665</v>
      </c>
      <c r="C225" s="95">
        <v>5574</v>
      </c>
      <c r="D225" s="97">
        <f>C225/2877.76</f>
        <v>1.9369231624596908</v>
      </c>
      <c r="E225" s="98">
        <f>D225/0.003861</f>
        <v>501.66360074066068</v>
      </c>
      <c r="F225" s="99">
        <v>0.2167204879799067</v>
      </c>
      <c r="G225" s="42">
        <v>1.9913885898815931E-2</v>
      </c>
      <c r="H225" s="42">
        <v>0</v>
      </c>
      <c r="I225" s="42">
        <v>0</v>
      </c>
      <c r="J225" s="42">
        <v>0</v>
      </c>
      <c r="K225" s="42">
        <v>0</v>
      </c>
      <c r="L225" s="42">
        <v>0.42142088266953714</v>
      </c>
      <c r="M225" s="42">
        <v>4.9695012558306426E-2</v>
      </c>
      <c r="N225" s="42">
        <v>0.15464657337639037</v>
      </c>
      <c r="O225" s="42">
        <v>3.0139935414424113E-2</v>
      </c>
      <c r="P225" s="42">
        <v>0</v>
      </c>
      <c r="Q225" s="42">
        <v>0</v>
      </c>
      <c r="R225" s="42">
        <v>0</v>
      </c>
      <c r="S225" s="42">
        <v>9.5801937567276646E-2</v>
      </c>
      <c r="T225" s="100">
        <v>1.1661284535342662E-2</v>
      </c>
      <c r="V225" s="42">
        <f>F225+S225+T225</f>
        <v>0.324183710082526</v>
      </c>
      <c r="W225" s="42">
        <f>Q225+R225</f>
        <v>0</v>
      </c>
      <c r="X225" s="42">
        <f>SUM(K225:P225)</f>
        <v>0.65590240401865807</v>
      </c>
      <c r="Y225" s="42">
        <f>SUM(G225:I225)</f>
        <v>1.9913885898815931E-2</v>
      </c>
      <c r="Z225" s="42">
        <f>J225</f>
        <v>0</v>
      </c>
      <c r="AA225" s="42">
        <f>SUM(V225:Z225)</f>
        <v>1</v>
      </c>
    </row>
    <row r="226" spans="1:27" x14ac:dyDescent="0.3">
      <c r="A226" s="115" t="s">
        <v>1666</v>
      </c>
      <c r="B226" s="95" t="s">
        <v>1667</v>
      </c>
      <c r="C226" s="95">
        <v>1212</v>
      </c>
      <c r="D226" s="97">
        <f t="shared" si="38"/>
        <v>0.42116090292449682</v>
      </c>
      <c r="E226" s="98">
        <f t="shared" si="39"/>
        <v>109.08078293822761</v>
      </c>
      <c r="F226" s="99">
        <v>0.15181518151815182</v>
      </c>
      <c r="G226" s="42">
        <v>6.8481848184818478E-2</v>
      </c>
      <c r="H226" s="42">
        <v>2.4752475247524753E-3</v>
      </c>
      <c r="I226" s="42">
        <v>0</v>
      </c>
      <c r="J226" s="42">
        <v>0</v>
      </c>
      <c r="K226" s="42">
        <v>0</v>
      </c>
      <c r="L226" s="42">
        <v>0.14603960396039603</v>
      </c>
      <c r="M226" s="42">
        <v>5.9405940594059403E-2</v>
      </c>
      <c r="N226" s="42">
        <v>5.4455445544554455E-2</v>
      </c>
      <c r="O226" s="42">
        <v>0.28300330033003301</v>
      </c>
      <c r="P226" s="42">
        <v>0</v>
      </c>
      <c r="Q226" s="42">
        <v>0</v>
      </c>
      <c r="R226" s="42">
        <v>5.5280528052805283E-2</v>
      </c>
      <c r="S226" s="42">
        <v>0.17904290429042904</v>
      </c>
      <c r="T226" s="100">
        <v>0</v>
      </c>
      <c r="V226" s="42">
        <f t="shared" si="40"/>
        <v>0.33085808580858089</v>
      </c>
      <c r="W226" s="42">
        <f t="shared" si="41"/>
        <v>5.5280528052805283E-2</v>
      </c>
      <c r="X226" s="42">
        <f t="shared" si="42"/>
        <v>0.54290429042904287</v>
      </c>
      <c r="Y226" s="42">
        <f t="shared" si="43"/>
        <v>7.0957095709570955E-2</v>
      </c>
      <c r="Z226" s="42">
        <f t="shared" si="44"/>
        <v>0</v>
      </c>
      <c r="AA226" s="42">
        <f t="shared" si="45"/>
        <v>1</v>
      </c>
    </row>
    <row r="227" spans="1:27" x14ac:dyDescent="0.3">
      <c r="A227" s="42" t="s">
        <v>1668</v>
      </c>
      <c r="B227" s="95" t="s">
        <v>939</v>
      </c>
      <c r="C227" s="95">
        <v>35284</v>
      </c>
      <c r="D227" s="97">
        <f t="shared" si="38"/>
        <v>12.260925164016456</v>
      </c>
      <c r="E227" s="98">
        <f t="shared" si="39"/>
        <v>3175.5827930630553</v>
      </c>
      <c r="F227" s="99">
        <v>6.7055889354948425E-2</v>
      </c>
      <c r="G227" s="42">
        <v>0.1091146128556853</v>
      </c>
      <c r="H227" s="42">
        <v>4.2115406416506067E-2</v>
      </c>
      <c r="I227" s="42">
        <v>1.1846729395760118E-2</v>
      </c>
      <c r="J227" s="42">
        <v>4.846389298265503E-3</v>
      </c>
      <c r="K227" s="42">
        <v>0</v>
      </c>
      <c r="L227" s="42">
        <v>0.43280240335562864</v>
      </c>
      <c r="M227" s="42">
        <v>0.10225598004761365</v>
      </c>
      <c r="N227" s="42">
        <v>0.1749801609794808</v>
      </c>
      <c r="O227" s="42">
        <v>2.0122435098061443E-3</v>
      </c>
      <c r="P227" s="42">
        <v>1.3887314363450855E-3</v>
      </c>
      <c r="Q227" s="42">
        <v>1.3773948531912482E-2</v>
      </c>
      <c r="R227" s="42">
        <v>6.5468767713411178E-3</v>
      </c>
      <c r="S227" s="42">
        <v>2.9871896610361638E-2</v>
      </c>
      <c r="T227" s="100">
        <v>1.3887314363450855E-3</v>
      </c>
      <c r="V227" s="42">
        <f t="shared" si="40"/>
        <v>9.831651740165516E-2</v>
      </c>
      <c r="W227" s="42">
        <f t="shared" si="41"/>
        <v>2.03208253032536E-2</v>
      </c>
      <c r="X227" s="42">
        <f t="shared" si="42"/>
        <v>0.71343951932887428</v>
      </c>
      <c r="Y227" s="42">
        <f t="shared" si="43"/>
        <v>0.16307674866795149</v>
      </c>
      <c r="Z227" s="42">
        <f t="shared" si="44"/>
        <v>4.846389298265503E-3</v>
      </c>
      <c r="AA227" s="42">
        <f t="shared" si="45"/>
        <v>1</v>
      </c>
    </row>
    <row r="228" spans="1:27" x14ac:dyDescent="0.3">
      <c r="A228" s="42"/>
      <c r="B228" s="16" t="s">
        <v>1163</v>
      </c>
      <c r="C228" s="102"/>
      <c r="D228" s="103">
        <f>C228/2877.76</f>
        <v>0</v>
      </c>
      <c r="E228" s="104">
        <f>D228/0.003861</f>
        <v>0</v>
      </c>
      <c r="F228" s="105"/>
      <c r="G228" s="42"/>
      <c r="H228" s="42"/>
      <c r="I228" s="42"/>
      <c r="J228" s="42"/>
      <c r="K228" s="42"/>
      <c r="L228" s="42"/>
      <c r="M228" s="42"/>
      <c r="N228" s="42"/>
      <c r="O228" s="42"/>
      <c r="P228" s="42"/>
      <c r="Q228" s="42"/>
      <c r="R228" s="42"/>
      <c r="S228" s="42"/>
      <c r="T228" s="106"/>
      <c r="V228" s="42"/>
      <c r="W228" s="42"/>
      <c r="X228" s="42"/>
      <c r="Y228" s="42"/>
      <c r="Z228" s="42"/>
      <c r="AA228" s="42"/>
    </row>
    <row r="229" spans="1:27" x14ac:dyDescent="0.3">
      <c r="A229" s="42" t="s">
        <v>1669</v>
      </c>
      <c r="B229" s="95" t="s">
        <v>1166</v>
      </c>
      <c r="C229" s="95">
        <v>3010</v>
      </c>
      <c r="D229" s="97">
        <f t="shared" si="38"/>
        <v>1.0459524074279996</v>
      </c>
      <c r="E229" s="98">
        <f t="shared" si="39"/>
        <v>270.90194442579633</v>
      </c>
      <c r="F229" s="99">
        <v>0.12923588039867109</v>
      </c>
      <c r="G229" s="42">
        <v>2.6910299003322258E-2</v>
      </c>
      <c r="H229" s="42">
        <v>5.6478405315614618E-3</v>
      </c>
      <c r="I229" s="42">
        <v>0</v>
      </c>
      <c r="J229" s="42">
        <v>0</v>
      </c>
      <c r="K229" s="42">
        <v>6.3122923588039871E-3</v>
      </c>
      <c r="L229" s="42">
        <v>0.31063122923588038</v>
      </c>
      <c r="M229" s="42">
        <v>3.9867109634551492E-2</v>
      </c>
      <c r="N229" s="42">
        <v>9.1694352159468445E-2</v>
      </c>
      <c r="O229" s="42">
        <v>0.3116279069767442</v>
      </c>
      <c r="P229" s="42">
        <v>9.9667774086378731E-3</v>
      </c>
      <c r="Q229" s="42">
        <v>0</v>
      </c>
      <c r="R229" s="42">
        <v>0</v>
      </c>
      <c r="S229" s="42">
        <v>6.5780730897009962E-2</v>
      </c>
      <c r="T229" s="100">
        <v>2.3255813953488372E-3</v>
      </c>
      <c r="V229" s="42">
        <f t="shared" si="40"/>
        <v>0.19734219269102987</v>
      </c>
      <c r="W229" s="42">
        <f t="shared" si="41"/>
        <v>0</v>
      </c>
      <c r="X229" s="42">
        <f t="shared" si="42"/>
        <v>0.77009966777408634</v>
      </c>
      <c r="Y229" s="42">
        <f t="shared" si="43"/>
        <v>3.255813953488372E-2</v>
      </c>
      <c r="Z229" s="42">
        <f t="shared" si="44"/>
        <v>0</v>
      </c>
      <c r="AA229" s="42">
        <f t="shared" si="45"/>
        <v>1</v>
      </c>
    </row>
    <row r="230" spans="1:27" x14ac:dyDescent="0.3">
      <c r="A230" s="42"/>
      <c r="B230" t="s">
        <v>1171</v>
      </c>
      <c r="C230" s="102"/>
      <c r="D230" s="103">
        <f>C230/2877.76</f>
        <v>0</v>
      </c>
      <c r="E230" s="104">
        <f>D230/0.003861</f>
        <v>0</v>
      </c>
      <c r="F230" s="105"/>
      <c r="G230" s="42"/>
      <c r="H230" s="42"/>
      <c r="I230" s="42"/>
      <c r="J230" s="42"/>
      <c r="K230" s="42"/>
      <c r="L230" s="42"/>
      <c r="M230" s="42"/>
      <c r="N230" s="42"/>
      <c r="O230" s="42"/>
      <c r="P230" s="42"/>
      <c r="Q230" s="42"/>
      <c r="R230" s="42"/>
      <c r="S230" s="42"/>
      <c r="T230" s="106"/>
      <c r="V230" s="42"/>
      <c r="W230" s="42"/>
      <c r="X230" s="42"/>
      <c r="Y230" s="42"/>
      <c r="Z230" s="42"/>
      <c r="AA230" s="42"/>
    </row>
    <row r="231" spans="1:27" x14ac:dyDescent="0.3">
      <c r="A231" s="42" t="s">
        <v>1670</v>
      </c>
      <c r="B231" s="95" t="s">
        <v>1176</v>
      </c>
      <c r="C231" s="95">
        <v>7744</v>
      </c>
      <c r="D231" s="97">
        <f t="shared" si="38"/>
        <v>2.6909818747915044</v>
      </c>
      <c r="E231" s="98">
        <f t="shared" si="39"/>
        <v>696.9650025360022</v>
      </c>
      <c r="F231" s="99">
        <v>0.13068181818181818</v>
      </c>
      <c r="G231" s="42">
        <v>0.421875</v>
      </c>
      <c r="H231" s="42">
        <v>9.9173553719008267E-2</v>
      </c>
      <c r="I231" s="42">
        <v>1.1363636363636364E-2</v>
      </c>
      <c r="J231" s="42">
        <v>0</v>
      </c>
      <c r="K231" s="42">
        <v>0</v>
      </c>
      <c r="L231" s="42">
        <v>0.28757747933884298</v>
      </c>
      <c r="M231" s="42">
        <v>1.8853305785123967E-2</v>
      </c>
      <c r="N231" s="42">
        <v>1.1492768595041322E-2</v>
      </c>
      <c r="O231" s="42">
        <v>1.4204545454545455E-3</v>
      </c>
      <c r="P231" s="42">
        <v>0</v>
      </c>
      <c r="Q231" s="42">
        <v>2.3243801652892563E-3</v>
      </c>
      <c r="R231" s="42">
        <v>0</v>
      </c>
      <c r="S231" s="42">
        <v>1.5108471074380165E-2</v>
      </c>
      <c r="T231" s="100">
        <v>1.2913223140495868E-4</v>
      </c>
      <c r="V231" s="42">
        <f t="shared" si="40"/>
        <v>0.14591942148760328</v>
      </c>
      <c r="W231" s="42">
        <f t="shared" si="41"/>
        <v>2.3243801652892563E-3</v>
      </c>
      <c r="X231" s="42">
        <f t="shared" si="42"/>
        <v>0.3193440082644628</v>
      </c>
      <c r="Y231" s="42">
        <f t="shared" si="43"/>
        <v>0.53241219008264462</v>
      </c>
      <c r="Z231" s="42">
        <f t="shared" si="44"/>
        <v>0</v>
      </c>
      <c r="AA231" s="42">
        <f t="shared" si="45"/>
        <v>1</v>
      </c>
    </row>
    <row r="232" spans="1:27" x14ac:dyDescent="0.3">
      <c r="A232" s="42" t="s">
        <v>1671</v>
      </c>
      <c r="B232" s="95" t="s">
        <v>1184</v>
      </c>
      <c r="C232" s="95">
        <v>4408</v>
      </c>
      <c r="D232" s="97">
        <f t="shared" si="38"/>
        <v>1.5317469142666518</v>
      </c>
      <c r="E232" s="98">
        <f t="shared" si="39"/>
        <v>396.72284751791034</v>
      </c>
      <c r="F232" s="99">
        <v>0.15744101633393828</v>
      </c>
      <c r="G232" s="42">
        <v>5.0362976406533574E-2</v>
      </c>
      <c r="H232" s="42">
        <v>2.5862068965517241E-2</v>
      </c>
      <c r="I232" s="42">
        <v>5.4446460980036296E-3</v>
      </c>
      <c r="J232" s="42">
        <v>3.4029038112522686E-3</v>
      </c>
      <c r="K232" s="42">
        <v>0</v>
      </c>
      <c r="L232" s="42">
        <v>0.39745916515426499</v>
      </c>
      <c r="M232" s="42">
        <v>0.14360254083484575</v>
      </c>
      <c r="N232" s="42">
        <v>0.15403811252268604</v>
      </c>
      <c r="O232" s="42">
        <v>3.1760435571687841E-3</v>
      </c>
      <c r="P232" s="42">
        <v>1.3611615245009074E-3</v>
      </c>
      <c r="Q232" s="42">
        <v>3.4482758620689655E-2</v>
      </c>
      <c r="R232" s="42">
        <v>1.5880217785843921E-3</v>
      </c>
      <c r="S232" s="42">
        <v>1.9056261343012703E-2</v>
      </c>
      <c r="T232" s="100">
        <v>2.7223230490018148E-3</v>
      </c>
      <c r="V232" s="42">
        <f t="shared" si="40"/>
        <v>0.17921960072595278</v>
      </c>
      <c r="W232" s="42">
        <f t="shared" si="41"/>
        <v>3.6070780399274048E-2</v>
      </c>
      <c r="X232" s="42">
        <f t="shared" si="42"/>
        <v>0.69963702359346658</v>
      </c>
      <c r="Y232" s="42">
        <f t="shared" si="43"/>
        <v>8.1669691470054442E-2</v>
      </c>
      <c r="Z232" s="42">
        <f t="shared" si="44"/>
        <v>3.4029038112522686E-3</v>
      </c>
      <c r="AA232" s="42">
        <f t="shared" si="45"/>
        <v>1</v>
      </c>
    </row>
    <row r="233" spans="1:27" x14ac:dyDescent="0.3">
      <c r="A233" s="42" t="s">
        <v>1672</v>
      </c>
      <c r="B233" s="102" t="s">
        <v>1188</v>
      </c>
      <c r="C233" s="102"/>
      <c r="D233" s="103">
        <f>C233/2877.76</f>
        <v>0</v>
      </c>
      <c r="E233" s="104">
        <f>D233/0.003861</f>
        <v>0</v>
      </c>
      <c r="F233">
        <v>97.433412000000004</v>
      </c>
      <c r="G233">
        <v>4.6358732E-2</v>
      </c>
      <c r="H233">
        <v>4.2144299999999999E-3</v>
      </c>
      <c r="I233">
        <v>4.2144299999999999E-3</v>
      </c>
      <c r="J233">
        <v>0</v>
      </c>
      <c r="K233">
        <v>0</v>
      </c>
      <c r="L233">
        <v>0.25708024299999999</v>
      </c>
      <c r="M233">
        <v>1.1505394470000001</v>
      </c>
      <c r="N233">
        <v>0.155933918</v>
      </c>
      <c r="O233">
        <v>2.9501011000000001E-2</v>
      </c>
      <c r="P233">
        <v>0.33715441699999998</v>
      </c>
      <c r="Q233">
        <v>0</v>
      </c>
      <c r="R233">
        <v>0</v>
      </c>
      <c r="S233">
        <v>0.54366149699999999</v>
      </c>
      <c r="T233">
        <v>3.7929872000000003E-2</v>
      </c>
      <c r="V233">
        <f t="shared" si="40"/>
        <v>98.015003369000013</v>
      </c>
      <c r="W233">
        <f t="shared" si="41"/>
        <v>0</v>
      </c>
      <c r="X233">
        <f t="shared" si="42"/>
        <v>1.9302090360000004</v>
      </c>
      <c r="Y233">
        <f t="shared" si="43"/>
        <v>5.4787591999999996E-2</v>
      </c>
      <c r="Z233">
        <f t="shared" si="44"/>
        <v>0</v>
      </c>
      <c r="AA233">
        <f t="shared" si="45"/>
        <v>99.999999997000003</v>
      </c>
    </row>
    <row r="234" spans="1:27" x14ac:dyDescent="0.3">
      <c r="A234" s="42"/>
      <c r="B234" s="16" t="s">
        <v>1194</v>
      </c>
      <c r="C234" s="102"/>
      <c r="D234" s="103">
        <f>C234/2877.76</f>
        <v>0</v>
      </c>
      <c r="E234" s="104">
        <f>D234/0.003861</f>
        <v>0</v>
      </c>
      <c r="F234" s="105"/>
      <c r="G234" s="42"/>
      <c r="H234" s="42"/>
      <c r="I234" s="42"/>
      <c r="J234" s="42"/>
      <c r="K234" s="42"/>
      <c r="L234" s="42"/>
      <c r="M234" s="42"/>
      <c r="N234" s="42"/>
      <c r="O234" s="42"/>
      <c r="P234" s="42"/>
      <c r="Q234" s="42"/>
      <c r="R234" s="42"/>
      <c r="S234" s="42"/>
      <c r="T234" s="106"/>
      <c r="V234" s="42"/>
      <c r="W234" s="42"/>
      <c r="X234" s="42"/>
      <c r="Y234" s="42"/>
      <c r="Z234" s="42"/>
      <c r="AA234" s="42"/>
    </row>
    <row r="235" spans="1:27" x14ac:dyDescent="0.3">
      <c r="A235" s="42" t="s">
        <v>1673</v>
      </c>
      <c r="B235" s="95" t="s">
        <v>1200</v>
      </c>
      <c r="C235" s="95">
        <v>97117</v>
      </c>
      <c r="D235" s="97">
        <f t="shared" si="38"/>
        <v>33.747428555543195</v>
      </c>
      <c r="E235" s="98">
        <f t="shared" si="39"/>
        <v>8740.5927364784238</v>
      </c>
      <c r="F235" s="99">
        <v>9.8129060823542742E-3</v>
      </c>
      <c r="G235" s="42">
        <v>4.7890688550923113E-2</v>
      </c>
      <c r="H235" s="42">
        <v>1.6402895476590091E-2</v>
      </c>
      <c r="I235" s="42">
        <v>3.0169795195485859E-3</v>
      </c>
      <c r="J235" s="42">
        <v>1.8534345171288241E-4</v>
      </c>
      <c r="K235" s="42">
        <v>0</v>
      </c>
      <c r="L235" s="42">
        <v>0.46107272671108046</v>
      </c>
      <c r="M235" s="42">
        <v>5.2905258605599428E-2</v>
      </c>
      <c r="N235" s="42">
        <v>3.3320633874604856E-2</v>
      </c>
      <c r="O235" s="42">
        <v>1.5496771934882667E-2</v>
      </c>
      <c r="P235" s="42">
        <v>2.0902622609841738E-3</v>
      </c>
      <c r="Q235" s="42">
        <v>0.2576685853146205</v>
      </c>
      <c r="R235" s="42">
        <v>4.8693843508345602E-2</v>
      </c>
      <c r="S235" s="42">
        <v>3.7655611273000607E-2</v>
      </c>
      <c r="T235" s="100">
        <v>1.3787493435752751E-2</v>
      </c>
      <c r="V235" s="42">
        <f t="shared" si="40"/>
        <v>6.125601079110763E-2</v>
      </c>
      <c r="W235" s="42">
        <f t="shared" si="41"/>
        <v>0.3063624288229661</v>
      </c>
      <c r="X235" s="42">
        <f t="shared" si="42"/>
        <v>0.56488565338715158</v>
      </c>
      <c r="Y235" s="42">
        <f t="shared" si="43"/>
        <v>6.7310563547061789E-2</v>
      </c>
      <c r="Z235" s="42">
        <f t="shared" si="44"/>
        <v>1.8534345171288241E-4</v>
      </c>
      <c r="AA235" s="42">
        <f t="shared" si="45"/>
        <v>1</v>
      </c>
    </row>
    <row r="236" spans="1:27" x14ac:dyDescent="0.3">
      <c r="A236" s="101" t="s">
        <v>1674</v>
      </c>
      <c r="B236" s="95" t="s">
        <v>1675</v>
      </c>
      <c r="C236" s="95">
        <v>158430</v>
      </c>
      <c r="D236" s="97">
        <f t="shared" si="38"/>
        <v>55.053235850105636</v>
      </c>
      <c r="E236" s="98">
        <f t="shared" si="39"/>
        <v>14258.802343979705</v>
      </c>
      <c r="F236" s="99">
        <v>9.6856655936375685E-2</v>
      </c>
      <c r="G236" s="42">
        <v>2.6320772580950579E-3</v>
      </c>
      <c r="H236" s="42">
        <v>6.3119358707315536E-5</v>
      </c>
      <c r="I236" s="42">
        <v>0</v>
      </c>
      <c r="J236" s="42">
        <v>0</v>
      </c>
      <c r="K236" s="42">
        <v>0</v>
      </c>
      <c r="L236" s="42">
        <v>0.41511077447453132</v>
      </c>
      <c r="M236" s="42">
        <v>0.23342170043552357</v>
      </c>
      <c r="N236" s="42">
        <v>0.14862084201224515</v>
      </c>
      <c r="O236" s="42">
        <v>6.4350186202108181E-2</v>
      </c>
      <c r="P236" s="42">
        <v>8.8367102190241745E-5</v>
      </c>
      <c r="Q236" s="42">
        <v>0</v>
      </c>
      <c r="R236" s="42">
        <v>6.9431294578047088E-5</v>
      </c>
      <c r="S236" s="42">
        <v>3.1887900018935808E-2</v>
      </c>
      <c r="T236" s="100">
        <v>6.8989459067095877E-3</v>
      </c>
      <c r="V236" s="42">
        <f t="shared" si="40"/>
        <v>0.13564350186202107</v>
      </c>
      <c r="W236" s="42">
        <f t="shared" si="41"/>
        <v>6.9431294578047088E-5</v>
      </c>
      <c r="X236" s="42">
        <f t="shared" si="42"/>
        <v>0.86159187022659856</v>
      </c>
      <c r="Y236" s="42">
        <f t="shared" si="43"/>
        <v>2.6951966168023735E-3</v>
      </c>
      <c r="Z236" s="42">
        <f t="shared" si="44"/>
        <v>0</v>
      </c>
      <c r="AA236" s="42">
        <f t="shared" si="45"/>
        <v>1</v>
      </c>
    </row>
    <row r="237" spans="1:27" x14ac:dyDescent="0.3">
      <c r="A237" s="42"/>
      <c r="B237" s="102" t="s">
        <v>1676</v>
      </c>
      <c r="C237" s="102"/>
      <c r="D237" s="103">
        <f>C237/2877.76</f>
        <v>0</v>
      </c>
      <c r="E237" s="104">
        <f>D237/0.003861</f>
        <v>0</v>
      </c>
      <c r="F237" s="105"/>
      <c r="G237" s="42"/>
      <c r="H237" s="42"/>
      <c r="I237" s="42"/>
      <c r="J237" s="42"/>
      <c r="K237" s="42"/>
      <c r="L237" s="42"/>
      <c r="M237" s="42"/>
      <c r="N237" s="42"/>
      <c r="O237" s="42"/>
      <c r="P237" s="42"/>
      <c r="Q237" s="42"/>
      <c r="R237" s="42"/>
      <c r="S237" s="42"/>
      <c r="T237" s="106"/>
      <c r="V237" s="42"/>
      <c r="W237" s="42"/>
      <c r="X237" s="42"/>
      <c r="Y237" s="42"/>
      <c r="Z237" s="42"/>
      <c r="AA237" s="42"/>
    </row>
    <row r="238" spans="1:27" x14ac:dyDescent="0.3">
      <c r="A238" s="42" t="s">
        <v>1677</v>
      </c>
      <c r="B238" s="95" t="s">
        <v>1211</v>
      </c>
      <c r="C238" s="95">
        <v>1884</v>
      </c>
      <c r="D238" s="97">
        <f t="shared" si="38"/>
        <v>0.65467585900144554</v>
      </c>
      <c r="E238" s="98">
        <f t="shared" si="39"/>
        <v>169.56121704259144</v>
      </c>
      <c r="F238" s="99">
        <v>4.9893842887473464E-2</v>
      </c>
      <c r="G238" s="42">
        <v>1.5923566878980892E-2</v>
      </c>
      <c r="H238" s="42">
        <v>0</v>
      </c>
      <c r="I238" s="42">
        <v>0</v>
      </c>
      <c r="J238" s="42">
        <v>0</v>
      </c>
      <c r="K238" s="42">
        <v>0</v>
      </c>
      <c r="L238" s="42">
        <v>0.17887473460721867</v>
      </c>
      <c r="M238" s="42">
        <v>2.6539278131634821E-2</v>
      </c>
      <c r="N238" s="42">
        <v>0.60934182590233543</v>
      </c>
      <c r="O238" s="42">
        <v>3.1316348195329087E-2</v>
      </c>
      <c r="P238" s="42">
        <v>5.3078556263269636E-3</v>
      </c>
      <c r="Q238" s="42">
        <v>7.9617834394904458E-3</v>
      </c>
      <c r="R238" s="42">
        <v>0</v>
      </c>
      <c r="S238" s="42">
        <v>7.1125265392781314E-2</v>
      </c>
      <c r="T238" s="100">
        <v>3.7154989384288748E-3</v>
      </c>
      <c r="V238" s="42">
        <f t="shared" si="40"/>
        <v>0.12473460721868365</v>
      </c>
      <c r="W238" s="42">
        <f t="shared" si="41"/>
        <v>7.9617834394904458E-3</v>
      </c>
      <c r="X238" s="42">
        <f t="shared" si="42"/>
        <v>0.85138004246284504</v>
      </c>
      <c r="Y238" s="42">
        <f t="shared" si="43"/>
        <v>1.5923566878980892E-2</v>
      </c>
      <c r="Z238" s="42">
        <f t="shared" si="44"/>
        <v>0</v>
      </c>
      <c r="AA238" s="42">
        <f t="shared" si="45"/>
        <v>1</v>
      </c>
    </row>
    <row r="239" spans="1:27" x14ac:dyDescent="0.3">
      <c r="A239" s="42" t="s">
        <v>1678</v>
      </c>
      <c r="B239" s="95" t="s">
        <v>1217</v>
      </c>
      <c r="C239" s="95">
        <v>175657</v>
      </c>
      <c r="D239" s="97">
        <f t="shared" si="38"/>
        <v>61.039489047036582</v>
      </c>
      <c r="E239" s="98">
        <f t="shared" si="39"/>
        <v>15809.243472425947</v>
      </c>
      <c r="F239" s="99">
        <v>1.4710486914839716E-2</v>
      </c>
      <c r="G239" s="42">
        <v>2.216820280432889E-2</v>
      </c>
      <c r="H239" s="42">
        <v>1.5143148294687943E-3</v>
      </c>
      <c r="I239" s="42">
        <v>3.3018894777891002E-4</v>
      </c>
      <c r="J239" s="42">
        <v>6.2622041820138116E-5</v>
      </c>
      <c r="K239" s="42">
        <v>1.4801573521123555E-4</v>
      </c>
      <c r="L239" s="42">
        <v>0.54525581104083531</v>
      </c>
      <c r="M239" s="42">
        <v>6.6362285590668174E-2</v>
      </c>
      <c r="N239" s="42">
        <v>4.6869751845927003E-2</v>
      </c>
      <c r="O239" s="42">
        <v>1.8689833026864857E-2</v>
      </c>
      <c r="P239" s="42">
        <v>4.3778500145169276E-3</v>
      </c>
      <c r="Q239" s="42">
        <v>0.16975127663571621</v>
      </c>
      <c r="R239" s="42">
        <v>0.10481221926823298</v>
      </c>
      <c r="S239" s="42">
        <v>4.2810704953403509E-3</v>
      </c>
      <c r="T239" s="100">
        <v>6.6607080845055991E-4</v>
      </c>
      <c r="V239" s="42">
        <f t="shared" si="40"/>
        <v>1.9657628218630627E-2</v>
      </c>
      <c r="W239" s="42">
        <f t="shared" si="41"/>
        <v>0.27456349590394918</v>
      </c>
      <c r="X239" s="42">
        <f t="shared" si="42"/>
        <v>0.6817035472540236</v>
      </c>
      <c r="Y239" s="42">
        <f t="shared" si="43"/>
        <v>2.4012706581576594E-2</v>
      </c>
      <c r="Z239" s="42">
        <f t="shared" si="44"/>
        <v>6.2622041820138116E-5</v>
      </c>
      <c r="AA239" s="42">
        <f t="shared" si="45"/>
        <v>1.0000000000000002</v>
      </c>
    </row>
    <row r="240" spans="1:27" x14ac:dyDescent="0.3">
      <c r="A240" s="42" t="s">
        <v>1679</v>
      </c>
      <c r="B240" s="95" t="s">
        <v>1221</v>
      </c>
      <c r="C240" s="95">
        <v>58680</v>
      </c>
      <c r="D240" s="97">
        <f t="shared" si="38"/>
        <v>20.390859557433558</v>
      </c>
      <c r="E240" s="98">
        <f t="shared" si="39"/>
        <v>5281.237906613198</v>
      </c>
      <c r="F240" s="99">
        <v>0.15074982958418542</v>
      </c>
      <c r="G240" s="42">
        <v>2.3091342876618952E-2</v>
      </c>
      <c r="H240" s="42">
        <v>6.1349693251533746E-4</v>
      </c>
      <c r="I240" s="42">
        <v>3.237900477164281E-4</v>
      </c>
      <c r="J240" s="42">
        <v>1.7041581458759374E-5</v>
      </c>
      <c r="K240" s="42">
        <v>0</v>
      </c>
      <c r="L240" s="42">
        <v>0.54945466939331966</v>
      </c>
      <c r="M240" s="42">
        <v>0.12607361963190183</v>
      </c>
      <c r="N240" s="42">
        <v>8.8957055214723926E-2</v>
      </c>
      <c r="O240" s="42">
        <v>1.9989775051124745E-2</v>
      </c>
      <c r="P240" s="42">
        <v>1.7041581458759374E-4</v>
      </c>
      <c r="Q240" s="42">
        <v>0</v>
      </c>
      <c r="R240" s="42">
        <v>1.3974096796182686E-3</v>
      </c>
      <c r="S240" s="42">
        <v>2.7880027266530334E-2</v>
      </c>
      <c r="T240" s="100">
        <v>1.1281526925698705E-2</v>
      </c>
      <c r="V240" s="42">
        <f t="shared" si="40"/>
        <v>0.18991138377641445</v>
      </c>
      <c r="W240" s="42">
        <f t="shared" si="41"/>
        <v>1.3974096796182686E-3</v>
      </c>
      <c r="X240" s="42">
        <f t="shared" si="42"/>
        <v>0.78464553510565771</v>
      </c>
      <c r="Y240" s="42">
        <f t="shared" si="43"/>
        <v>2.4028629856850718E-2</v>
      </c>
      <c r="Z240" s="42">
        <f t="shared" si="44"/>
        <v>1.7041581458759374E-5</v>
      </c>
      <c r="AA240" s="42">
        <f t="shared" si="45"/>
        <v>0.99999999999999989</v>
      </c>
    </row>
    <row r="241" spans="1:27" x14ac:dyDescent="0.3">
      <c r="A241" s="42" t="s">
        <v>1680</v>
      </c>
      <c r="B241" s="95" t="s">
        <v>1226</v>
      </c>
      <c r="C241" s="95">
        <v>17144</v>
      </c>
      <c r="D241" s="97">
        <f t="shared" si="38"/>
        <v>5.9574113199154892</v>
      </c>
      <c r="E241" s="98">
        <f t="shared" si="39"/>
        <v>1542.9710748291866</v>
      </c>
      <c r="F241" s="99">
        <v>2.5664955669622024E-2</v>
      </c>
      <c r="G241" s="42">
        <v>8.2302846476901545E-2</v>
      </c>
      <c r="H241" s="42">
        <v>1.0499300046663555E-3</v>
      </c>
      <c r="I241" s="42">
        <v>2.5081661222585163E-3</v>
      </c>
      <c r="J241" s="42">
        <v>4.6663555762949138E-4</v>
      </c>
      <c r="K241" s="42">
        <v>0</v>
      </c>
      <c r="L241" s="42">
        <v>0.68916238917405503</v>
      </c>
      <c r="M241" s="42">
        <v>5.739617358842744E-2</v>
      </c>
      <c r="N241" s="42">
        <v>1.044097060195987E-2</v>
      </c>
      <c r="O241" s="42">
        <v>1.4174055062995801E-2</v>
      </c>
      <c r="P241" s="42">
        <v>0</v>
      </c>
      <c r="Q241" s="42">
        <v>1.7440503966402239E-2</v>
      </c>
      <c r="R241" s="42">
        <v>0</v>
      </c>
      <c r="S241" s="42">
        <v>9.7293513765748948E-2</v>
      </c>
      <c r="T241" s="100">
        <v>2.0998600093327111E-3</v>
      </c>
      <c r="V241" s="42">
        <f t="shared" si="40"/>
        <v>0.12505832944470369</v>
      </c>
      <c r="W241" s="42">
        <f t="shared" si="41"/>
        <v>1.7440503966402239E-2</v>
      </c>
      <c r="X241" s="42">
        <f t="shared" si="42"/>
        <v>0.77117358842743822</v>
      </c>
      <c r="Y241" s="42">
        <f t="shared" si="43"/>
        <v>8.5860942603826415E-2</v>
      </c>
      <c r="Z241" s="42">
        <f t="shared" si="44"/>
        <v>4.6663555762949138E-4</v>
      </c>
      <c r="AA241" s="42">
        <f t="shared" si="45"/>
        <v>1</v>
      </c>
    </row>
    <row r="242" spans="1:27" x14ac:dyDescent="0.3">
      <c r="A242" s="42" t="s">
        <v>1681</v>
      </c>
      <c r="B242" s="95" t="s">
        <v>1228</v>
      </c>
      <c r="C242" s="95">
        <v>622819</v>
      </c>
      <c r="D242" s="97">
        <f t="shared" si="38"/>
        <v>216.4249277215612</v>
      </c>
      <c r="E242" s="98">
        <f t="shared" si="39"/>
        <v>56054.112333996687</v>
      </c>
      <c r="F242" s="99">
        <v>3.1821444111371042E-2</v>
      </c>
      <c r="G242" s="42">
        <v>8.8553817401203244E-2</v>
      </c>
      <c r="H242" s="42">
        <v>4.8094229623694848E-2</v>
      </c>
      <c r="I242" s="42">
        <v>1.5996621811473318E-2</v>
      </c>
      <c r="J242" s="42">
        <v>5.624427000460808E-3</v>
      </c>
      <c r="K242" s="42">
        <v>1.7019390866367275E-3</v>
      </c>
      <c r="L242" s="42">
        <v>0.21788352635356339</v>
      </c>
      <c r="M242" s="42">
        <v>0.18473424863403332</v>
      </c>
      <c r="N242" s="42">
        <v>9.1948061957005167E-2</v>
      </c>
      <c r="O242" s="42">
        <v>4.461970492229685E-3</v>
      </c>
      <c r="P242" s="42">
        <v>1.3181999906875031E-3</v>
      </c>
      <c r="Q242" s="42">
        <v>5.396270826676771E-2</v>
      </c>
      <c r="R242" s="42">
        <v>6.0847533553086849E-2</v>
      </c>
      <c r="S242" s="42">
        <v>0.18660959283515757</v>
      </c>
      <c r="T242" s="100">
        <v>6.4416788826288218E-3</v>
      </c>
      <c r="V242" s="42">
        <f t="shared" si="40"/>
        <v>0.22487271582915741</v>
      </c>
      <c r="W242" s="42">
        <f t="shared" si="41"/>
        <v>0.11481024181985455</v>
      </c>
      <c r="X242" s="42">
        <f t="shared" si="42"/>
        <v>0.50204794651415585</v>
      </c>
      <c r="Y242" s="42">
        <f t="shared" si="43"/>
        <v>0.1526446688363714</v>
      </c>
      <c r="Z242" s="42">
        <f t="shared" si="44"/>
        <v>5.624427000460808E-3</v>
      </c>
      <c r="AA242" s="42">
        <f t="shared" si="45"/>
        <v>1</v>
      </c>
    </row>
    <row r="243" spans="1:27" x14ac:dyDescent="0.3">
      <c r="A243" s="42" t="s">
        <v>1682</v>
      </c>
      <c r="B243" s="95" t="s">
        <v>1236</v>
      </c>
      <c r="C243" s="95">
        <v>908252</v>
      </c>
      <c r="D243" s="97">
        <f t="shared" si="38"/>
        <v>315.61075280773935</v>
      </c>
      <c r="E243" s="98">
        <f t="shared" si="39"/>
        <v>81743.26672047122</v>
      </c>
      <c r="F243" s="99">
        <v>5.2204674473604239E-2</v>
      </c>
      <c r="G243" s="42">
        <v>1.7856277773129044E-2</v>
      </c>
      <c r="H243" s="42">
        <v>5.6735355385950153E-3</v>
      </c>
      <c r="I243" s="42">
        <v>1.3828761180817658E-3</v>
      </c>
      <c r="J243" s="42">
        <v>1.1340464981084545E-4</v>
      </c>
      <c r="K243" s="42">
        <v>1.4940787358574492E-3</v>
      </c>
      <c r="L243" s="42">
        <v>0.30319999295349748</v>
      </c>
      <c r="M243" s="42">
        <v>0.41032554841607838</v>
      </c>
      <c r="N243" s="42">
        <v>0.15771834248644651</v>
      </c>
      <c r="O243" s="42">
        <v>4.5493981846447904E-3</v>
      </c>
      <c r="P243" s="42">
        <v>7.1015533133976028E-4</v>
      </c>
      <c r="Q243" s="42">
        <v>6.3858929019699383E-5</v>
      </c>
      <c r="R243" s="42">
        <v>8.125498209747955E-4</v>
      </c>
      <c r="S243" s="42">
        <v>4.2298833363427768E-2</v>
      </c>
      <c r="T243" s="100">
        <v>1.5964732254924844E-3</v>
      </c>
      <c r="V243" s="42">
        <f t="shared" si="40"/>
        <v>9.60999810625245E-2</v>
      </c>
      <c r="W243" s="42">
        <f t="shared" si="41"/>
        <v>8.7640874999449486E-4</v>
      </c>
      <c r="X243" s="42">
        <f t="shared" si="42"/>
        <v>0.87799751610786447</v>
      </c>
      <c r="Y243" s="42">
        <f t="shared" si="43"/>
        <v>2.4912689429805825E-2</v>
      </c>
      <c r="Z243" s="42">
        <f t="shared" si="44"/>
        <v>1.1340464981084545E-4</v>
      </c>
      <c r="AA243" s="42">
        <f t="shared" si="45"/>
        <v>1.0000000000000002</v>
      </c>
    </row>
    <row r="244" spans="1:27" x14ac:dyDescent="0.3">
      <c r="A244" s="42" t="s">
        <v>1682</v>
      </c>
      <c r="B244" s="102" t="s">
        <v>1240</v>
      </c>
      <c r="C244" s="95">
        <v>908252</v>
      </c>
      <c r="D244" s="97">
        <f>C244/2877.76</f>
        <v>315.61075280773935</v>
      </c>
      <c r="E244" s="98">
        <f>D244/0.003861</f>
        <v>81743.26672047122</v>
      </c>
      <c r="F244" s="99">
        <v>5.2204674473604239E-2</v>
      </c>
      <c r="G244" s="42">
        <v>1.7856277773129044E-2</v>
      </c>
      <c r="H244" s="42">
        <v>5.6735355385950153E-3</v>
      </c>
      <c r="I244" s="42">
        <v>1.3828761180817658E-3</v>
      </c>
      <c r="J244" s="42">
        <v>1.1340464981084545E-4</v>
      </c>
      <c r="K244" s="42">
        <v>1.4940787358574492E-3</v>
      </c>
      <c r="L244" s="42">
        <v>0.30319999295349748</v>
      </c>
      <c r="M244" s="42">
        <v>0.41032554841607838</v>
      </c>
      <c r="N244" s="42">
        <v>0.15771834248644651</v>
      </c>
      <c r="O244" s="42">
        <v>4.5493981846447904E-3</v>
      </c>
      <c r="P244" s="42">
        <v>7.1015533133976028E-4</v>
      </c>
      <c r="Q244" s="42">
        <v>6.3858929019699383E-5</v>
      </c>
      <c r="R244" s="42">
        <v>8.125498209747955E-4</v>
      </c>
      <c r="S244" s="42">
        <v>4.2298833363427768E-2</v>
      </c>
      <c r="T244" s="100">
        <v>1.5964732254924844E-3</v>
      </c>
      <c r="V244" s="42">
        <f>F244+S244+T244</f>
        <v>9.60999810625245E-2</v>
      </c>
      <c r="W244" s="42">
        <f>Q244+R244</f>
        <v>8.7640874999449486E-4</v>
      </c>
      <c r="X244" s="42">
        <f>SUM(K244:P244)</f>
        <v>0.87799751610786447</v>
      </c>
      <c r="Y244" s="42">
        <f>SUM(G244:I244)</f>
        <v>2.4912689429805825E-2</v>
      </c>
      <c r="Z244" s="42">
        <f>J244</f>
        <v>1.1340464981084545E-4</v>
      </c>
      <c r="AA244" s="42">
        <f>SUM(V244:Z244)</f>
        <v>1.0000000000000002</v>
      </c>
    </row>
    <row r="245" spans="1:27" x14ac:dyDescent="0.3">
      <c r="A245" s="42" t="s">
        <v>1683</v>
      </c>
      <c r="B245" s="95" t="s">
        <v>1242</v>
      </c>
      <c r="C245" s="95">
        <v>2049328</v>
      </c>
      <c r="D245" s="97">
        <f t="shared" si="38"/>
        <v>712.12609807628155</v>
      </c>
      <c r="E245" s="98">
        <f t="shared" si="39"/>
        <v>184440.84384260076</v>
      </c>
      <c r="F245" s="99">
        <v>0.12220396149371891</v>
      </c>
      <c r="G245" s="42">
        <v>4.7602433578226619E-2</v>
      </c>
      <c r="H245" s="42">
        <v>1.1194401286665677E-2</v>
      </c>
      <c r="I245" s="42">
        <v>4.1106157725849645E-3</v>
      </c>
      <c r="J245" s="42">
        <v>1.1550127651600915E-3</v>
      </c>
      <c r="K245" s="42">
        <v>7.3877876064739267E-4</v>
      </c>
      <c r="L245" s="42">
        <v>0.21007910885909917</v>
      </c>
      <c r="M245" s="42">
        <v>2.0642376427785106E-2</v>
      </c>
      <c r="N245" s="42">
        <v>8.2590000234223124E-2</v>
      </c>
      <c r="O245" s="42">
        <v>6.1870037397624977E-2</v>
      </c>
      <c r="P245" s="42">
        <v>5.1143594388014021E-3</v>
      </c>
      <c r="Q245" s="42">
        <v>0.23851623556600018</v>
      </c>
      <c r="R245" s="42">
        <v>0.16212582856429034</v>
      </c>
      <c r="S245" s="42">
        <v>2.5667926266561527E-2</v>
      </c>
      <c r="T245" s="100">
        <v>6.3889235886105105E-3</v>
      </c>
      <c r="V245" s="42">
        <f t="shared" si="40"/>
        <v>0.15426081134889094</v>
      </c>
      <c r="W245" s="42">
        <f t="shared" si="41"/>
        <v>0.40064206413029052</v>
      </c>
      <c r="X245" s="42">
        <f t="shared" si="42"/>
        <v>0.38103466111818118</v>
      </c>
      <c r="Y245" s="42">
        <f t="shared" si="43"/>
        <v>6.2907450637477255E-2</v>
      </c>
      <c r="Z245" s="42">
        <f t="shared" si="44"/>
        <v>1.1550127651600915E-3</v>
      </c>
      <c r="AA245" s="42">
        <f t="shared" si="45"/>
        <v>1</v>
      </c>
    </row>
    <row r="246" spans="1:27" x14ac:dyDescent="0.3">
      <c r="A246" s="42" t="s">
        <v>1683</v>
      </c>
      <c r="B246" s="102" t="s">
        <v>1251</v>
      </c>
      <c r="C246" s="95">
        <v>2049328</v>
      </c>
      <c r="D246" s="97">
        <f t="shared" si="38"/>
        <v>712.12609807628155</v>
      </c>
      <c r="E246" s="98">
        <f t="shared" si="39"/>
        <v>184440.84384260076</v>
      </c>
      <c r="F246" s="99">
        <v>0.12220396149371891</v>
      </c>
      <c r="G246" s="42">
        <v>4.7602433578226619E-2</v>
      </c>
      <c r="H246" s="42">
        <v>1.1194401286665677E-2</v>
      </c>
      <c r="I246" s="42">
        <v>4.1106157725849645E-3</v>
      </c>
      <c r="J246" s="42">
        <v>1.1550127651600915E-3</v>
      </c>
      <c r="K246" s="42">
        <v>7.3877876064739267E-4</v>
      </c>
      <c r="L246" s="42">
        <v>0.21007910885909917</v>
      </c>
      <c r="M246" s="42">
        <v>2.0642376427785106E-2</v>
      </c>
      <c r="N246" s="42">
        <v>8.2590000234223124E-2</v>
      </c>
      <c r="O246" s="42">
        <v>6.1870037397624977E-2</v>
      </c>
      <c r="P246" s="42">
        <v>5.1143594388014021E-3</v>
      </c>
      <c r="Q246" s="42">
        <v>0.23851623556600018</v>
      </c>
      <c r="R246" s="42">
        <v>0.16212582856429034</v>
      </c>
      <c r="S246" s="42">
        <v>2.5667926266561527E-2</v>
      </c>
      <c r="T246" s="100">
        <v>6.3889235886105105E-3</v>
      </c>
      <c r="V246" s="42">
        <f t="shared" si="40"/>
        <v>0.15426081134889094</v>
      </c>
      <c r="W246" s="42">
        <f t="shared" si="41"/>
        <v>0.40064206413029052</v>
      </c>
      <c r="X246" s="42">
        <f t="shared" si="42"/>
        <v>0.38103466111818118</v>
      </c>
      <c r="Y246" s="42">
        <f t="shared" si="43"/>
        <v>6.2907450637477255E-2</v>
      </c>
      <c r="Z246" s="42">
        <f t="shared" si="44"/>
        <v>1.1550127651600915E-3</v>
      </c>
      <c r="AA246" s="42">
        <f t="shared" si="45"/>
        <v>1</v>
      </c>
    </row>
    <row r="247" spans="1:27" x14ac:dyDescent="0.3">
      <c r="A247" s="42" t="s">
        <v>1683</v>
      </c>
      <c r="B247" s="102" t="s">
        <v>1253</v>
      </c>
      <c r="C247" s="95">
        <v>2049328</v>
      </c>
      <c r="D247" s="97">
        <f t="shared" si="38"/>
        <v>712.12609807628155</v>
      </c>
      <c r="E247" s="98">
        <f t="shared" si="39"/>
        <v>184440.84384260076</v>
      </c>
      <c r="F247" s="99">
        <v>0.12220396149371891</v>
      </c>
      <c r="G247" s="42">
        <v>4.7602433578226619E-2</v>
      </c>
      <c r="H247" s="42">
        <v>1.1194401286665677E-2</v>
      </c>
      <c r="I247" s="42">
        <v>4.1106157725849645E-3</v>
      </c>
      <c r="J247" s="42">
        <v>1.1550127651600915E-3</v>
      </c>
      <c r="K247" s="42">
        <v>7.3877876064739267E-4</v>
      </c>
      <c r="L247" s="42">
        <v>0.21007910885909917</v>
      </c>
      <c r="M247" s="42">
        <v>2.0642376427785106E-2</v>
      </c>
      <c r="N247" s="42">
        <v>8.2590000234223124E-2</v>
      </c>
      <c r="O247" s="42">
        <v>6.1870037397624977E-2</v>
      </c>
      <c r="P247" s="42">
        <v>5.1143594388014021E-3</v>
      </c>
      <c r="Q247" s="42">
        <v>0.23851623556600018</v>
      </c>
      <c r="R247" s="42">
        <v>0.16212582856429034</v>
      </c>
      <c r="S247" s="42">
        <v>2.5667926266561527E-2</v>
      </c>
      <c r="T247" s="100">
        <v>6.3889235886105105E-3</v>
      </c>
      <c r="V247" s="42">
        <f t="shared" si="40"/>
        <v>0.15426081134889094</v>
      </c>
      <c r="W247" s="42">
        <f t="shared" si="41"/>
        <v>0.40064206413029052</v>
      </c>
      <c r="X247" s="42">
        <f t="shared" si="42"/>
        <v>0.38103466111818118</v>
      </c>
      <c r="Y247" s="42">
        <f t="shared" si="43"/>
        <v>6.2907450637477255E-2</v>
      </c>
      <c r="Z247" s="42">
        <f t="shared" si="44"/>
        <v>1.1550127651600915E-3</v>
      </c>
      <c r="AA247" s="42">
        <f t="shared" si="45"/>
        <v>1</v>
      </c>
    </row>
    <row r="248" spans="1:27" x14ac:dyDescent="0.3">
      <c r="A248" s="42" t="s">
        <v>1683</v>
      </c>
      <c r="B248" s="102" t="s">
        <v>1254</v>
      </c>
      <c r="C248" s="95">
        <v>2049328</v>
      </c>
      <c r="D248" s="97">
        <f t="shared" si="38"/>
        <v>712.12609807628155</v>
      </c>
      <c r="E248" s="98">
        <f t="shared" si="39"/>
        <v>184440.84384260076</v>
      </c>
      <c r="F248" s="99">
        <v>0.12220396149371891</v>
      </c>
      <c r="G248" s="42">
        <v>4.7602433578226619E-2</v>
      </c>
      <c r="H248" s="42">
        <v>1.1194401286665677E-2</v>
      </c>
      <c r="I248" s="42">
        <v>4.1106157725849645E-3</v>
      </c>
      <c r="J248" s="42">
        <v>1.1550127651600915E-3</v>
      </c>
      <c r="K248" s="42">
        <v>7.3877876064739267E-4</v>
      </c>
      <c r="L248" s="42">
        <v>0.21007910885909917</v>
      </c>
      <c r="M248" s="42">
        <v>2.0642376427785106E-2</v>
      </c>
      <c r="N248" s="42">
        <v>8.2590000234223124E-2</v>
      </c>
      <c r="O248" s="42">
        <v>6.1870037397624977E-2</v>
      </c>
      <c r="P248" s="42">
        <v>5.1143594388014021E-3</v>
      </c>
      <c r="Q248" s="42">
        <v>0.23851623556600018</v>
      </c>
      <c r="R248" s="42">
        <v>0.16212582856429034</v>
      </c>
      <c r="S248" s="42">
        <v>2.5667926266561527E-2</v>
      </c>
      <c r="T248" s="100">
        <v>6.3889235886105105E-3</v>
      </c>
      <c r="V248" s="42">
        <f t="shared" si="40"/>
        <v>0.15426081134889094</v>
      </c>
      <c r="W248" s="42">
        <f t="shared" si="41"/>
        <v>0.40064206413029052</v>
      </c>
      <c r="X248" s="42">
        <f t="shared" si="42"/>
        <v>0.38103466111818118</v>
      </c>
      <c r="Y248" s="42">
        <f t="shared" si="43"/>
        <v>6.2907450637477255E-2</v>
      </c>
      <c r="Z248" s="42">
        <f t="shared" si="44"/>
        <v>1.1550127651600915E-3</v>
      </c>
      <c r="AA248" s="42">
        <f t="shared" si="45"/>
        <v>1</v>
      </c>
    </row>
    <row r="249" spans="1:27" x14ac:dyDescent="0.3">
      <c r="A249" s="42" t="s">
        <v>1683</v>
      </c>
      <c r="B249" s="102" t="s">
        <v>1255</v>
      </c>
      <c r="C249" s="95">
        <v>2049328</v>
      </c>
      <c r="D249" s="97">
        <f t="shared" si="38"/>
        <v>712.12609807628155</v>
      </c>
      <c r="E249" s="98">
        <f t="shared" si="39"/>
        <v>184440.84384260076</v>
      </c>
      <c r="F249" s="99">
        <v>0.12220396149371891</v>
      </c>
      <c r="G249" s="42">
        <v>4.7602433578226619E-2</v>
      </c>
      <c r="H249" s="42">
        <v>1.1194401286665677E-2</v>
      </c>
      <c r="I249" s="42">
        <v>4.1106157725849645E-3</v>
      </c>
      <c r="J249" s="42">
        <v>1.1550127651600915E-3</v>
      </c>
      <c r="K249" s="42">
        <v>7.3877876064739267E-4</v>
      </c>
      <c r="L249" s="42">
        <v>0.21007910885909917</v>
      </c>
      <c r="M249" s="42">
        <v>2.0642376427785106E-2</v>
      </c>
      <c r="N249" s="42">
        <v>8.2590000234223124E-2</v>
      </c>
      <c r="O249" s="42">
        <v>6.1870037397624977E-2</v>
      </c>
      <c r="P249" s="42">
        <v>5.1143594388014021E-3</v>
      </c>
      <c r="Q249" s="42">
        <v>0.23851623556600018</v>
      </c>
      <c r="R249" s="42">
        <v>0.16212582856429034</v>
      </c>
      <c r="S249" s="42">
        <v>2.5667926266561527E-2</v>
      </c>
      <c r="T249" s="100">
        <v>6.3889235886105105E-3</v>
      </c>
      <c r="V249" s="42">
        <f t="shared" si="40"/>
        <v>0.15426081134889094</v>
      </c>
      <c r="W249" s="42">
        <f t="shared" si="41"/>
        <v>0.40064206413029052</v>
      </c>
      <c r="X249" s="42">
        <f t="shared" si="42"/>
        <v>0.38103466111818118</v>
      </c>
      <c r="Y249" s="42">
        <f t="shared" si="43"/>
        <v>6.2907450637477255E-2</v>
      </c>
      <c r="Z249" s="42">
        <f t="shared" si="44"/>
        <v>1.1550127651600915E-3</v>
      </c>
      <c r="AA249" s="42">
        <f t="shared" si="45"/>
        <v>1</v>
      </c>
    </row>
    <row r="250" spans="1:27" x14ac:dyDescent="0.3">
      <c r="A250" s="42" t="s">
        <v>1683</v>
      </c>
      <c r="B250" s="102" t="s">
        <v>1256</v>
      </c>
      <c r="C250" s="95">
        <v>2049328</v>
      </c>
      <c r="D250" s="97">
        <f t="shared" si="38"/>
        <v>712.12609807628155</v>
      </c>
      <c r="E250" s="98">
        <f t="shared" si="39"/>
        <v>184440.84384260076</v>
      </c>
      <c r="F250" s="99">
        <v>0.12220396149371891</v>
      </c>
      <c r="G250" s="42">
        <v>4.7602433578226619E-2</v>
      </c>
      <c r="H250" s="42">
        <v>1.1194401286665677E-2</v>
      </c>
      <c r="I250" s="42">
        <v>4.1106157725849645E-3</v>
      </c>
      <c r="J250" s="42">
        <v>1.1550127651600915E-3</v>
      </c>
      <c r="K250" s="42">
        <v>7.3877876064739267E-4</v>
      </c>
      <c r="L250" s="42">
        <v>0.21007910885909917</v>
      </c>
      <c r="M250" s="42">
        <v>2.0642376427785106E-2</v>
      </c>
      <c r="N250" s="42">
        <v>8.2590000234223124E-2</v>
      </c>
      <c r="O250" s="42">
        <v>6.1870037397624977E-2</v>
      </c>
      <c r="P250" s="42">
        <v>5.1143594388014021E-3</v>
      </c>
      <c r="Q250" s="42">
        <v>0.23851623556600018</v>
      </c>
      <c r="R250" s="42">
        <v>0.16212582856429034</v>
      </c>
      <c r="S250" s="42">
        <v>2.5667926266561527E-2</v>
      </c>
      <c r="T250" s="100">
        <v>6.3889235886105105E-3</v>
      </c>
      <c r="V250" s="42">
        <f t="shared" si="40"/>
        <v>0.15426081134889094</v>
      </c>
      <c r="W250" s="42">
        <f t="shared" si="41"/>
        <v>0.40064206413029052</v>
      </c>
      <c r="X250" s="42">
        <f t="shared" si="42"/>
        <v>0.38103466111818118</v>
      </c>
      <c r="Y250" s="42">
        <f t="shared" si="43"/>
        <v>6.2907450637477255E-2</v>
      </c>
      <c r="Z250" s="42">
        <f t="shared" si="44"/>
        <v>1.1550127651600915E-3</v>
      </c>
      <c r="AA250" s="42">
        <f t="shared" si="45"/>
        <v>1</v>
      </c>
    </row>
    <row r="251" spans="1:27" x14ac:dyDescent="0.3">
      <c r="A251" s="42" t="s">
        <v>1683</v>
      </c>
      <c r="B251" s="102" t="s">
        <v>1257</v>
      </c>
      <c r="C251" s="95">
        <v>2049328</v>
      </c>
      <c r="D251" s="97">
        <f t="shared" si="38"/>
        <v>712.12609807628155</v>
      </c>
      <c r="E251" s="98">
        <f t="shared" si="39"/>
        <v>184440.84384260076</v>
      </c>
      <c r="F251" s="99">
        <v>0.12220396149371891</v>
      </c>
      <c r="G251" s="42">
        <v>4.7602433578226619E-2</v>
      </c>
      <c r="H251" s="42">
        <v>1.1194401286665677E-2</v>
      </c>
      <c r="I251" s="42">
        <v>4.1106157725849645E-3</v>
      </c>
      <c r="J251" s="42">
        <v>1.1550127651600915E-3</v>
      </c>
      <c r="K251" s="42">
        <v>7.3877876064739267E-4</v>
      </c>
      <c r="L251" s="42">
        <v>0.21007910885909917</v>
      </c>
      <c r="M251" s="42">
        <v>2.0642376427785106E-2</v>
      </c>
      <c r="N251" s="42">
        <v>8.2590000234223124E-2</v>
      </c>
      <c r="O251" s="42">
        <v>6.1870037397624977E-2</v>
      </c>
      <c r="P251" s="42">
        <v>5.1143594388014021E-3</v>
      </c>
      <c r="Q251" s="42">
        <v>0.23851623556600018</v>
      </c>
      <c r="R251" s="42">
        <v>0.16212582856429034</v>
      </c>
      <c r="S251" s="42">
        <v>2.5667926266561527E-2</v>
      </c>
      <c r="T251" s="100">
        <v>6.3889235886105105E-3</v>
      </c>
      <c r="V251" s="42">
        <f t="shared" si="40"/>
        <v>0.15426081134889094</v>
      </c>
      <c r="W251" s="42">
        <f t="shared" si="41"/>
        <v>0.40064206413029052</v>
      </c>
      <c r="X251" s="42">
        <f t="shared" si="42"/>
        <v>0.38103466111818118</v>
      </c>
      <c r="Y251" s="42">
        <f t="shared" si="43"/>
        <v>6.2907450637477255E-2</v>
      </c>
      <c r="Z251" s="42">
        <f t="shared" si="44"/>
        <v>1.1550127651600915E-3</v>
      </c>
      <c r="AA251" s="42">
        <f t="shared" si="45"/>
        <v>1</v>
      </c>
    </row>
    <row r="252" spans="1:27" x14ac:dyDescent="0.3">
      <c r="A252" s="42" t="s">
        <v>1683</v>
      </c>
      <c r="B252" s="102" t="s">
        <v>1258</v>
      </c>
      <c r="C252" s="95">
        <v>2049328</v>
      </c>
      <c r="D252" s="97">
        <f t="shared" ref="D252:D255" si="46">C252/2877.76</f>
        <v>712.12609807628155</v>
      </c>
      <c r="E252" s="98">
        <f t="shared" ref="E252:E255" si="47">D252/0.003861</f>
        <v>184440.84384260076</v>
      </c>
      <c r="F252" s="99">
        <v>0.12220396149371891</v>
      </c>
      <c r="G252" s="42">
        <v>4.7602433578226619E-2</v>
      </c>
      <c r="H252" s="42">
        <v>1.1194401286665677E-2</v>
      </c>
      <c r="I252" s="42">
        <v>4.1106157725849645E-3</v>
      </c>
      <c r="J252" s="42">
        <v>1.1550127651600915E-3</v>
      </c>
      <c r="K252" s="42">
        <v>7.3877876064739267E-4</v>
      </c>
      <c r="L252" s="42">
        <v>0.21007910885909917</v>
      </c>
      <c r="M252" s="42">
        <v>2.0642376427785106E-2</v>
      </c>
      <c r="N252" s="42">
        <v>8.2590000234223124E-2</v>
      </c>
      <c r="O252" s="42">
        <v>6.1870037397624977E-2</v>
      </c>
      <c r="P252" s="42">
        <v>5.1143594388014021E-3</v>
      </c>
      <c r="Q252" s="42">
        <v>0.23851623556600018</v>
      </c>
      <c r="R252" s="42">
        <v>0.16212582856429034</v>
      </c>
      <c r="S252" s="42">
        <v>2.5667926266561527E-2</v>
      </c>
      <c r="T252" s="100">
        <v>6.3889235886105105E-3</v>
      </c>
      <c r="V252" s="42">
        <f t="shared" si="40"/>
        <v>0.15426081134889094</v>
      </c>
      <c r="W252" s="42">
        <f t="shared" si="41"/>
        <v>0.40064206413029052</v>
      </c>
      <c r="X252" s="42">
        <f t="shared" si="42"/>
        <v>0.38103466111818118</v>
      </c>
      <c r="Y252" s="42">
        <f t="shared" si="43"/>
        <v>6.2907450637477255E-2</v>
      </c>
      <c r="Z252" s="42">
        <f t="shared" si="44"/>
        <v>1.1550127651600915E-3</v>
      </c>
      <c r="AA252" s="42">
        <f t="shared" si="45"/>
        <v>1</v>
      </c>
    </row>
    <row r="253" spans="1:27" x14ac:dyDescent="0.3">
      <c r="A253" s="42" t="s">
        <v>1683</v>
      </c>
      <c r="B253" s="102" t="s">
        <v>1259</v>
      </c>
      <c r="C253" s="95">
        <v>2049328</v>
      </c>
      <c r="D253" s="97">
        <f t="shared" si="46"/>
        <v>712.12609807628155</v>
      </c>
      <c r="E253" s="98">
        <f t="shared" si="47"/>
        <v>184440.84384260076</v>
      </c>
      <c r="F253" s="99">
        <v>0.12220396149371891</v>
      </c>
      <c r="G253" s="42">
        <v>4.7602433578226619E-2</v>
      </c>
      <c r="H253" s="42">
        <v>1.1194401286665677E-2</v>
      </c>
      <c r="I253" s="42">
        <v>4.1106157725849645E-3</v>
      </c>
      <c r="J253" s="42">
        <v>1.1550127651600915E-3</v>
      </c>
      <c r="K253" s="42">
        <v>7.3877876064739267E-4</v>
      </c>
      <c r="L253" s="42">
        <v>0.21007910885909917</v>
      </c>
      <c r="M253" s="42">
        <v>2.0642376427785106E-2</v>
      </c>
      <c r="N253" s="42">
        <v>8.2590000234223124E-2</v>
      </c>
      <c r="O253" s="42">
        <v>6.1870037397624977E-2</v>
      </c>
      <c r="P253" s="42">
        <v>5.1143594388014021E-3</v>
      </c>
      <c r="Q253" s="42">
        <v>0.23851623556600018</v>
      </c>
      <c r="R253" s="42">
        <v>0.16212582856429034</v>
      </c>
      <c r="S253" s="42">
        <v>2.5667926266561527E-2</v>
      </c>
      <c r="T253" s="100">
        <v>6.3889235886105105E-3</v>
      </c>
      <c r="V253" s="42">
        <f t="shared" si="40"/>
        <v>0.15426081134889094</v>
      </c>
      <c r="W253" s="42">
        <f t="shared" si="41"/>
        <v>0.40064206413029052</v>
      </c>
      <c r="X253" s="42">
        <f t="shared" si="42"/>
        <v>0.38103466111818118</v>
      </c>
      <c r="Y253" s="42">
        <f t="shared" si="43"/>
        <v>6.2907450637477255E-2</v>
      </c>
      <c r="Z253" s="42">
        <f t="shared" si="44"/>
        <v>1.1550127651600915E-3</v>
      </c>
      <c r="AA253" s="42">
        <f t="shared" si="45"/>
        <v>1</v>
      </c>
    </row>
    <row r="254" spans="1:27" x14ac:dyDescent="0.3">
      <c r="A254" s="42" t="s">
        <v>1683</v>
      </c>
      <c r="B254" s="102" t="s">
        <v>1260</v>
      </c>
      <c r="C254" s="95">
        <v>2049328</v>
      </c>
      <c r="D254" s="97">
        <f t="shared" si="46"/>
        <v>712.12609807628155</v>
      </c>
      <c r="E254" s="98">
        <f t="shared" si="47"/>
        <v>184440.84384260076</v>
      </c>
      <c r="F254" s="99">
        <v>0.12220396149371891</v>
      </c>
      <c r="G254" s="42">
        <v>4.7602433578226619E-2</v>
      </c>
      <c r="H254" s="42">
        <v>1.1194401286665677E-2</v>
      </c>
      <c r="I254" s="42">
        <v>4.1106157725849645E-3</v>
      </c>
      <c r="J254" s="42">
        <v>1.1550127651600915E-3</v>
      </c>
      <c r="K254" s="42">
        <v>7.3877876064739267E-4</v>
      </c>
      <c r="L254" s="42">
        <v>0.21007910885909917</v>
      </c>
      <c r="M254" s="42">
        <v>2.0642376427785106E-2</v>
      </c>
      <c r="N254" s="42">
        <v>8.2590000234223124E-2</v>
      </c>
      <c r="O254" s="42">
        <v>6.1870037397624977E-2</v>
      </c>
      <c r="P254" s="42">
        <v>5.1143594388014021E-3</v>
      </c>
      <c r="Q254" s="42">
        <v>0.23851623556600018</v>
      </c>
      <c r="R254" s="42">
        <v>0.16212582856429034</v>
      </c>
      <c r="S254" s="42">
        <v>2.5667926266561527E-2</v>
      </c>
      <c r="T254" s="100">
        <v>6.3889235886105105E-3</v>
      </c>
      <c r="V254" s="42">
        <f t="shared" si="40"/>
        <v>0.15426081134889094</v>
      </c>
      <c r="W254" s="42">
        <f t="shared" si="41"/>
        <v>0.40064206413029052</v>
      </c>
      <c r="X254" s="42">
        <f t="shared" si="42"/>
        <v>0.38103466111818118</v>
      </c>
      <c r="Y254" s="42">
        <f t="shared" si="43"/>
        <v>6.2907450637477255E-2</v>
      </c>
      <c r="Z254" s="42">
        <f t="shared" si="44"/>
        <v>1.1550127651600915E-3</v>
      </c>
      <c r="AA254" s="42">
        <f t="shared" si="45"/>
        <v>1</v>
      </c>
    </row>
    <row r="255" spans="1:27" x14ac:dyDescent="0.3">
      <c r="A255" s="42" t="s">
        <v>1684</v>
      </c>
      <c r="B255" s="95" t="s">
        <v>1261</v>
      </c>
      <c r="C255" s="95">
        <v>2332</v>
      </c>
      <c r="D255" s="97">
        <f t="shared" si="46"/>
        <v>0.81035249638607798</v>
      </c>
      <c r="E255" s="98">
        <f t="shared" si="47"/>
        <v>209.88150644550066</v>
      </c>
      <c r="F255" s="99">
        <v>3.8593481989708404E-2</v>
      </c>
      <c r="G255" s="42">
        <v>4.1595197255574617E-2</v>
      </c>
      <c r="H255" s="42">
        <v>1.2864493996569469E-2</v>
      </c>
      <c r="I255" s="42">
        <v>0</v>
      </c>
      <c r="J255" s="42">
        <v>0</v>
      </c>
      <c r="K255" s="42">
        <v>0</v>
      </c>
      <c r="L255" s="42">
        <v>0.64965694682675812</v>
      </c>
      <c r="M255" s="42">
        <v>6.4322469982847338E-2</v>
      </c>
      <c r="N255" s="42">
        <v>0</v>
      </c>
      <c r="O255" s="42">
        <v>8.1475128644939963E-3</v>
      </c>
      <c r="P255" s="42">
        <v>1.2864493996569469E-3</v>
      </c>
      <c r="Q255" s="42">
        <v>0.15051457975986277</v>
      </c>
      <c r="R255" s="42">
        <v>3.0017152658662091E-3</v>
      </c>
      <c r="S255" s="42">
        <v>1.3722126929674099E-2</v>
      </c>
      <c r="T255" s="100">
        <v>1.6295025728987993E-2</v>
      </c>
      <c r="V255" s="42">
        <f t="shared" si="40"/>
        <v>6.86106346483705E-2</v>
      </c>
      <c r="W255" s="42">
        <f t="shared" si="41"/>
        <v>0.15351629502572897</v>
      </c>
      <c r="X255" s="42">
        <f t="shared" si="42"/>
        <v>0.72341337907375636</v>
      </c>
      <c r="Y255" s="42">
        <f t="shared" si="43"/>
        <v>5.4459691252144088E-2</v>
      </c>
      <c r="Z255" s="42">
        <f t="shared" si="44"/>
        <v>0</v>
      </c>
      <c r="AA255" s="42">
        <f t="shared" si="45"/>
        <v>0.99999999999999989</v>
      </c>
    </row>
    <row r="256" spans="1:27" x14ac:dyDescent="0.3">
      <c r="A256" s="42" t="s">
        <v>1685</v>
      </c>
      <c r="B256" s="102" t="s">
        <v>1267</v>
      </c>
      <c r="C256" s="102"/>
      <c r="D256" s="103">
        <f>C256/2877.76</f>
        <v>0</v>
      </c>
      <c r="E256" s="104">
        <f>D256/0.003861</f>
        <v>0</v>
      </c>
      <c r="F256">
        <v>6.2434579149999996</v>
      </c>
      <c r="G256">
        <v>6.385074811</v>
      </c>
      <c r="H256">
        <v>1.859491411</v>
      </c>
      <c r="I256">
        <v>0.38790714900000001</v>
      </c>
      <c r="J256">
        <v>1.8471768999999999E-2</v>
      </c>
      <c r="K256">
        <v>0.24013299699999999</v>
      </c>
      <c r="L256">
        <v>74.293454839999896</v>
      </c>
      <c r="M256">
        <v>0.31402007300000001</v>
      </c>
      <c r="N256">
        <v>2.4382735050000002</v>
      </c>
      <c r="O256">
        <v>7.3887075999999996E-2</v>
      </c>
      <c r="P256">
        <v>0.33864909799999998</v>
      </c>
      <c r="Q256">
        <v>1.0898343699999999</v>
      </c>
      <c r="R256">
        <v>1.2314512999999999E-2</v>
      </c>
      <c r="S256">
        <v>6.2065143770000004</v>
      </c>
      <c r="T256">
        <v>9.8516100999999995E-2</v>
      </c>
      <c r="V256">
        <f t="shared" si="40"/>
        <v>12.548488393</v>
      </c>
      <c r="W256">
        <f t="shared" si="41"/>
        <v>1.1021488829999999</v>
      </c>
      <c r="X256">
        <f t="shared" si="42"/>
        <v>77.698417588999902</v>
      </c>
      <c r="Y256">
        <f t="shared" si="43"/>
        <v>8.6324733709999997</v>
      </c>
      <c r="Z256">
        <f t="shared" si="44"/>
        <v>1.8471768999999999E-2</v>
      </c>
      <c r="AA256">
        <f t="shared" si="45"/>
        <v>100.0000000049999</v>
      </c>
    </row>
    <row r="257" spans="1:27" x14ac:dyDescent="0.3">
      <c r="A257" s="42" t="s">
        <v>1686</v>
      </c>
      <c r="B257" s="95" t="s">
        <v>1271</v>
      </c>
      <c r="C257" s="95">
        <v>219</v>
      </c>
      <c r="D257" s="97">
        <f t="shared" ref="D257:D310" si="48">C257/2877.76</f>
        <v>7.6100856221505614E-2</v>
      </c>
      <c r="E257" s="98">
        <f t="shared" ref="E257:E310" si="49">D257/0.003861</f>
        <v>19.710141471511427</v>
      </c>
      <c r="F257" s="99">
        <v>8.6757990867579904E-2</v>
      </c>
      <c r="G257" s="42">
        <v>0.20091324200913241</v>
      </c>
      <c r="H257" s="42">
        <v>0</v>
      </c>
      <c r="I257" s="42">
        <v>2.2831050228310501E-2</v>
      </c>
      <c r="J257" s="42">
        <v>0</v>
      </c>
      <c r="K257" s="42">
        <v>0</v>
      </c>
      <c r="L257" s="42">
        <v>0.50684931506849318</v>
      </c>
      <c r="M257" s="42">
        <v>0.1095890410958904</v>
      </c>
      <c r="N257" s="42">
        <v>0</v>
      </c>
      <c r="O257" s="42">
        <v>4.5662100456621002E-2</v>
      </c>
      <c r="P257" s="42">
        <v>0</v>
      </c>
      <c r="Q257" s="42">
        <v>0</v>
      </c>
      <c r="R257" s="42">
        <v>0</v>
      </c>
      <c r="S257" s="42">
        <v>0</v>
      </c>
      <c r="T257" s="100">
        <v>2.7397260273972601E-2</v>
      </c>
      <c r="V257" s="42">
        <f t="shared" si="40"/>
        <v>0.11415525114155251</v>
      </c>
      <c r="W257" s="42">
        <f t="shared" si="41"/>
        <v>0</v>
      </c>
      <c r="X257" s="42">
        <f t="shared" si="42"/>
        <v>0.66210045662100458</v>
      </c>
      <c r="Y257" s="42">
        <f t="shared" si="43"/>
        <v>0.22374429223744291</v>
      </c>
      <c r="Z257" s="42">
        <f t="shared" si="44"/>
        <v>0</v>
      </c>
      <c r="AA257" s="42">
        <f t="shared" si="45"/>
        <v>1</v>
      </c>
    </row>
    <row r="258" spans="1:27" x14ac:dyDescent="0.3">
      <c r="A258" s="42" t="s">
        <v>1687</v>
      </c>
      <c r="B258" s="95" t="s">
        <v>1274</v>
      </c>
      <c r="C258" s="95">
        <v>808</v>
      </c>
      <c r="D258" s="97">
        <f t="shared" si="48"/>
        <v>0.28077393528299788</v>
      </c>
      <c r="E258" s="98">
        <f t="shared" si="49"/>
        <v>72.720521958818409</v>
      </c>
      <c r="F258" s="99">
        <v>8.0445544554455448E-2</v>
      </c>
      <c r="G258" s="42">
        <v>0.10643564356435643</v>
      </c>
      <c r="H258" s="42">
        <v>4.0841584158415843E-2</v>
      </c>
      <c r="I258" s="42">
        <v>0</v>
      </c>
      <c r="J258" s="42">
        <v>0</v>
      </c>
      <c r="K258" s="42">
        <v>0</v>
      </c>
      <c r="L258" s="42">
        <v>0.50123762376237624</v>
      </c>
      <c r="M258" s="42">
        <v>0.11014851485148515</v>
      </c>
      <c r="N258" s="42">
        <v>7.4257425742574254E-3</v>
      </c>
      <c r="O258" s="42">
        <v>0</v>
      </c>
      <c r="P258" s="42">
        <v>4.9504950495049506E-3</v>
      </c>
      <c r="Q258" s="42">
        <v>0.10643564356435643</v>
      </c>
      <c r="R258" s="42">
        <v>2.4752475247524754E-2</v>
      </c>
      <c r="S258" s="42">
        <v>1.7326732673267328E-2</v>
      </c>
      <c r="T258" s="100">
        <v>0</v>
      </c>
      <c r="V258" s="42">
        <f t="shared" ref="V258:V289" si="50">F258+S258+T258</f>
        <v>9.7772277227722776E-2</v>
      </c>
      <c r="W258" s="42">
        <f t="shared" ref="W258:W289" si="51">Q258+R258</f>
        <v>0.13118811881188119</v>
      </c>
      <c r="X258" s="42">
        <f t="shared" ref="X258:X289" si="52">SUM(K258:P258)</f>
        <v>0.62376237623762376</v>
      </c>
      <c r="Y258" s="42">
        <f t="shared" ref="Y258:Y289" si="53">SUM(G258:I258)</f>
        <v>0.14727722772277227</v>
      </c>
      <c r="Z258" s="42">
        <f t="shared" ref="Z258:Z289" si="54">J258</f>
        <v>0</v>
      </c>
      <c r="AA258" s="42">
        <f t="shared" ref="AA258:AA289" si="55">SUM(V258:Z258)</f>
        <v>1</v>
      </c>
    </row>
    <row r="259" spans="1:27" x14ac:dyDescent="0.3">
      <c r="A259" s="42" t="s">
        <v>1688</v>
      </c>
      <c r="B259" s="95" t="s">
        <v>1275</v>
      </c>
      <c r="C259" s="95">
        <v>1355</v>
      </c>
      <c r="D259" s="97">
        <f t="shared" si="48"/>
        <v>0.47085232958968082</v>
      </c>
      <c r="E259" s="98">
        <f t="shared" si="49"/>
        <v>121.95087531460265</v>
      </c>
      <c r="F259" s="99">
        <v>0.18228782287822878</v>
      </c>
      <c r="G259" s="42">
        <v>7.1586715867158673E-2</v>
      </c>
      <c r="H259" s="42">
        <v>0</v>
      </c>
      <c r="I259" s="42">
        <v>0</v>
      </c>
      <c r="J259" s="42">
        <v>0</v>
      </c>
      <c r="K259" s="42">
        <v>0</v>
      </c>
      <c r="L259" s="42">
        <v>0.28634686346863469</v>
      </c>
      <c r="M259" s="42">
        <v>2.3616236162361623E-2</v>
      </c>
      <c r="N259" s="42">
        <v>0.11217712177121771</v>
      </c>
      <c r="O259" s="42">
        <v>0</v>
      </c>
      <c r="P259" s="42">
        <v>0</v>
      </c>
      <c r="Q259" s="42">
        <v>0.25977859778597784</v>
      </c>
      <c r="R259" s="42">
        <v>0</v>
      </c>
      <c r="S259" s="42">
        <v>6.4206642066420669E-2</v>
      </c>
      <c r="T259" s="100">
        <v>0</v>
      </c>
      <c r="V259" s="42">
        <f t="shared" si="50"/>
        <v>0.24649446494464944</v>
      </c>
      <c r="W259" s="42">
        <f t="shared" si="51"/>
        <v>0.25977859778597784</v>
      </c>
      <c r="X259" s="42">
        <f t="shared" si="52"/>
        <v>0.42214022140221402</v>
      </c>
      <c r="Y259" s="42">
        <f t="shared" si="53"/>
        <v>7.1586715867158673E-2</v>
      </c>
      <c r="Z259" s="42">
        <f t="shared" si="54"/>
        <v>0</v>
      </c>
      <c r="AA259" s="42">
        <f t="shared" si="55"/>
        <v>1</v>
      </c>
    </row>
    <row r="260" spans="1:27" x14ac:dyDescent="0.3">
      <c r="A260" s="42" t="s">
        <v>1689</v>
      </c>
      <c r="B260" s="95" t="s">
        <v>1276</v>
      </c>
      <c r="C260" s="95">
        <v>3066</v>
      </c>
      <c r="D260" s="97">
        <f t="shared" si="48"/>
        <v>1.0654119871010785</v>
      </c>
      <c r="E260" s="98">
        <f t="shared" si="49"/>
        <v>275.94198060115997</v>
      </c>
      <c r="F260" s="99">
        <v>1.7286366601435094E-2</v>
      </c>
      <c r="G260" s="42">
        <v>0.42661448140900193</v>
      </c>
      <c r="H260" s="42">
        <v>0.21559034572733202</v>
      </c>
      <c r="I260" s="42">
        <v>7.175472928897586E-2</v>
      </c>
      <c r="J260" s="42">
        <v>1.8917155903457272E-2</v>
      </c>
      <c r="K260" s="42">
        <v>0</v>
      </c>
      <c r="L260" s="42">
        <v>0.2045009784735812</v>
      </c>
      <c r="M260" s="42">
        <v>3.2615786040443573E-4</v>
      </c>
      <c r="N260" s="42">
        <v>7.5016307893020218E-3</v>
      </c>
      <c r="O260" s="42">
        <v>1.6307893020221786E-3</v>
      </c>
      <c r="P260" s="42">
        <v>0</v>
      </c>
      <c r="Q260" s="42">
        <v>2.4135681669928244E-2</v>
      </c>
      <c r="R260" s="42">
        <v>0</v>
      </c>
      <c r="S260" s="42">
        <v>1.1741682974559686E-2</v>
      </c>
      <c r="T260" s="100">
        <v>0</v>
      </c>
      <c r="V260" s="42">
        <f t="shared" si="50"/>
        <v>2.902804957599478E-2</v>
      </c>
      <c r="W260" s="42">
        <f t="shared" si="51"/>
        <v>2.4135681669928244E-2</v>
      </c>
      <c r="X260" s="42">
        <f t="shared" si="52"/>
        <v>0.21395955642530984</v>
      </c>
      <c r="Y260" s="42">
        <f t="shared" si="53"/>
        <v>0.71395955642530984</v>
      </c>
      <c r="Z260" s="42">
        <f t="shared" si="54"/>
        <v>1.8917155903457272E-2</v>
      </c>
      <c r="AA260" s="42">
        <f t="shared" si="55"/>
        <v>1</v>
      </c>
    </row>
    <row r="261" spans="1:27" x14ac:dyDescent="0.3">
      <c r="A261" s="101" t="s">
        <v>1690</v>
      </c>
      <c r="B261" s="95" t="s">
        <v>1691</v>
      </c>
      <c r="C261" s="95">
        <v>15675</v>
      </c>
      <c r="D261" s="97">
        <f t="shared" si="48"/>
        <v>5.4469448459913261</v>
      </c>
      <c r="E261" s="98">
        <f t="shared" si="49"/>
        <v>1410.7601258718794</v>
      </c>
      <c r="F261" s="99">
        <v>0.23464114832535884</v>
      </c>
      <c r="G261" s="42">
        <v>2.8197767145135565E-2</v>
      </c>
      <c r="H261" s="42">
        <v>3.1897926634768739E-4</v>
      </c>
      <c r="I261" s="42">
        <v>0</v>
      </c>
      <c r="J261" s="42">
        <v>0</v>
      </c>
      <c r="K261" s="42">
        <v>0</v>
      </c>
      <c r="L261" s="42">
        <v>0.44408293460925041</v>
      </c>
      <c r="M261" s="42">
        <v>0.17454545454545456</v>
      </c>
      <c r="N261" s="42">
        <v>8.6570972886762354E-2</v>
      </c>
      <c r="O261" s="42">
        <v>1.1036682615629984E-2</v>
      </c>
      <c r="P261" s="42">
        <v>2.5518341307814991E-3</v>
      </c>
      <c r="Q261" s="42">
        <v>0</v>
      </c>
      <c r="R261" s="42">
        <v>2.3604465709728866E-3</v>
      </c>
      <c r="S261" s="42">
        <v>1.4098883572567783E-2</v>
      </c>
      <c r="T261" s="100">
        <v>1.594896331738437E-3</v>
      </c>
      <c r="V261" s="42">
        <f t="shared" si="50"/>
        <v>0.25033492822966508</v>
      </c>
      <c r="W261" s="42">
        <f t="shared" si="51"/>
        <v>2.3604465709728866E-3</v>
      </c>
      <c r="X261" s="42">
        <f t="shared" si="52"/>
        <v>0.71878787878787886</v>
      </c>
      <c r="Y261" s="42">
        <f t="shared" si="53"/>
        <v>2.8516746411483253E-2</v>
      </c>
      <c r="Z261" s="42">
        <f t="shared" si="54"/>
        <v>0</v>
      </c>
      <c r="AA261" s="42">
        <f t="shared" si="55"/>
        <v>1</v>
      </c>
    </row>
    <row r="262" spans="1:27" x14ac:dyDescent="0.3">
      <c r="A262" s="115" t="s">
        <v>1692</v>
      </c>
      <c r="B262" s="95" t="s">
        <v>1693</v>
      </c>
      <c r="C262" s="95">
        <v>1766</v>
      </c>
      <c r="D262" s="97">
        <f t="shared" si="48"/>
        <v>0.6136717446903146</v>
      </c>
      <c r="E262" s="98">
        <f t="shared" si="49"/>
        <v>158.9411408159323</v>
      </c>
      <c r="F262" s="99">
        <v>0.32672706681766706</v>
      </c>
      <c r="G262" s="42">
        <v>3.0011325028312569E-2</v>
      </c>
      <c r="H262" s="42">
        <v>0</v>
      </c>
      <c r="I262" s="42">
        <v>3.9637599093997732E-3</v>
      </c>
      <c r="J262" s="42">
        <v>0</v>
      </c>
      <c r="K262" s="42">
        <v>0</v>
      </c>
      <c r="L262" s="42">
        <v>0.48584371460928655</v>
      </c>
      <c r="M262" s="42">
        <v>6.9648924122310302E-2</v>
      </c>
      <c r="N262" s="42">
        <v>3.5107587768969425E-2</v>
      </c>
      <c r="O262" s="42">
        <v>3.3975084937712344E-3</v>
      </c>
      <c r="P262" s="42">
        <v>5.6625141562853904E-3</v>
      </c>
      <c r="Q262" s="42">
        <v>0</v>
      </c>
      <c r="R262" s="42">
        <v>0</v>
      </c>
      <c r="S262" s="42">
        <v>3.7372593431483581E-2</v>
      </c>
      <c r="T262" s="100">
        <v>2.2650056625141564E-3</v>
      </c>
      <c r="V262" s="42">
        <f t="shared" si="50"/>
        <v>0.36636466591166478</v>
      </c>
      <c r="W262" s="42">
        <f t="shared" si="51"/>
        <v>0</v>
      </c>
      <c r="X262" s="42">
        <f t="shared" si="52"/>
        <v>0.59966024915062277</v>
      </c>
      <c r="Y262" s="42">
        <f t="shared" si="53"/>
        <v>3.3975084937712341E-2</v>
      </c>
      <c r="Z262" s="42">
        <f t="shared" si="54"/>
        <v>0</v>
      </c>
      <c r="AA262" s="42">
        <f t="shared" si="55"/>
        <v>0.99999999999999978</v>
      </c>
    </row>
    <row r="263" spans="1:27" x14ac:dyDescent="0.3">
      <c r="A263" s="115" t="s">
        <v>1694</v>
      </c>
      <c r="B263" s="95" t="s">
        <v>1695</v>
      </c>
      <c r="C263" s="95">
        <v>49828</v>
      </c>
      <c r="D263" s="97">
        <f t="shared" si="48"/>
        <v>17.314855999110417</v>
      </c>
      <c r="E263" s="98">
        <f t="shared" si="49"/>
        <v>4484.5521883217862</v>
      </c>
      <c r="F263" s="99">
        <v>7.8871317331620769E-2</v>
      </c>
      <c r="G263" s="42">
        <v>5.9203660592437986E-2</v>
      </c>
      <c r="H263" s="42">
        <v>1.0797142169061571E-2</v>
      </c>
      <c r="I263" s="42">
        <v>1.0034518744481014E-3</v>
      </c>
      <c r="J263" s="42">
        <v>0</v>
      </c>
      <c r="K263" s="42">
        <v>0</v>
      </c>
      <c r="L263" s="42">
        <v>9.3782612185919559E-2</v>
      </c>
      <c r="M263" s="42">
        <v>1.9868347114072411E-3</v>
      </c>
      <c r="N263" s="42">
        <v>1.2503010355623343E-2</v>
      </c>
      <c r="O263" s="42">
        <v>1.0817211206550534E-2</v>
      </c>
      <c r="P263" s="42">
        <v>2.0871798988520512E-3</v>
      </c>
      <c r="Q263" s="42">
        <v>0.31560568355141688</v>
      </c>
      <c r="R263" s="42">
        <v>0.30697599743116322</v>
      </c>
      <c r="S263" s="42">
        <v>7.9694147868668214E-2</v>
      </c>
      <c r="T263" s="100">
        <v>2.6671750822830537E-2</v>
      </c>
      <c r="V263" s="42">
        <f t="shared" si="50"/>
        <v>0.18523721602311952</v>
      </c>
      <c r="W263" s="42">
        <f t="shared" si="51"/>
        <v>0.62258168098258015</v>
      </c>
      <c r="X263" s="42">
        <f t="shared" si="52"/>
        <v>0.12117684835835274</v>
      </c>
      <c r="Y263" s="42">
        <f t="shared" si="53"/>
        <v>7.1004254635947658E-2</v>
      </c>
      <c r="Z263" s="42">
        <f t="shared" si="54"/>
        <v>0</v>
      </c>
      <c r="AA263" s="42">
        <f t="shared" si="55"/>
        <v>1</v>
      </c>
    </row>
    <row r="264" spans="1:27" x14ac:dyDescent="0.3">
      <c r="A264" s="42" t="s">
        <v>1696</v>
      </c>
      <c r="B264" s="95" t="s">
        <v>1292</v>
      </c>
      <c r="C264" s="95">
        <v>3423</v>
      </c>
      <c r="D264" s="97">
        <f t="shared" si="48"/>
        <v>1.1894668075169574</v>
      </c>
      <c r="E264" s="98">
        <f t="shared" si="49"/>
        <v>308.07221121910322</v>
      </c>
      <c r="F264" s="99">
        <v>0.17645340344726848</v>
      </c>
      <c r="G264" s="42">
        <v>8.1799591002044997E-3</v>
      </c>
      <c r="H264" s="42">
        <v>5.5506865322816241E-3</v>
      </c>
      <c r="I264" s="42">
        <v>0</v>
      </c>
      <c r="J264" s="42">
        <v>0</v>
      </c>
      <c r="K264" s="42">
        <v>0</v>
      </c>
      <c r="L264" s="42">
        <v>0.30382705229330997</v>
      </c>
      <c r="M264" s="42">
        <v>0.25796085305287758</v>
      </c>
      <c r="N264" s="42">
        <v>2.7461291264972248E-2</v>
      </c>
      <c r="O264" s="42">
        <v>1.6652059596844872E-2</v>
      </c>
      <c r="P264" s="42">
        <v>5.2293309962021618E-2</v>
      </c>
      <c r="Q264" s="42">
        <v>4.1484078293894243E-2</v>
      </c>
      <c r="R264" s="42">
        <v>8.1799591002044997E-3</v>
      </c>
      <c r="S264" s="42">
        <v>0.10195734735612036</v>
      </c>
      <c r="T264" s="100">
        <v>0</v>
      </c>
      <c r="V264" s="42">
        <f t="shared" si="50"/>
        <v>0.27841075080338884</v>
      </c>
      <c r="W264" s="42">
        <f t="shared" si="51"/>
        <v>4.9664037394098741E-2</v>
      </c>
      <c r="X264" s="42">
        <f t="shared" si="52"/>
        <v>0.65819456617002636</v>
      </c>
      <c r="Y264" s="42">
        <f t="shared" si="53"/>
        <v>1.3730645632486124E-2</v>
      </c>
      <c r="Z264" s="42">
        <f t="shared" si="54"/>
        <v>0</v>
      </c>
      <c r="AA264" s="42">
        <f t="shared" si="55"/>
        <v>1</v>
      </c>
    </row>
    <row r="265" spans="1:27" x14ac:dyDescent="0.3">
      <c r="A265" s="42" t="s">
        <v>1697</v>
      </c>
      <c r="B265" s="95" t="s">
        <v>1296</v>
      </c>
      <c r="C265" s="95">
        <v>209513</v>
      </c>
      <c r="D265" s="97">
        <f t="shared" si="48"/>
        <v>72.804194929389524</v>
      </c>
      <c r="E265" s="98">
        <f t="shared" si="49"/>
        <v>18856.305343017229</v>
      </c>
      <c r="F265" s="99">
        <v>0.19129600549846548</v>
      </c>
      <c r="G265" s="42">
        <v>4.4837313197749064E-2</v>
      </c>
      <c r="H265" s="42">
        <v>7.4840224711593076E-3</v>
      </c>
      <c r="I265" s="42">
        <v>9.9277849107215314E-4</v>
      </c>
      <c r="J265" s="42">
        <v>4.2002166929975708E-4</v>
      </c>
      <c r="K265" s="42">
        <v>0</v>
      </c>
      <c r="L265" s="42">
        <v>0.24644771446163244</v>
      </c>
      <c r="M265" s="42">
        <v>3.5487058082314699E-2</v>
      </c>
      <c r="N265" s="42">
        <v>2.8800122188121977E-2</v>
      </c>
      <c r="O265" s="42">
        <v>5.5557411711922411E-2</v>
      </c>
      <c r="P265" s="42">
        <v>3.0547030494527784E-3</v>
      </c>
      <c r="Q265" s="42">
        <v>0.17713936605365777</v>
      </c>
      <c r="R265" s="42">
        <v>0.1808861502627522</v>
      </c>
      <c r="S265" s="42">
        <v>2.5177435290411575E-2</v>
      </c>
      <c r="T265" s="100">
        <v>2.4198975719883732E-3</v>
      </c>
      <c r="V265" s="42">
        <f t="shared" si="50"/>
        <v>0.21889333836086544</v>
      </c>
      <c r="W265" s="42">
        <f t="shared" si="51"/>
        <v>0.35802551631641</v>
      </c>
      <c r="X265" s="42">
        <f t="shared" si="52"/>
        <v>0.36934700949344434</v>
      </c>
      <c r="Y265" s="42">
        <f t="shared" si="53"/>
        <v>5.3314114159980525E-2</v>
      </c>
      <c r="Z265" s="42">
        <f t="shared" si="54"/>
        <v>4.2002166929975708E-4</v>
      </c>
      <c r="AA265" s="42">
        <f t="shared" si="55"/>
        <v>1</v>
      </c>
    </row>
    <row r="266" spans="1:27" x14ac:dyDescent="0.3">
      <c r="A266" s="42" t="s">
        <v>1697</v>
      </c>
      <c r="B266" s="102" t="s">
        <v>1302</v>
      </c>
      <c r="C266" s="95">
        <v>209513</v>
      </c>
      <c r="D266" s="97">
        <f t="shared" si="48"/>
        <v>72.804194929389524</v>
      </c>
      <c r="E266" s="98">
        <f>D266/0.003861</f>
        <v>18856.305343017229</v>
      </c>
      <c r="F266" s="99">
        <v>0.19129600549846548</v>
      </c>
      <c r="G266" s="42">
        <v>4.4837313197749064E-2</v>
      </c>
      <c r="H266" s="42">
        <v>7.4840224711593076E-3</v>
      </c>
      <c r="I266" s="42">
        <v>9.9277849107215314E-4</v>
      </c>
      <c r="J266" s="42">
        <v>4.2002166929975708E-4</v>
      </c>
      <c r="K266" s="42">
        <v>0</v>
      </c>
      <c r="L266" s="42">
        <v>0.24644771446163244</v>
      </c>
      <c r="M266" s="42">
        <v>3.5487058082314699E-2</v>
      </c>
      <c r="N266" s="42">
        <v>2.8800122188121977E-2</v>
      </c>
      <c r="O266" s="42">
        <v>5.5557411711922411E-2</v>
      </c>
      <c r="P266" s="42">
        <v>3.0547030494527784E-3</v>
      </c>
      <c r="Q266" s="42">
        <v>0.17713936605365777</v>
      </c>
      <c r="R266" s="42">
        <v>0.1808861502627522</v>
      </c>
      <c r="S266" s="42">
        <v>2.5177435290411575E-2</v>
      </c>
      <c r="T266" s="100">
        <v>2.4198975719883732E-3</v>
      </c>
      <c r="V266" s="42">
        <f>F266+S266+T266</f>
        <v>0.21889333836086544</v>
      </c>
      <c r="W266" s="42">
        <f>Q266+R266</f>
        <v>0.35802551631641</v>
      </c>
      <c r="X266" s="42">
        <f>SUM(K266:P266)</f>
        <v>0.36934700949344434</v>
      </c>
      <c r="Y266" s="42">
        <f>SUM(G266:I266)</f>
        <v>5.3314114159980525E-2</v>
      </c>
      <c r="Z266" s="42">
        <f>J266</f>
        <v>4.2002166929975708E-4</v>
      </c>
      <c r="AA266" s="42">
        <f>SUM(V266:Z266)</f>
        <v>1</v>
      </c>
    </row>
    <row r="267" spans="1:27" x14ac:dyDescent="0.3">
      <c r="A267" s="42" t="s">
        <v>1697</v>
      </c>
      <c r="B267" s="102" t="s">
        <v>1303</v>
      </c>
      <c r="C267" s="95">
        <v>209513</v>
      </c>
      <c r="D267" s="97">
        <f t="shared" si="48"/>
        <v>72.804194929389524</v>
      </c>
      <c r="E267" s="98">
        <f>D267/0.003861</f>
        <v>18856.305343017229</v>
      </c>
      <c r="F267" s="99">
        <v>0.19129600549846548</v>
      </c>
      <c r="G267" s="42">
        <v>4.4837313197749064E-2</v>
      </c>
      <c r="H267" s="42">
        <v>7.4840224711593076E-3</v>
      </c>
      <c r="I267" s="42">
        <v>9.9277849107215314E-4</v>
      </c>
      <c r="J267" s="42">
        <v>4.2002166929975708E-4</v>
      </c>
      <c r="K267" s="42">
        <v>0</v>
      </c>
      <c r="L267" s="42">
        <v>0.24644771446163244</v>
      </c>
      <c r="M267" s="42">
        <v>3.5487058082314699E-2</v>
      </c>
      <c r="N267" s="42">
        <v>2.8800122188121977E-2</v>
      </c>
      <c r="O267" s="42">
        <v>5.5557411711922411E-2</v>
      </c>
      <c r="P267" s="42">
        <v>3.0547030494527784E-3</v>
      </c>
      <c r="Q267" s="42">
        <v>0.17713936605365777</v>
      </c>
      <c r="R267" s="42">
        <v>0.1808861502627522</v>
      </c>
      <c r="S267" s="42">
        <v>2.5177435290411575E-2</v>
      </c>
      <c r="T267" s="100">
        <v>2.4198975719883732E-3</v>
      </c>
      <c r="V267" s="42">
        <f>F267+S267+T267</f>
        <v>0.21889333836086544</v>
      </c>
      <c r="W267" s="42">
        <f>Q267+R267</f>
        <v>0.35802551631641</v>
      </c>
      <c r="X267" s="42">
        <f>SUM(K267:P267)</f>
        <v>0.36934700949344434</v>
      </c>
      <c r="Y267" s="42">
        <f>SUM(G267:I267)</f>
        <v>5.3314114159980525E-2</v>
      </c>
      <c r="Z267" s="42">
        <f>J267</f>
        <v>4.2002166929975708E-4</v>
      </c>
      <c r="AA267" s="42">
        <f>SUM(V267:Z267)</f>
        <v>1</v>
      </c>
    </row>
    <row r="268" spans="1:27" x14ac:dyDescent="0.3">
      <c r="A268" s="42" t="s">
        <v>1698</v>
      </c>
      <c r="B268" s="95" t="s">
        <v>1304</v>
      </c>
      <c r="C268" s="95">
        <v>38315</v>
      </c>
      <c r="D268" s="97">
        <f t="shared" si="48"/>
        <v>13.31417491382186</v>
      </c>
      <c r="E268" s="98">
        <f t="shared" si="49"/>
        <v>3448.3747510546132</v>
      </c>
      <c r="F268" s="99">
        <v>4.4760537648440561E-2</v>
      </c>
      <c r="G268" s="42">
        <v>0.11290617251729088</v>
      </c>
      <c r="H268" s="42">
        <v>2.0749053895341249E-2</v>
      </c>
      <c r="I268" s="42">
        <v>1.1066162077515334E-2</v>
      </c>
      <c r="J268" s="42">
        <v>3.7322197572752184E-3</v>
      </c>
      <c r="K268" s="42">
        <v>0</v>
      </c>
      <c r="L268" s="42">
        <v>0.20216625342555136</v>
      </c>
      <c r="M268" s="42">
        <v>5.7888555396058985E-2</v>
      </c>
      <c r="N268" s="42">
        <v>6.8119535429988262E-2</v>
      </c>
      <c r="O268" s="42">
        <v>1.3101918308756361E-2</v>
      </c>
      <c r="P268" s="42">
        <v>8.3518204358606289E-4</v>
      </c>
      <c r="Q268" s="42">
        <v>0.24275088085606158</v>
      </c>
      <c r="R268" s="42">
        <v>0.13138457523163252</v>
      </c>
      <c r="S268" s="42">
        <v>9.0382356779329251E-2</v>
      </c>
      <c r="T268" s="100">
        <v>1.5659663317238678E-4</v>
      </c>
      <c r="V268" s="42">
        <f t="shared" si="50"/>
        <v>0.13529949106094219</v>
      </c>
      <c r="W268" s="42">
        <f t="shared" si="51"/>
        <v>0.37413545608769411</v>
      </c>
      <c r="X268" s="42">
        <f t="shared" si="52"/>
        <v>0.34211144460394105</v>
      </c>
      <c r="Y268" s="42">
        <f t="shared" si="53"/>
        <v>0.14472138849014746</v>
      </c>
      <c r="Z268" s="42">
        <f t="shared" si="54"/>
        <v>3.7322197572752184E-3</v>
      </c>
      <c r="AA268" s="42">
        <f t="shared" si="55"/>
        <v>1</v>
      </c>
    </row>
    <row r="269" spans="1:27" x14ac:dyDescent="0.3">
      <c r="A269" s="42" t="s">
        <v>1699</v>
      </c>
      <c r="B269" s="95" t="s">
        <v>765</v>
      </c>
      <c r="C269" s="95">
        <v>3037</v>
      </c>
      <c r="D269" s="97">
        <f t="shared" si="48"/>
        <v>1.0553347047703769</v>
      </c>
      <c r="E269" s="98">
        <f t="shared" si="49"/>
        <v>273.3319618674895</v>
      </c>
      <c r="F269" s="99">
        <v>6.7171550872571623E-2</v>
      </c>
      <c r="G269" s="42">
        <v>5.3342113928218637E-2</v>
      </c>
      <c r="H269" s="42">
        <v>0</v>
      </c>
      <c r="I269" s="42">
        <v>0</v>
      </c>
      <c r="J269" s="42">
        <v>0</v>
      </c>
      <c r="K269" s="42">
        <v>0</v>
      </c>
      <c r="L269" s="42">
        <v>8.9562067830095488E-2</v>
      </c>
      <c r="M269" s="42">
        <v>2.3378333882120513E-2</v>
      </c>
      <c r="N269" s="42">
        <v>8.5940072439907797E-2</v>
      </c>
      <c r="O269" s="42">
        <v>6.5854461639776093E-3</v>
      </c>
      <c r="P269" s="42">
        <v>0</v>
      </c>
      <c r="Q269" s="42">
        <v>0.32400395126769838</v>
      </c>
      <c r="R269" s="42">
        <v>0.27197892657227529</v>
      </c>
      <c r="S269" s="42">
        <v>7.5074086269344753E-2</v>
      </c>
      <c r="T269" s="100">
        <v>2.9634507737899243E-3</v>
      </c>
      <c r="V269" s="42">
        <f t="shared" si="50"/>
        <v>0.1452090879157063</v>
      </c>
      <c r="W269" s="42">
        <f t="shared" si="51"/>
        <v>0.59598287783997361</v>
      </c>
      <c r="X269" s="42">
        <f t="shared" si="52"/>
        <v>0.20546592031610139</v>
      </c>
      <c r="Y269" s="42">
        <f t="shared" si="53"/>
        <v>5.3342113928218637E-2</v>
      </c>
      <c r="Z269" s="42">
        <f t="shared" si="54"/>
        <v>0</v>
      </c>
      <c r="AA269" s="42">
        <f t="shared" si="55"/>
        <v>1</v>
      </c>
    </row>
    <row r="270" spans="1:27" x14ac:dyDescent="0.3">
      <c r="A270" s="42" t="s">
        <v>1700</v>
      </c>
      <c r="B270" s="95" t="s">
        <v>1312</v>
      </c>
      <c r="C270" s="95">
        <v>3765</v>
      </c>
      <c r="D270" s="97">
        <f t="shared" si="48"/>
        <v>1.3083092405204046</v>
      </c>
      <c r="E270" s="98">
        <f t="shared" si="49"/>
        <v>338.85243214721697</v>
      </c>
      <c r="F270" s="99">
        <v>0.13652058432934927</v>
      </c>
      <c r="G270" s="42">
        <v>9.5883134130146083E-2</v>
      </c>
      <c r="H270" s="42">
        <v>9.5883134130146083E-2</v>
      </c>
      <c r="I270" s="42">
        <v>6.5073041168658696E-2</v>
      </c>
      <c r="J270" s="42">
        <v>0</v>
      </c>
      <c r="K270" s="42">
        <v>0</v>
      </c>
      <c r="L270" s="42">
        <v>0.29110225763612219</v>
      </c>
      <c r="M270" s="42">
        <v>2.0451527224435592E-2</v>
      </c>
      <c r="N270" s="42">
        <v>4.6480743691899071E-2</v>
      </c>
      <c r="O270" s="42">
        <v>2.098273572377158E-2</v>
      </c>
      <c r="P270" s="42">
        <v>7.9681274900398405E-3</v>
      </c>
      <c r="Q270" s="42">
        <v>0.18167330677290836</v>
      </c>
      <c r="R270" s="42">
        <v>1.6201859229747675E-2</v>
      </c>
      <c r="S270" s="42">
        <v>1.8857901726427623E-2</v>
      </c>
      <c r="T270" s="100">
        <v>2.9216467463479417E-3</v>
      </c>
      <c r="V270" s="42">
        <f t="shared" si="50"/>
        <v>0.15830013280212485</v>
      </c>
      <c r="W270" s="42">
        <f t="shared" si="51"/>
        <v>0.19787516600265603</v>
      </c>
      <c r="X270" s="42">
        <f t="shared" si="52"/>
        <v>0.38698539176626828</v>
      </c>
      <c r="Y270" s="42">
        <f t="shared" si="53"/>
        <v>0.25683930942895083</v>
      </c>
      <c r="Z270" s="42">
        <f t="shared" si="54"/>
        <v>0</v>
      </c>
      <c r="AA270" s="42">
        <f t="shared" si="55"/>
        <v>1</v>
      </c>
    </row>
    <row r="271" spans="1:27" x14ac:dyDescent="0.3">
      <c r="A271" s="42" t="s">
        <v>1701</v>
      </c>
      <c r="B271" s="95" t="s">
        <v>1319</v>
      </c>
      <c r="C271" s="95">
        <v>149830</v>
      </c>
      <c r="D271" s="97">
        <f t="shared" si="48"/>
        <v>52.064800400311348</v>
      </c>
      <c r="E271" s="98">
        <f t="shared" si="49"/>
        <v>13484.796788477428</v>
      </c>
      <c r="F271" s="99">
        <v>9.6075552292598274E-2</v>
      </c>
      <c r="G271" s="42">
        <v>5.727157445104452E-2</v>
      </c>
      <c r="H271" s="42">
        <v>6.6208369485416807E-3</v>
      </c>
      <c r="I271" s="42">
        <v>2.6363211639858506E-3</v>
      </c>
      <c r="J271" s="42">
        <v>6.6074884869518787E-4</v>
      </c>
      <c r="K271" s="42">
        <v>5.2726423279717016E-4</v>
      </c>
      <c r="L271" s="42">
        <v>0.25251952212507506</v>
      </c>
      <c r="M271" s="42">
        <v>1.0124808115864647E-2</v>
      </c>
      <c r="N271" s="42">
        <v>8.0744844156710946E-2</v>
      </c>
      <c r="O271" s="42">
        <v>1.7499833144230127E-2</v>
      </c>
      <c r="P271" s="42">
        <v>9.877861576453313E-4</v>
      </c>
      <c r="Q271" s="42">
        <v>0.27348328105185876</v>
      </c>
      <c r="R271" s="42">
        <v>0.10782219849162385</v>
      </c>
      <c r="S271" s="42">
        <v>7.9436694920910364E-2</v>
      </c>
      <c r="T271" s="100">
        <v>1.3588733898418207E-2</v>
      </c>
      <c r="V271" s="42">
        <f t="shared" si="50"/>
        <v>0.18910098111192686</v>
      </c>
      <c r="W271" s="42">
        <f t="shared" si="51"/>
        <v>0.38130547954348259</v>
      </c>
      <c r="X271" s="42">
        <f t="shared" si="52"/>
        <v>0.36240405793232333</v>
      </c>
      <c r="Y271" s="42">
        <f t="shared" si="53"/>
        <v>6.6528732563572057E-2</v>
      </c>
      <c r="Z271" s="42">
        <f t="shared" si="54"/>
        <v>6.6074884869518787E-4</v>
      </c>
      <c r="AA271" s="42">
        <f t="shared" si="55"/>
        <v>1</v>
      </c>
    </row>
    <row r="272" spans="1:27" x14ac:dyDescent="0.3">
      <c r="A272" s="42" t="s">
        <v>1702</v>
      </c>
      <c r="B272" s="95" t="s">
        <v>98</v>
      </c>
      <c r="C272" s="95">
        <v>1348</v>
      </c>
      <c r="D272" s="97">
        <f t="shared" si="48"/>
        <v>0.46841988213054592</v>
      </c>
      <c r="E272" s="98">
        <f t="shared" si="49"/>
        <v>121.32087079268219</v>
      </c>
      <c r="F272" s="99">
        <v>0.16320474777448071</v>
      </c>
      <c r="G272" s="42">
        <v>5.3412462908011868E-2</v>
      </c>
      <c r="H272" s="42">
        <v>0</v>
      </c>
      <c r="I272" s="42">
        <v>0</v>
      </c>
      <c r="J272" s="42">
        <v>0</v>
      </c>
      <c r="K272" s="42">
        <v>0</v>
      </c>
      <c r="L272" s="42">
        <v>0.50741839762611274</v>
      </c>
      <c r="M272" s="42">
        <v>4.7477744807121663E-2</v>
      </c>
      <c r="N272" s="42">
        <v>0.13353115727002968</v>
      </c>
      <c r="O272" s="42">
        <v>4.4510385756676559E-3</v>
      </c>
      <c r="P272" s="42">
        <v>0</v>
      </c>
      <c r="Q272" s="42">
        <v>8.6795252225519287E-2</v>
      </c>
      <c r="R272" s="42">
        <v>0</v>
      </c>
      <c r="S272" s="42">
        <v>3.70919881305638E-3</v>
      </c>
      <c r="T272" s="100">
        <v>0</v>
      </c>
      <c r="V272" s="42">
        <f t="shared" si="50"/>
        <v>0.16691394658753708</v>
      </c>
      <c r="W272" s="42">
        <f t="shared" si="51"/>
        <v>8.6795252225519287E-2</v>
      </c>
      <c r="X272" s="42">
        <f t="shared" si="52"/>
        <v>0.69287833827893175</v>
      </c>
      <c r="Y272" s="42">
        <f t="shared" si="53"/>
        <v>5.3412462908011868E-2</v>
      </c>
      <c r="Z272" s="42">
        <f t="shared" si="54"/>
        <v>0</v>
      </c>
      <c r="AA272" s="42">
        <f t="shared" si="55"/>
        <v>0.99999999999999989</v>
      </c>
    </row>
    <row r="273" spans="1:27" x14ac:dyDescent="0.3">
      <c r="A273" s="42" t="s">
        <v>1703</v>
      </c>
      <c r="B273" s="95" t="s">
        <v>1327</v>
      </c>
      <c r="C273" s="95">
        <v>3591</v>
      </c>
      <c r="D273" s="97">
        <f t="shared" si="48"/>
        <v>1.2478455465361946</v>
      </c>
      <c r="E273" s="98">
        <f t="shared" si="49"/>
        <v>323.19231974519414</v>
      </c>
      <c r="F273" s="99">
        <v>0.13840155945419103</v>
      </c>
      <c r="G273" s="42">
        <v>2.6176552492341965E-2</v>
      </c>
      <c r="H273" s="42">
        <v>1.6708437761069339E-3</v>
      </c>
      <c r="I273" s="42">
        <v>0</v>
      </c>
      <c r="J273" s="42">
        <v>0</v>
      </c>
      <c r="K273" s="42">
        <v>0</v>
      </c>
      <c r="L273" s="42">
        <v>0.41687552213868001</v>
      </c>
      <c r="M273" s="42">
        <v>2.3948760790866053E-2</v>
      </c>
      <c r="N273" s="42">
        <v>1.921470342522974E-2</v>
      </c>
      <c r="O273" s="42">
        <v>8.3542188805346695E-2</v>
      </c>
      <c r="P273" s="42">
        <v>6.4049011417432467E-3</v>
      </c>
      <c r="Q273" s="42">
        <v>0.11835143414090782</v>
      </c>
      <c r="R273" s="42">
        <v>0.14285714285714285</v>
      </c>
      <c r="S273" s="42">
        <v>1.7822333611807295E-2</v>
      </c>
      <c r="T273" s="100">
        <v>4.7340573656363127E-3</v>
      </c>
      <c r="V273" s="42">
        <f t="shared" si="50"/>
        <v>0.16095795043163463</v>
      </c>
      <c r="W273" s="42">
        <f t="shared" si="51"/>
        <v>0.26120857699805067</v>
      </c>
      <c r="X273" s="42">
        <f t="shared" si="52"/>
        <v>0.5499860763018658</v>
      </c>
      <c r="Y273" s="42">
        <f t="shared" si="53"/>
        <v>2.7847396268448898E-2</v>
      </c>
      <c r="Z273" s="42">
        <f t="shared" si="54"/>
        <v>0</v>
      </c>
      <c r="AA273" s="42">
        <f t="shared" si="55"/>
        <v>1</v>
      </c>
    </row>
    <row r="274" spans="1:27" x14ac:dyDescent="0.3">
      <c r="A274" s="42" t="s">
        <v>1704</v>
      </c>
      <c r="B274" s="95" t="s">
        <v>1331</v>
      </c>
      <c r="C274" s="95">
        <v>23292</v>
      </c>
      <c r="D274" s="97">
        <f t="shared" si="48"/>
        <v>8.0937951740242404</v>
      </c>
      <c r="E274" s="98">
        <f t="shared" si="49"/>
        <v>2096.2950463673246</v>
      </c>
      <c r="F274" s="99">
        <v>0.24617894556070755</v>
      </c>
      <c r="G274" s="42">
        <v>1.3996221878756654E-2</v>
      </c>
      <c r="H274" s="42">
        <v>0</v>
      </c>
      <c r="I274" s="42">
        <v>0</v>
      </c>
      <c r="J274" s="42">
        <v>0</v>
      </c>
      <c r="K274" s="42">
        <v>0</v>
      </c>
      <c r="L274" s="42">
        <v>0.46522411128284391</v>
      </c>
      <c r="M274" s="42">
        <v>0.19903829641078483</v>
      </c>
      <c r="N274" s="42">
        <v>3.9198007899708051E-2</v>
      </c>
      <c r="O274" s="42">
        <v>1.1549029709771596E-2</v>
      </c>
      <c r="P274" s="42">
        <v>0</v>
      </c>
      <c r="Q274" s="42">
        <v>0</v>
      </c>
      <c r="R274" s="42">
        <v>0</v>
      </c>
      <c r="S274" s="42">
        <v>8.58663918942126E-3</v>
      </c>
      <c r="T274" s="100">
        <v>1.6228748068006182E-2</v>
      </c>
      <c r="V274" s="42">
        <f t="shared" si="50"/>
        <v>0.27099433281813495</v>
      </c>
      <c r="W274" s="42">
        <f t="shared" si="51"/>
        <v>0</v>
      </c>
      <c r="X274" s="42">
        <f t="shared" si="52"/>
        <v>0.71500944530310839</v>
      </c>
      <c r="Y274" s="42">
        <f t="shared" si="53"/>
        <v>1.3996221878756654E-2</v>
      </c>
      <c r="Z274" s="42">
        <f t="shared" si="54"/>
        <v>0</v>
      </c>
      <c r="AA274" s="42">
        <f t="shared" si="55"/>
        <v>1</v>
      </c>
    </row>
    <row r="275" spans="1:27" x14ac:dyDescent="0.3">
      <c r="A275" s="42" t="s">
        <v>1705</v>
      </c>
      <c r="B275" s="95" t="s">
        <v>1334</v>
      </c>
      <c r="C275" s="95">
        <v>573</v>
      </c>
      <c r="D275" s="97">
        <f t="shared" si="48"/>
        <v>0.19911319915489825</v>
      </c>
      <c r="E275" s="98">
        <f t="shared" si="49"/>
        <v>51.570370151488802</v>
      </c>
      <c r="F275" s="99">
        <v>0.18499127399650961</v>
      </c>
      <c r="G275" s="42">
        <v>6.8062827225130892E-2</v>
      </c>
      <c r="H275" s="42">
        <v>0</v>
      </c>
      <c r="I275" s="42">
        <v>0</v>
      </c>
      <c r="J275" s="42">
        <v>0</v>
      </c>
      <c r="K275" s="42">
        <v>0</v>
      </c>
      <c r="L275" s="42">
        <v>0.1012216404886562</v>
      </c>
      <c r="M275" s="42">
        <v>6.8062827225130892E-2</v>
      </c>
      <c r="N275" s="42">
        <v>0.5218150087260035</v>
      </c>
      <c r="O275" s="42">
        <v>1.9197207678883072E-2</v>
      </c>
      <c r="P275" s="42">
        <v>0</v>
      </c>
      <c r="Q275" s="42">
        <v>0</v>
      </c>
      <c r="R275" s="42">
        <v>0</v>
      </c>
      <c r="S275" s="42">
        <v>3.6649214659685861E-2</v>
      </c>
      <c r="T275" s="100">
        <v>0</v>
      </c>
      <c r="V275" s="42">
        <f t="shared" si="50"/>
        <v>0.22164048865619546</v>
      </c>
      <c r="W275" s="42">
        <f t="shared" si="51"/>
        <v>0</v>
      </c>
      <c r="X275" s="42">
        <f t="shared" si="52"/>
        <v>0.71029668411867375</v>
      </c>
      <c r="Y275" s="42">
        <f t="shared" si="53"/>
        <v>6.8062827225130892E-2</v>
      </c>
      <c r="Z275" s="42">
        <f t="shared" si="54"/>
        <v>0</v>
      </c>
      <c r="AA275" s="42">
        <f t="shared" si="55"/>
        <v>1</v>
      </c>
    </row>
    <row r="276" spans="1:27" x14ac:dyDescent="0.3">
      <c r="A276" s="42" t="s">
        <v>1706</v>
      </c>
      <c r="B276" s="95" t="s">
        <v>1338</v>
      </c>
      <c r="C276" s="95">
        <v>2877</v>
      </c>
      <c r="D276" s="97">
        <f t="shared" si="48"/>
        <v>0.99973590570443671</v>
      </c>
      <c r="E276" s="98">
        <f t="shared" si="49"/>
        <v>258.93185850930763</v>
      </c>
      <c r="F276" s="99">
        <v>0.37886687521724016</v>
      </c>
      <c r="G276" s="42">
        <v>5.9436913451511988E-2</v>
      </c>
      <c r="H276" s="42">
        <v>1.7031630170316302E-2</v>
      </c>
      <c r="I276" s="42">
        <v>2.0507473062217587E-2</v>
      </c>
      <c r="J276" s="42">
        <v>0</v>
      </c>
      <c r="K276" s="42">
        <v>0</v>
      </c>
      <c r="L276" s="42">
        <v>0.4716718804310045</v>
      </c>
      <c r="M276" s="42">
        <v>1.1122697254084116E-2</v>
      </c>
      <c r="N276" s="42">
        <v>1.3208202989224887E-2</v>
      </c>
      <c r="O276" s="42">
        <v>1.8421967327076814E-2</v>
      </c>
      <c r="P276" s="42">
        <v>3.4758428919012862E-4</v>
      </c>
      <c r="Q276" s="42">
        <v>7.9944386513729586E-3</v>
      </c>
      <c r="R276" s="42">
        <v>0</v>
      </c>
      <c r="S276" s="42">
        <v>1.3903371567605145E-3</v>
      </c>
      <c r="T276" s="100">
        <v>0</v>
      </c>
      <c r="V276" s="42">
        <f t="shared" si="50"/>
        <v>0.38025721237400067</v>
      </c>
      <c r="W276" s="42">
        <f t="shared" si="51"/>
        <v>7.9944386513729586E-3</v>
      </c>
      <c r="X276" s="42">
        <f t="shared" si="52"/>
        <v>0.51477233229058039</v>
      </c>
      <c r="Y276" s="42">
        <f t="shared" si="53"/>
        <v>9.6976016684045874E-2</v>
      </c>
      <c r="Z276" s="42">
        <f t="shared" si="54"/>
        <v>0</v>
      </c>
      <c r="AA276" s="42">
        <f t="shared" si="55"/>
        <v>0.99999999999999989</v>
      </c>
    </row>
    <row r="277" spans="1:27" x14ac:dyDescent="0.3">
      <c r="A277" s="42" t="s">
        <v>1707</v>
      </c>
      <c r="B277" s="95" t="s">
        <v>1151</v>
      </c>
      <c r="C277" s="95">
        <v>119263</v>
      </c>
      <c r="D277" s="97">
        <f t="shared" si="48"/>
        <v>41.442997331257644</v>
      </c>
      <c r="E277" s="98">
        <f t="shared" si="49"/>
        <v>10733.747042542773</v>
      </c>
      <c r="F277" s="99">
        <v>7.7132052690272762E-2</v>
      </c>
      <c r="G277" s="42">
        <v>1.1738762231371004E-2</v>
      </c>
      <c r="H277" s="42">
        <v>1.0984127516497153E-3</v>
      </c>
      <c r="I277" s="42">
        <v>2.0962075413162506E-4</v>
      </c>
      <c r="J277" s="42">
        <v>0</v>
      </c>
      <c r="K277" s="42">
        <v>0</v>
      </c>
      <c r="L277" s="42">
        <v>0.53893495887240805</v>
      </c>
      <c r="M277" s="42">
        <v>7.8155001970435095E-2</v>
      </c>
      <c r="N277" s="42">
        <v>0.15810435759623689</v>
      </c>
      <c r="O277" s="42">
        <v>2.8315571468099914E-2</v>
      </c>
      <c r="P277" s="42">
        <v>1.0061796198318003E-3</v>
      </c>
      <c r="Q277" s="42">
        <v>2.5154490495795008E-4</v>
      </c>
      <c r="R277" s="42">
        <v>0</v>
      </c>
      <c r="S277" s="42">
        <v>9.4228721397248097E-2</v>
      </c>
      <c r="T277" s="100">
        <v>1.0824815743357119E-2</v>
      </c>
      <c r="V277" s="42">
        <f t="shared" si="50"/>
        <v>0.18218558983087799</v>
      </c>
      <c r="W277" s="42">
        <f t="shared" si="51"/>
        <v>2.5154490495795008E-4</v>
      </c>
      <c r="X277" s="42">
        <f t="shared" si="52"/>
        <v>0.80451606952701182</v>
      </c>
      <c r="Y277" s="42">
        <f t="shared" si="53"/>
        <v>1.3046795737152344E-2</v>
      </c>
      <c r="Z277" s="42">
        <f t="shared" si="54"/>
        <v>0</v>
      </c>
      <c r="AA277" s="42">
        <f t="shared" si="55"/>
        <v>1</v>
      </c>
    </row>
    <row r="278" spans="1:27" x14ac:dyDescent="0.3">
      <c r="A278" s="42" t="s">
        <v>1708</v>
      </c>
      <c r="B278" s="95" t="s">
        <v>1342</v>
      </c>
      <c r="C278" s="95">
        <v>6521</v>
      </c>
      <c r="D278" s="97">
        <f t="shared" si="48"/>
        <v>2.2659985544312242</v>
      </c>
      <c r="E278" s="98">
        <f t="shared" si="49"/>
        <v>586.89421249189957</v>
      </c>
      <c r="F278" s="99">
        <v>7.5141849409599754E-2</v>
      </c>
      <c r="G278" s="42">
        <v>0.10274497776414661</v>
      </c>
      <c r="H278" s="42">
        <v>7.621530440116546E-2</v>
      </c>
      <c r="I278" s="42">
        <v>2.8676583346112561E-2</v>
      </c>
      <c r="J278" s="42">
        <v>4.2938199662628431E-3</v>
      </c>
      <c r="K278" s="42">
        <v>0</v>
      </c>
      <c r="L278" s="42">
        <v>0.38337678270203956</v>
      </c>
      <c r="M278" s="42">
        <v>2.315595767520319E-2</v>
      </c>
      <c r="N278" s="42">
        <v>6.900782088636712E-3</v>
      </c>
      <c r="O278" s="42">
        <v>5.3519398865204723E-2</v>
      </c>
      <c r="P278" s="42">
        <v>4.6005213924244745E-4</v>
      </c>
      <c r="Q278" s="42">
        <v>0.10167152277258089</v>
      </c>
      <c r="R278" s="42">
        <v>5.9960128814598987E-2</v>
      </c>
      <c r="S278" s="42">
        <v>6.4560650207023465E-2</v>
      </c>
      <c r="T278" s="100">
        <v>1.9322189848182795E-2</v>
      </c>
      <c r="V278" s="42">
        <f t="shared" si="50"/>
        <v>0.15902468946480602</v>
      </c>
      <c r="W278" s="42">
        <f t="shared" si="51"/>
        <v>0.16163165158717988</v>
      </c>
      <c r="X278" s="42">
        <f t="shared" si="52"/>
        <v>0.46741297347032662</v>
      </c>
      <c r="Y278" s="42">
        <f t="shared" si="53"/>
        <v>0.20763686551142463</v>
      </c>
      <c r="Z278" s="42">
        <f t="shared" si="54"/>
        <v>4.2938199662628431E-3</v>
      </c>
      <c r="AA278" s="42">
        <f t="shared" si="55"/>
        <v>1</v>
      </c>
    </row>
    <row r="279" spans="1:27" x14ac:dyDescent="0.3">
      <c r="A279" s="42" t="s">
        <v>1709</v>
      </c>
      <c r="B279" s="95" t="s">
        <v>1345</v>
      </c>
      <c r="C279" s="95">
        <v>388</v>
      </c>
      <c r="D279" s="97">
        <f t="shared" si="48"/>
        <v>0.13482708773490493</v>
      </c>
      <c r="E279" s="98">
        <f t="shared" si="49"/>
        <v>34.920250643591018</v>
      </c>
      <c r="F279" s="99">
        <v>0</v>
      </c>
      <c r="G279" s="42">
        <v>0.42268041237113402</v>
      </c>
      <c r="H279" s="42">
        <v>4.6391752577319589E-2</v>
      </c>
      <c r="I279" s="42">
        <v>1.5463917525773196E-2</v>
      </c>
      <c r="J279" s="42">
        <v>0</v>
      </c>
      <c r="K279" s="42">
        <v>0</v>
      </c>
      <c r="L279" s="42">
        <v>0.51546391752577314</v>
      </c>
      <c r="M279" s="42">
        <v>0</v>
      </c>
      <c r="N279" s="42">
        <v>0</v>
      </c>
      <c r="O279" s="42">
        <v>0</v>
      </c>
      <c r="P279" s="42">
        <v>0</v>
      </c>
      <c r="Q279" s="42">
        <v>0</v>
      </c>
      <c r="R279" s="42">
        <v>0</v>
      </c>
      <c r="S279" s="42">
        <v>0</v>
      </c>
      <c r="T279" s="100">
        <v>0</v>
      </c>
      <c r="V279" s="42">
        <f t="shared" si="50"/>
        <v>0</v>
      </c>
      <c r="W279" s="42">
        <f t="shared" si="51"/>
        <v>0</v>
      </c>
      <c r="X279" s="42">
        <f t="shared" si="52"/>
        <v>0.51546391752577314</v>
      </c>
      <c r="Y279" s="42">
        <f t="shared" si="53"/>
        <v>0.4845360824742268</v>
      </c>
      <c r="Z279" s="42">
        <f t="shared" si="54"/>
        <v>0</v>
      </c>
      <c r="AA279" s="42">
        <f t="shared" si="55"/>
        <v>1</v>
      </c>
    </row>
    <row r="280" spans="1:27" x14ac:dyDescent="0.3">
      <c r="A280" s="42" t="s">
        <v>1710</v>
      </c>
      <c r="B280" s="95" t="s">
        <v>1347</v>
      </c>
      <c r="C280" s="95">
        <v>1237</v>
      </c>
      <c r="D280" s="97">
        <f t="shared" si="48"/>
        <v>0.42984821527854994</v>
      </c>
      <c r="E280" s="98">
        <f t="shared" si="49"/>
        <v>111.33079908794353</v>
      </c>
      <c r="F280" s="99">
        <v>0.16734033953112368</v>
      </c>
      <c r="G280" s="42">
        <v>0.10751818916734034</v>
      </c>
      <c r="H280" s="42">
        <v>6.4672594987873885E-3</v>
      </c>
      <c r="I280" s="42">
        <v>4.0420371867421184E-3</v>
      </c>
      <c r="J280" s="42">
        <v>0</v>
      </c>
      <c r="K280" s="42">
        <v>0</v>
      </c>
      <c r="L280" s="42">
        <v>0.50848827809215846</v>
      </c>
      <c r="M280" s="42">
        <v>0.10751818916734034</v>
      </c>
      <c r="N280" s="42">
        <v>1.2126111560226353E-2</v>
      </c>
      <c r="O280" s="42">
        <v>0</v>
      </c>
      <c r="P280" s="42">
        <v>0</v>
      </c>
      <c r="Q280" s="42">
        <v>8.0032336297493942E-2</v>
      </c>
      <c r="R280" s="42">
        <v>0</v>
      </c>
      <c r="S280" s="42">
        <v>6.4672594987873885E-3</v>
      </c>
      <c r="T280" s="100">
        <v>0</v>
      </c>
      <c r="V280" s="42">
        <f t="shared" si="50"/>
        <v>0.17380759902991105</v>
      </c>
      <c r="W280" s="42">
        <f t="shared" si="51"/>
        <v>8.0032336297493942E-2</v>
      </c>
      <c r="X280" s="42">
        <f t="shared" si="52"/>
        <v>0.62813257881972517</v>
      </c>
      <c r="Y280" s="42">
        <f t="shared" si="53"/>
        <v>0.11802748585286985</v>
      </c>
      <c r="Z280" s="42">
        <f t="shared" si="54"/>
        <v>0</v>
      </c>
      <c r="AA280" s="42">
        <f t="shared" si="55"/>
        <v>1</v>
      </c>
    </row>
    <row r="281" spans="1:27" x14ac:dyDescent="0.3">
      <c r="A281" s="115" t="s">
        <v>1711</v>
      </c>
      <c r="B281" s="95" t="s">
        <v>1712</v>
      </c>
      <c r="C281" s="95">
        <v>1374</v>
      </c>
      <c r="D281" s="97">
        <f t="shared" si="48"/>
        <v>0.4774546869787612</v>
      </c>
      <c r="E281" s="98">
        <f t="shared" si="49"/>
        <v>123.66088758838674</v>
      </c>
      <c r="F281" s="99">
        <v>0.2590975254730713</v>
      </c>
      <c r="G281" s="42">
        <v>7.7874818049490535E-2</v>
      </c>
      <c r="H281" s="42">
        <v>1.8922852983988356E-2</v>
      </c>
      <c r="I281" s="42">
        <v>0</v>
      </c>
      <c r="J281" s="42">
        <v>0</v>
      </c>
      <c r="K281" s="42">
        <v>0</v>
      </c>
      <c r="L281" s="42">
        <v>0.54366812227074235</v>
      </c>
      <c r="M281" s="42">
        <v>3.2023289665211063E-2</v>
      </c>
      <c r="N281" s="42">
        <v>7.2780203784570596E-3</v>
      </c>
      <c r="O281" s="42">
        <v>5.822416302765648E-3</v>
      </c>
      <c r="P281" s="42">
        <v>0</v>
      </c>
      <c r="Q281" s="42">
        <v>5.5312954876273655E-2</v>
      </c>
      <c r="R281" s="42">
        <v>0</v>
      </c>
      <c r="S281" s="42">
        <v>0</v>
      </c>
      <c r="T281" s="100">
        <v>0</v>
      </c>
      <c r="V281" s="42">
        <f t="shared" si="50"/>
        <v>0.2590975254730713</v>
      </c>
      <c r="W281" s="42">
        <f t="shared" si="51"/>
        <v>5.5312954876273655E-2</v>
      </c>
      <c r="X281" s="42">
        <f t="shared" si="52"/>
        <v>0.58879184861717615</v>
      </c>
      <c r="Y281" s="42">
        <f t="shared" si="53"/>
        <v>9.6797671033478888E-2</v>
      </c>
      <c r="Z281" s="42">
        <f t="shared" si="54"/>
        <v>0</v>
      </c>
      <c r="AA281" s="42">
        <f t="shared" si="55"/>
        <v>1</v>
      </c>
    </row>
    <row r="282" spans="1:27" x14ac:dyDescent="0.3">
      <c r="A282" s="42" t="s">
        <v>1713</v>
      </c>
      <c r="B282" s="95" t="s">
        <v>1358</v>
      </c>
      <c r="C282" s="95">
        <v>348</v>
      </c>
      <c r="D282" s="97">
        <f>C282/2877.76</f>
        <v>0.12092738796841987</v>
      </c>
      <c r="E282" s="98">
        <f>D282/0.003861</f>
        <v>31.320224804045552</v>
      </c>
      <c r="F282" s="99">
        <v>0.4942528735632184</v>
      </c>
      <c r="G282" s="42">
        <v>0.22126436781609196</v>
      </c>
      <c r="H282" s="42">
        <v>0.11494252873563218</v>
      </c>
      <c r="I282" s="42">
        <v>0</v>
      </c>
      <c r="J282" s="42">
        <v>0</v>
      </c>
      <c r="K282" s="42">
        <v>0</v>
      </c>
      <c r="L282" s="42">
        <v>8.3333333333333329E-2</v>
      </c>
      <c r="M282" s="42">
        <v>6.8965517241379309E-2</v>
      </c>
      <c r="N282" s="42">
        <v>1.7241379310344827E-2</v>
      </c>
      <c r="O282" s="42">
        <v>0</v>
      </c>
      <c r="P282" s="42">
        <v>0</v>
      </c>
      <c r="Q282" s="42">
        <v>0</v>
      </c>
      <c r="R282" s="42">
        <v>0</v>
      </c>
      <c r="S282" s="42">
        <v>0</v>
      </c>
      <c r="T282" s="100">
        <v>0</v>
      </c>
      <c r="V282" s="42">
        <f>F282+S282+T282</f>
        <v>0.4942528735632184</v>
      </c>
      <c r="W282" s="42">
        <f>Q282+R282</f>
        <v>0</v>
      </c>
      <c r="X282" s="42">
        <f>SUM(K282:P282)</f>
        <v>0.16954022988505749</v>
      </c>
      <c r="Y282" s="42">
        <f>SUM(G282:I282)</f>
        <v>0.33620689655172414</v>
      </c>
      <c r="Z282" s="42">
        <f>J282</f>
        <v>0</v>
      </c>
      <c r="AA282" s="42">
        <f>SUM(V282:Z282)</f>
        <v>1</v>
      </c>
    </row>
    <row r="283" spans="1:27" x14ac:dyDescent="0.3">
      <c r="A283" s="115" t="s">
        <v>1714</v>
      </c>
      <c r="B283" s="95" t="s">
        <v>1715</v>
      </c>
      <c r="C283" s="95">
        <v>1471</v>
      </c>
      <c r="D283" s="97">
        <f t="shared" si="48"/>
        <v>0.51116145891248743</v>
      </c>
      <c r="E283" s="98">
        <f t="shared" si="49"/>
        <v>132.39095024928449</v>
      </c>
      <c r="F283" s="99">
        <v>9.5853161114887828E-2</v>
      </c>
      <c r="G283" s="42">
        <v>2.5832766825288921E-2</v>
      </c>
      <c r="H283" s="42">
        <v>0</v>
      </c>
      <c r="I283" s="42">
        <v>0</v>
      </c>
      <c r="J283" s="42">
        <v>0</v>
      </c>
      <c r="K283" s="42">
        <v>0</v>
      </c>
      <c r="L283" s="42">
        <v>0.45887151597552683</v>
      </c>
      <c r="M283" s="42">
        <v>5.3025152957171993E-2</v>
      </c>
      <c r="N283" s="42">
        <v>0.31679129843643777</v>
      </c>
      <c r="O283" s="42">
        <v>5.4384772263766142E-3</v>
      </c>
      <c r="P283" s="42">
        <v>0</v>
      </c>
      <c r="Q283" s="42">
        <v>0</v>
      </c>
      <c r="R283" s="42">
        <v>0</v>
      </c>
      <c r="S283" s="42">
        <v>4.4187627464309993E-2</v>
      </c>
      <c r="T283" s="100">
        <v>0</v>
      </c>
      <c r="V283" s="42">
        <f t="shared" si="50"/>
        <v>0.14004078857919783</v>
      </c>
      <c r="W283" s="42">
        <f t="shared" si="51"/>
        <v>0</v>
      </c>
      <c r="X283" s="42">
        <f t="shared" si="52"/>
        <v>0.83412644459551311</v>
      </c>
      <c r="Y283" s="42">
        <f t="shared" si="53"/>
        <v>2.5832766825288921E-2</v>
      </c>
      <c r="Z283" s="42">
        <f t="shared" si="54"/>
        <v>0</v>
      </c>
      <c r="AA283" s="42">
        <f t="shared" si="55"/>
        <v>0.99999999999999978</v>
      </c>
    </row>
    <row r="284" spans="1:27" x14ac:dyDescent="0.3">
      <c r="A284" s="115"/>
      <c r="B284" s="16" t="s">
        <v>1367</v>
      </c>
      <c r="C284" s="102"/>
      <c r="D284" s="103">
        <f>C284/2877.76</f>
        <v>0</v>
      </c>
      <c r="E284" s="104">
        <f>D284/0.003861</f>
        <v>0</v>
      </c>
      <c r="F284" s="105"/>
      <c r="G284" s="42"/>
      <c r="H284" s="42"/>
      <c r="I284" s="42"/>
      <c r="J284" s="42"/>
      <c r="K284" s="42"/>
      <c r="L284" s="42"/>
      <c r="M284" s="42"/>
      <c r="N284" s="42"/>
      <c r="O284" s="42"/>
      <c r="P284" s="42"/>
      <c r="Q284" s="42"/>
      <c r="R284" s="42"/>
      <c r="S284" s="42"/>
      <c r="T284" s="106"/>
      <c r="V284" s="42"/>
      <c r="W284" s="42"/>
      <c r="X284" s="42"/>
      <c r="Y284" s="42"/>
      <c r="Z284" s="42"/>
      <c r="AA284" s="42"/>
    </row>
    <row r="285" spans="1:27" x14ac:dyDescent="0.3">
      <c r="A285" s="42" t="s">
        <v>1716</v>
      </c>
      <c r="B285" s="95" t="s">
        <v>1273</v>
      </c>
      <c r="C285" s="95">
        <v>3839</v>
      </c>
      <c r="D285" s="97">
        <f t="shared" si="48"/>
        <v>1.334023685088402</v>
      </c>
      <c r="E285" s="98">
        <f t="shared" si="49"/>
        <v>345.51247995037608</v>
      </c>
      <c r="F285" s="99">
        <v>4.8710601719197708E-2</v>
      </c>
      <c r="G285" s="42">
        <v>0.10679864548059391</v>
      </c>
      <c r="H285" s="42">
        <v>3.3862985152383431E-3</v>
      </c>
      <c r="I285" s="42">
        <v>4.1677520187548842E-3</v>
      </c>
      <c r="J285" s="42">
        <v>0</v>
      </c>
      <c r="K285" s="42">
        <v>0</v>
      </c>
      <c r="L285" s="42">
        <v>0.65251367543631156</v>
      </c>
      <c r="M285" s="42">
        <v>0.1041938004688721</v>
      </c>
      <c r="N285" s="42">
        <v>1.3024225058609012E-2</v>
      </c>
      <c r="O285" s="42">
        <v>1.1721802552748111E-2</v>
      </c>
      <c r="P285" s="42">
        <v>0</v>
      </c>
      <c r="Q285" s="42">
        <v>7.814535035165408E-3</v>
      </c>
      <c r="R285" s="42">
        <v>0</v>
      </c>
      <c r="S285" s="42">
        <v>3.8551706173482678E-2</v>
      </c>
      <c r="T285" s="100">
        <v>9.116957541026309E-3</v>
      </c>
      <c r="V285" s="42">
        <f t="shared" si="50"/>
        <v>9.6379265433706701E-2</v>
      </c>
      <c r="W285" s="42">
        <f t="shared" si="51"/>
        <v>7.814535035165408E-3</v>
      </c>
      <c r="X285" s="42">
        <f t="shared" si="52"/>
        <v>0.78145350351654075</v>
      </c>
      <c r="Y285" s="42">
        <f t="shared" si="53"/>
        <v>0.11435269601458714</v>
      </c>
      <c r="Z285" s="42">
        <f t="shared" si="54"/>
        <v>0</v>
      </c>
      <c r="AA285" s="42">
        <f t="shared" si="55"/>
        <v>1</v>
      </c>
    </row>
    <row r="286" spans="1:27" x14ac:dyDescent="0.3">
      <c r="A286" s="118"/>
      <c r="B286" s="16" t="s">
        <v>1372</v>
      </c>
      <c r="C286" s="102"/>
      <c r="D286" s="103">
        <f>C286/2877.76</f>
        <v>0</v>
      </c>
      <c r="E286" s="104">
        <f>D286/0.003861</f>
        <v>0</v>
      </c>
      <c r="F286" s="105"/>
      <c r="G286" s="42"/>
      <c r="H286" s="42"/>
      <c r="I286" s="42"/>
      <c r="J286" s="42"/>
      <c r="K286" s="42"/>
      <c r="L286" s="42"/>
      <c r="M286" s="42"/>
      <c r="N286" s="42"/>
      <c r="O286" s="42"/>
      <c r="P286" s="42"/>
      <c r="Q286" s="42"/>
      <c r="R286" s="42"/>
      <c r="S286" s="42"/>
      <c r="T286" s="106"/>
      <c r="V286" s="42"/>
      <c r="W286" s="42"/>
      <c r="X286" s="42"/>
      <c r="Y286" s="42"/>
      <c r="Z286" s="42"/>
      <c r="AA286" s="42"/>
    </row>
    <row r="287" spans="1:27" x14ac:dyDescent="0.3">
      <c r="A287" s="118" t="s">
        <v>1717</v>
      </c>
      <c r="B287" s="117" t="s">
        <v>1376</v>
      </c>
      <c r="C287" s="102"/>
      <c r="D287" s="103">
        <f>C287/2877.76</f>
        <v>0</v>
      </c>
      <c r="E287" s="104">
        <f>D287/0.003861</f>
        <v>0</v>
      </c>
      <c r="F287">
        <v>11.682242990000001</v>
      </c>
      <c r="G287">
        <v>10.59190031</v>
      </c>
      <c r="H287">
        <v>0.15576324</v>
      </c>
      <c r="I287">
        <v>0</v>
      </c>
      <c r="J287">
        <v>0</v>
      </c>
      <c r="K287">
        <v>0</v>
      </c>
      <c r="L287">
        <v>12.46105919</v>
      </c>
      <c r="M287">
        <v>12.30529595</v>
      </c>
      <c r="N287">
        <v>32.866043609999899</v>
      </c>
      <c r="O287">
        <v>0</v>
      </c>
      <c r="P287">
        <v>0.62305295999999999</v>
      </c>
      <c r="Q287">
        <v>19.314641739999999</v>
      </c>
      <c r="R287">
        <v>0</v>
      </c>
      <c r="S287">
        <v>0</v>
      </c>
      <c r="T287">
        <v>0</v>
      </c>
      <c r="V287">
        <f t="shared" ref="V287" si="56">F287+S287+T287</f>
        <v>11.682242990000001</v>
      </c>
      <c r="W287">
        <f t="shared" ref="W287" si="57">Q287+R287</f>
        <v>19.314641739999999</v>
      </c>
      <c r="X287">
        <f t="shared" ref="X287" si="58">SUM(K287:P287)</f>
        <v>58.255451709999903</v>
      </c>
      <c r="Y287">
        <f t="shared" ref="Y287" si="59">SUM(G287:I287)</f>
        <v>10.74766355</v>
      </c>
      <c r="Z287">
        <f t="shared" ref="Z287" si="60">J287</f>
        <v>0</v>
      </c>
      <c r="AA287">
        <f t="shared" ref="AA287" si="61">SUM(V287:Z287)</f>
        <v>99.999999989999907</v>
      </c>
    </row>
    <row r="288" spans="1:27" x14ac:dyDescent="0.3">
      <c r="A288" s="108" t="s">
        <v>1718</v>
      </c>
      <c r="B288" s="95" t="s">
        <v>1719</v>
      </c>
      <c r="C288" s="95">
        <v>956</v>
      </c>
      <c r="D288" s="97">
        <f>C288/2877.76</f>
        <v>0.33220282441899252</v>
      </c>
      <c r="E288" s="98">
        <f>D288/0.003861</f>
        <v>86.040617565136628</v>
      </c>
      <c r="F288" s="99">
        <v>3.1380753138075312E-2</v>
      </c>
      <c r="G288" s="42">
        <v>0.21861924686192469</v>
      </c>
      <c r="H288" s="42">
        <v>0</v>
      </c>
      <c r="I288" s="42">
        <v>0</v>
      </c>
      <c r="J288" s="42">
        <v>0</v>
      </c>
      <c r="K288" s="42">
        <v>0</v>
      </c>
      <c r="L288" s="42">
        <v>0.66317991631799167</v>
      </c>
      <c r="M288" s="42">
        <v>2.5104602510460251E-2</v>
      </c>
      <c r="N288" s="42">
        <v>0</v>
      </c>
      <c r="O288" s="42">
        <v>4.079497907949791E-2</v>
      </c>
      <c r="P288" s="42">
        <v>0</v>
      </c>
      <c r="Q288" s="42">
        <v>3.1380753138075313E-3</v>
      </c>
      <c r="R288" s="42">
        <v>0</v>
      </c>
      <c r="S288" s="42">
        <v>1.0460251046025104E-2</v>
      </c>
      <c r="T288" s="100">
        <v>7.3221757322175732E-3</v>
      </c>
      <c r="V288" s="42">
        <f>F288+S288+T288</f>
        <v>4.9163179916317988E-2</v>
      </c>
      <c r="W288" s="42">
        <f>Q288+R288</f>
        <v>3.1380753138075313E-3</v>
      </c>
      <c r="X288" s="42">
        <f>SUM(K288:P288)</f>
        <v>0.72907949790794979</v>
      </c>
      <c r="Y288" s="42">
        <f>SUM(G288:I288)</f>
        <v>0.21861924686192469</v>
      </c>
      <c r="Z288" s="42">
        <f>J288</f>
        <v>0</v>
      </c>
      <c r="AA288" s="42">
        <f>SUM(V288:Z288)</f>
        <v>1</v>
      </c>
    </row>
    <row r="289" spans="1:27" x14ac:dyDescent="0.3">
      <c r="A289" s="108" t="s">
        <v>1720</v>
      </c>
      <c r="B289" s="95" t="s">
        <v>1721</v>
      </c>
      <c r="C289" s="95">
        <v>752</v>
      </c>
      <c r="D289" s="97">
        <f t="shared" si="48"/>
        <v>0.26131435560991878</v>
      </c>
      <c r="E289" s="98">
        <f t="shared" si="49"/>
        <v>67.680485783454756</v>
      </c>
      <c r="F289" s="99">
        <v>8.2446808510638292E-2</v>
      </c>
      <c r="G289" s="42">
        <v>0</v>
      </c>
      <c r="H289" s="42">
        <v>0</v>
      </c>
      <c r="I289" s="42">
        <v>0</v>
      </c>
      <c r="J289" s="42">
        <v>0</v>
      </c>
      <c r="K289" s="42">
        <v>0</v>
      </c>
      <c r="L289" s="42">
        <v>0.74202127659574468</v>
      </c>
      <c r="M289" s="42">
        <v>0</v>
      </c>
      <c r="N289" s="42">
        <v>3.3244680851063829E-2</v>
      </c>
      <c r="O289" s="42">
        <v>2.6595744680851063E-3</v>
      </c>
      <c r="P289" s="42">
        <v>0</v>
      </c>
      <c r="Q289" s="42">
        <v>0.12632978723404256</v>
      </c>
      <c r="R289" s="42">
        <v>1.3297872340425532E-2</v>
      </c>
      <c r="S289" s="42">
        <v>0</v>
      </c>
      <c r="T289" s="100">
        <v>0</v>
      </c>
      <c r="V289" s="42">
        <f t="shared" si="50"/>
        <v>8.2446808510638292E-2</v>
      </c>
      <c r="W289" s="42">
        <f t="shared" si="51"/>
        <v>0.1396276595744681</v>
      </c>
      <c r="X289" s="42">
        <f t="shared" si="52"/>
        <v>0.77792553191489355</v>
      </c>
      <c r="Y289" s="42">
        <f t="shared" si="53"/>
        <v>0</v>
      </c>
      <c r="Z289" s="42">
        <f t="shared" si="54"/>
        <v>0</v>
      </c>
      <c r="AA289" s="42">
        <f t="shared" si="55"/>
        <v>1</v>
      </c>
    </row>
    <row r="290" spans="1:27" x14ac:dyDescent="0.3">
      <c r="A290" s="42"/>
      <c r="B290" s="16" t="s">
        <v>1386</v>
      </c>
      <c r="C290" s="102"/>
      <c r="D290" s="103">
        <f>C290/2877.76</f>
        <v>0</v>
      </c>
      <c r="E290" s="104">
        <f>D290/0.003861</f>
        <v>0</v>
      </c>
      <c r="F290" s="105"/>
      <c r="G290" s="42"/>
      <c r="H290" s="42"/>
      <c r="I290" s="42"/>
      <c r="J290" s="42"/>
      <c r="K290" s="42"/>
      <c r="L290" s="42"/>
      <c r="M290" s="42"/>
      <c r="N290" s="42"/>
      <c r="O290" s="42"/>
      <c r="P290" s="42"/>
      <c r="Q290" s="42"/>
      <c r="R290" s="42"/>
      <c r="S290" s="42"/>
      <c r="T290" s="106"/>
      <c r="V290" s="42"/>
      <c r="W290" s="42"/>
      <c r="X290" s="42"/>
      <c r="Y290" s="42"/>
      <c r="Z290" s="42"/>
      <c r="AA290" s="42"/>
    </row>
    <row r="291" spans="1:27" x14ac:dyDescent="0.3">
      <c r="A291" s="42" t="s">
        <v>1722</v>
      </c>
      <c r="B291" s="95" t="s">
        <v>1329</v>
      </c>
      <c r="C291" s="95">
        <v>43557</v>
      </c>
      <c r="D291" s="97">
        <f t="shared" si="48"/>
        <v>15.135730568219726</v>
      </c>
      <c r="E291" s="98">
        <f t="shared" si="49"/>
        <v>3920.1581373270465</v>
      </c>
      <c r="F291" s="99">
        <v>5.8153683678857586E-2</v>
      </c>
      <c r="G291" s="42">
        <v>6.1390821222765575E-2</v>
      </c>
      <c r="H291" s="42">
        <v>1.6690773010078746E-2</v>
      </c>
      <c r="I291" s="42">
        <v>8.1043230709185662E-3</v>
      </c>
      <c r="J291" s="42">
        <v>3.4667217668801799E-3</v>
      </c>
      <c r="K291" s="42">
        <v>4.1325160134995524E-4</v>
      </c>
      <c r="L291" s="42">
        <v>0.29315609431319878</v>
      </c>
      <c r="M291" s="42">
        <v>2.433592763505292E-2</v>
      </c>
      <c r="N291" s="42">
        <v>1.6989232499942605E-2</v>
      </c>
      <c r="O291" s="42">
        <v>7.0918566476111763E-2</v>
      </c>
      <c r="P291" s="42">
        <v>4.1095575912023325E-3</v>
      </c>
      <c r="Q291" s="42">
        <v>0.21688821544183484</v>
      </c>
      <c r="R291" s="42">
        <v>0.14906903597584775</v>
      </c>
      <c r="S291" s="42">
        <v>5.9163854259935256E-2</v>
      </c>
      <c r="T291" s="100">
        <v>1.7149941456023141E-2</v>
      </c>
      <c r="V291" s="42">
        <f t="shared" ref="V291:V310" si="62">F291+S291+T291</f>
        <v>0.13446747939481599</v>
      </c>
      <c r="W291" s="42">
        <f t="shared" ref="W291:W310" si="63">Q291+R291</f>
        <v>0.36595725141768259</v>
      </c>
      <c r="X291" s="42">
        <f t="shared" ref="X291:X310" si="64">SUM(K291:P291)</f>
        <v>0.40992263011685842</v>
      </c>
      <c r="Y291" s="42">
        <f t="shared" ref="Y291:Y310" si="65">SUM(G291:I291)</f>
        <v>8.6185917303762877E-2</v>
      </c>
      <c r="Z291" s="42">
        <f t="shared" ref="Z291:Z310" si="66">J291</f>
        <v>3.4667217668801799E-3</v>
      </c>
      <c r="AA291" s="42">
        <f t="shared" ref="AA291:AA310" si="67">SUM(V291:Z291)</f>
        <v>1.0000000000000002</v>
      </c>
    </row>
    <row r="292" spans="1:27" x14ac:dyDescent="0.3">
      <c r="A292" s="42" t="s">
        <v>1723</v>
      </c>
      <c r="B292" s="102" t="s">
        <v>1391</v>
      </c>
      <c r="C292" s="120">
        <v>15511</v>
      </c>
      <c r="D292" s="97">
        <f t="shared" si="48"/>
        <v>5.3899560769487378</v>
      </c>
      <c r="E292" s="98">
        <f t="shared" si="49"/>
        <v>1396.0000199297431</v>
      </c>
      <c r="F292" s="99">
        <v>9.3933337631358388E-2</v>
      </c>
      <c r="G292" s="42">
        <v>3.3073302817355425E-2</v>
      </c>
      <c r="H292" s="42">
        <v>2.7722261620785251E-3</v>
      </c>
      <c r="I292" s="42">
        <v>1.2249371413835342E-3</v>
      </c>
      <c r="J292" s="42">
        <v>0</v>
      </c>
      <c r="K292" s="42">
        <v>0</v>
      </c>
      <c r="L292" s="42">
        <v>0.38591966991167559</v>
      </c>
      <c r="M292" s="42">
        <v>0.12249371413835343</v>
      </c>
      <c r="N292" s="42">
        <v>6.350332022435691E-2</v>
      </c>
      <c r="O292" s="42">
        <v>5.8345690155373608E-2</v>
      </c>
      <c r="P292" s="42">
        <v>0</v>
      </c>
      <c r="Q292" s="42">
        <v>0.13010121849010381</v>
      </c>
      <c r="R292" s="42">
        <v>7.3238346979562885E-2</v>
      </c>
      <c r="S292" s="42">
        <v>3.0172135903552319E-2</v>
      </c>
      <c r="T292" s="100">
        <v>5.2221004448455939E-3</v>
      </c>
      <c r="V292" s="42">
        <f t="shared" si="62"/>
        <v>0.12932757397975631</v>
      </c>
      <c r="W292" s="42">
        <f t="shared" si="63"/>
        <v>0.20333956546966669</v>
      </c>
      <c r="X292" s="42">
        <f t="shared" si="64"/>
        <v>0.63026239442975951</v>
      </c>
      <c r="Y292" s="42">
        <f t="shared" si="65"/>
        <v>3.7070466120817484E-2</v>
      </c>
      <c r="Z292" s="42">
        <f t="shared" si="66"/>
        <v>0</v>
      </c>
      <c r="AA292" s="42">
        <f t="shared" si="67"/>
        <v>1</v>
      </c>
    </row>
    <row r="293" spans="1:27" x14ac:dyDescent="0.3">
      <c r="A293" s="42" t="s">
        <v>1724</v>
      </c>
      <c r="B293" s="121" t="s">
        <v>1394</v>
      </c>
      <c r="C293" s="96">
        <v>9145</v>
      </c>
      <c r="D293" s="122">
        <f t="shared" si="48"/>
        <v>3.1778188591126431</v>
      </c>
      <c r="E293" s="122">
        <f t="shared" si="49"/>
        <v>823.05590756608217</v>
      </c>
      <c r="F293" s="42">
        <v>0.14248223072717331</v>
      </c>
      <c r="G293" s="42">
        <v>8.0481137233460912E-2</v>
      </c>
      <c r="H293" s="42">
        <v>5.4674685620557679E-4</v>
      </c>
      <c r="I293" s="42">
        <v>0</v>
      </c>
      <c r="J293" s="42">
        <v>0</v>
      </c>
      <c r="K293" s="42">
        <v>0</v>
      </c>
      <c r="L293" s="42">
        <v>0.69939857845817388</v>
      </c>
      <c r="M293" s="42">
        <v>2.6790595954073265E-2</v>
      </c>
      <c r="N293" s="42">
        <v>1.2028430836522689E-2</v>
      </c>
      <c r="O293" s="42">
        <v>1.4215418261344997E-3</v>
      </c>
      <c r="P293" s="42">
        <v>1.9682886823400767E-3</v>
      </c>
      <c r="Q293" s="42">
        <v>2.1869874248223072E-3</v>
      </c>
      <c r="R293" s="42">
        <v>0</v>
      </c>
      <c r="S293" s="42">
        <v>3.2695462001093495E-2</v>
      </c>
      <c r="T293" s="100">
        <v>0</v>
      </c>
      <c r="V293" s="42">
        <f t="shared" si="62"/>
        <v>0.1751776927282668</v>
      </c>
      <c r="W293" s="42">
        <f t="shared" si="63"/>
        <v>2.1869874248223072E-3</v>
      </c>
      <c r="X293" s="42">
        <f t="shared" si="64"/>
        <v>0.74160743575724453</v>
      </c>
      <c r="Y293" s="42">
        <f t="shared" si="65"/>
        <v>8.1027884089666491E-2</v>
      </c>
      <c r="Z293" s="42">
        <f t="shared" si="66"/>
        <v>0</v>
      </c>
      <c r="AA293" s="42">
        <f t="shared" si="67"/>
        <v>1.0000000000000002</v>
      </c>
    </row>
    <row r="294" spans="1:27" x14ac:dyDescent="0.3">
      <c r="A294" s="42" t="s">
        <v>1725</v>
      </c>
      <c r="B294" s="121" t="s">
        <v>1396</v>
      </c>
      <c r="C294" s="123">
        <v>8454</v>
      </c>
      <c r="D294" s="124">
        <f t="shared" si="48"/>
        <v>2.9377015456466138</v>
      </c>
      <c r="E294" s="124">
        <f t="shared" si="49"/>
        <v>760.86546118793422</v>
      </c>
      <c r="F294" s="42">
        <v>0.12065294535131299</v>
      </c>
      <c r="G294" s="42">
        <v>0</v>
      </c>
      <c r="H294" s="42">
        <v>0</v>
      </c>
      <c r="I294" s="42">
        <v>0</v>
      </c>
      <c r="J294" s="42">
        <v>0</v>
      </c>
      <c r="K294" s="42">
        <v>0</v>
      </c>
      <c r="L294" s="42">
        <v>0.56328365270877689</v>
      </c>
      <c r="M294" s="42">
        <v>0.18653891648923587</v>
      </c>
      <c r="N294" s="42">
        <v>9.52211970664774E-2</v>
      </c>
      <c r="O294" s="42">
        <v>2.4485450674237047E-2</v>
      </c>
      <c r="P294" s="42">
        <v>0</v>
      </c>
      <c r="Q294" s="42">
        <v>0</v>
      </c>
      <c r="R294" s="42">
        <v>0</v>
      </c>
      <c r="S294" s="42">
        <v>1.4194464158977999E-3</v>
      </c>
      <c r="T294" s="42">
        <v>8.3983912940619829E-3</v>
      </c>
      <c r="V294" s="42">
        <f t="shared" si="62"/>
        <v>0.13047078306127277</v>
      </c>
      <c r="W294" s="42">
        <f t="shared" si="63"/>
        <v>0</v>
      </c>
      <c r="X294" s="42">
        <f t="shared" si="64"/>
        <v>0.86952921693872709</v>
      </c>
      <c r="Y294" s="42">
        <f t="shared" si="65"/>
        <v>0</v>
      </c>
      <c r="Z294" s="42">
        <f t="shared" si="66"/>
        <v>0</v>
      </c>
      <c r="AA294" s="42">
        <f t="shared" si="67"/>
        <v>0.99999999999999989</v>
      </c>
    </row>
    <row r="295" spans="1:27" x14ac:dyDescent="0.3">
      <c r="A295" s="42" t="s">
        <v>1726</v>
      </c>
      <c r="B295" s="121" t="s">
        <v>1399</v>
      </c>
      <c r="C295" s="95">
        <v>57874</v>
      </c>
      <c r="D295" s="97">
        <f t="shared" si="48"/>
        <v>20.110780607138885</v>
      </c>
      <c r="E295" s="97">
        <f t="shared" si="49"/>
        <v>5208.6973859463578</v>
      </c>
      <c r="F295" s="42">
        <v>2.4311435186785083E-2</v>
      </c>
      <c r="G295" s="42">
        <v>2.6523136468880673E-2</v>
      </c>
      <c r="H295" s="42">
        <v>1.6933337941044337E-3</v>
      </c>
      <c r="I295" s="42">
        <v>1.0367349759823064E-3</v>
      </c>
      <c r="J295" s="42">
        <v>0</v>
      </c>
      <c r="K295" s="42">
        <v>8.985036458513322E-4</v>
      </c>
      <c r="L295" s="42">
        <v>0.38722051352939146</v>
      </c>
      <c r="M295" s="42">
        <v>0.19628848878598334</v>
      </c>
      <c r="N295" s="42">
        <v>0.1834675329163355</v>
      </c>
      <c r="O295" s="42">
        <v>1.07129280851505E-3</v>
      </c>
      <c r="P295" s="42">
        <v>3.0583681791478039E-3</v>
      </c>
      <c r="Q295" s="42">
        <v>5.8782873138196773E-2</v>
      </c>
      <c r="R295" s="42">
        <v>2.6263952724885093E-3</v>
      </c>
      <c r="S295" s="42">
        <v>0.10861526765041296</v>
      </c>
      <c r="T295" s="42">
        <v>4.406123647924802E-3</v>
      </c>
      <c r="V295" s="42">
        <f t="shared" si="62"/>
        <v>0.13733282648512285</v>
      </c>
      <c r="W295" s="42">
        <f t="shared" si="63"/>
        <v>6.140926841068528E-2</v>
      </c>
      <c r="X295" s="42">
        <f t="shared" si="64"/>
        <v>0.77200469986522458</v>
      </c>
      <c r="Y295" s="42">
        <f t="shared" si="65"/>
        <v>2.9253205238967413E-2</v>
      </c>
      <c r="Z295" s="42">
        <f t="shared" si="66"/>
        <v>0</v>
      </c>
      <c r="AA295" s="42">
        <f t="shared" si="67"/>
        <v>1</v>
      </c>
    </row>
    <row r="296" spans="1:27" x14ac:dyDescent="0.3">
      <c r="A296" s="110" t="s">
        <v>1727</v>
      </c>
      <c r="B296" s="121" t="s">
        <v>1405</v>
      </c>
      <c r="C296" s="95">
        <v>635</v>
      </c>
      <c r="D296" s="97">
        <f t="shared" si="48"/>
        <v>0.22065773379295006</v>
      </c>
      <c r="E296" s="97">
        <f t="shared" si="49"/>
        <v>57.150410202784272</v>
      </c>
      <c r="F296" s="42">
        <v>3.4645669291338582E-2</v>
      </c>
      <c r="G296" s="42">
        <v>3.3070866141732283E-2</v>
      </c>
      <c r="H296" s="42">
        <v>0</v>
      </c>
      <c r="I296" s="42">
        <v>0</v>
      </c>
      <c r="J296" s="42">
        <v>0</v>
      </c>
      <c r="K296" s="42">
        <v>0</v>
      </c>
      <c r="L296" s="42">
        <v>0.30393700787401573</v>
      </c>
      <c r="M296" s="42">
        <v>0</v>
      </c>
      <c r="N296" s="42">
        <v>8.3464566929133857E-2</v>
      </c>
      <c r="O296" s="42">
        <v>0</v>
      </c>
      <c r="P296" s="42">
        <v>0</v>
      </c>
      <c r="Q296" s="42">
        <v>0.46456692913385828</v>
      </c>
      <c r="R296" s="42">
        <v>0</v>
      </c>
      <c r="S296" s="42">
        <v>8.0314960629921259E-2</v>
      </c>
      <c r="T296" s="42">
        <v>0</v>
      </c>
      <c r="V296" s="42">
        <f t="shared" si="62"/>
        <v>0.11496062992125984</v>
      </c>
      <c r="W296" s="42">
        <f t="shared" si="63"/>
        <v>0.46456692913385828</v>
      </c>
      <c r="X296" s="42">
        <f t="shared" si="64"/>
        <v>0.38740157480314957</v>
      </c>
      <c r="Y296" s="42">
        <f t="shared" si="65"/>
        <v>3.3070866141732283E-2</v>
      </c>
      <c r="Z296" s="42">
        <f t="shared" si="66"/>
        <v>0</v>
      </c>
      <c r="AA296" s="42">
        <f t="shared" si="67"/>
        <v>1</v>
      </c>
    </row>
    <row r="297" spans="1:27" x14ac:dyDescent="0.3">
      <c r="A297" s="101" t="s">
        <v>1728</v>
      </c>
      <c r="B297" s="121" t="s">
        <v>1729</v>
      </c>
      <c r="C297" s="95">
        <v>237558</v>
      </c>
      <c r="D297" s="97">
        <f t="shared" si="48"/>
        <v>82.549621928166346</v>
      </c>
      <c r="E297" s="97">
        <f t="shared" si="49"/>
        <v>21380.373459768543</v>
      </c>
      <c r="F297" s="42">
        <v>5.6487257848609605E-2</v>
      </c>
      <c r="G297" s="42">
        <v>1.2093888650350651E-2</v>
      </c>
      <c r="H297" s="42">
        <v>1.4480674193249649E-3</v>
      </c>
      <c r="I297" s="42">
        <v>9.008326387661119E-4</v>
      </c>
      <c r="J297" s="42">
        <v>3.1150287508734711E-4</v>
      </c>
      <c r="K297" s="42">
        <v>2.8750873470899736E-3</v>
      </c>
      <c r="L297" s="42">
        <v>0.52370789449313426</v>
      </c>
      <c r="M297" s="42">
        <v>0.20706943146515799</v>
      </c>
      <c r="N297" s="42">
        <v>9.1080914976553101E-2</v>
      </c>
      <c r="O297" s="42">
        <v>3.9215686274509803E-2</v>
      </c>
      <c r="P297" s="42">
        <v>3.4307411242728092E-3</v>
      </c>
      <c r="Q297" s="42">
        <v>5.7670126874279125E-4</v>
      </c>
      <c r="R297" s="42">
        <v>1.3470394598371767E-4</v>
      </c>
      <c r="S297" s="42">
        <v>5.5918975576490795E-2</v>
      </c>
      <c r="T297" s="42">
        <v>4.7483140959260475E-3</v>
      </c>
      <c r="V297" s="42">
        <f t="shared" si="62"/>
        <v>0.11715454752102644</v>
      </c>
      <c r="W297" s="42">
        <f t="shared" si="63"/>
        <v>7.1140521472650895E-4</v>
      </c>
      <c r="X297" s="42">
        <f t="shared" si="64"/>
        <v>0.8673797556807179</v>
      </c>
      <c r="Y297" s="42">
        <f t="shared" si="65"/>
        <v>1.4442788708441727E-2</v>
      </c>
      <c r="Z297" s="42">
        <f t="shared" si="66"/>
        <v>3.1150287508734711E-4</v>
      </c>
      <c r="AA297" s="42">
        <f t="shared" si="67"/>
        <v>0.99999999999999989</v>
      </c>
    </row>
    <row r="298" spans="1:27" x14ac:dyDescent="0.3">
      <c r="A298" s="42" t="s">
        <v>1730</v>
      </c>
      <c r="B298" s="121" t="s">
        <v>1412</v>
      </c>
      <c r="C298" s="95">
        <v>95224</v>
      </c>
      <c r="D298" s="97">
        <f t="shared" si="48"/>
        <v>33.089625264094295</v>
      </c>
      <c r="E298" s="97">
        <f t="shared" si="49"/>
        <v>8570.2215136219365</v>
      </c>
      <c r="F298" s="42">
        <v>3.6387885407040244E-2</v>
      </c>
      <c r="G298" s="42">
        <v>5.6340838444089728E-2</v>
      </c>
      <c r="H298" s="42">
        <v>1.5636814248508778E-2</v>
      </c>
      <c r="I298" s="42">
        <v>4.9252289338822149E-3</v>
      </c>
      <c r="J298" s="42">
        <v>1.7222548937242711E-3</v>
      </c>
      <c r="K298" s="42">
        <v>1.8902797614046878E-4</v>
      </c>
      <c r="L298" s="42">
        <v>0.35346131227421657</v>
      </c>
      <c r="M298" s="42">
        <v>3.2617827438460895E-2</v>
      </c>
      <c r="N298" s="42">
        <v>2.8753255481811308E-2</v>
      </c>
      <c r="O298" s="42">
        <v>5.0796017810635974E-2</v>
      </c>
      <c r="P298" s="42">
        <v>3.4760144501386203E-3</v>
      </c>
      <c r="Q298" s="42">
        <v>0.17018818785180206</v>
      </c>
      <c r="R298" s="42">
        <v>0.18599302696799128</v>
      </c>
      <c r="S298" s="42">
        <v>4.7109972275896833E-2</v>
      </c>
      <c r="T298" s="42">
        <v>1.2402335545660758E-2</v>
      </c>
      <c r="V298" s="42">
        <f t="shared" si="62"/>
        <v>9.590019322859783E-2</v>
      </c>
      <c r="W298" s="42">
        <f t="shared" si="63"/>
        <v>0.35618121481979337</v>
      </c>
      <c r="X298" s="42">
        <f t="shared" si="64"/>
        <v>0.46929345543140377</v>
      </c>
      <c r="Y298" s="42">
        <f t="shared" si="65"/>
        <v>7.6902881626480721E-2</v>
      </c>
      <c r="Z298" s="42">
        <f t="shared" si="66"/>
        <v>1.7222548937242711E-3</v>
      </c>
      <c r="AA298" s="42">
        <f t="shared" si="67"/>
        <v>0.99999999999999989</v>
      </c>
    </row>
    <row r="299" spans="1:27" x14ac:dyDescent="0.3">
      <c r="A299" s="42" t="s">
        <v>1731</v>
      </c>
      <c r="B299" s="47" t="s">
        <v>1417</v>
      </c>
      <c r="C299" s="95">
        <v>218380</v>
      </c>
      <c r="D299" s="97">
        <f>C299/2877.76</f>
        <v>75.885410875125089</v>
      </c>
      <c r="E299" s="97">
        <f>D299/0.003861</f>
        <v>19654.341070998471</v>
      </c>
      <c r="F299" s="42">
        <v>0.23466892572579906</v>
      </c>
      <c r="G299" s="42">
        <v>1.8193057972341789E-2</v>
      </c>
      <c r="H299" s="42">
        <v>6.0445095704734868E-4</v>
      </c>
      <c r="I299" s="42">
        <v>5.0828830478981597E-4</v>
      </c>
      <c r="J299" s="42">
        <v>0</v>
      </c>
      <c r="K299" s="42">
        <v>0</v>
      </c>
      <c r="L299" s="42">
        <v>0.33242055133253962</v>
      </c>
      <c r="M299" s="42">
        <v>0.3179457825808224</v>
      </c>
      <c r="N299" s="42">
        <v>5.7477791006502424E-2</v>
      </c>
      <c r="O299" s="42">
        <v>1.9869035625973076E-2</v>
      </c>
      <c r="P299" s="42">
        <v>2.3674329151021157E-3</v>
      </c>
      <c r="Q299" s="42">
        <v>3.7091308727905486E-4</v>
      </c>
      <c r="R299" s="42">
        <v>0</v>
      </c>
      <c r="S299" s="42">
        <v>1.2331715358549317E-2</v>
      </c>
      <c r="T299" s="42">
        <v>3.242055133253961E-3</v>
      </c>
      <c r="V299" s="42">
        <f>F299+S299+T299</f>
        <v>0.25024269621760237</v>
      </c>
      <c r="W299" s="42">
        <f>Q299+R299</f>
        <v>3.7091308727905486E-4</v>
      </c>
      <c r="X299" s="42">
        <f>SUM(K299:P299)</f>
        <v>0.73008059346093968</v>
      </c>
      <c r="Y299" s="42">
        <f>SUM(G299:I299)</f>
        <v>1.9305797234178954E-2</v>
      </c>
      <c r="Z299" s="42">
        <f>J299</f>
        <v>0</v>
      </c>
      <c r="AA299" s="42">
        <f>SUM(V299:Z299)</f>
        <v>1</v>
      </c>
    </row>
    <row r="300" spans="1:27" x14ac:dyDescent="0.3">
      <c r="A300" s="42" t="s">
        <v>1731</v>
      </c>
      <c r="B300" s="47" t="s">
        <v>484</v>
      </c>
      <c r="C300" s="95">
        <v>218380</v>
      </c>
      <c r="D300" s="97">
        <f>C300/2877.76</f>
        <v>75.885410875125089</v>
      </c>
      <c r="E300" s="97">
        <f>D300/0.003861</f>
        <v>19654.341070998471</v>
      </c>
      <c r="F300" s="42">
        <v>0.23466892572579906</v>
      </c>
      <c r="G300" s="42">
        <v>1.8193057972341789E-2</v>
      </c>
      <c r="H300" s="42">
        <v>6.0445095704734868E-4</v>
      </c>
      <c r="I300" s="42">
        <v>5.0828830478981597E-4</v>
      </c>
      <c r="J300" s="42">
        <v>0</v>
      </c>
      <c r="K300" s="42">
        <v>0</v>
      </c>
      <c r="L300" s="42">
        <v>0.33242055133253962</v>
      </c>
      <c r="M300" s="42">
        <v>0.3179457825808224</v>
      </c>
      <c r="N300" s="42">
        <v>5.7477791006502424E-2</v>
      </c>
      <c r="O300" s="42">
        <v>1.9869035625973076E-2</v>
      </c>
      <c r="P300" s="42">
        <v>2.3674329151021157E-3</v>
      </c>
      <c r="Q300" s="42">
        <v>3.7091308727905486E-4</v>
      </c>
      <c r="R300" s="42">
        <v>0</v>
      </c>
      <c r="S300" s="42">
        <v>1.2331715358549317E-2</v>
      </c>
      <c r="T300" s="42">
        <v>3.242055133253961E-3</v>
      </c>
      <c r="V300" s="42">
        <f>F300+S300+T300</f>
        <v>0.25024269621760237</v>
      </c>
      <c r="W300" s="42">
        <f>Q300+R300</f>
        <v>3.7091308727905486E-4</v>
      </c>
      <c r="X300" s="42">
        <f>SUM(K300:P300)</f>
        <v>0.73008059346093968</v>
      </c>
      <c r="Y300" s="42">
        <f>SUM(G300:I300)</f>
        <v>1.9305797234178954E-2</v>
      </c>
      <c r="Z300" s="42">
        <f>J300</f>
        <v>0</v>
      </c>
      <c r="AA300" s="42">
        <f>SUM(V300:Z300)</f>
        <v>1</v>
      </c>
    </row>
    <row r="301" spans="1:27" x14ac:dyDescent="0.3">
      <c r="A301" s="42" t="s">
        <v>1732</v>
      </c>
      <c r="B301" s="121" t="s">
        <v>1421</v>
      </c>
      <c r="C301" s="95">
        <v>20037</v>
      </c>
      <c r="D301" s="97">
        <f t="shared" si="48"/>
        <v>6.9627071055265199</v>
      </c>
      <c r="E301" s="97">
        <f t="shared" si="49"/>
        <v>1803.3429436743124</v>
      </c>
      <c r="F301" s="42">
        <v>0.22278784249139091</v>
      </c>
      <c r="G301" s="42">
        <v>1.626990068373509E-2</v>
      </c>
      <c r="H301" s="42">
        <v>0</v>
      </c>
      <c r="I301" s="42">
        <v>0</v>
      </c>
      <c r="J301" s="42">
        <v>0</v>
      </c>
      <c r="K301" s="42">
        <v>0</v>
      </c>
      <c r="L301" s="42">
        <v>0.48101013125717423</v>
      </c>
      <c r="M301" s="42">
        <v>0.20052902131057543</v>
      </c>
      <c r="N301" s="42">
        <v>3.773019913160653E-2</v>
      </c>
      <c r="O301" s="42">
        <v>1.3025902081149872E-2</v>
      </c>
      <c r="P301" s="42">
        <v>0</v>
      </c>
      <c r="Q301" s="42">
        <v>0</v>
      </c>
      <c r="R301" s="42">
        <v>0</v>
      </c>
      <c r="S301" s="42">
        <v>9.7819034785646547E-3</v>
      </c>
      <c r="T301" s="42">
        <v>1.8865099565803265E-2</v>
      </c>
      <c r="V301" s="42">
        <f t="shared" si="62"/>
        <v>0.25143484553575884</v>
      </c>
      <c r="W301" s="42">
        <f t="shared" si="63"/>
        <v>0</v>
      </c>
      <c r="X301" s="42">
        <f t="shared" si="64"/>
        <v>0.73229525378050608</v>
      </c>
      <c r="Y301" s="42">
        <f t="shared" si="65"/>
        <v>1.626990068373509E-2</v>
      </c>
      <c r="Z301" s="42">
        <f t="shared" si="66"/>
        <v>0</v>
      </c>
      <c r="AA301" s="42">
        <f t="shared" si="67"/>
        <v>1</v>
      </c>
    </row>
    <row r="302" spans="1:27" x14ac:dyDescent="0.3">
      <c r="A302" s="42" t="s">
        <v>1733</v>
      </c>
      <c r="B302" s="121" t="s">
        <v>853</v>
      </c>
      <c r="C302" s="95">
        <v>11136</v>
      </c>
      <c r="D302" s="97">
        <f t="shared" si="48"/>
        <v>3.8696764149894358</v>
      </c>
      <c r="E302" s="97">
        <f t="shared" si="49"/>
        <v>1002.2471937294576</v>
      </c>
      <c r="F302" s="42">
        <v>9.3390804597701157E-3</v>
      </c>
      <c r="G302" s="42">
        <v>0.1492456896551724</v>
      </c>
      <c r="H302" s="42">
        <v>1.7061781609195404E-2</v>
      </c>
      <c r="I302" s="42">
        <v>1.2751436781609195E-2</v>
      </c>
      <c r="J302" s="42">
        <v>1.7061781609195403E-3</v>
      </c>
      <c r="K302" s="42">
        <v>0</v>
      </c>
      <c r="L302" s="42">
        <v>0.71668462643678166</v>
      </c>
      <c r="M302" s="42">
        <v>3.8164511494252873E-2</v>
      </c>
      <c r="N302" s="42">
        <v>4.4001436781609194E-3</v>
      </c>
      <c r="O302" s="42">
        <v>2.6041666666666665E-3</v>
      </c>
      <c r="P302" s="42">
        <v>0</v>
      </c>
      <c r="Q302" s="42">
        <v>2.27191091954023E-2</v>
      </c>
      <c r="R302" s="42">
        <v>0</v>
      </c>
      <c r="S302" s="42">
        <v>2.0384339080459769E-2</v>
      </c>
      <c r="T302" s="42">
        <v>4.9389367816091954E-3</v>
      </c>
      <c r="V302" s="42">
        <f t="shared" si="62"/>
        <v>3.4662356321839075E-2</v>
      </c>
      <c r="W302" s="42">
        <f t="shared" si="63"/>
        <v>2.27191091954023E-2</v>
      </c>
      <c r="X302" s="42">
        <f t="shared" si="64"/>
        <v>0.76185344827586199</v>
      </c>
      <c r="Y302" s="42">
        <f t="shared" si="65"/>
        <v>0.17905890804597702</v>
      </c>
      <c r="Z302" s="42">
        <f t="shared" si="66"/>
        <v>1.7061781609195403E-3</v>
      </c>
      <c r="AA302" s="42">
        <f t="shared" si="67"/>
        <v>0.99999999999999989</v>
      </c>
    </row>
    <row r="303" spans="1:27" x14ac:dyDescent="0.3">
      <c r="A303" s="42" t="s">
        <v>1734</v>
      </c>
      <c r="B303" s="121" t="s">
        <v>1424</v>
      </c>
      <c r="C303" s="95">
        <v>23742</v>
      </c>
      <c r="D303" s="97">
        <f t="shared" si="48"/>
        <v>8.2501667963971972</v>
      </c>
      <c r="E303" s="97">
        <f t="shared" si="49"/>
        <v>2136.7953370622113</v>
      </c>
      <c r="F303" s="42">
        <v>6.8738943644174877E-2</v>
      </c>
      <c r="G303" s="42">
        <v>6.3010698340493637E-2</v>
      </c>
      <c r="H303" s="42">
        <v>1.0951057198214135E-3</v>
      </c>
      <c r="I303" s="42">
        <v>3.369556060988965E-4</v>
      </c>
      <c r="J303" s="42">
        <v>0</v>
      </c>
      <c r="K303" s="42">
        <v>0</v>
      </c>
      <c r="L303" s="42">
        <v>0.76168814758655545</v>
      </c>
      <c r="M303" s="42">
        <v>1.1288012804313031E-2</v>
      </c>
      <c r="N303" s="42">
        <v>1.1709207311936653E-2</v>
      </c>
      <c r="O303" s="42">
        <v>3.1168393564147924E-3</v>
      </c>
      <c r="P303" s="42">
        <v>8.1711734478982397E-3</v>
      </c>
      <c r="Q303" s="42">
        <v>8.4238901524724122E-4</v>
      </c>
      <c r="R303" s="42">
        <v>0</v>
      </c>
      <c r="S303" s="42">
        <v>6.8149271333501807E-2</v>
      </c>
      <c r="T303" s="42">
        <v>1.8532558335439305E-3</v>
      </c>
      <c r="V303" s="42">
        <f t="shared" si="62"/>
        <v>0.1387414708112206</v>
      </c>
      <c r="W303" s="42">
        <f t="shared" si="63"/>
        <v>8.4238901524724122E-4</v>
      </c>
      <c r="X303" s="42">
        <f t="shared" si="64"/>
        <v>0.79597338050711819</v>
      </c>
      <c r="Y303" s="42">
        <f t="shared" si="65"/>
        <v>6.444275966641394E-2</v>
      </c>
      <c r="Z303" s="42">
        <f t="shared" si="66"/>
        <v>0</v>
      </c>
      <c r="AA303" s="42">
        <f t="shared" si="67"/>
        <v>1</v>
      </c>
    </row>
    <row r="304" spans="1:27" x14ac:dyDescent="0.3">
      <c r="A304" s="42" t="s">
        <v>1735</v>
      </c>
      <c r="B304" s="121" t="s">
        <v>1427</v>
      </c>
      <c r="C304" s="95">
        <v>35115</v>
      </c>
      <c r="D304" s="97">
        <f t="shared" si="48"/>
        <v>12.202198932503057</v>
      </c>
      <c r="E304" s="97">
        <f t="shared" si="49"/>
        <v>3160.3726838909756</v>
      </c>
      <c r="F304" s="42">
        <v>1.1277231952157197E-2</v>
      </c>
      <c r="G304" s="42">
        <v>1.1106364801366937E-2</v>
      </c>
      <c r="H304" s="42">
        <v>0</v>
      </c>
      <c r="I304" s="42">
        <v>0</v>
      </c>
      <c r="J304" s="42">
        <v>0</v>
      </c>
      <c r="K304" s="42">
        <v>0</v>
      </c>
      <c r="L304" s="42">
        <v>0.32433433005837958</v>
      </c>
      <c r="M304" s="42">
        <v>0.17012672647016944</v>
      </c>
      <c r="N304" s="42">
        <v>0.40395842232664103</v>
      </c>
      <c r="O304" s="42">
        <v>1.6801936494375623E-3</v>
      </c>
      <c r="P304" s="42">
        <v>5.1260145237078168E-4</v>
      </c>
      <c r="Q304" s="42">
        <v>3.3034315819450377E-2</v>
      </c>
      <c r="R304" s="42">
        <v>5.1260145237078168E-4</v>
      </c>
      <c r="S304" s="42">
        <v>4.2745265556030185E-2</v>
      </c>
      <c r="T304" s="42">
        <v>7.1194646162608575E-4</v>
      </c>
      <c r="V304" s="42">
        <f t="shared" si="62"/>
        <v>5.4734443969813466E-2</v>
      </c>
      <c r="W304" s="42">
        <f t="shared" si="63"/>
        <v>3.3546917271821158E-2</v>
      </c>
      <c r="X304" s="42">
        <f t="shared" si="64"/>
        <v>0.90061227395699839</v>
      </c>
      <c r="Y304" s="42">
        <f t="shared" si="65"/>
        <v>1.1106364801366937E-2</v>
      </c>
      <c r="Z304" s="42">
        <f t="shared" si="66"/>
        <v>0</v>
      </c>
      <c r="AA304" s="42">
        <f t="shared" si="67"/>
        <v>1</v>
      </c>
    </row>
    <row r="305" spans="1:27" x14ac:dyDescent="0.3">
      <c r="A305" s="42" t="s">
        <v>1736</v>
      </c>
      <c r="B305" s="121" t="s">
        <v>1431</v>
      </c>
      <c r="C305" s="95">
        <v>16476</v>
      </c>
      <c r="D305" s="97">
        <f t="shared" si="48"/>
        <v>5.7252863338151894</v>
      </c>
      <c r="E305" s="97">
        <f t="shared" si="49"/>
        <v>1482.8506433087773</v>
      </c>
      <c r="F305" s="42">
        <v>8.8553046856033019E-2</v>
      </c>
      <c r="G305" s="42">
        <v>4.2910900704054379E-2</v>
      </c>
      <c r="H305" s="42">
        <v>8.9220684632192286E-3</v>
      </c>
      <c r="I305" s="42">
        <v>2.002913328477786E-3</v>
      </c>
      <c r="J305" s="42">
        <v>0</v>
      </c>
      <c r="K305" s="42">
        <v>0</v>
      </c>
      <c r="L305" s="42">
        <v>0.44962369507161931</v>
      </c>
      <c r="M305" s="42">
        <v>0.11896091284292304</v>
      </c>
      <c r="N305" s="42">
        <v>0.14675892206846322</v>
      </c>
      <c r="O305" s="42">
        <v>2.2578295702840496E-2</v>
      </c>
      <c r="P305" s="42">
        <v>4.1879096868171883E-3</v>
      </c>
      <c r="Q305" s="42">
        <v>4.0058266569555721E-3</v>
      </c>
      <c r="R305" s="42">
        <v>0</v>
      </c>
      <c r="S305" s="42">
        <v>0.10269482884195193</v>
      </c>
      <c r="T305" s="42">
        <v>8.8006797766448167E-3</v>
      </c>
      <c r="V305" s="42">
        <f t="shared" si="62"/>
        <v>0.20004855547462977</v>
      </c>
      <c r="W305" s="42">
        <f t="shared" si="63"/>
        <v>4.0058266569555721E-3</v>
      </c>
      <c r="X305" s="42">
        <f t="shared" si="64"/>
        <v>0.74210973537266323</v>
      </c>
      <c r="Y305" s="42">
        <f t="shared" si="65"/>
        <v>5.3835882495751393E-2</v>
      </c>
      <c r="Z305" s="42">
        <f t="shared" si="66"/>
        <v>0</v>
      </c>
      <c r="AA305" s="42">
        <f t="shared" si="67"/>
        <v>1</v>
      </c>
    </row>
    <row r="306" spans="1:27" x14ac:dyDescent="0.3">
      <c r="A306" s="42" t="s">
        <v>1737</v>
      </c>
      <c r="B306" s="121" t="s">
        <v>1435</v>
      </c>
      <c r="C306" s="95">
        <v>11835</v>
      </c>
      <c r="D306" s="97">
        <f t="shared" si="48"/>
        <v>4.1125736684087624</v>
      </c>
      <c r="E306" s="97">
        <f t="shared" si="49"/>
        <v>1065.1576452755148</v>
      </c>
      <c r="F306" s="42">
        <v>0.12640473172792566</v>
      </c>
      <c r="G306" s="42">
        <v>4.089564850021124E-2</v>
      </c>
      <c r="H306" s="42">
        <v>1.1068863540346431E-2</v>
      </c>
      <c r="I306" s="42">
        <v>7.6045627376425851E-4</v>
      </c>
      <c r="J306" s="42">
        <v>0</v>
      </c>
      <c r="K306" s="42">
        <v>0</v>
      </c>
      <c r="L306" s="42">
        <v>0.68356569497253905</v>
      </c>
      <c r="M306" s="42">
        <v>5.4668356569497256E-2</v>
      </c>
      <c r="N306" s="42">
        <v>2.5348542458808618E-2</v>
      </c>
      <c r="O306" s="42">
        <v>9.2944655682298261E-3</v>
      </c>
      <c r="P306" s="42">
        <v>0</v>
      </c>
      <c r="Q306" s="42">
        <v>8.2805238698774822E-3</v>
      </c>
      <c r="R306" s="42">
        <v>0</v>
      </c>
      <c r="S306" s="42">
        <v>2.6362484157160963E-2</v>
      </c>
      <c r="T306" s="42">
        <v>1.3350232361639206E-2</v>
      </c>
      <c r="V306" s="42">
        <f t="shared" si="62"/>
        <v>0.16611744824672584</v>
      </c>
      <c r="W306" s="42">
        <f t="shared" si="63"/>
        <v>8.2805238698774822E-3</v>
      </c>
      <c r="X306" s="42">
        <f t="shared" si="64"/>
        <v>0.7728770595690746</v>
      </c>
      <c r="Y306" s="42">
        <f t="shared" si="65"/>
        <v>5.2724968314321934E-2</v>
      </c>
      <c r="Z306" s="42">
        <f t="shared" si="66"/>
        <v>0</v>
      </c>
      <c r="AA306" s="42">
        <f t="shared" si="67"/>
        <v>0.99999999999999989</v>
      </c>
    </row>
    <row r="307" spans="1:27" x14ac:dyDescent="0.3">
      <c r="A307" s="42" t="s">
        <v>1738</v>
      </c>
      <c r="B307" s="121" t="s">
        <v>1437</v>
      </c>
      <c r="C307" s="95">
        <v>1971</v>
      </c>
      <c r="D307" s="97">
        <f t="shared" si="48"/>
        <v>0.68490770599355044</v>
      </c>
      <c r="E307" s="97">
        <f t="shared" si="49"/>
        <v>177.39127324360283</v>
      </c>
      <c r="F307" s="42">
        <v>6.7478437341451036E-2</v>
      </c>
      <c r="G307" s="42">
        <v>4.8706240487062402E-2</v>
      </c>
      <c r="H307" s="42">
        <v>0</v>
      </c>
      <c r="I307" s="42">
        <v>0</v>
      </c>
      <c r="J307" s="42">
        <v>0</v>
      </c>
      <c r="K307" s="42">
        <v>0</v>
      </c>
      <c r="L307" s="42">
        <v>0.42313546423135462</v>
      </c>
      <c r="M307" s="42">
        <v>0.10096397767630644</v>
      </c>
      <c r="N307" s="42">
        <v>0.21562658548959918</v>
      </c>
      <c r="O307" s="42">
        <v>2.5367833587011668E-3</v>
      </c>
      <c r="P307" s="42">
        <v>0</v>
      </c>
      <c r="Q307" s="42">
        <v>0.13292744799594114</v>
      </c>
      <c r="R307" s="42">
        <v>0</v>
      </c>
      <c r="S307" s="42">
        <v>0</v>
      </c>
      <c r="T307" s="42">
        <v>8.6250634195839671E-3</v>
      </c>
      <c r="V307" s="42">
        <f t="shared" si="62"/>
        <v>7.6103500761035003E-2</v>
      </c>
      <c r="W307" s="42">
        <f t="shared" si="63"/>
        <v>0.13292744799594114</v>
      </c>
      <c r="X307" s="42">
        <f t="shared" si="64"/>
        <v>0.74226281075596123</v>
      </c>
      <c r="Y307" s="42">
        <f t="shared" si="65"/>
        <v>4.8706240487062402E-2</v>
      </c>
      <c r="Z307" s="42">
        <f t="shared" si="66"/>
        <v>0</v>
      </c>
      <c r="AA307" s="42">
        <f t="shared" si="67"/>
        <v>0.99999999999999978</v>
      </c>
    </row>
    <row r="308" spans="1:27" x14ac:dyDescent="0.3">
      <c r="A308" s="42" t="s">
        <v>1739</v>
      </c>
      <c r="B308" s="96" t="s">
        <v>1440</v>
      </c>
      <c r="C308" s="96">
        <v>22438</v>
      </c>
      <c r="D308" s="122">
        <f t="shared" si="48"/>
        <v>7.7970365840097848</v>
      </c>
      <c r="E308" s="125">
        <f t="shared" si="49"/>
        <v>2019.4344946930291</v>
      </c>
      <c r="F308" s="126">
        <v>1.2478830555307959E-2</v>
      </c>
      <c r="G308" s="42">
        <v>2.6160976914163473E-2</v>
      </c>
      <c r="H308" s="42">
        <v>7.1307603173188338E-4</v>
      </c>
      <c r="I308" s="42">
        <v>4.0110526784918442E-4</v>
      </c>
      <c r="J308" s="42">
        <v>0</v>
      </c>
      <c r="K308" s="42">
        <v>0</v>
      </c>
      <c r="L308" s="42">
        <v>0.62768517693199033</v>
      </c>
      <c r="M308" s="42">
        <v>0.20549959889473216</v>
      </c>
      <c r="N308" s="42">
        <v>9.3724930920759425E-2</v>
      </c>
      <c r="O308" s="42">
        <v>1.8272573313129513E-3</v>
      </c>
      <c r="P308" s="42">
        <v>1.4707193154470095E-3</v>
      </c>
      <c r="Q308" s="42">
        <v>0</v>
      </c>
      <c r="R308" s="42">
        <v>8.0221053569836883E-4</v>
      </c>
      <c r="S308" s="42">
        <v>2.0099830644442464E-2</v>
      </c>
      <c r="T308" s="127">
        <v>9.1362866565647561E-3</v>
      </c>
      <c r="V308" s="42">
        <f t="shared" si="62"/>
        <v>4.1714947856315174E-2</v>
      </c>
      <c r="W308" s="42">
        <f t="shared" si="63"/>
        <v>8.0221053569836883E-4</v>
      </c>
      <c r="X308" s="42">
        <f t="shared" si="64"/>
        <v>0.93020768339424176</v>
      </c>
      <c r="Y308" s="42">
        <f t="shared" si="65"/>
        <v>2.7275158213744544E-2</v>
      </c>
      <c r="Z308" s="42">
        <f t="shared" si="66"/>
        <v>0</v>
      </c>
      <c r="AA308" s="42">
        <f t="shared" si="67"/>
        <v>0.99999999999999978</v>
      </c>
    </row>
    <row r="309" spans="1:27" x14ac:dyDescent="0.3">
      <c r="A309" s="42" t="s">
        <v>1740</v>
      </c>
      <c r="B309" s="96" t="s">
        <v>1442</v>
      </c>
      <c r="C309" s="96">
        <v>5899</v>
      </c>
      <c r="D309" s="122">
        <f t="shared" si="48"/>
        <v>2.0498582230623819</v>
      </c>
      <c r="E309" s="125">
        <f t="shared" si="49"/>
        <v>530.91381068696762</v>
      </c>
      <c r="F309" s="126">
        <v>0.2500423800644177</v>
      </c>
      <c r="G309" s="42">
        <v>2.881844380403458E-3</v>
      </c>
      <c r="H309" s="42">
        <v>0</v>
      </c>
      <c r="I309" s="42">
        <v>0</v>
      </c>
      <c r="J309" s="42">
        <v>0</v>
      </c>
      <c r="K309" s="42">
        <v>0</v>
      </c>
      <c r="L309" s="42">
        <v>0.54992371588404809</v>
      </c>
      <c r="M309" s="42">
        <v>1.6612985251737582E-2</v>
      </c>
      <c r="N309" s="42">
        <v>0.17409730462790304</v>
      </c>
      <c r="O309" s="42">
        <v>0</v>
      </c>
      <c r="P309" s="42">
        <v>0</v>
      </c>
      <c r="Q309" s="42">
        <v>0</v>
      </c>
      <c r="R309" s="42">
        <v>0</v>
      </c>
      <c r="S309" s="42">
        <v>6.4417697914900826E-3</v>
      </c>
      <c r="T309" s="127">
        <v>0</v>
      </c>
      <c r="V309" s="42">
        <f t="shared" si="62"/>
        <v>0.25648414985590778</v>
      </c>
      <c r="W309" s="42">
        <f t="shared" si="63"/>
        <v>0</v>
      </c>
      <c r="X309" s="42">
        <f t="shared" si="64"/>
        <v>0.74063400576368876</v>
      </c>
      <c r="Y309" s="42">
        <f t="shared" si="65"/>
        <v>2.881844380403458E-3</v>
      </c>
      <c r="Z309" s="42">
        <f t="shared" si="66"/>
        <v>0</v>
      </c>
      <c r="AA309" s="42">
        <f t="shared" si="67"/>
        <v>1</v>
      </c>
    </row>
    <row r="310" spans="1:27" x14ac:dyDescent="0.3">
      <c r="A310" s="42" t="s">
        <v>1741</v>
      </c>
      <c r="B310" s="96" t="s">
        <v>1447</v>
      </c>
      <c r="C310" s="96">
        <v>9815</v>
      </c>
      <c r="D310" s="122">
        <f t="shared" si="48"/>
        <v>3.4106388302012673</v>
      </c>
      <c r="E310" s="125">
        <f t="shared" si="49"/>
        <v>883.35634037846864</v>
      </c>
      <c r="F310" s="126">
        <v>0.18033622007131941</v>
      </c>
      <c r="G310" s="42">
        <v>5.7666836474783496E-2</v>
      </c>
      <c r="H310" s="42">
        <v>1.2837493632195619E-2</v>
      </c>
      <c r="I310" s="42">
        <v>2.7508914926133469E-3</v>
      </c>
      <c r="J310" s="42">
        <v>0</v>
      </c>
      <c r="K310" s="42">
        <v>1.63015792154865E-3</v>
      </c>
      <c r="L310" s="42">
        <v>0.45277636271013755</v>
      </c>
      <c r="M310" s="42">
        <v>1.7320427916454408E-2</v>
      </c>
      <c r="N310" s="42">
        <v>0.260825267447784</v>
      </c>
      <c r="O310" s="42">
        <v>0</v>
      </c>
      <c r="P310" s="42">
        <v>0</v>
      </c>
      <c r="Q310" s="42">
        <v>1.2226184411614875E-3</v>
      </c>
      <c r="R310" s="42">
        <v>0</v>
      </c>
      <c r="S310" s="42">
        <v>1.2022414671421294E-2</v>
      </c>
      <c r="T310" s="127">
        <v>6.1130922058074376E-4</v>
      </c>
      <c r="V310" s="42">
        <f t="shared" si="62"/>
        <v>0.19296994396332146</v>
      </c>
      <c r="W310" s="42">
        <f t="shared" si="63"/>
        <v>1.2226184411614875E-3</v>
      </c>
      <c r="X310" s="42">
        <f t="shared" si="64"/>
        <v>0.73255221599592457</v>
      </c>
      <c r="Y310" s="42">
        <f t="shared" si="65"/>
        <v>7.3255221599592454E-2</v>
      </c>
      <c r="Z310" s="42">
        <f t="shared" si="66"/>
        <v>0</v>
      </c>
      <c r="AA310" s="42">
        <f t="shared" si="67"/>
        <v>0.99999999999999989</v>
      </c>
    </row>
    <row r="311" spans="1:27" x14ac:dyDescent="0.3">
      <c r="A311" t="s">
        <v>2066</v>
      </c>
      <c r="B311" s="152" t="s">
        <v>2069</v>
      </c>
      <c r="C311" s="153"/>
      <c r="D311">
        <v>3.0150000000000001</v>
      </c>
      <c r="E311" s="155">
        <f t="shared" ref="E311:E314" si="68">D311/0.003861</f>
        <v>780.88578088578095</v>
      </c>
      <c r="F311" s="112">
        <v>0.1271698919</v>
      </c>
      <c r="G311" s="112">
        <v>6.4492031870000008E-2</v>
      </c>
      <c r="H311" s="112">
        <v>8.3238474699999995E-3</v>
      </c>
      <c r="I311" s="112">
        <v>8.181559500000001E-4</v>
      </c>
      <c r="J311" s="112">
        <v>1.7785998999999999E-4</v>
      </c>
      <c r="K311" s="112">
        <v>3.5571999999999998E-5</v>
      </c>
      <c r="L311" s="112">
        <v>0.28507398980000004</v>
      </c>
      <c r="M311" s="112">
        <v>9.4977233900000006E-3</v>
      </c>
      <c r="N311" s="112">
        <v>9.3589926010000005E-2</v>
      </c>
      <c r="O311" s="112">
        <v>5.83380763E-3</v>
      </c>
      <c r="P311" s="112">
        <v>2.84575982E-3</v>
      </c>
      <c r="Q311" s="112">
        <v>0.3321713147</v>
      </c>
      <c r="R311" s="112">
        <v>5.3251280589999998E-2</v>
      </c>
      <c r="S311" s="112">
        <v>6.97211155E-3</v>
      </c>
      <c r="T311" s="112">
        <v>9.7467273800000004E-3</v>
      </c>
      <c r="V311" s="42">
        <f t="shared" ref="V311:V314" si="69">F311+S311+T311</f>
        <v>0.14388873082999998</v>
      </c>
      <c r="W311" s="42">
        <f t="shared" ref="W311:W314" si="70">Q311+R311</f>
        <v>0.38542259529</v>
      </c>
      <c r="X311" s="42">
        <f t="shared" ref="X311:X314" si="71">SUM(K311:P311)</f>
        <v>0.39687677865000004</v>
      </c>
      <c r="Y311" s="42">
        <f t="shared" ref="Y311:Y314" si="72">SUM(G311:I311)</f>
        <v>7.3634035289999997E-2</v>
      </c>
      <c r="Z311" s="42">
        <f t="shared" ref="Z311:Z314" si="73">J311</f>
        <v>1.7785998999999999E-4</v>
      </c>
      <c r="AA311" s="42">
        <f t="shared" ref="AA311:AA314" si="74">SUM(V311:Z311)</f>
        <v>1.00000000005</v>
      </c>
    </row>
    <row r="312" spans="1:27" x14ac:dyDescent="0.3">
      <c r="A312" t="s">
        <v>2065</v>
      </c>
      <c r="B312" s="152" t="s">
        <v>2068</v>
      </c>
      <c r="C312" s="153"/>
      <c r="D312" s="154">
        <v>3.6999999999999998E-2</v>
      </c>
      <c r="E312" s="155">
        <f t="shared" si="68"/>
        <v>9.5830095830095825</v>
      </c>
      <c r="F312" s="112">
        <v>2.0361342130000001E-2</v>
      </c>
      <c r="G312" s="112">
        <v>7.1408087179999996E-2</v>
      </c>
      <c r="H312" s="112">
        <v>2.7817608260000001E-2</v>
      </c>
      <c r="I312" s="112">
        <v>5.7355893300000006E-3</v>
      </c>
      <c r="J312" s="112">
        <v>0</v>
      </c>
      <c r="K312" s="112">
        <v>0</v>
      </c>
      <c r="L312" s="112">
        <v>0.596214511</v>
      </c>
      <c r="M312" s="112">
        <v>6.7679954119999997E-2</v>
      </c>
      <c r="N312" s="112">
        <v>0.16547175219999999</v>
      </c>
      <c r="O312" s="112">
        <v>1.7206768E-3</v>
      </c>
      <c r="P312" s="112">
        <v>4.3016919999999993E-3</v>
      </c>
      <c r="Q312" s="112">
        <v>7.7430456000000007E-3</v>
      </c>
      <c r="R312" s="112">
        <v>0</v>
      </c>
      <c r="S312" s="112">
        <v>2.8104387729999999E-2</v>
      </c>
      <c r="T312" s="112">
        <v>3.4413536000000001E-3</v>
      </c>
      <c r="V312" s="42">
        <f t="shared" si="69"/>
        <v>5.1907083460000003E-2</v>
      </c>
      <c r="W312" s="42">
        <f t="shared" si="70"/>
        <v>7.7430456000000007E-3</v>
      </c>
      <c r="X312" s="42">
        <f t="shared" si="71"/>
        <v>0.83538858612</v>
      </c>
      <c r="Y312" s="42">
        <f t="shared" si="72"/>
        <v>0.10496128477</v>
      </c>
      <c r="Z312" s="42">
        <f t="shared" si="73"/>
        <v>0</v>
      </c>
      <c r="AA312" s="42">
        <f t="shared" si="74"/>
        <v>0.99999999995</v>
      </c>
    </row>
    <row r="313" spans="1:27" x14ac:dyDescent="0.3">
      <c r="A313" t="s">
        <v>1910</v>
      </c>
      <c r="B313" s="152" t="s">
        <v>155</v>
      </c>
      <c r="C313" s="153"/>
      <c r="D313" s="154">
        <v>0.154</v>
      </c>
      <c r="E313" s="155">
        <f t="shared" si="68"/>
        <v>39.886039886039889</v>
      </c>
      <c r="F313" s="112">
        <v>0.12095933260000001</v>
      </c>
      <c r="G313" s="112">
        <v>0.1094890511</v>
      </c>
      <c r="H313" s="112">
        <v>1.7726798749999998E-2</v>
      </c>
      <c r="I313" s="112">
        <v>0</v>
      </c>
      <c r="J313" s="112">
        <v>0</v>
      </c>
      <c r="K313" s="112">
        <v>0</v>
      </c>
      <c r="L313" s="112">
        <v>0.68613138689999997</v>
      </c>
      <c r="M313" s="112">
        <v>8.3420229400000007E-3</v>
      </c>
      <c r="N313" s="112">
        <v>1.0427528679999999E-2</v>
      </c>
      <c r="O313" s="112">
        <v>0</v>
      </c>
      <c r="P313" s="112">
        <v>9.3847758100000008E-3</v>
      </c>
      <c r="Q313" s="112">
        <v>0</v>
      </c>
      <c r="R313" s="112">
        <v>0</v>
      </c>
      <c r="S313" s="112">
        <v>2.0855057399999997E-3</v>
      </c>
      <c r="T313" s="112">
        <v>3.5453597499999996E-2</v>
      </c>
      <c r="V313" s="42">
        <f t="shared" si="69"/>
        <v>0.15849843584000001</v>
      </c>
      <c r="W313" s="42">
        <f t="shared" si="70"/>
        <v>0</v>
      </c>
      <c r="X313" s="42">
        <f t="shared" si="71"/>
        <v>0.71428571432999988</v>
      </c>
      <c r="Y313" s="42">
        <f t="shared" si="72"/>
        <v>0.12721584985000001</v>
      </c>
      <c r="Z313" s="42">
        <f t="shared" si="73"/>
        <v>0</v>
      </c>
      <c r="AA313" s="42">
        <f t="shared" si="74"/>
        <v>1.00000000002</v>
      </c>
    </row>
    <row r="314" spans="1:27" x14ac:dyDescent="0.3">
      <c r="A314" t="s">
        <v>2064</v>
      </c>
      <c r="B314" s="156" t="s">
        <v>2067</v>
      </c>
      <c r="C314" s="157"/>
      <c r="D314">
        <v>7.6999999999999999E-2</v>
      </c>
      <c r="E314" s="158">
        <f t="shared" si="68"/>
        <v>19.943019943019944</v>
      </c>
      <c r="F314" s="112">
        <v>0.12012987009999999</v>
      </c>
      <c r="G314" s="112">
        <v>4.8701298700000006E-2</v>
      </c>
      <c r="H314" s="112">
        <v>8.1168831199999996E-3</v>
      </c>
      <c r="I314" s="112">
        <v>1.6233766199999999E-3</v>
      </c>
      <c r="J314" s="112">
        <v>0</v>
      </c>
      <c r="K314" s="112">
        <v>0</v>
      </c>
      <c r="L314" s="112">
        <v>0.81655844160000002</v>
      </c>
      <c r="M314" s="112">
        <v>0</v>
      </c>
      <c r="N314" s="112">
        <v>0</v>
      </c>
      <c r="O314" s="112">
        <v>0</v>
      </c>
      <c r="P314" s="112">
        <v>3.2467532500000001E-3</v>
      </c>
      <c r="Q314" s="112">
        <v>0</v>
      </c>
      <c r="R314" s="112">
        <v>0</v>
      </c>
      <c r="S314" s="112">
        <v>1.6233766199999999E-3</v>
      </c>
      <c r="T314" s="112">
        <v>0</v>
      </c>
      <c r="V314" s="42">
        <f t="shared" si="69"/>
        <v>0.12175324672</v>
      </c>
      <c r="W314" s="42">
        <f t="shared" si="70"/>
        <v>0</v>
      </c>
      <c r="X314" s="42">
        <f t="shared" si="71"/>
        <v>0.81980519485000003</v>
      </c>
      <c r="Y314" s="42">
        <f t="shared" si="72"/>
        <v>5.8441558440000006E-2</v>
      </c>
      <c r="Z314" s="42">
        <f t="shared" si="73"/>
        <v>0</v>
      </c>
      <c r="AA314" s="42">
        <f t="shared" si="74"/>
        <v>1.00000000001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lakeinfo</vt:lpstr>
      <vt:lpstr>watershed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June, Stephanie (DEC)</dc:creator>
  <cp:lastModifiedBy>Tweitmann, Annalee (DEC)</cp:lastModifiedBy>
  <dcterms:created xsi:type="dcterms:W3CDTF">2021-04-15T15:48:54Z</dcterms:created>
  <dcterms:modified xsi:type="dcterms:W3CDTF">2021-05-13T14:46:27Z</dcterms:modified>
</cp:coreProperties>
</file>