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naMacFarlane/Library/Mobile Documents/com~apple~CloudDocs/MobileDocuments/com~apple~CloudDocs/Documents/BASS/Summer/"/>
    </mc:Choice>
  </mc:AlternateContent>
  <xr:revisionPtr revIDLastSave="0" documentId="13_ncr:1_{6069BE00-3198-2445-A5C4-D95A7D4E0C6C}" xr6:coauthVersionLast="47" xr6:coauthVersionMax="47" xr10:uidLastSave="{00000000-0000-0000-0000-000000000000}"/>
  <bookViews>
    <workbookView xWindow="280" yWindow="1000" windowWidth="28020" windowHeight="16440" firstSheet="2" activeTab="4" xr2:uid="{00000000-000D-0000-FFFF-FFFF00000000}"/>
  </bookViews>
  <sheets>
    <sheet name="Master" sheetId="9" r:id="rId1"/>
    <sheet name="All_Cohorts_V2" sheetId="13" r:id="rId2"/>
    <sheet name="QCLAB_AD_mice" sheetId="17" r:id="rId3"/>
    <sheet name="CTRL_18MnthCohort1_10_26_20" sheetId="7" r:id="rId4"/>
    <sheet name="HFD_Cohort1_10_5_20" sheetId="8" r:id="rId5"/>
    <sheet name="January_Mixed_Cohort HFD+HFCTRL" sheetId="10" r:id="rId6"/>
    <sheet name="CTRL_12MnthCohort2_2_1_21" sheetId="3" r:id="rId7"/>
    <sheet name="CTRL_12MnthCohort3_2_22_21" sheetId="1" r:id="rId8"/>
    <sheet name="March_Mixed_Cohort HFD+HFCTRL" sheetId="11" r:id="rId9"/>
    <sheet name="CTRL_12_18MnthCohort__5_3_21" sheetId="4" r:id="rId10"/>
    <sheet name="KO " sheetId="22" r:id="rId11"/>
    <sheet name="August_Mixed_Cohort HFD+CTRL" sheetId="18" r:id="rId12"/>
    <sheet name="September_Mixed_Cohort_HFD_CTRL" sheetId="21" r:id="rId13"/>
    <sheet name="October_Mixed_Cohort_HFD_CTRL" sheetId="20" r:id="rId14"/>
    <sheet name="MASTER_AB" sheetId="15" r:id="rId15"/>
    <sheet name="Metabolomics " sheetId="19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7" i="8" l="1"/>
  <c r="M75" i="8"/>
  <c r="J10" i="22"/>
  <c r="K10" i="22" s="1"/>
  <c r="I10" i="22"/>
  <c r="J9" i="22"/>
  <c r="K9" i="22" s="1"/>
  <c r="I9" i="22"/>
  <c r="J8" i="22"/>
  <c r="K8" i="22" s="1"/>
  <c r="I8" i="22"/>
  <c r="J7" i="22"/>
  <c r="K7" i="22" s="1"/>
  <c r="I7" i="22"/>
  <c r="J6" i="22"/>
  <c r="K6" i="22" s="1"/>
  <c r="I6" i="22"/>
  <c r="J5" i="22"/>
  <c r="K5" i="22" s="1"/>
  <c r="I5" i="22"/>
  <c r="J4" i="22"/>
  <c r="K4" i="22" s="1"/>
  <c r="I4" i="22"/>
  <c r="J3" i="22"/>
  <c r="K3" i="22" s="1"/>
  <c r="I3" i="22"/>
  <c r="J2" i="22"/>
  <c r="K2" i="22" s="1"/>
  <c r="I2" i="22"/>
  <c r="N3" i="20"/>
  <c r="N4" i="20"/>
  <c r="J3" i="20"/>
  <c r="K3" i="20" s="1"/>
  <c r="J4" i="20"/>
  <c r="K4" i="20" s="1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18" i="20"/>
  <c r="K18" i="20" s="1"/>
  <c r="J19" i="20"/>
  <c r="K19" i="20" s="1"/>
  <c r="J20" i="20"/>
  <c r="K20" i="20" s="1"/>
  <c r="J2" i="20"/>
  <c r="K2" i="20" s="1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" i="20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9" i="21"/>
  <c r="N8" i="21"/>
  <c r="N7" i="21"/>
  <c r="N12" i="20"/>
  <c r="N13" i="20"/>
  <c r="N14" i="20"/>
  <c r="N15" i="20"/>
  <c r="N16" i="20"/>
  <c r="N17" i="20"/>
  <c r="N18" i="20"/>
  <c r="N19" i="20"/>
  <c r="N20" i="20"/>
  <c r="N2" i="20"/>
  <c r="N5" i="20"/>
  <c r="N6" i="20"/>
  <c r="N7" i="20"/>
  <c r="N8" i="20"/>
  <c r="N9" i="20"/>
  <c r="N10" i="20"/>
  <c r="N11" i="20"/>
  <c r="N14" i="21"/>
  <c r="N13" i="21"/>
  <c r="N12" i="21"/>
  <c r="N11" i="21"/>
  <c r="N10" i="21"/>
  <c r="N6" i="18"/>
  <c r="N6" i="21"/>
  <c r="J6" i="21"/>
  <c r="K6" i="21" s="1"/>
  <c r="I6" i="21"/>
  <c r="N5" i="21"/>
  <c r="J5" i="21"/>
  <c r="K5" i="21" s="1"/>
  <c r="I5" i="21"/>
  <c r="N4" i="21"/>
  <c r="J4" i="21"/>
  <c r="K4" i="21" s="1"/>
  <c r="I4" i="21"/>
  <c r="N3" i="21"/>
  <c r="J3" i="21"/>
  <c r="K3" i="21" s="1"/>
  <c r="I3" i="21"/>
  <c r="N2" i="21"/>
  <c r="J2" i="21"/>
  <c r="K2" i="21" s="1"/>
  <c r="I2" i="21"/>
  <c r="N3" i="18"/>
  <c r="N4" i="18"/>
  <c r="N5" i="18"/>
  <c r="N7" i="18"/>
  <c r="N8" i="18"/>
  <c r="Y75" i="11"/>
  <c r="Z75" i="11"/>
  <c r="AI75" i="11"/>
  <c r="AJ75" i="11"/>
  <c r="K3" i="7"/>
  <c r="K4" i="7"/>
  <c r="K5" i="7"/>
  <c r="K6" i="7"/>
  <c r="K7" i="7"/>
  <c r="K2" i="7"/>
  <c r="P74" i="11"/>
  <c r="O74" i="11"/>
  <c r="J74" i="11"/>
  <c r="K74" i="11" s="1"/>
  <c r="I74" i="11"/>
  <c r="P73" i="11"/>
  <c r="O73" i="11"/>
  <c r="J73" i="11"/>
  <c r="K73" i="11" s="1"/>
  <c r="I73" i="11"/>
  <c r="P72" i="11"/>
  <c r="O72" i="11"/>
  <c r="J72" i="11"/>
  <c r="K72" i="11" s="1"/>
  <c r="I72" i="11"/>
  <c r="P71" i="11"/>
  <c r="O71" i="11"/>
  <c r="J71" i="11"/>
  <c r="K71" i="11" s="1"/>
  <c r="I71" i="11"/>
  <c r="P70" i="11"/>
  <c r="O70" i="11"/>
  <c r="J70" i="11"/>
  <c r="K70" i="11" s="1"/>
  <c r="I70" i="11"/>
  <c r="P69" i="11"/>
  <c r="O69" i="11"/>
  <c r="J69" i="11"/>
  <c r="K69" i="11" s="1"/>
  <c r="I69" i="11"/>
  <c r="P68" i="11"/>
  <c r="O68" i="11"/>
  <c r="J68" i="11"/>
  <c r="K68" i="11" s="1"/>
  <c r="I68" i="11"/>
  <c r="P67" i="11"/>
  <c r="O67" i="11"/>
  <c r="J67" i="11"/>
  <c r="K67" i="11" s="1"/>
  <c r="I67" i="11"/>
  <c r="P66" i="11"/>
  <c r="O66" i="11"/>
  <c r="J66" i="11"/>
  <c r="K66" i="11" s="1"/>
  <c r="I66" i="11"/>
  <c r="P65" i="11"/>
  <c r="O65" i="11"/>
  <c r="J65" i="11"/>
  <c r="K65" i="11" s="1"/>
  <c r="I65" i="11"/>
  <c r="P64" i="11"/>
  <c r="O64" i="11"/>
  <c r="J64" i="11"/>
  <c r="K64" i="11" s="1"/>
  <c r="I64" i="11"/>
  <c r="P63" i="11"/>
  <c r="O63" i="11"/>
  <c r="J63" i="11"/>
  <c r="K63" i="11" s="1"/>
  <c r="I63" i="11"/>
  <c r="P62" i="11"/>
  <c r="O62" i="11"/>
  <c r="J62" i="11"/>
  <c r="K62" i="11" s="1"/>
  <c r="I62" i="11"/>
  <c r="P61" i="11"/>
  <c r="O61" i="11"/>
  <c r="J61" i="11"/>
  <c r="K61" i="11" s="1"/>
  <c r="I61" i="11"/>
  <c r="P60" i="11"/>
  <c r="O60" i="11"/>
  <c r="J60" i="11"/>
  <c r="K60" i="11" s="1"/>
  <c r="I60" i="11"/>
  <c r="P59" i="11"/>
  <c r="O59" i="11"/>
  <c r="J59" i="11"/>
  <c r="K59" i="11" s="1"/>
  <c r="I59" i="11"/>
  <c r="P58" i="11"/>
  <c r="O58" i="11"/>
  <c r="J58" i="11"/>
  <c r="K58" i="11" s="1"/>
  <c r="I58" i="11"/>
  <c r="P57" i="11"/>
  <c r="O57" i="11"/>
  <c r="J57" i="11"/>
  <c r="K57" i="11" s="1"/>
  <c r="I57" i="11"/>
  <c r="P56" i="11"/>
  <c r="O56" i="11"/>
  <c r="J56" i="11"/>
  <c r="K56" i="11" s="1"/>
  <c r="I56" i="11"/>
  <c r="P55" i="11"/>
  <c r="O55" i="11"/>
  <c r="J55" i="11"/>
  <c r="K55" i="11" s="1"/>
  <c r="I55" i="11"/>
  <c r="P54" i="11"/>
  <c r="O54" i="11"/>
  <c r="J54" i="11"/>
  <c r="K54" i="11" s="1"/>
  <c r="I54" i="11"/>
  <c r="P53" i="11"/>
  <c r="O53" i="11"/>
  <c r="J53" i="11"/>
  <c r="K53" i="11" s="1"/>
  <c r="I53" i="11"/>
  <c r="P52" i="11"/>
  <c r="O52" i="11"/>
  <c r="J52" i="11"/>
  <c r="K52" i="11" s="1"/>
  <c r="I52" i="11"/>
  <c r="P51" i="11"/>
  <c r="O51" i="11"/>
  <c r="J51" i="11"/>
  <c r="K51" i="11" s="1"/>
  <c r="I51" i="11"/>
  <c r="P50" i="11"/>
  <c r="O50" i="11"/>
  <c r="J50" i="11"/>
  <c r="K50" i="11" s="1"/>
  <c r="I50" i="11"/>
  <c r="P49" i="11"/>
  <c r="O49" i="11"/>
  <c r="J49" i="11"/>
  <c r="K49" i="11" s="1"/>
  <c r="I49" i="11"/>
  <c r="P48" i="11"/>
  <c r="O48" i="11"/>
  <c r="J48" i="11"/>
  <c r="K48" i="11" s="1"/>
  <c r="I48" i="11"/>
  <c r="P47" i="11"/>
  <c r="O47" i="11"/>
  <c r="J47" i="11"/>
  <c r="K47" i="11" s="1"/>
  <c r="I47" i="11"/>
  <c r="P46" i="11"/>
  <c r="O46" i="11"/>
  <c r="J46" i="11"/>
  <c r="K46" i="11" s="1"/>
  <c r="I46" i="11"/>
  <c r="P45" i="11"/>
  <c r="O45" i="11"/>
  <c r="J45" i="11"/>
  <c r="K45" i="11" s="1"/>
  <c r="I45" i="11"/>
  <c r="P44" i="11"/>
  <c r="O44" i="11"/>
  <c r="J44" i="11"/>
  <c r="K44" i="11" s="1"/>
  <c r="I44" i="11"/>
  <c r="AR68" i="8"/>
  <c r="AS68" i="8"/>
  <c r="N75" i="8"/>
  <c r="O75" i="8"/>
  <c r="P75" i="8"/>
  <c r="M76" i="8"/>
  <c r="N76" i="8"/>
  <c r="O76" i="8"/>
  <c r="P76" i="8"/>
  <c r="N77" i="8"/>
  <c r="O77" i="8"/>
  <c r="P77" i="8"/>
  <c r="M78" i="8"/>
  <c r="N78" i="8"/>
  <c r="O78" i="8"/>
  <c r="M79" i="8"/>
  <c r="N79" i="8"/>
  <c r="O79" i="8"/>
  <c r="M80" i="8"/>
  <c r="N80" i="8"/>
  <c r="M81" i="8"/>
  <c r="N81" i="8"/>
  <c r="M82" i="8"/>
  <c r="N82" i="8"/>
  <c r="M83" i="8"/>
  <c r="N83" i="8"/>
  <c r="AQ68" i="8"/>
  <c r="AP68" i="8"/>
  <c r="AO68" i="8"/>
  <c r="AN68" i="8"/>
  <c r="AM68" i="8"/>
  <c r="AL68" i="8"/>
  <c r="AK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7" i="8"/>
  <c r="L67" i="8" s="1"/>
  <c r="J67" i="8"/>
  <c r="K66" i="8"/>
  <c r="L66" i="8" s="1"/>
  <c r="J66" i="8"/>
  <c r="K65" i="8"/>
  <c r="L65" i="8" s="1"/>
  <c r="J65" i="8"/>
  <c r="AK64" i="8"/>
  <c r="K64" i="8"/>
  <c r="L64" i="8" s="1"/>
  <c r="J64" i="8"/>
  <c r="K63" i="8"/>
  <c r="L63" i="8" s="1"/>
  <c r="J63" i="8"/>
  <c r="K62" i="8"/>
  <c r="L62" i="8" s="1"/>
  <c r="J62" i="8"/>
  <c r="K61" i="8"/>
  <c r="L61" i="8" s="1"/>
  <c r="J61" i="8"/>
  <c r="K60" i="8"/>
  <c r="L60" i="8" s="1"/>
  <c r="J60" i="8"/>
  <c r="K59" i="8"/>
  <c r="L59" i="8" s="1"/>
  <c r="J59" i="8"/>
  <c r="K58" i="8"/>
  <c r="L58" i="8" s="1"/>
  <c r="J58" i="8"/>
  <c r="K57" i="8"/>
  <c r="L57" i="8" s="1"/>
  <c r="J57" i="8"/>
  <c r="K56" i="8"/>
  <c r="L56" i="8" s="1"/>
  <c r="J56" i="8"/>
  <c r="AK55" i="8"/>
  <c r="K55" i="8"/>
  <c r="L55" i="8" s="1"/>
  <c r="J55" i="8"/>
  <c r="K54" i="8"/>
  <c r="L54" i="8" s="1"/>
  <c r="J54" i="8"/>
  <c r="AK53" i="8"/>
  <c r="K53" i="8"/>
  <c r="L53" i="8" s="1"/>
  <c r="J53" i="8"/>
  <c r="K52" i="8"/>
  <c r="L52" i="8" s="1"/>
  <c r="J52" i="8"/>
  <c r="AK51" i="8"/>
  <c r="K51" i="8"/>
  <c r="L51" i="8" s="1"/>
  <c r="J51" i="8"/>
  <c r="K50" i="8"/>
  <c r="L50" i="8" s="1"/>
  <c r="J50" i="8"/>
  <c r="K49" i="8"/>
  <c r="L49" i="8" s="1"/>
  <c r="J49" i="8"/>
  <c r="K48" i="8"/>
  <c r="L48" i="8" s="1"/>
  <c r="J48" i="8"/>
  <c r="AK47" i="8"/>
  <c r="K47" i="8"/>
  <c r="L47" i="8" s="1"/>
  <c r="J47" i="8"/>
  <c r="K46" i="8"/>
  <c r="L46" i="8" s="1"/>
  <c r="J46" i="8"/>
  <c r="K45" i="8"/>
  <c r="L45" i="8" s="1"/>
  <c r="J45" i="8"/>
  <c r="AK44" i="8"/>
  <c r="K44" i="8"/>
  <c r="L44" i="8" s="1"/>
  <c r="J44" i="8"/>
  <c r="K43" i="8"/>
  <c r="L43" i="8" s="1"/>
  <c r="J43" i="8"/>
  <c r="K42" i="8"/>
  <c r="L42" i="8" s="1"/>
  <c r="J42" i="8"/>
  <c r="A42" i="8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K41" i="8"/>
  <c r="AJ68" i="8" s="1"/>
  <c r="K41" i="8"/>
  <c r="L41" i="8" s="1"/>
  <c r="J41" i="8"/>
  <c r="H79" i="10"/>
  <c r="I79" i="10"/>
  <c r="J79" i="10"/>
  <c r="K79" i="10"/>
  <c r="H80" i="10"/>
  <c r="I80" i="10"/>
  <c r="J80" i="10"/>
  <c r="K80" i="10"/>
  <c r="H81" i="10"/>
  <c r="I81" i="10"/>
  <c r="J81" i="10"/>
  <c r="K81" i="10"/>
  <c r="H82" i="10"/>
  <c r="I82" i="10"/>
  <c r="J82" i="10"/>
  <c r="K82" i="10"/>
  <c r="H83" i="10"/>
  <c r="I83" i="10"/>
  <c r="J83" i="10"/>
  <c r="K83" i="10"/>
  <c r="H84" i="10"/>
  <c r="I84" i="10"/>
  <c r="J84" i="10"/>
  <c r="K84" i="10"/>
  <c r="H88" i="10"/>
  <c r="I88" i="10"/>
  <c r="J88" i="10"/>
  <c r="K88" i="10"/>
  <c r="H89" i="10"/>
  <c r="I89" i="10"/>
  <c r="J89" i="10"/>
  <c r="K89" i="10"/>
  <c r="H90" i="10"/>
  <c r="I90" i="10"/>
  <c r="J90" i="10"/>
  <c r="K90" i="10"/>
  <c r="I43" i="10"/>
  <c r="J43" i="10"/>
  <c r="K43" i="10" s="1"/>
  <c r="A44" i="10"/>
  <c r="I44" i="10"/>
  <c r="J44" i="10"/>
  <c r="K44" i="10" s="1"/>
  <c r="A45" i="10"/>
  <c r="I45" i="10"/>
  <c r="J45" i="10"/>
  <c r="K45" i="10" s="1"/>
  <c r="A46" i="10"/>
  <c r="I46" i="10"/>
  <c r="J46" i="10"/>
  <c r="K46" i="10" s="1"/>
  <c r="A47" i="10"/>
  <c r="I47" i="10"/>
  <c r="J47" i="10"/>
  <c r="K47" i="10" s="1"/>
  <c r="A48" i="10"/>
  <c r="I48" i="10"/>
  <c r="J48" i="10"/>
  <c r="K48" i="10" s="1"/>
  <c r="A49" i="10"/>
  <c r="I49" i="10"/>
  <c r="J49" i="10"/>
  <c r="K49" i="10" s="1"/>
  <c r="A50" i="10"/>
  <c r="I50" i="10"/>
  <c r="J50" i="10"/>
  <c r="K50" i="10" s="1"/>
  <c r="A51" i="10"/>
  <c r="I51" i="10"/>
  <c r="J51" i="10"/>
  <c r="K51" i="10" s="1"/>
  <c r="A52" i="10"/>
  <c r="I52" i="10"/>
  <c r="J52" i="10"/>
  <c r="K52" i="10" s="1"/>
  <c r="A53" i="10"/>
  <c r="I53" i="10"/>
  <c r="J53" i="10"/>
  <c r="K53" i="10" s="1"/>
  <c r="A54" i="10"/>
  <c r="I54" i="10"/>
  <c r="J54" i="10"/>
  <c r="K54" i="10" s="1"/>
  <c r="A55" i="10"/>
  <c r="I55" i="10"/>
  <c r="J55" i="10"/>
  <c r="K55" i="10" s="1"/>
  <c r="A56" i="10"/>
  <c r="I56" i="10"/>
  <c r="J56" i="10"/>
  <c r="K56" i="10" s="1"/>
  <c r="A57" i="10"/>
  <c r="I57" i="10"/>
  <c r="J57" i="10"/>
  <c r="K57" i="10" s="1"/>
  <c r="A58" i="10"/>
  <c r="I58" i="10"/>
  <c r="J58" i="10"/>
  <c r="K58" i="10" s="1"/>
  <c r="A59" i="10"/>
  <c r="I59" i="10"/>
  <c r="J59" i="10"/>
  <c r="K59" i="10" s="1"/>
  <c r="A60" i="10"/>
  <c r="I60" i="10"/>
  <c r="J60" i="10"/>
  <c r="K60" i="10" s="1"/>
  <c r="A61" i="10"/>
  <c r="I61" i="10"/>
  <c r="J61" i="10"/>
  <c r="K61" i="10" s="1"/>
  <c r="A62" i="10"/>
  <c r="I62" i="10"/>
  <c r="J62" i="10"/>
  <c r="K62" i="10" s="1"/>
  <c r="A63" i="10"/>
  <c r="I63" i="10"/>
  <c r="J63" i="10"/>
  <c r="K63" i="10" s="1"/>
  <c r="A64" i="10"/>
  <c r="I64" i="10"/>
  <c r="J64" i="10"/>
  <c r="K64" i="10" s="1"/>
  <c r="A65" i="10"/>
  <c r="I65" i="10"/>
  <c r="J65" i="10"/>
  <c r="K65" i="10" s="1"/>
  <c r="A66" i="10"/>
  <c r="I66" i="10"/>
  <c r="J66" i="10"/>
  <c r="K66" i="10" s="1"/>
  <c r="A67" i="10"/>
  <c r="I67" i="10"/>
  <c r="J67" i="10"/>
  <c r="K67" i="10" s="1"/>
  <c r="A68" i="10"/>
  <c r="I68" i="10"/>
  <c r="J68" i="10"/>
  <c r="K68" i="10" s="1"/>
  <c r="A69" i="10"/>
  <c r="I69" i="10"/>
  <c r="J69" i="10"/>
  <c r="K69" i="10" s="1"/>
  <c r="A70" i="10"/>
  <c r="I70" i="10"/>
  <c r="J70" i="10"/>
  <c r="K70" i="10" s="1"/>
  <c r="A71" i="10"/>
  <c r="I71" i="10"/>
  <c r="J71" i="10"/>
  <c r="K71" i="10" s="1"/>
  <c r="M72" i="10"/>
  <c r="N72" i="10"/>
  <c r="O72" i="10"/>
  <c r="P72" i="10"/>
  <c r="Q72" i="10"/>
  <c r="R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222" i="13"/>
  <c r="O12" i="4"/>
  <c r="O13" i="4"/>
  <c r="O14" i="4"/>
  <c r="O15" i="4"/>
  <c r="O16" i="4"/>
  <c r="O17" i="4"/>
  <c r="O18" i="4"/>
  <c r="K18" i="4"/>
  <c r="L18" i="4" s="1"/>
  <c r="J18" i="4"/>
  <c r="K12" i="4"/>
  <c r="L12" i="4" s="1"/>
  <c r="J12" i="4"/>
  <c r="J5" i="18"/>
  <c r="K5" i="18" s="1"/>
  <c r="J6" i="18"/>
  <c r="K6" i="18" s="1"/>
  <c r="J7" i="18"/>
  <c r="K7" i="18" s="1"/>
  <c r="J8" i="18"/>
  <c r="K8" i="18" s="1"/>
  <c r="I5" i="18"/>
  <c r="I6" i="18"/>
  <c r="I7" i="18"/>
  <c r="I8" i="18"/>
  <c r="N2" i="18"/>
  <c r="O2" i="4"/>
  <c r="J2" i="18"/>
  <c r="K2" i="18" s="1"/>
  <c r="J3" i="18"/>
  <c r="K3" i="18" s="1"/>
  <c r="J4" i="18"/>
  <c r="K4" i="18" s="1"/>
  <c r="K2" i="4"/>
  <c r="L2" i="4" s="1"/>
  <c r="I2" i="18"/>
  <c r="I3" i="18"/>
  <c r="I4" i="18"/>
  <c r="J2" i="4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50" i="13"/>
  <c r="N51" i="13"/>
  <c r="N49" i="13"/>
  <c r="N46" i="13"/>
  <c r="N47" i="13"/>
  <c r="N48" i="13"/>
  <c r="N45" i="13"/>
  <c r="N41" i="13"/>
  <c r="N42" i="13"/>
  <c r="N43" i="13"/>
  <c r="N44" i="13"/>
  <c r="N40" i="13"/>
  <c r="N35" i="13"/>
  <c r="N36" i="13"/>
  <c r="N37" i="13"/>
  <c r="N38" i="13"/>
  <c r="N39" i="13"/>
  <c r="N33" i="13"/>
  <c r="N34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19" i="13"/>
  <c r="N20" i="13"/>
  <c r="N13" i="13"/>
  <c r="N14" i="13"/>
  <c r="N15" i="13"/>
  <c r="N16" i="13"/>
  <c r="N17" i="13"/>
  <c r="N18" i="13"/>
  <c r="N11" i="13"/>
  <c r="N12" i="13"/>
  <c r="N6" i="13"/>
  <c r="N7" i="13"/>
  <c r="N8" i="13"/>
  <c r="N9" i="13"/>
  <c r="N10" i="13"/>
  <c r="N5" i="13"/>
  <c r="N3" i="13"/>
  <c r="N4" i="13"/>
  <c r="N2" i="13"/>
  <c r="M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11" i="13"/>
  <c r="M12" i="13"/>
  <c r="M6" i="13"/>
  <c r="M7" i="13"/>
  <c r="M8" i="13"/>
  <c r="M9" i="13"/>
  <c r="M10" i="13"/>
  <c r="M5" i="13"/>
  <c r="M3" i="13"/>
  <c r="M4" i="13"/>
  <c r="K13" i="4"/>
  <c r="L13" i="4" s="1"/>
  <c r="K14" i="4"/>
  <c r="L14" i="4" s="1"/>
  <c r="K15" i="4"/>
  <c r="L15" i="4" s="1"/>
  <c r="K16" i="4"/>
  <c r="L16" i="4" s="1"/>
  <c r="K17" i="4"/>
  <c r="L17" i="4" s="1"/>
  <c r="J13" i="4"/>
  <c r="J14" i="4"/>
  <c r="J15" i="4"/>
  <c r="J16" i="4"/>
  <c r="J17" i="4"/>
  <c r="O19" i="4"/>
  <c r="O20" i="4"/>
  <c r="O21" i="4"/>
  <c r="O22" i="4"/>
  <c r="O23" i="4"/>
  <c r="K19" i="4"/>
  <c r="L19" i="4" s="1"/>
  <c r="K20" i="4"/>
  <c r="L20" i="4" s="1"/>
  <c r="K21" i="4"/>
  <c r="L21" i="4" s="1"/>
  <c r="K22" i="4"/>
  <c r="L22" i="4" s="1"/>
  <c r="K23" i="4"/>
  <c r="L23" i="4" s="1"/>
  <c r="J19" i="4"/>
  <c r="J20" i="4"/>
  <c r="J21" i="4"/>
  <c r="J22" i="4"/>
  <c r="J23" i="4"/>
  <c r="O3" i="4"/>
  <c r="O4" i="4"/>
  <c r="O5" i="4"/>
  <c r="O6" i="4"/>
  <c r="O7" i="4"/>
  <c r="O8" i="4"/>
  <c r="O9" i="4"/>
  <c r="O10" i="4"/>
  <c r="O11" i="4"/>
  <c r="J18" i="11"/>
  <c r="K18" i="11" s="1"/>
  <c r="I18" i="11"/>
  <c r="P18" i="11"/>
  <c r="O18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2" i="11"/>
  <c r="AC15" i="15"/>
  <c r="AA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C15" i="15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J17" i="11"/>
  <c r="I17" i="11"/>
  <c r="J16" i="11"/>
  <c r="I16" i="11"/>
  <c r="J15" i="11"/>
  <c r="I15" i="11"/>
  <c r="J14" i="11"/>
  <c r="I14" i="11"/>
  <c r="J23" i="11"/>
  <c r="I23" i="11"/>
  <c r="J22" i="11"/>
  <c r="I22" i="11"/>
  <c r="J21" i="11"/>
  <c r="I21" i="11"/>
  <c r="J20" i="11"/>
  <c r="I20" i="11"/>
  <c r="J19" i="11"/>
  <c r="I19" i="11"/>
  <c r="I29" i="11"/>
  <c r="J29" i="11"/>
  <c r="K29" i="11" s="1"/>
  <c r="I30" i="11"/>
  <c r="J30" i="11"/>
  <c r="K30" i="11" s="1"/>
  <c r="I31" i="11"/>
  <c r="J31" i="11"/>
  <c r="K31" i="11" s="1"/>
  <c r="I32" i="11"/>
  <c r="J32" i="11"/>
  <c r="K32" i="11" s="1"/>
  <c r="I2" i="11"/>
  <c r="J2" i="11"/>
  <c r="K2" i="11" s="1"/>
  <c r="I3" i="11"/>
  <c r="J3" i="11"/>
  <c r="K3" i="11" s="1"/>
  <c r="I4" i="11"/>
  <c r="J4" i="11"/>
  <c r="K4" i="11" s="1"/>
  <c r="I5" i="11"/>
  <c r="J5" i="11"/>
  <c r="K5" i="11" s="1"/>
  <c r="I6" i="11"/>
  <c r="J6" i="11"/>
  <c r="K6" i="11" s="1"/>
  <c r="I7" i="11"/>
  <c r="J7" i="11"/>
  <c r="K7" i="11" s="1"/>
  <c r="I8" i="11"/>
  <c r="J8" i="11"/>
  <c r="K8" i="11" s="1"/>
  <c r="B102" i="13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J9" i="11"/>
  <c r="J10" i="11"/>
  <c r="J11" i="11"/>
  <c r="J12" i="11"/>
  <c r="J13" i="11"/>
  <c r="J24" i="11"/>
  <c r="J25" i="11"/>
  <c r="J26" i="11"/>
  <c r="J27" i="11"/>
  <c r="J28" i="11"/>
  <c r="I9" i="11"/>
  <c r="I10" i="11"/>
  <c r="I11" i="11"/>
  <c r="I12" i="11"/>
  <c r="I13" i="11"/>
  <c r="I24" i="11"/>
  <c r="I25" i="11"/>
  <c r="I26" i="11"/>
  <c r="I27" i="11"/>
  <c r="I28" i="11"/>
  <c r="J23" i="10"/>
  <c r="K23" i="10" s="1"/>
  <c r="J24" i="10"/>
  <c r="K24" i="10" s="1"/>
  <c r="I23" i="10"/>
  <c r="I24" i="10"/>
  <c r="N17" i="1"/>
  <c r="N18" i="1"/>
  <c r="J17" i="1"/>
  <c r="K17" i="1" s="1"/>
  <c r="J18" i="1"/>
  <c r="K18" i="1" s="1"/>
  <c r="I17" i="1"/>
  <c r="I18" i="1"/>
  <c r="N14" i="1"/>
  <c r="N15" i="1"/>
  <c r="N16" i="1"/>
  <c r="J14" i="1"/>
  <c r="K14" i="1" s="1"/>
  <c r="J15" i="1"/>
  <c r="K15" i="1" s="1"/>
  <c r="J16" i="1"/>
  <c r="K16" i="1" s="1"/>
  <c r="I14" i="1"/>
  <c r="I15" i="1"/>
  <c r="I16" i="1"/>
  <c r="I13" i="1"/>
  <c r="U13" i="3"/>
  <c r="J13" i="3"/>
  <c r="K13" i="3" s="1"/>
  <c r="I13" i="3"/>
  <c r="U2" i="3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 s="1"/>
  <c r="A24" i="10" s="1"/>
  <c r="A25" i="10" s="1"/>
  <c r="A26" i="10" s="1"/>
  <c r="A27" i="10" s="1"/>
  <c r="A28" i="10" s="1"/>
  <c r="A29" i="10" s="1"/>
  <c r="A30" i="10" s="1"/>
  <c r="J4" i="10"/>
  <c r="K4" i="10" s="1"/>
  <c r="I4" i="10"/>
  <c r="U20" i="3"/>
  <c r="J20" i="3"/>
  <c r="K20" i="3" s="1"/>
  <c r="I20" i="3"/>
  <c r="J30" i="10"/>
  <c r="K30" i="10" s="1"/>
  <c r="I30" i="10"/>
  <c r="J29" i="10"/>
  <c r="K29" i="10" s="1"/>
  <c r="I29" i="10"/>
  <c r="J28" i="10"/>
  <c r="K28" i="10" s="1"/>
  <c r="I28" i="10"/>
  <c r="J27" i="10"/>
  <c r="K27" i="10" s="1"/>
  <c r="I27" i="10"/>
  <c r="J26" i="10"/>
  <c r="K26" i="10" s="1"/>
  <c r="I26" i="10"/>
  <c r="J25" i="10"/>
  <c r="K25" i="10" s="1"/>
  <c r="I25" i="10"/>
  <c r="J22" i="10"/>
  <c r="K22" i="10" s="1"/>
  <c r="I22" i="10"/>
  <c r="J21" i="10"/>
  <c r="K21" i="10" s="1"/>
  <c r="I21" i="10"/>
  <c r="J20" i="10"/>
  <c r="K20" i="10" s="1"/>
  <c r="I20" i="10"/>
  <c r="J19" i="10"/>
  <c r="K19" i="10" s="1"/>
  <c r="I19" i="10"/>
  <c r="I2" i="10"/>
  <c r="J2" i="10"/>
  <c r="K2" i="10" s="1"/>
  <c r="I3" i="10"/>
  <c r="J3" i="10"/>
  <c r="K3" i="10" s="1"/>
  <c r="I5" i="10"/>
  <c r="J5" i="10"/>
  <c r="K5" i="10" s="1"/>
  <c r="I6" i="10"/>
  <c r="J6" i="10"/>
  <c r="K6" i="10" s="1"/>
  <c r="I7" i="10"/>
  <c r="J7" i="10"/>
  <c r="K7" i="10" s="1"/>
  <c r="I8" i="10"/>
  <c r="J8" i="10"/>
  <c r="K8" i="10" s="1"/>
  <c r="I9" i="10"/>
  <c r="J9" i="10"/>
  <c r="K9" i="10" s="1"/>
  <c r="I10" i="10"/>
  <c r="J10" i="10"/>
  <c r="K10" i="10" s="1"/>
  <c r="I11" i="10"/>
  <c r="J11" i="10"/>
  <c r="K11" i="10" s="1"/>
  <c r="I12" i="10"/>
  <c r="J12" i="10"/>
  <c r="K12" i="10" s="1"/>
  <c r="I13" i="10"/>
  <c r="J13" i="10"/>
  <c r="K13" i="10" s="1"/>
  <c r="I14" i="10"/>
  <c r="J14" i="10"/>
  <c r="K14" i="10" s="1"/>
  <c r="I15" i="10"/>
  <c r="J15" i="10"/>
  <c r="K15" i="10" s="1"/>
  <c r="I16" i="10"/>
  <c r="J16" i="10"/>
  <c r="K16" i="10" s="1"/>
  <c r="I17" i="10"/>
  <c r="J17" i="10"/>
  <c r="K17" i="10" s="1"/>
  <c r="I18" i="10"/>
  <c r="J18" i="10"/>
  <c r="K18" i="10" s="1"/>
  <c r="U3" i="3"/>
  <c r="U4" i="3"/>
  <c r="U5" i="3"/>
  <c r="U6" i="3"/>
  <c r="U7" i="3"/>
  <c r="U8" i="3"/>
  <c r="U9" i="3"/>
  <c r="U10" i="3"/>
  <c r="U11" i="3"/>
  <c r="U12" i="3"/>
  <c r="U14" i="3"/>
  <c r="U15" i="3"/>
  <c r="U16" i="3"/>
  <c r="U17" i="3"/>
  <c r="U18" i="3"/>
  <c r="U19" i="3"/>
  <c r="J2" i="3"/>
  <c r="K2" i="3" s="1"/>
  <c r="N2" i="1"/>
  <c r="N3" i="1"/>
  <c r="N4" i="1"/>
  <c r="N5" i="1"/>
  <c r="N6" i="1"/>
  <c r="N7" i="1"/>
  <c r="N8" i="1"/>
  <c r="N9" i="1"/>
  <c r="N10" i="1"/>
  <c r="N11" i="1"/>
  <c r="N12" i="1"/>
  <c r="N13" i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AV28" i="8"/>
  <c r="AS28" i="8"/>
  <c r="AR28" i="8"/>
  <c r="K28" i="8"/>
  <c r="L28" i="8" s="1"/>
  <c r="J28" i="8"/>
  <c r="AV27" i="8"/>
  <c r="AS27" i="8"/>
  <c r="AR27" i="8"/>
  <c r="K27" i="8"/>
  <c r="L27" i="8" s="1"/>
  <c r="J27" i="8"/>
  <c r="AV26" i="8"/>
  <c r="AS26" i="8"/>
  <c r="AR26" i="8"/>
  <c r="K26" i="8"/>
  <c r="L26" i="8" s="1"/>
  <c r="J26" i="8"/>
  <c r="AV25" i="8"/>
  <c r="AS25" i="8"/>
  <c r="AR25" i="8"/>
  <c r="K25" i="8"/>
  <c r="L25" i="8" s="1"/>
  <c r="J25" i="8"/>
  <c r="AV24" i="8"/>
  <c r="AS24" i="8"/>
  <c r="AR24" i="8"/>
  <c r="K24" i="8"/>
  <c r="L24" i="8" s="1"/>
  <c r="J24" i="8"/>
  <c r="AV23" i="8"/>
  <c r="AS23" i="8"/>
  <c r="AR23" i="8"/>
  <c r="K23" i="8"/>
  <c r="L23" i="8" s="1"/>
  <c r="J23" i="8"/>
  <c r="AV22" i="8"/>
  <c r="AS22" i="8"/>
  <c r="AR22" i="8"/>
  <c r="K22" i="8"/>
  <c r="L22" i="8" s="1"/>
  <c r="J22" i="8"/>
  <c r="AV21" i="8"/>
  <c r="AS21" i="8"/>
  <c r="AR21" i="8"/>
  <c r="K21" i="8"/>
  <c r="L21" i="8" s="1"/>
  <c r="J21" i="8"/>
  <c r="AV20" i="8"/>
  <c r="AS20" i="8"/>
  <c r="AR20" i="8"/>
  <c r="K20" i="8"/>
  <c r="L20" i="8" s="1"/>
  <c r="J20" i="8"/>
  <c r="AV19" i="8"/>
  <c r="AS19" i="8"/>
  <c r="AR19" i="8"/>
  <c r="K19" i="8"/>
  <c r="L19" i="8" s="1"/>
  <c r="J19" i="8"/>
  <c r="AV18" i="8"/>
  <c r="AS18" i="8"/>
  <c r="AR18" i="8"/>
  <c r="K18" i="8"/>
  <c r="L18" i="8" s="1"/>
  <c r="J18" i="8"/>
  <c r="AV17" i="8"/>
  <c r="AS17" i="8"/>
  <c r="AR17" i="8"/>
  <c r="K17" i="8"/>
  <c r="L17" i="8" s="1"/>
  <c r="J17" i="8"/>
  <c r="AV16" i="8"/>
  <c r="AS16" i="8"/>
  <c r="AR16" i="8"/>
  <c r="K16" i="8"/>
  <c r="L16" i="8" s="1"/>
  <c r="J16" i="8"/>
  <c r="AV15" i="8"/>
  <c r="AS15" i="8"/>
  <c r="AR15" i="8"/>
  <c r="K15" i="8"/>
  <c r="L15" i="8" s="1"/>
  <c r="J15" i="8"/>
  <c r="AV14" i="8"/>
  <c r="AS14" i="8"/>
  <c r="AR14" i="8"/>
  <c r="K14" i="8"/>
  <c r="L14" i="8" s="1"/>
  <c r="J14" i="8"/>
  <c r="AV13" i="8"/>
  <c r="AS13" i="8"/>
  <c r="AR13" i="8"/>
  <c r="K13" i="8"/>
  <c r="L13" i="8" s="1"/>
  <c r="J13" i="8"/>
  <c r="AV12" i="8"/>
  <c r="AS12" i="8"/>
  <c r="AR12" i="8"/>
  <c r="K12" i="8"/>
  <c r="L12" i="8" s="1"/>
  <c r="J12" i="8"/>
  <c r="AV11" i="8"/>
  <c r="AS11" i="8"/>
  <c r="AR11" i="8"/>
  <c r="K11" i="8"/>
  <c r="L11" i="8" s="1"/>
  <c r="J11" i="8"/>
  <c r="AV10" i="8"/>
  <c r="AS10" i="8"/>
  <c r="AR10" i="8"/>
  <c r="K10" i="8"/>
  <c r="L10" i="8" s="1"/>
  <c r="J10" i="8"/>
  <c r="AV9" i="8"/>
  <c r="AS9" i="8"/>
  <c r="AR9" i="8"/>
  <c r="K9" i="8"/>
  <c r="L9" i="8" s="1"/>
  <c r="J9" i="8"/>
  <c r="AV8" i="8"/>
  <c r="AS8" i="8"/>
  <c r="AR8" i="8"/>
  <c r="K8" i="8"/>
  <c r="L8" i="8" s="1"/>
  <c r="J8" i="8"/>
  <c r="AV7" i="8"/>
  <c r="AS7" i="8"/>
  <c r="AR7" i="8"/>
  <c r="K7" i="8"/>
  <c r="L7" i="8" s="1"/>
  <c r="J7" i="8"/>
  <c r="AV6" i="8"/>
  <c r="AS6" i="8"/>
  <c r="AR6" i="8"/>
  <c r="K6" i="8"/>
  <c r="L6" i="8" s="1"/>
  <c r="J6" i="8"/>
  <c r="AV5" i="8"/>
  <c r="AS5" i="8"/>
  <c r="AR5" i="8"/>
  <c r="K5" i="8"/>
  <c r="L5" i="8" s="1"/>
  <c r="J5" i="8"/>
  <c r="AV4" i="8"/>
  <c r="AS4" i="8"/>
  <c r="AR4" i="8"/>
  <c r="K4" i="8"/>
  <c r="L4" i="8" s="1"/>
  <c r="J4" i="8"/>
  <c r="AV3" i="8"/>
  <c r="AS3" i="8"/>
  <c r="AR3" i="8"/>
  <c r="K3" i="8"/>
  <c r="L3" i="8" s="1"/>
  <c r="J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V2" i="8"/>
  <c r="AS2" i="8"/>
  <c r="AR2" i="8"/>
  <c r="K2" i="8"/>
  <c r="L2" i="8" s="1"/>
  <c r="J2" i="8"/>
  <c r="J7" i="7"/>
  <c r="I7" i="7"/>
  <c r="J6" i="7"/>
  <c r="I6" i="7"/>
  <c r="J5" i="7"/>
  <c r="I5" i="7"/>
  <c r="J4" i="7"/>
  <c r="I4" i="7"/>
  <c r="J3" i="7"/>
  <c r="I3" i="7"/>
  <c r="J2" i="7"/>
  <c r="I2" i="7"/>
  <c r="I12" i="1"/>
  <c r="I11" i="1"/>
  <c r="I10" i="1"/>
  <c r="I9" i="1"/>
  <c r="I8" i="1"/>
  <c r="I7" i="1"/>
  <c r="I6" i="1"/>
  <c r="I5" i="1"/>
  <c r="I4" i="1"/>
  <c r="I3" i="1"/>
  <c r="I2" i="1"/>
  <c r="K11" i="4"/>
  <c r="L11" i="4" s="1"/>
  <c r="J11" i="4"/>
  <c r="K10" i="4"/>
  <c r="L10" i="4" s="1"/>
  <c r="J10" i="4"/>
  <c r="K9" i="4"/>
  <c r="L9" i="4" s="1"/>
  <c r="J9" i="4"/>
  <c r="K8" i="4"/>
  <c r="L8" i="4" s="1"/>
  <c r="J8" i="4"/>
  <c r="K7" i="4"/>
  <c r="L7" i="4" s="1"/>
  <c r="J7" i="4"/>
  <c r="K6" i="4"/>
  <c r="L6" i="4" s="1"/>
  <c r="J6" i="4"/>
  <c r="K5" i="4"/>
  <c r="L5" i="4" s="1"/>
  <c r="J5" i="4"/>
  <c r="K4" i="4"/>
  <c r="L4" i="4" s="1"/>
  <c r="J4" i="4"/>
  <c r="K3" i="4"/>
  <c r="L3" i="4" s="1"/>
  <c r="J3" i="4"/>
  <c r="J19" i="3"/>
  <c r="K19" i="3" s="1"/>
  <c r="I19" i="3"/>
  <c r="J18" i="3"/>
  <c r="K18" i="3" s="1"/>
  <c r="I18" i="3"/>
  <c r="J17" i="3"/>
  <c r="K17" i="3" s="1"/>
  <c r="I17" i="3"/>
  <c r="J16" i="3"/>
  <c r="K16" i="3" s="1"/>
  <c r="I16" i="3"/>
  <c r="J15" i="3"/>
  <c r="K15" i="3" s="1"/>
  <c r="I15" i="3"/>
  <c r="J14" i="3"/>
  <c r="K14" i="3" s="1"/>
  <c r="I14" i="3"/>
  <c r="J12" i="3"/>
  <c r="K12" i="3" s="1"/>
  <c r="I12" i="3"/>
  <c r="J11" i="3"/>
  <c r="K11" i="3" s="1"/>
  <c r="I11" i="3"/>
  <c r="J10" i="3"/>
  <c r="K10" i="3" s="1"/>
  <c r="I10" i="3"/>
  <c r="J9" i="3"/>
  <c r="K9" i="3" s="1"/>
  <c r="I9" i="3"/>
  <c r="J8" i="3"/>
  <c r="K8" i="3" s="1"/>
  <c r="I8" i="3"/>
  <c r="J7" i="3"/>
  <c r="K7" i="3" s="1"/>
  <c r="I7" i="3"/>
  <c r="J6" i="3"/>
  <c r="K6" i="3" s="1"/>
  <c r="I6" i="3"/>
  <c r="J5" i="3"/>
  <c r="K5" i="3" s="1"/>
  <c r="I5" i="3"/>
  <c r="J4" i="3"/>
  <c r="K4" i="3" s="1"/>
  <c r="I4" i="3"/>
  <c r="J3" i="3"/>
  <c r="K3" i="3" s="1"/>
  <c r="I3" i="3"/>
  <c r="I2" i="3"/>
  <c r="K28" i="11" l="1"/>
  <c r="K27" i="11"/>
  <c r="K26" i="11"/>
  <c r="K25" i="11"/>
  <c r="K24" i="11"/>
  <c r="K13" i="11"/>
  <c r="K12" i="11"/>
  <c r="K11" i="11"/>
  <c r="K10" i="11"/>
  <c r="K9" i="11"/>
  <c r="K19" i="11"/>
  <c r="K20" i="11"/>
  <c r="K21" i="11"/>
  <c r="K22" i="11"/>
  <c r="K23" i="11"/>
  <c r="K14" i="11"/>
  <c r="K15" i="11"/>
  <c r="K16" i="11"/>
  <c r="K17" i="11"/>
</calcChain>
</file>

<file path=xl/sharedStrings.xml><?xml version="1.0" encoding="utf-8"?>
<sst xmlns="http://schemas.openxmlformats.org/spreadsheetml/2006/main" count="4229" uniqueCount="954">
  <si>
    <t>Index</t>
  </si>
  <si>
    <t>Tab_Name</t>
  </si>
  <si>
    <t>Experiment</t>
  </si>
  <si>
    <t>Age</t>
  </si>
  <si>
    <t>Handling_Date</t>
  </si>
  <si>
    <t>Animal_Numbers</t>
  </si>
  <si>
    <t xml:space="preserve">Status </t>
  </si>
  <si>
    <t xml:space="preserve">Balancing </t>
  </si>
  <si>
    <t>CTRL_18MnthCohort1_10_26_20</t>
  </si>
  <si>
    <t>CTRL</t>
  </si>
  <si>
    <t>6(2_test)</t>
  </si>
  <si>
    <t>Complete</t>
  </si>
  <si>
    <t xml:space="preserve">Totals </t>
  </si>
  <si>
    <t>HFD_Cohort1_10_5_20</t>
  </si>
  <si>
    <t>HFD</t>
  </si>
  <si>
    <t>M</t>
  </si>
  <si>
    <t>Up to march mixed/210503*</t>
  </si>
  <si>
    <t>F</t>
  </si>
  <si>
    <t>January_Mixed_Cohort HFD+HFCTRL</t>
  </si>
  <si>
    <t>HFD+CTRL</t>
  </si>
  <si>
    <t>9-12</t>
  </si>
  <si>
    <t>In Progress</t>
  </si>
  <si>
    <t>E4HN</t>
  </si>
  <si>
    <t>CTRL_12MnthCohort2_2_1_21</t>
  </si>
  <si>
    <t>12MonthCTRL</t>
  </si>
  <si>
    <t>CTRL_12MnthCohort3_2_22_21</t>
  </si>
  <si>
    <t>18MonthCTRL</t>
  </si>
  <si>
    <t>CTRL_12_18MnthCohort_5_3_21</t>
  </si>
  <si>
    <t>12/18</t>
  </si>
  <si>
    <t>12 MonthHFD</t>
  </si>
  <si>
    <t>March_Mixed_Cohort HFD+HFCTRL</t>
  </si>
  <si>
    <t>Brain RNA:12</t>
  </si>
  <si>
    <t>August_Mixed_Cohort HFD+HFCTRL</t>
  </si>
  <si>
    <t>TBD</t>
  </si>
  <si>
    <t>Upcoming</t>
  </si>
  <si>
    <t>Brain RNA:18</t>
  </si>
  <si>
    <t>September_Mixed_Cohort HFD+HFCTRL</t>
  </si>
  <si>
    <t>E3HN</t>
  </si>
  <si>
    <t>October_Mixed_Cohort HFD+HFCTRL</t>
  </si>
  <si>
    <t xml:space="preserve">Legend </t>
  </si>
  <si>
    <t>E2HN</t>
  </si>
  <si>
    <t>E33</t>
  </si>
  <si>
    <t>E44</t>
  </si>
  <si>
    <t>E22</t>
  </si>
  <si>
    <t>HN</t>
  </si>
  <si>
    <t>KO</t>
  </si>
  <si>
    <t>#</t>
  </si>
  <si>
    <t>Cohort Index</t>
  </si>
  <si>
    <t>Cohort</t>
  </si>
  <si>
    <t>RNA</t>
  </si>
  <si>
    <t>Animal_ID</t>
  </si>
  <si>
    <t xml:space="preserve">Cage_Number </t>
  </si>
  <si>
    <t>Sex</t>
  </si>
  <si>
    <t>Genotype</t>
  </si>
  <si>
    <t>DOB</t>
  </si>
  <si>
    <t>Age(months)</t>
  </si>
  <si>
    <t xml:space="preserve">Handling_Date </t>
  </si>
  <si>
    <t>Imaging_Date</t>
  </si>
  <si>
    <t>Age_at_Imaging</t>
  </si>
  <si>
    <t>Age_at_Handling</t>
  </si>
  <si>
    <t>Pump_Implantation_Date</t>
  </si>
  <si>
    <t xml:space="preserve">Group_Assignment </t>
  </si>
  <si>
    <t>InVivoSAMBARunno</t>
  </si>
  <si>
    <t>ExVivoDWI</t>
  </si>
  <si>
    <t>ExVIVOGRE</t>
  </si>
  <si>
    <t>m_at_t0</t>
  </si>
  <si>
    <t>m_at_t1</t>
  </si>
  <si>
    <t>m_at_t2</t>
  </si>
  <si>
    <t>m_at_sacrifice</t>
  </si>
  <si>
    <t>RNA Done</t>
  </si>
  <si>
    <t>200302_10</t>
  </si>
  <si>
    <t>18_Month_Control</t>
  </si>
  <si>
    <t>200302_11</t>
  </si>
  <si>
    <t>200302_12</t>
  </si>
  <si>
    <t>200331_14</t>
  </si>
  <si>
    <t>200331_15</t>
  </si>
  <si>
    <t>200331_16</t>
  </si>
  <si>
    <t>200331_17</t>
  </si>
  <si>
    <t>200331_18</t>
  </si>
  <si>
    <t>200331_20</t>
  </si>
  <si>
    <t>200302_3</t>
  </si>
  <si>
    <t>200302_4</t>
  </si>
  <si>
    <t>200302_5</t>
  </si>
  <si>
    <t>200302_6</t>
  </si>
  <si>
    <t>200302_7</t>
  </si>
  <si>
    <t>200302_8</t>
  </si>
  <si>
    <t>200302_9</t>
  </si>
  <si>
    <t> </t>
  </si>
  <si>
    <t>200331_1</t>
  </si>
  <si>
    <t>200331_2</t>
  </si>
  <si>
    <t>200331_3</t>
  </si>
  <si>
    <t>200331_4</t>
  </si>
  <si>
    <t>200331_5</t>
  </si>
  <si>
    <t>200331_6</t>
  </si>
  <si>
    <t>Died</t>
  </si>
  <si>
    <t>N/A</t>
  </si>
  <si>
    <t>200331_7</t>
  </si>
  <si>
    <t>200331_8</t>
  </si>
  <si>
    <t>200331_9</t>
  </si>
  <si>
    <t>200331_10</t>
  </si>
  <si>
    <t>200331_11</t>
  </si>
  <si>
    <t>200331_12</t>
  </si>
  <si>
    <t>200331_13</t>
  </si>
  <si>
    <t>No RNA</t>
  </si>
  <si>
    <t>190610_1:1</t>
  </si>
  <si>
    <t>12_Month_Control</t>
  </si>
  <si>
    <t>190610_6:1</t>
  </si>
  <si>
    <t>190610_2:1</t>
  </si>
  <si>
    <t>190610_7:1</t>
  </si>
  <si>
    <t>190610_3:1</t>
  </si>
  <si>
    <t>190610_8:1</t>
  </si>
  <si>
    <t>190715_7:1</t>
  </si>
  <si>
    <t>190715_6:1</t>
  </si>
  <si>
    <t>190715_8:1</t>
  </si>
  <si>
    <t>190715_9:1</t>
  </si>
  <si>
    <t>190715_10:1</t>
  </si>
  <si>
    <t>190610_4:1</t>
  </si>
  <si>
    <t>190610_9:1</t>
  </si>
  <si>
    <t>190610_5:1</t>
  </si>
  <si>
    <t>190610_10:1</t>
  </si>
  <si>
    <t>190715_1:1</t>
  </si>
  <si>
    <t>190715_2:1</t>
  </si>
  <si>
    <t>190715_3:1</t>
  </si>
  <si>
    <t>190715_5:1</t>
  </si>
  <si>
    <t>190715_4:1</t>
  </si>
  <si>
    <t xml:space="preserve">F </t>
  </si>
  <si>
    <t>190909_9:1</t>
  </si>
  <si>
    <t>190909_10:1</t>
  </si>
  <si>
    <t>190909_11:1</t>
  </si>
  <si>
    <t>190909_12:1</t>
  </si>
  <si>
    <t>190909_13:1</t>
  </si>
  <si>
    <t>190909_14:1</t>
  </si>
  <si>
    <t>191028_7:1</t>
  </si>
  <si>
    <t>191028_3:1</t>
  </si>
  <si>
    <t>191028_6:1</t>
  </si>
  <si>
    <t>191028_4:1</t>
  </si>
  <si>
    <t>191028_5:1</t>
  </si>
  <si>
    <t>201026-1</t>
  </si>
  <si>
    <t>Fill</t>
  </si>
  <si>
    <t>201026-2</t>
  </si>
  <si>
    <t>201026-3</t>
  </si>
  <si>
    <t>201026-4</t>
  </si>
  <si>
    <t>201026-5</t>
  </si>
  <si>
    <t>+-+-+</t>
  </si>
  <si>
    <t>201026-6</t>
  </si>
  <si>
    <t>201012-1</t>
  </si>
  <si>
    <t>201012-2</t>
  </si>
  <si>
    <t>201012-3</t>
  </si>
  <si>
    <t>201012-4</t>
  </si>
  <si>
    <t>201012-5</t>
  </si>
  <si>
    <t>201012-6</t>
  </si>
  <si>
    <t>201012-7</t>
  </si>
  <si>
    <t>201012-8</t>
  </si>
  <si>
    <t>201012-9</t>
  </si>
  <si>
    <t>201012-10</t>
  </si>
  <si>
    <t>201012-11</t>
  </si>
  <si>
    <t>201012-12</t>
  </si>
  <si>
    <t>201012-13</t>
  </si>
  <si>
    <t>201012-14</t>
  </si>
  <si>
    <t>201012-15</t>
  </si>
  <si>
    <t>201012-16</t>
  </si>
  <si>
    <t>201012-17</t>
  </si>
  <si>
    <t>201012-18</t>
  </si>
  <si>
    <t>201012-19</t>
  </si>
  <si>
    <t>201012-20</t>
  </si>
  <si>
    <t>201012-21</t>
  </si>
  <si>
    <t>201012-22</t>
  </si>
  <si>
    <t>201012-23</t>
  </si>
  <si>
    <t>201012-24</t>
  </si>
  <si>
    <t>201012-25</t>
  </si>
  <si>
    <t>201012-26</t>
  </si>
  <si>
    <t>201012-27</t>
  </si>
  <si>
    <t>210112_1</t>
  </si>
  <si>
    <t xml:space="preserve">E4HN </t>
  </si>
  <si>
    <t>210112_2</t>
  </si>
  <si>
    <t>210112_3</t>
  </si>
  <si>
    <t>1362659(1299175)</t>
  </si>
  <si>
    <t>210112_4</t>
  </si>
  <si>
    <t>210112_5</t>
  </si>
  <si>
    <t>210112_6</t>
  </si>
  <si>
    <t>210112_7</t>
  </si>
  <si>
    <t>210112_8</t>
  </si>
  <si>
    <t>210112_9</t>
  </si>
  <si>
    <t>210112_10</t>
  </si>
  <si>
    <t>210112_11</t>
  </si>
  <si>
    <t>210112_12</t>
  </si>
  <si>
    <t>210112_13</t>
  </si>
  <si>
    <t>210112_14</t>
  </si>
  <si>
    <t>210112_15</t>
  </si>
  <si>
    <t>210112_16</t>
  </si>
  <si>
    <t>210112_17</t>
  </si>
  <si>
    <t>210112_18</t>
  </si>
  <si>
    <t>210112_19</t>
  </si>
  <si>
    <t>210112_20</t>
  </si>
  <si>
    <t>210112_21</t>
  </si>
  <si>
    <t>210112_22</t>
  </si>
  <si>
    <t>210112_23</t>
  </si>
  <si>
    <t>210112_24</t>
  </si>
  <si>
    <t>210112_25</t>
  </si>
  <si>
    <t>210112_26</t>
  </si>
  <si>
    <t>210112_27</t>
  </si>
  <si>
    <t>210112_28</t>
  </si>
  <si>
    <t>210112_29</t>
  </si>
  <si>
    <t>210201_1</t>
  </si>
  <si>
    <t>210201_2</t>
  </si>
  <si>
    <t>210201_3</t>
  </si>
  <si>
    <t>210201_4</t>
  </si>
  <si>
    <t>210201_5</t>
  </si>
  <si>
    <t>210201_6</t>
  </si>
  <si>
    <t>210201_7</t>
  </si>
  <si>
    <t>210201_8</t>
  </si>
  <si>
    <t>210201_9</t>
  </si>
  <si>
    <t>210201_10</t>
  </si>
  <si>
    <t>210201_11</t>
  </si>
  <si>
    <t>210201_12</t>
  </si>
  <si>
    <t>210201_13</t>
  </si>
  <si>
    <t>210201_14</t>
  </si>
  <si>
    <t>210201_15</t>
  </si>
  <si>
    <t>210201_16</t>
  </si>
  <si>
    <t>210201_17</t>
  </si>
  <si>
    <t>210201_18</t>
  </si>
  <si>
    <t>210201_19</t>
  </si>
  <si>
    <t>210222-1</t>
  </si>
  <si>
    <t>210222-2</t>
  </si>
  <si>
    <t>210222-3</t>
  </si>
  <si>
    <t>210222-4</t>
  </si>
  <si>
    <t>210222-5</t>
  </si>
  <si>
    <t>210222-6</t>
  </si>
  <si>
    <t>210222-7</t>
  </si>
  <si>
    <t>210222-8</t>
  </si>
  <si>
    <t>210222-9</t>
  </si>
  <si>
    <t>210222-10</t>
  </si>
  <si>
    <t>210222-11</t>
  </si>
  <si>
    <t>210222-12</t>
  </si>
  <si>
    <t>210222-13</t>
  </si>
  <si>
    <t>210222-14</t>
  </si>
  <si>
    <t>210222-15</t>
  </si>
  <si>
    <t>210222-16</t>
  </si>
  <si>
    <t>210222-17</t>
  </si>
  <si>
    <t>210503-1</t>
  </si>
  <si>
    <t>210503-2</t>
  </si>
  <si>
    <t>210503_3</t>
  </si>
  <si>
    <t>210503_4</t>
  </si>
  <si>
    <t>210503_5</t>
  </si>
  <si>
    <t>210503_6</t>
  </si>
  <si>
    <t>210503_7</t>
  </si>
  <si>
    <t>210503_8</t>
  </si>
  <si>
    <t>210503_9</t>
  </si>
  <si>
    <t>210503_10</t>
  </si>
  <si>
    <t>210503_11</t>
  </si>
  <si>
    <t>210503_12</t>
  </si>
  <si>
    <t>210503_13</t>
  </si>
  <si>
    <t>210503_14</t>
  </si>
  <si>
    <t>210503_15</t>
  </si>
  <si>
    <t>210503_16</t>
  </si>
  <si>
    <t>210503_17</t>
  </si>
  <si>
    <t>Undecided</t>
  </si>
  <si>
    <t>210503_18</t>
  </si>
  <si>
    <t>210503_19</t>
  </si>
  <si>
    <t>210503_20</t>
  </si>
  <si>
    <t>210503_21</t>
  </si>
  <si>
    <t>210503_22</t>
  </si>
  <si>
    <t>210315_1</t>
  </si>
  <si>
    <t>210315_2</t>
  </si>
  <si>
    <t>210315_3</t>
  </si>
  <si>
    <t>210315_4</t>
  </si>
  <si>
    <t>210315_5</t>
  </si>
  <si>
    <t>210315_6</t>
  </si>
  <si>
    <t>210315_7</t>
  </si>
  <si>
    <t>210315_8</t>
  </si>
  <si>
    <t>210315_9</t>
  </si>
  <si>
    <t>210315_10</t>
  </si>
  <si>
    <t>210315_11</t>
  </si>
  <si>
    <t>210315_12</t>
  </si>
  <si>
    <t>210315_13</t>
  </si>
  <si>
    <t>210315_14</t>
  </si>
  <si>
    <t>210315_15</t>
  </si>
  <si>
    <t>210315_16</t>
  </si>
  <si>
    <t>210315_17</t>
  </si>
  <si>
    <t>210315_18</t>
  </si>
  <si>
    <t>210315_19</t>
  </si>
  <si>
    <t>210315_20</t>
  </si>
  <si>
    <t>210315_21</t>
  </si>
  <si>
    <t>210315_22</t>
  </si>
  <si>
    <t>210315_23</t>
  </si>
  <si>
    <t>210315_24</t>
  </si>
  <si>
    <t>210315_25</t>
  </si>
  <si>
    <t>210315_26</t>
  </si>
  <si>
    <t>210315_27</t>
  </si>
  <si>
    <t>210315_28</t>
  </si>
  <si>
    <t>210315_29</t>
  </si>
  <si>
    <t>210315_30</t>
  </si>
  <si>
    <t>Animal</t>
  </si>
  <si>
    <t>Date</t>
  </si>
  <si>
    <t>Treatment</t>
  </si>
  <si>
    <t>weight</t>
  </si>
  <si>
    <t>SAMBA Brunno</t>
  </si>
  <si>
    <t>T1MEMRIRARE</t>
  </si>
  <si>
    <t>T1map</t>
  </si>
  <si>
    <t>DWI</t>
  </si>
  <si>
    <t>GRE</t>
  </si>
  <si>
    <t>note</t>
  </si>
  <si>
    <t>Study</t>
  </si>
  <si>
    <t>T2TurboRARE</t>
  </si>
  <si>
    <t>offsetT2TURBORARE</t>
  </si>
  <si>
    <t>Perf1_2</t>
  </si>
  <si>
    <t>OffsetPerf1</t>
  </si>
  <si>
    <t>Perf2_1p5</t>
  </si>
  <si>
    <t>OffsetPerf2</t>
  </si>
  <si>
    <t>T1map1</t>
  </si>
  <si>
    <t>OffsetT1map</t>
  </si>
  <si>
    <t>T1map2</t>
  </si>
  <si>
    <t>OffsetT2map</t>
  </si>
  <si>
    <t>Effciency</t>
  </si>
  <si>
    <t>LabelOptim</t>
  </si>
  <si>
    <t>ControlOptim</t>
  </si>
  <si>
    <t>190610-1:1</t>
  </si>
  <si>
    <t>APOE44</t>
  </si>
  <si>
    <t>male</t>
  </si>
  <si>
    <t>none</t>
  </si>
  <si>
    <t>B49999</t>
  </si>
  <si>
    <t>N57433</t>
  </si>
  <si>
    <t>N57438</t>
  </si>
  <si>
    <t>N57439</t>
  </si>
  <si>
    <t>N57434</t>
  </si>
  <si>
    <t>N57435</t>
  </si>
  <si>
    <t>N57436</t>
  </si>
  <si>
    <t>N57437</t>
  </si>
  <si>
    <t>N57440</t>
  </si>
  <si>
    <t>water tube on left</t>
  </si>
  <si>
    <t>Brunno</t>
  </si>
  <si>
    <t>N57444</t>
  </si>
  <si>
    <t>N57445</t>
  </si>
  <si>
    <t>B50000</t>
  </si>
  <si>
    <t>N57448</t>
  </si>
  <si>
    <t>N57449</t>
  </si>
  <si>
    <t>190610-4:1</t>
  </si>
  <si>
    <t>N57464</t>
  </si>
  <si>
    <t>N57465</t>
  </si>
  <si>
    <t>190610-5:1</t>
  </si>
  <si>
    <t>N57468</t>
  </si>
  <si>
    <t>N57469</t>
  </si>
  <si>
    <t>female</t>
  </si>
  <si>
    <t>N57441</t>
  </si>
  <si>
    <t>N57443</t>
  </si>
  <si>
    <t>N57446</t>
  </si>
  <si>
    <t>N57447</t>
  </si>
  <si>
    <t>N57450</t>
  </si>
  <si>
    <t>N57451</t>
  </si>
  <si>
    <t>mo contrast</t>
  </si>
  <si>
    <t>190610-9:1</t>
  </si>
  <si>
    <t>N57458</t>
  </si>
  <si>
    <t>N57459</t>
  </si>
  <si>
    <t>190610-10:1</t>
  </si>
  <si>
    <t>N57462</t>
  </si>
  <si>
    <t>N57463</t>
  </si>
  <si>
    <t>190715-1:1</t>
  </si>
  <si>
    <t>APOE33</t>
  </si>
  <si>
    <t>B51315</t>
  </si>
  <si>
    <t>N57472</t>
  </si>
  <si>
    <t>N57473</t>
  </si>
  <si>
    <t>Extra Perfusion: 20 and 34</t>
  </si>
  <si>
    <t>190715-2:1</t>
  </si>
  <si>
    <t>B51325</t>
  </si>
  <si>
    <t>N57474</t>
  </si>
  <si>
    <t>N57549</t>
  </si>
  <si>
    <t>B50011</t>
  </si>
  <si>
    <t>190715-3:1</t>
  </si>
  <si>
    <t>B51732</t>
  </si>
  <si>
    <t>N57550</t>
  </si>
  <si>
    <t>N57551</t>
  </si>
  <si>
    <t>190715-4:1</t>
  </si>
  <si>
    <t>B51742</t>
  </si>
  <si>
    <t>N57554</t>
  </si>
  <si>
    <t>N57555</t>
  </si>
  <si>
    <t>190715-5:1</t>
  </si>
  <si>
    <t>APOE22</t>
  </si>
  <si>
    <t>B51852</t>
  </si>
  <si>
    <t>efficient missing</t>
  </si>
  <si>
    <t>190715-6:1</t>
  </si>
  <si>
    <t>B51861</t>
  </si>
  <si>
    <t>N57454</t>
  </si>
  <si>
    <t>N57455</t>
  </si>
  <si>
    <t>190715-7:1</t>
  </si>
  <si>
    <t>B51872</t>
  </si>
  <si>
    <t>N57452</t>
  </si>
  <si>
    <t>N57453</t>
  </si>
  <si>
    <t>190715-8:1</t>
  </si>
  <si>
    <t>B51882</t>
  </si>
  <si>
    <t>N57456</t>
  </si>
  <si>
    <t>N57457</t>
  </si>
  <si>
    <t>B50012</t>
  </si>
  <si>
    <t>28?</t>
  </si>
  <si>
    <t>190715-9:1</t>
  </si>
  <si>
    <t>45?</t>
  </si>
  <si>
    <t>190715-10:1</t>
  </si>
  <si>
    <t>Offset of TurboRare?</t>
  </si>
  <si>
    <t>190909-9:1</t>
  </si>
  <si>
    <t>190909-10:1</t>
  </si>
  <si>
    <t>N57580</t>
  </si>
  <si>
    <t>N57581</t>
  </si>
  <si>
    <t>B50015</t>
  </si>
  <si>
    <t>190909-11:1</t>
  </si>
  <si>
    <t>B51813</t>
  </si>
  <si>
    <t>N57582</t>
  </si>
  <si>
    <t>N57583</t>
  </si>
  <si>
    <t>B51824</t>
  </si>
  <si>
    <t>N57584</t>
  </si>
  <si>
    <t>N57585</t>
  </si>
  <si>
    <t>B51836</t>
  </si>
  <si>
    <t>N57587</t>
  </si>
  <si>
    <t>N57588</t>
  </si>
  <si>
    <t>no offset for T2TurboRARE</t>
  </si>
  <si>
    <t>N57590</t>
  </si>
  <si>
    <t>N57591</t>
  </si>
  <si>
    <t>191028-3</t>
  </si>
  <si>
    <t>B52233</t>
  </si>
  <si>
    <t>N57694</t>
  </si>
  <si>
    <t>N57695</t>
  </si>
  <si>
    <t>B50020</t>
  </si>
  <si>
    <t>191028-4</t>
  </si>
  <si>
    <t>B52242</t>
  </si>
  <si>
    <t>N57702</t>
  </si>
  <si>
    <t>N57703</t>
  </si>
  <si>
    <t>no offset for T1maps</t>
  </si>
  <si>
    <t>191028-5</t>
  </si>
  <si>
    <t>B52253</t>
  </si>
  <si>
    <t>N57709</t>
  </si>
  <si>
    <t>N57710</t>
  </si>
  <si>
    <t>191028-6</t>
  </si>
  <si>
    <t>B52264</t>
  </si>
  <si>
    <t>N57700</t>
  </si>
  <si>
    <t>N57701</t>
  </si>
  <si>
    <t>191028-7</t>
  </si>
  <si>
    <t>B52274</t>
  </si>
  <si>
    <t>N57692</t>
  </si>
  <si>
    <t>N57693</t>
  </si>
  <si>
    <t>191205-1</t>
  </si>
  <si>
    <t>CVN</t>
  </si>
  <si>
    <t>treadmill</t>
  </si>
  <si>
    <t>B52711</t>
  </si>
  <si>
    <t>N58214</t>
  </si>
  <si>
    <t>191205-2</t>
  </si>
  <si>
    <t>B52823</t>
  </si>
  <si>
    <t>N58215</t>
  </si>
  <si>
    <t>B50027</t>
  </si>
  <si>
    <t>191205-3</t>
  </si>
  <si>
    <t>N58216</t>
  </si>
  <si>
    <t>B50028</t>
  </si>
  <si>
    <t>191205-4</t>
  </si>
  <si>
    <t>B53041</t>
  </si>
  <si>
    <t>N58217</t>
  </si>
  <si>
    <t>191205-5</t>
  </si>
  <si>
    <t>B53054</t>
  </si>
  <si>
    <t>N58218</t>
  </si>
  <si>
    <t>no offset for T1maps or perfusions</t>
  </si>
  <si>
    <t>B50030</t>
  </si>
  <si>
    <t>1..5</t>
  </si>
  <si>
    <t>191205-6</t>
  </si>
  <si>
    <t>wheel_only</t>
  </si>
  <si>
    <t>B53161</t>
  </si>
  <si>
    <t>N58219</t>
  </si>
  <si>
    <t>191205-8</t>
  </si>
  <si>
    <t>B53183</t>
  </si>
  <si>
    <t>N58221</t>
  </si>
  <si>
    <t>B50031</t>
  </si>
  <si>
    <t>191205-9</t>
  </si>
  <si>
    <t>B53195</t>
  </si>
  <si>
    <t>N58222</t>
  </si>
  <si>
    <t>191205-10</t>
  </si>
  <si>
    <t>B53106</t>
  </si>
  <si>
    <t>N58223</t>
  </si>
  <si>
    <t>191212-1</t>
  </si>
  <si>
    <t>B53212</t>
  </si>
  <si>
    <t>N58224</t>
  </si>
  <si>
    <t>Extra Efficiency: 29</t>
  </si>
  <si>
    <t>191212-3</t>
  </si>
  <si>
    <t>B53233</t>
  </si>
  <si>
    <t>N58225</t>
  </si>
  <si>
    <t>B50032</t>
  </si>
  <si>
    <t>191212-4</t>
  </si>
  <si>
    <t>B53245</t>
  </si>
  <si>
    <t>N58226</t>
  </si>
  <si>
    <t>191212-5</t>
  </si>
  <si>
    <t>B53257</t>
  </si>
  <si>
    <t>N58228</t>
  </si>
  <si>
    <t>191212-6</t>
  </si>
  <si>
    <t>B53269</t>
  </si>
  <si>
    <t>N58229</t>
  </si>
  <si>
    <t>191212-7</t>
  </si>
  <si>
    <t>B53279</t>
  </si>
  <si>
    <t>N58230</t>
  </si>
  <si>
    <t>191212-8</t>
  </si>
  <si>
    <t>B53281</t>
  </si>
  <si>
    <t>N58231</t>
  </si>
  <si>
    <t>191212-9</t>
  </si>
  <si>
    <t>B53291</t>
  </si>
  <si>
    <t>N58232</t>
  </si>
  <si>
    <t>B52715</t>
  </si>
  <si>
    <t>B52824</t>
  </si>
  <si>
    <t>B52825</t>
  </si>
  <si>
    <t>B52836</t>
  </si>
  <si>
    <t>200805-1:0</t>
  </si>
  <si>
    <t>sedentary</t>
  </si>
  <si>
    <t>B54611</t>
  </si>
  <si>
    <t>N58633</t>
  </si>
  <si>
    <t>B50046</t>
  </si>
  <si>
    <t>200805-2:0</t>
  </si>
  <si>
    <t>B54623</t>
  </si>
  <si>
    <t>N58634</t>
  </si>
  <si>
    <t>200805-3:0</t>
  </si>
  <si>
    <t>died</t>
  </si>
  <si>
    <t>200805-4:0</t>
  </si>
  <si>
    <t>B54645</t>
  </si>
  <si>
    <t>N58635</t>
  </si>
  <si>
    <t>200805-5:0</t>
  </si>
  <si>
    <t>B54751</t>
  </si>
  <si>
    <t>N58636</t>
  </si>
  <si>
    <t>B50047</t>
  </si>
  <si>
    <t>201007-1:0</t>
  </si>
  <si>
    <t>B55012</t>
  </si>
  <si>
    <t>N58650</t>
  </si>
  <si>
    <t>B50050</t>
  </si>
  <si>
    <t>201007-2:0</t>
  </si>
  <si>
    <t>B55023</t>
  </si>
  <si>
    <t>N58649</t>
  </si>
  <si>
    <t>201007-3:0</t>
  </si>
  <si>
    <t>B55034</t>
  </si>
  <si>
    <t>N58651</t>
  </si>
  <si>
    <t>201007-4:0</t>
  </si>
  <si>
    <t>B55045</t>
  </si>
  <si>
    <t>N58653</t>
  </si>
  <si>
    <t>201007-5:0</t>
  </si>
  <si>
    <t>B55056</t>
  </si>
  <si>
    <t>N58654</t>
  </si>
  <si>
    <t>AnimalID</t>
  </si>
  <si>
    <t>Control_Cage_Assignment</t>
  </si>
  <si>
    <t xml:space="preserve">Cage Number </t>
  </si>
  <si>
    <t>Marking</t>
  </si>
  <si>
    <t>Age(Years)</t>
  </si>
  <si>
    <t>Age (days)</t>
  </si>
  <si>
    <t>Age Months</t>
  </si>
  <si>
    <t>Group_Assignment</t>
  </si>
  <si>
    <t>Handling_Date 1</t>
  </si>
  <si>
    <t xml:space="preserve"> Weight_day 1</t>
  </si>
  <si>
    <t>Sacrfice 1/16/21</t>
  </si>
  <si>
    <t>RR</t>
  </si>
  <si>
    <t xml:space="preserve">Control </t>
  </si>
  <si>
    <t>LL</t>
  </si>
  <si>
    <t>LR</t>
  </si>
  <si>
    <t>LRR</t>
  </si>
  <si>
    <t>R</t>
  </si>
  <si>
    <t xml:space="preserve">LR </t>
  </si>
  <si>
    <t>HF_Cage_Assignment</t>
  </si>
  <si>
    <t>Weight Starting 10/5/20 g</t>
  </si>
  <si>
    <t>Glucose 10/16/20 10/5/20 g</t>
  </si>
  <si>
    <t>Glucose 12/2/20</t>
  </si>
  <si>
    <t>Glucose 3/10/21</t>
  </si>
  <si>
    <t>Weight 10/16/20</t>
  </si>
  <si>
    <t>Weight Week 10/19/20</t>
  </si>
  <si>
    <t>Weight_Week_10/19/20</t>
  </si>
  <si>
    <t>Weight Week 11/2/20</t>
  </si>
  <si>
    <t>Weight Week 11/9/20</t>
  </si>
  <si>
    <t>Weight Week 11/16/20</t>
  </si>
  <si>
    <t>Weight Week 11/23/20</t>
  </si>
  <si>
    <t>Weight Week 11/30/20</t>
  </si>
  <si>
    <t>Weight Week 12/7/20</t>
  </si>
  <si>
    <t>Weight Week 12/14/20</t>
  </si>
  <si>
    <t>Weight Week 12/21/20</t>
  </si>
  <si>
    <t>Weight Week 12/28/20</t>
  </si>
  <si>
    <t>Weight Week 1/4/20</t>
  </si>
  <si>
    <t>Weight Week 1/11/20</t>
  </si>
  <si>
    <t>Weight Week 1/18/21</t>
  </si>
  <si>
    <t>Weight Week 1/25/21</t>
  </si>
  <si>
    <t>Weight Week 2/1/21</t>
  </si>
  <si>
    <t>Weight Week 2/9/21</t>
  </si>
  <si>
    <t>Weight Week 2/15/21</t>
  </si>
  <si>
    <t>Weight Week 2/22/21</t>
  </si>
  <si>
    <t>Weight Week 3/5/21</t>
  </si>
  <si>
    <t>Open_Field_Date</t>
  </si>
  <si>
    <t>High_Fat_Diet_Start</t>
  </si>
  <si>
    <t>Age_HFD_Start</t>
  </si>
  <si>
    <t>MiddPoint</t>
  </si>
  <si>
    <t>Inital_HFD_END</t>
  </si>
  <si>
    <t>Handling_Day2</t>
  </si>
  <si>
    <t>Age_HFD_End</t>
  </si>
  <si>
    <t>Comments</t>
  </si>
  <si>
    <t>210118-1</t>
  </si>
  <si>
    <t>210118-2</t>
  </si>
  <si>
    <t>210118-3</t>
  </si>
  <si>
    <t>210118-4</t>
  </si>
  <si>
    <t>210118-5</t>
  </si>
  <si>
    <t>L</t>
  </si>
  <si>
    <t>210118-6</t>
  </si>
  <si>
    <t>210118-7</t>
  </si>
  <si>
    <t>210118-8</t>
  </si>
  <si>
    <t>210118-9</t>
  </si>
  <si>
    <t>210118-10</t>
  </si>
  <si>
    <t>210118-11</t>
  </si>
  <si>
    <t>210118-12</t>
  </si>
  <si>
    <t>210118-13</t>
  </si>
  <si>
    <t>210118-14</t>
  </si>
  <si>
    <t>Sacraficed-10_15_20</t>
  </si>
  <si>
    <t>210118-15</t>
  </si>
  <si>
    <t>210118-16</t>
  </si>
  <si>
    <t>210118-17</t>
  </si>
  <si>
    <t>210118-18</t>
  </si>
  <si>
    <t>210118-19</t>
  </si>
  <si>
    <t>210118-20</t>
  </si>
  <si>
    <t>210118-21</t>
  </si>
  <si>
    <t>210118-22</t>
  </si>
  <si>
    <t>210118-23</t>
  </si>
  <si>
    <t>210118-24</t>
  </si>
  <si>
    <t>210118-25</t>
  </si>
  <si>
    <t>210118-26</t>
  </si>
  <si>
    <t>210118-27</t>
  </si>
  <si>
    <t xml:space="preserve">                                            </t>
  </si>
  <si>
    <t xml:space="preserve">Weight of Food Each Week </t>
  </si>
  <si>
    <t>index</t>
  </si>
  <si>
    <t>Previous_weight_ of_food 10/9/20</t>
  </si>
  <si>
    <t>Food_added _10/16/20</t>
  </si>
  <si>
    <t>Food_added_10/23/20</t>
  </si>
  <si>
    <t>Previous_weight_ of_food 10/30/20</t>
  </si>
  <si>
    <t>Food_added_10/30/20</t>
  </si>
  <si>
    <t>Previous_weight_ of_food 11/5/20</t>
  </si>
  <si>
    <t>Food_added_11/05/20</t>
  </si>
  <si>
    <t>Previous_weight_ of_food 11/13/20</t>
  </si>
  <si>
    <t>Food_added_11/13/20</t>
  </si>
  <si>
    <t>Previous_weight_ of_food 11/20/20</t>
  </si>
  <si>
    <t>Food_added_11/20/20</t>
  </si>
  <si>
    <t>Previous_weight_ of_food 11/27/20</t>
  </si>
  <si>
    <t>Food_added_11/27/20</t>
  </si>
  <si>
    <t>Previous_weight_ of_food 12/4/20</t>
  </si>
  <si>
    <t>Food_added_12/4/20</t>
  </si>
  <si>
    <t>Previous_weight_ of_food 12/11/20</t>
  </si>
  <si>
    <t>Food_added_12/11/20</t>
  </si>
  <si>
    <t>Previous_weight_ of_food 12/18/20</t>
  </si>
  <si>
    <t>Food_added_12/18/20</t>
  </si>
  <si>
    <t>Previous_weight_ of_food 12/25/20</t>
  </si>
  <si>
    <t>Food_added_12/25/20</t>
  </si>
  <si>
    <t>Previous_weight_ of_food 1/1/20</t>
  </si>
  <si>
    <t>Previous_weight_ of_food 1/8/20</t>
  </si>
  <si>
    <t>Previous_weight_ of_food 1/15/20</t>
  </si>
  <si>
    <t>Food_added_1/15/21</t>
  </si>
  <si>
    <t>Previous_weight_ of_food 1/22/21</t>
  </si>
  <si>
    <t>Food_added_1/22/21</t>
  </si>
  <si>
    <t>Previous_weight_ of_food 1/29/21</t>
  </si>
  <si>
    <t>Food_added_1/29/2021</t>
  </si>
  <si>
    <t>Previous_weight_ of_food 2/05/21</t>
  </si>
  <si>
    <t>Food_added_2/12/20</t>
  </si>
  <si>
    <t>Previous_weight_ of_food 2/12/21</t>
  </si>
  <si>
    <t xml:space="preserve"> </t>
  </si>
  <si>
    <t/>
  </si>
  <si>
    <t>Total Added</t>
  </si>
  <si>
    <t xml:space="preserve">Per_Cage_Eating_Calc </t>
  </si>
  <si>
    <t>Cage#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</si>
  <si>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</si>
  <si>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</si>
  <si>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</si>
  <si>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</si>
  <si>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</si>
  <si>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</si>
  <si>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</si>
  <si>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</si>
  <si>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</si>
  <si>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</si>
  <si>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</si>
  <si>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</si>
  <si>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</si>
  <si>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</si>
  <si>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</si>
  <si>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</si>
  <si>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</si>
  <si>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</si>
  <si>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</si>
  <si>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</si>
  <si>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</si>
  <si>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</si>
  <si>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</si>
  <si>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</si>
  <si>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</si>
  <si>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Per_Genotype_Eating_Calc</t>
  </si>
  <si>
    <t>Cage_Assignment</t>
  </si>
  <si>
    <t>Cage</t>
  </si>
  <si>
    <t>Glucose Start_1/12/21</t>
  </si>
  <si>
    <t>Glucose_Endpoint_</t>
  </si>
  <si>
    <t>Weight 1/12/21</t>
  </si>
  <si>
    <t>Weight 1/18/21</t>
  </si>
  <si>
    <t>Weight 1/25/21</t>
  </si>
  <si>
    <t>Weight 2/1/21</t>
  </si>
  <si>
    <t>Weight 2/9/21</t>
  </si>
  <si>
    <t>Weight 2/15/21</t>
  </si>
  <si>
    <t>Weight 2/22/21</t>
  </si>
  <si>
    <t>Weight 3/1/21</t>
  </si>
  <si>
    <t>Weight 3/8/21</t>
  </si>
  <si>
    <t>Weight 3/15/21</t>
  </si>
  <si>
    <t>Weight 3/22/21</t>
  </si>
  <si>
    <t>Weight 3/29/21</t>
  </si>
  <si>
    <t>Weight 4/5/21</t>
  </si>
  <si>
    <t>Weight 4/12/21</t>
  </si>
  <si>
    <t>Weight 4/19/21</t>
  </si>
  <si>
    <t>Weight 4/26/21</t>
  </si>
  <si>
    <t>Weight 5/3/21</t>
  </si>
  <si>
    <t>Weight 5/10/21</t>
  </si>
  <si>
    <t>Weight 5/17/21</t>
  </si>
  <si>
    <t>Weight 5/24/21</t>
  </si>
  <si>
    <t>Handling Date</t>
  </si>
  <si>
    <t>Cage_1</t>
  </si>
  <si>
    <t xml:space="preserve">HFD </t>
  </si>
  <si>
    <t>-</t>
  </si>
  <si>
    <t>Cage_2</t>
  </si>
  <si>
    <t>Cage_3</t>
  </si>
  <si>
    <t>Cage_4</t>
  </si>
  <si>
    <t>Cage_5</t>
  </si>
  <si>
    <t>192*</t>
  </si>
  <si>
    <t>Cage_6</t>
  </si>
  <si>
    <t>LLR</t>
  </si>
  <si>
    <t>192.5*</t>
  </si>
  <si>
    <t>Cage_7</t>
  </si>
  <si>
    <t>Cage_8</t>
  </si>
  <si>
    <t>Food_Added_1/12/21</t>
  </si>
  <si>
    <t>Previous_Weight_ of_Food 1/20/21</t>
  </si>
  <si>
    <t>Food_Added_ 1/20/21</t>
  </si>
  <si>
    <t>Previous_Weight_ of_Food 1/29/21</t>
  </si>
  <si>
    <t>Food_Added_ 1/29/21</t>
  </si>
  <si>
    <t>Previous_Weight_ of_Food 2/5/21</t>
  </si>
  <si>
    <t>Food_Added_2/5/21</t>
  </si>
  <si>
    <t>Previous_Weight_ of_Food 2/12/21</t>
  </si>
  <si>
    <t>Food_Added_2/12/21</t>
  </si>
  <si>
    <t>Previous_Weight_ of_Food 2/19/21</t>
  </si>
  <si>
    <t>Food_Added_2/19/21</t>
  </si>
  <si>
    <t>Previous_Weight_ of_Food 2/26/21</t>
  </si>
  <si>
    <t>Food_Added_2/26/21</t>
  </si>
  <si>
    <t>Previous_Weight_ of_Food 3/5/21</t>
  </si>
  <si>
    <t>Food_Added_3/5/21</t>
  </si>
  <si>
    <t>Previous_Weight_ of_Food 3/12/21</t>
  </si>
  <si>
    <t>Food_Added_3/12/21</t>
  </si>
  <si>
    <t>Previous_Weight_ of_Food 3/19/21</t>
  </si>
  <si>
    <t>Food_Added_3/19/21</t>
  </si>
  <si>
    <t>Previous_Weight_ of_Food 4/2/21</t>
  </si>
  <si>
    <t>Food_Added_4/2/21</t>
  </si>
  <si>
    <t>Previous_Weight_ of_Food 4/9/21</t>
  </si>
  <si>
    <t>Food_Added_4/9/21</t>
  </si>
  <si>
    <t>Previous_Weight_ of_Food 4/16/21</t>
  </si>
  <si>
    <t>Food_Added_4/16/21</t>
  </si>
  <si>
    <t>Previous_Weight_ of_Food 4/23/21</t>
  </si>
  <si>
    <t>Food_Added_4/23/21</t>
  </si>
  <si>
    <t>Previous_Weight_ of_Food 4/30/21</t>
  </si>
  <si>
    <t>Food_Added_4/30/21</t>
  </si>
  <si>
    <t>Previous_Weight_ of_Food 5/7/21</t>
  </si>
  <si>
    <t>Food_Added_5/7/21</t>
  </si>
  <si>
    <t>Previous_Weight_ of_Food 5/14/21</t>
  </si>
  <si>
    <t>Food_Added_5/14/21</t>
  </si>
  <si>
    <t>Food_Added_5/21/21</t>
  </si>
  <si>
    <t>400*</t>
  </si>
  <si>
    <t>Weight 2/2/21</t>
  </si>
  <si>
    <t>Glucose_Start 2/2/21</t>
  </si>
  <si>
    <t>Weight 4/7/21</t>
  </si>
  <si>
    <t>Weight 5/11/21</t>
  </si>
  <si>
    <t>Glucose_End 4/7/21</t>
  </si>
  <si>
    <t>Glucose_End 5/11/21</t>
  </si>
  <si>
    <t xml:space="preserve">Date_End </t>
  </si>
  <si>
    <t>12C1</t>
  </si>
  <si>
    <t>12C2</t>
  </si>
  <si>
    <t>12C3</t>
  </si>
  <si>
    <t>12C4</t>
  </si>
  <si>
    <t>12C5</t>
  </si>
  <si>
    <t>12C6</t>
  </si>
  <si>
    <t>Cage #</t>
  </si>
  <si>
    <t>Age_(years)</t>
  </si>
  <si>
    <t>Age_(months)</t>
  </si>
  <si>
    <t>Age at Handling</t>
  </si>
  <si>
    <t>Glucose_2/22/21</t>
  </si>
  <si>
    <t>Glucose 4/7/21</t>
  </si>
  <si>
    <t>Glucose 5/12/21</t>
  </si>
  <si>
    <t>Weight_2/22/21</t>
  </si>
  <si>
    <t>Weight 5/12/21</t>
  </si>
  <si>
    <t>Initial_End_Date</t>
  </si>
  <si>
    <t>Inital_Start</t>
  </si>
  <si>
    <t>Age_at_Start</t>
  </si>
  <si>
    <t>Glucose_Start_3/19/21</t>
  </si>
  <si>
    <t>Glucose_End_</t>
  </si>
  <si>
    <t>Weight 3/19/21</t>
  </si>
  <si>
    <t>Weight 3/26/21</t>
  </si>
  <si>
    <t>Weight 4/2/21</t>
  </si>
  <si>
    <t>Weight 4/9/21</t>
  </si>
  <si>
    <t>Weight 4/16/21</t>
  </si>
  <si>
    <t>Weight 4/23/21</t>
  </si>
  <si>
    <t>Weight 4/30/21</t>
  </si>
  <si>
    <t>Weight 5/7/21</t>
  </si>
  <si>
    <t>Weight 5/14/21</t>
  </si>
  <si>
    <t>Weight 5/21/21</t>
  </si>
  <si>
    <t>Weight 5/28/21</t>
  </si>
  <si>
    <t>Weight 6/21/21</t>
  </si>
  <si>
    <t>Weight 6/14/21</t>
  </si>
  <si>
    <t>210614-1</t>
  </si>
  <si>
    <t>Cage1</t>
  </si>
  <si>
    <t>210614-2</t>
  </si>
  <si>
    <t>210614-3</t>
  </si>
  <si>
    <t>210614-4</t>
  </si>
  <si>
    <t>210614-5</t>
  </si>
  <si>
    <t>210614-6</t>
  </si>
  <si>
    <t>Cage2</t>
  </si>
  <si>
    <t>210614-7</t>
  </si>
  <si>
    <t>210614-8</t>
  </si>
  <si>
    <t>Cage3</t>
  </si>
  <si>
    <t>210614-9</t>
  </si>
  <si>
    <t>210614-10</t>
  </si>
  <si>
    <t>210614-11</t>
  </si>
  <si>
    <t>210614-12</t>
  </si>
  <si>
    <t>210614-13</t>
  </si>
  <si>
    <t>Cage4</t>
  </si>
  <si>
    <t>210614-14</t>
  </si>
  <si>
    <t>210614-15</t>
  </si>
  <si>
    <t>210614-16</t>
  </si>
  <si>
    <t>210614_31</t>
  </si>
  <si>
    <t>210614-17</t>
  </si>
  <si>
    <t>Cage5</t>
  </si>
  <si>
    <t>210614-18</t>
  </si>
  <si>
    <t>210614-19</t>
  </si>
  <si>
    <t>210614-20</t>
  </si>
  <si>
    <t>210614-21</t>
  </si>
  <si>
    <t>210614-22</t>
  </si>
  <si>
    <t>Cage6</t>
  </si>
  <si>
    <t>210614-23</t>
  </si>
  <si>
    <t>210614-24</t>
  </si>
  <si>
    <t>210614-25</t>
  </si>
  <si>
    <t>210614-26</t>
  </si>
  <si>
    <t>210614-27</t>
  </si>
  <si>
    <t>Cage7</t>
  </si>
  <si>
    <t>210614-28</t>
  </si>
  <si>
    <t>210614-29</t>
  </si>
  <si>
    <t>210614-30</t>
  </si>
  <si>
    <t>Food_Added_3/15/21</t>
  </si>
  <si>
    <t>Food_Added_3/22/21</t>
  </si>
  <si>
    <t>Previous_Weight_ of_Food 3/29/21</t>
  </si>
  <si>
    <t>Food_Added_3/29/21</t>
  </si>
  <si>
    <t>Previous_Weight_ of_Food 4/5/21</t>
  </si>
  <si>
    <t>Food_Added_4/5/21</t>
  </si>
  <si>
    <t>Previous_Weight_ of_Food 4/12/21</t>
  </si>
  <si>
    <t>Food_Added_4/12/21</t>
  </si>
  <si>
    <t>Previous_Weight_ of_Food 4/19/21</t>
  </si>
  <si>
    <t>Food_Added_4/19/21</t>
  </si>
  <si>
    <t>Previous_Weight_ of_Food 4/26/21</t>
  </si>
  <si>
    <t>Food_Added_4/26/21</t>
  </si>
  <si>
    <t>Previous_Weight_ of_Food 5/3/21</t>
  </si>
  <si>
    <t>Food_Added_5/3/21</t>
  </si>
  <si>
    <t>Previous_Weight_ of_Food 5/10/21</t>
  </si>
  <si>
    <t>Food_Added_5/10/21</t>
  </si>
  <si>
    <t>Previous_Weight_ of_Food 5/17/21</t>
  </si>
  <si>
    <t>Food_Added_5/17/21</t>
  </si>
  <si>
    <t>210315_31</t>
  </si>
  <si>
    <t>CIVM_ID</t>
  </si>
  <si>
    <t>Animal ID</t>
  </si>
  <si>
    <t>Age(days)</t>
  </si>
  <si>
    <t>Age(Months)</t>
  </si>
  <si>
    <t xml:space="preserve">Handling_Date  </t>
  </si>
  <si>
    <t>Age _at_Handling</t>
  </si>
  <si>
    <t>Glucose 5/6/21</t>
  </si>
  <si>
    <t>Weight 5/5/21</t>
  </si>
  <si>
    <t>Glucose 6/23/21</t>
  </si>
  <si>
    <t>Weight 6/23/21</t>
  </si>
  <si>
    <t>210624-1:0</t>
  </si>
  <si>
    <t>210624-2:0</t>
  </si>
  <si>
    <t>210624-3:0</t>
  </si>
  <si>
    <t>210624-4:0</t>
  </si>
  <si>
    <t>210624-5:0</t>
  </si>
  <si>
    <t>210624-6:0</t>
  </si>
  <si>
    <t>210624-7:0</t>
  </si>
  <si>
    <t>210624-8:0</t>
  </si>
  <si>
    <t>210624-9:0</t>
  </si>
  <si>
    <t>210624-10:0</t>
  </si>
  <si>
    <t>210624-11:0</t>
  </si>
  <si>
    <t>210624-12:0</t>
  </si>
  <si>
    <t>210624-13:0</t>
  </si>
  <si>
    <t>210624-14:0</t>
  </si>
  <si>
    <t>210624-15:0</t>
  </si>
  <si>
    <t>210624-16:0</t>
  </si>
  <si>
    <t>210624-17:0</t>
  </si>
  <si>
    <t>VET</t>
  </si>
  <si>
    <t xml:space="preserve">Glucose </t>
  </si>
  <si>
    <t>Weight</t>
  </si>
  <si>
    <t>210809-1</t>
  </si>
  <si>
    <t>Cage-1</t>
  </si>
  <si>
    <t>210809-2</t>
  </si>
  <si>
    <t>210809-3</t>
  </si>
  <si>
    <t>210809-4</t>
  </si>
  <si>
    <t>Cage-2</t>
  </si>
  <si>
    <t>210809-5</t>
  </si>
  <si>
    <t>210809-6</t>
  </si>
  <si>
    <t>210809-7</t>
  </si>
  <si>
    <t xml:space="preserve">Weight </t>
  </si>
  <si>
    <t>210906-1</t>
  </si>
  <si>
    <t>210906-2</t>
  </si>
  <si>
    <t>210906-3</t>
  </si>
  <si>
    <t>210906-4</t>
  </si>
  <si>
    <t>210906-5</t>
  </si>
  <si>
    <t>210906-6</t>
  </si>
  <si>
    <t>210906-7</t>
  </si>
  <si>
    <t>210906-8</t>
  </si>
  <si>
    <t xml:space="preserve"> R </t>
  </si>
  <si>
    <t>210906-9</t>
  </si>
  <si>
    <t>210906-10</t>
  </si>
  <si>
    <t>210906-11</t>
  </si>
  <si>
    <t>210906-12</t>
  </si>
  <si>
    <t>210906-13</t>
  </si>
  <si>
    <t>210906-14</t>
  </si>
  <si>
    <t>210906-15</t>
  </si>
  <si>
    <t>210906-16</t>
  </si>
  <si>
    <t>210906-17</t>
  </si>
  <si>
    <t>210906-18</t>
  </si>
  <si>
    <t>210906-19</t>
  </si>
  <si>
    <t>210906-20</t>
  </si>
  <si>
    <t>210906-21</t>
  </si>
  <si>
    <t>210906-22</t>
  </si>
  <si>
    <t>210906-23</t>
  </si>
  <si>
    <t>210906-24</t>
  </si>
  <si>
    <t>210906-25</t>
  </si>
  <si>
    <t>210906-26</t>
  </si>
  <si>
    <t>210906-27</t>
  </si>
  <si>
    <t>Glucose</t>
  </si>
  <si>
    <t>211004-1</t>
  </si>
  <si>
    <t>211004-2</t>
  </si>
  <si>
    <t>211004-3</t>
  </si>
  <si>
    <t>211004-4</t>
  </si>
  <si>
    <t>211004-5</t>
  </si>
  <si>
    <t>211004-6</t>
  </si>
  <si>
    <t>211004-7</t>
  </si>
  <si>
    <t>211004-8</t>
  </si>
  <si>
    <t>211004-9</t>
  </si>
  <si>
    <t>211004-10</t>
  </si>
  <si>
    <t>211004-11</t>
  </si>
  <si>
    <t>211004-12</t>
  </si>
  <si>
    <t>211004-13</t>
  </si>
  <si>
    <t>211004-14</t>
  </si>
  <si>
    <t>211004-15</t>
  </si>
  <si>
    <t>211004-16</t>
  </si>
  <si>
    <t>211004-17</t>
  </si>
  <si>
    <t>211004-18</t>
  </si>
  <si>
    <t>211004-19</t>
  </si>
  <si>
    <t>APOE22HN</t>
  </si>
  <si>
    <t>APOE33HN</t>
  </si>
  <si>
    <t>APOE44HN</t>
  </si>
  <si>
    <t>12mo</t>
  </si>
  <si>
    <t>18mo</t>
  </si>
  <si>
    <t>MRI_invivo</t>
  </si>
  <si>
    <t>MRI_exvivo</t>
  </si>
  <si>
    <t>m</t>
  </si>
  <si>
    <t>f</t>
  </si>
  <si>
    <t>Metabolomics</t>
  </si>
  <si>
    <t>mass_start</t>
  </si>
  <si>
    <t>mass_end</t>
  </si>
  <si>
    <t>glucose_start</t>
  </si>
  <si>
    <t>glucose_end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</si>
</sst>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2"/>
      <color rgb="FF000000"/>
      <name val="Calibri"/>
      <charset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EB8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64A8"/>
        <bgColor indexed="64"/>
      </patternFill>
    </fill>
  </fills>
  <borders count="9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A9D08E"/>
      </left>
      <right/>
      <top style="medium">
        <color rgb="FFA9D08E"/>
      </top>
      <bottom/>
      <diagonal/>
    </border>
    <border>
      <left/>
      <right style="medium">
        <color rgb="FFA9D08E"/>
      </right>
      <top style="medium">
        <color rgb="FFA9D08E"/>
      </top>
      <bottom/>
      <diagonal/>
    </border>
    <border>
      <left style="medium">
        <color rgb="FFC65911"/>
      </left>
      <right/>
      <top style="medium">
        <color rgb="FFC65911"/>
      </top>
      <bottom/>
      <diagonal/>
    </border>
    <border>
      <left/>
      <right style="medium">
        <color rgb="FFC65911"/>
      </right>
      <top style="medium">
        <color rgb="FFC65911"/>
      </top>
      <bottom/>
      <diagonal/>
    </border>
    <border>
      <left style="medium">
        <color rgb="FFA9D08E"/>
      </left>
      <right/>
      <top/>
      <bottom/>
      <diagonal/>
    </border>
    <border>
      <left/>
      <right style="medium">
        <color rgb="FFA9D08E"/>
      </right>
      <top/>
      <bottom/>
      <diagonal/>
    </border>
    <border>
      <left style="medium">
        <color rgb="FFC65911"/>
      </left>
      <right/>
      <top/>
      <bottom/>
      <diagonal/>
    </border>
    <border>
      <left/>
      <right style="medium">
        <color rgb="FFC65911"/>
      </right>
      <top/>
      <bottom/>
      <diagonal/>
    </border>
    <border>
      <left style="medium">
        <color rgb="FFF4B084"/>
      </left>
      <right/>
      <top style="medium">
        <color rgb="FFF4B084"/>
      </top>
      <bottom/>
      <diagonal/>
    </border>
    <border>
      <left/>
      <right style="medium">
        <color rgb="FFF4B084"/>
      </right>
      <top style="medium">
        <color rgb="FFF4B084"/>
      </top>
      <bottom/>
      <diagonal/>
    </border>
    <border>
      <left style="medium">
        <color rgb="FF9BC2E6"/>
      </left>
      <right/>
      <top style="medium">
        <color rgb="FF9BC2E6"/>
      </top>
      <bottom/>
      <diagonal/>
    </border>
    <border>
      <left/>
      <right style="medium">
        <color rgb="FF9BC2E6"/>
      </right>
      <top style="medium">
        <color rgb="FF9BC2E6"/>
      </top>
      <bottom/>
      <diagonal/>
    </border>
    <border>
      <left style="medium">
        <color rgb="FFF4B084"/>
      </left>
      <right/>
      <top/>
      <bottom/>
      <diagonal/>
    </border>
    <border>
      <left/>
      <right style="medium">
        <color rgb="FFF4B084"/>
      </right>
      <top/>
      <bottom/>
      <diagonal/>
    </border>
    <border>
      <left style="medium">
        <color rgb="FFFFD966"/>
      </left>
      <right/>
      <top style="medium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 style="medium">
        <color rgb="FF9BC2E6"/>
      </left>
      <right/>
      <top/>
      <bottom/>
      <diagonal/>
    </border>
    <border>
      <left/>
      <right style="medium">
        <color rgb="FF9BC2E6"/>
      </right>
      <top/>
      <bottom/>
      <diagonal/>
    </border>
    <border>
      <left style="medium">
        <color rgb="FFAEAAAA"/>
      </left>
      <right/>
      <top style="medium">
        <color rgb="FFAEAAAA"/>
      </top>
      <bottom/>
      <diagonal/>
    </border>
    <border>
      <left/>
      <right style="medium">
        <color rgb="FFAEAAAA"/>
      </right>
      <top style="medium">
        <color rgb="FFAEAAAA"/>
      </top>
      <bottom/>
      <diagonal/>
    </border>
    <border>
      <left style="medium">
        <color rgb="FFFFD966"/>
      </left>
      <right/>
      <top/>
      <bottom/>
      <diagonal/>
    </border>
    <border>
      <left/>
      <right style="medium">
        <color rgb="FFFFD966"/>
      </right>
      <top/>
      <bottom/>
      <diagonal/>
    </border>
    <border>
      <left style="medium">
        <color rgb="FFAEAAAA"/>
      </left>
      <right/>
      <top/>
      <bottom/>
      <diagonal/>
    </border>
    <border>
      <left/>
      <right style="medium">
        <color rgb="FFAEAAAA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F4B084"/>
      </top>
      <bottom/>
      <diagonal/>
    </border>
    <border>
      <left style="medium">
        <color rgb="FF000000"/>
      </left>
      <right style="medium">
        <color rgb="FF000000"/>
      </right>
      <top style="medium">
        <color rgb="FF9BC2E6"/>
      </top>
      <bottom/>
      <diagonal/>
    </border>
    <border>
      <left style="medium">
        <color rgb="FF000000"/>
      </left>
      <right style="medium">
        <color rgb="FF000000"/>
      </right>
      <top style="medium">
        <color rgb="FFFFD966"/>
      </top>
      <bottom/>
      <diagonal/>
    </border>
    <border>
      <left style="medium">
        <color rgb="FF000000"/>
      </left>
      <right style="medium">
        <color rgb="FF000000"/>
      </right>
      <top style="medium">
        <color rgb="FFAEAAAA"/>
      </top>
      <bottom/>
      <diagonal/>
    </border>
    <border>
      <left style="medium">
        <color rgb="FFCEB8DB"/>
      </left>
      <right/>
      <top style="medium">
        <color rgb="FFCEB8DB"/>
      </top>
      <bottom/>
      <diagonal/>
    </border>
    <border>
      <left/>
      <right style="medium">
        <color rgb="FFCEB8DB"/>
      </right>
      <top style="medium">
        <color rgb="FFCEB8DB"/>
      </top>
      <bottom/>
      <diagonal/>
    </border>
    <border>
      <left style="medium">
        <color rgb="FFCEB8DB"/>
      </left>
      <right/>
      <top/>
      <bottom/>
      <diagonal/>
    </border>
    <border>
      <left/>
      <right style="medium">
        <color rgb="FFCEB8DB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257B"/>
      </left>
      <right/>
      <top/>
      <bottom/>
      <diagonal/>
    </border>
    <border>
      <left style="medium">
        <color rgb="FFCC257B"/>
      </left>
      <right/>
      <top/>
      <bottom style="medium">
        <color rgb="FFCC257B"/>
      </bottom>
      <diagonal/>
    </border>
    <border>
      <left/>
      <right style="medium">
        <color rgb="FFCC257B"/>
      </right>
      <top/>
      <bottom/>
      <diagonal/>
    </border>
    <border>
      <left/>
      <right style="medium">
        <color rgb="FFCC257B"/>
      </right>
      <top/>
      <bottom style="medium">
        <color rgb="FFCC257B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auto="1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4" fontId="0" fillId="0" borderId="0" xfId="0" applyNumberFormat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10" borderId="1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14" fontId="1" fillId="9" borderId="5" xfId="0" applyNumberFormat="1" applyFont="1" applyFill="1" applyBorder="1" applyAlignment="1">
      <alignment horizontal="center"/>
    </xf>
    <xf numFmtId="2" fontId="1" fillId="9" borderId="5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9" borderId="2" xfId="0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2" fontId="1" fillId="9" borderId="8" xfId="0" applyNumberFormat="1" applyFont="1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2" fillId="12" borderId="8" xfId="0" applyNumberFormat="1" applyFont="1" applyFill="1" applyBorder="1" applyAlignment="1">
      <alignment horizontal="center"/>
    </xf>
    <xf numFmtId="2" fontId="2" fillId="12" borderId="2" xfId="0" applyNumberFormat="1" applyFont="1" applyFill="1" applyBorder="1" applyAlignment="1">
      <alignment horizontal="center"/>
    </xf>
    <xf numFmtId="2" fontId="2" fillId="1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2" fontId="1" fillId="8" borderId="6" xfId="0" applyNumberFormat="1" applyFont="1" applyFill="1" applyBorder="1" applyAlignment="1">
      <alignment horizontal="center"/>
    </xf>
    <xf numFmtId="2" fontId="1" fillId="8" borderId="9" xfId="0" applyNumberFormat="1" applyFont="1" applyFill="1" applyBorder="1" applyAlignment="1">
      <alignment horizontal="center"/>
    </xf>
    <xf numFmtId="2" fontId="1" fillId="8" borderId="8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4" fontId="6" fillId="8" borderId="2" xfId="0" applyNumberFormat="1" applyFont="1" applyFill="1" applyBorder="1" applyAlignment="1">
      <alignment horizontal="center"/>
    </xf>
    <xf numFmtId="2" fontId="7" fillId="8" borderId="11" xfId="0" applyNumberFormat="1" applyFont="1" applyFill="1" applyBorder="1" applyAlignment="1">
      <alignment horizontal="center"/>
    </xf>
    <xf numFmtId="2" fontId="7" fillId="8" borderId="12" xfId="0" applyNumberFormat="1" applyFont="1" applyFill="1" applyBorder="1" applyAlignment="1">
      <alignment horizontal="center"/>
    </xf>
    <xf numFmtId="2" fontId="7" fillId="8" borderId="8" xfId="0" applyNumberFormat="1" applyFont="1" applyFill="1" applyBorder="1" applyAlignment="1">
      <alignment horizontal="center"/>
    </xf>
    <xf numFmtId="2" fontId="7" fillId="13" borderId="1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/>
    </xf>
    <xf numFmtId="2" fontId="5" fillId="13" borderId="2" xfId="0" applyNumberFormat="1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2" fillId="14" borderId="8" xfId="0" applyNumberFormat="1" applyFont="1" applyFill="1" applyBorder="1" applyAlignment="1">
      <alignment horizontal="center"/>
    </xf>
    <xf numFmtId="2" fontId="2" fillId="14" borderId="2" xfId="0" applyNumberFormat="1" applyFont="1" applyFill="1" applyBorder="1" applyAlignment="1">
      <alignment horizontal="center"/>
    </xf>
    <xf numFmtId="2" fontId="2" fillId="14" borderId="3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4" fontId="1" fillId="2" borderId="13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2" fontId="2" fillId="14" borderId="13" xfId="0" applyNumberFormat="1" applyFont="1" applyFill="1" applyBorder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" fillId="17" borderId="2" xfId="0" applyFont="1" applyFill="1" applyBorder="1"/>
    <xf numFmtId="2" fontId="2" fillId="9" borderId="0" xfId="0" applyNumberFormat="1" applyFont="1" applyFill="1" applyAlignment="1">
      <alignment horizontal="center"/>
    </xf>
    <xf numFmtId="14" fontId="9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14" fontId="0" fillId="18" borderId="0" xfId="0" applyNumberFormat="1" applyFill="1" applyAlignment="1">
      <alignment horizontal="center"/>
    </xf>
    <xf numFmtId="0" fontId="11" fillId="17" borderId="2" xfId="0" applyFont="1" applyFill="1" applyBorder="1"/>
    <xf numFmtId="0" fontId="0" fillId="0" borderId="2" xfId="0" applyBorder="1" applyAlignment="1">
      <alignment horizontal="center"/>
    </xf>
    <xf numFmtId="2" fontId="10" fillId="8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4" fontId="2" fillId="9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14" fontId="1" fillId="19" borderId="0" xfId="0" applyNumberFormat="1" applyFont="1" applyFill="1" applyAlignment="1">
      <alignment horizontal="center"/>
    </xf>
    <xf numFmtId="2" fontId="1" fillId="19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0" fontId="14" fillId="20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14" fontId="1" fillId="21" borderId="0" xfId="0" applyNumberFormat="1" applyFont="1" applyFill="1" applyAlignment="1">
      <alignment horizontal="center"/>
    </xf>
    <xf numFmtId="2" fontId="0" fillId="0" borderId="0" xfId="0" applyNumberFormat="1"/>
    <xf numFmtId="2" fontId="1" fillId="21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4" fontId="11" fillId="8" borderId="0" xfId="0" applyNumberFormat="1" applyFont="1" applyFill="1" applyAlignment="1">
      <alignment horizontal="center"/>
    </xf>
    <xf numFmtId="2" fontId="11" fillId="8" borderId="0" xfId="0" applyNumberFormat="1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2" fontId="11" fillId="7" borderId="0" xfId="0" applyNumberFormat="1" applyFont="1" applyFill="1" applyAlignment="1">
      <alignment horizontal="center"/>
    </xf>
    <xf numFmtId="2" fontId="16" fillId="0" borderId="0" xfId="0" quotePrefix="1" applyNumberFormat="1" applyFont="1" applyAlignment="1">
      <alignment horizontal="center" wrapText="1"/>
    </xf>
    <xf numFmtId="0" fontId="17" fillId="8" borderId="0" xfId="0" quotePrefix="1" applyFont="1" applyFill="1" applyAlignment="1">
      <alignment horizontal="center" wrapText="1"/>
    </xf>
    <xf numFmtId="0" fontId="17" fillId="7" borderId="0" xfId="0" quotePrefix="1" applyFont="1" applyFill="1" applyAlignment="1">
      <alignment horizontal="center" wrapText="1"/>
    </xf>
    <xf numFmtId="2" fontId="2" fillId="9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2" fontId="11" fillId="8" borderId="1" xfId="0" applyNumberFormat="1" applyFont="1" applyFill="1" applyBorder="1" applyAlignment="1">
      <alignment horizontal="center"/>
    </xf>
    <xf numFmtId="2" fontId="11" fillId="8" borderId="2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0" fontId="11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14" fontId="0" fillId="16" borderId="0" xfId="0" applyNumberFormat="1" applyFill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19" borderId="10" xfId="0" applyFont="1" applyFill="1" applyBorder="1" applyAlignment="1">
      <alignment horizontal="center"/>
    </xf>
    <xf numFmtId="0" fontId="2" fillId="21" borderId="0" xfId="0" applyFont="1" applyFill="1" applyAlignment="1">
      <alignment horizontal="center"/>
    </xf>
    <xf numFmtId="2" fontId="12" fillId="0" borderId="0" xfId="0" quotePrefix="1" applyNumberFormat="1" applyFont="1" applyAlignment="1">
      <alignment horizontal="center" wrapText="1"/>
    </xf>
    <xf numFmtId="0" fontId="1" fillId="9" borderId="14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9" borderId="15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2" fontId="1" fillId="9" borderId="16" xfId="0" applyNumberFormat="1" applyFont="1" applyFill="1" applyBorder="1" applyAlignment="1">
      <alignment horizontal="center"/>
    </xf>
    <xf numFmtId="14" fontId="1" fillId="9" borderId="15" xfId="0" applyNumberFormat="1" applyFon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4" fontId="1" fillId="9" borderId="16" xfId="0" applyNumberFormat="1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2" fontId="2" fillId="14" borderId="0" xfId="0" applyNumberFormat="1" applyFont="1" applyFill="1" applyAlignment="1">
      <alignment horizontal="center"/>
    </xf>
    <xf numFmtId="2" fontId="11" fillId="8" borderId="3" xfId="0" applyNumberFormat="1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1" fillId="23" borderId="0" xfId="0" applyFont="1" applyFill="1" applyAlignment="1">
      <alignment horizontal="center"/>
    </xf>
    <xf numFmtId="14" fontId="1" fillId="23" borderId="0" xfId="0" applyNumberFormat="1" applyFont="1" applyFill="1" applyAlignment="1">
      <alignment horizontal="center"/>
    </xf>
    <xf numFmtId="2" fontId="11" fillId="23" borderId="0" xfId="0" applyNumberFormat="1" applyFont="1" applyFill="1" applyAlignment="1">
      <alignment horizontal="center"/>
    </xf>
    <xf numFmtId="0" fontId="17" fillId="23" borderId="0" xfId="0" quotePrefix="1" applyFont="1" applyFill="1" applyAlignment="1">
      <alignment horizontal="center" wrapText="1"/>
    </xf>
    <xf numFmtId="14" fontId="11" fillId="23" borderId="0" xfId="0" applyNumberFormat="1" applyFont="1" applyFill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19" borderId="18" xfId="0" applyFont="1" applyFill="1" applyBorder="1" applyAlignment="1">
      <alignment horizontal="center"/>
    </xf>
    <xf numFmtId="2" fontId="2" fillId="9" borderId="14" xfId="0" applyNumberFormat="1" applyFont="1" applyFill="1" applyBorder="1" applyAlignment="1">
      <alignment horizontal="center"/>
    </xf>
    <xf numFmtId="2" fontId="2" fillId="14" borderId="6" xfId="0" applyNumberFormat="1" applyFont="1" applyFill="1" applyBorder="1" applyAlignment="1">
      <alignment horizontal="center"/>
    </xf>
    <xf numFmtId="2" fontId="2" fillId="9" borderId="17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2" fillId="21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1" fillId="7" borderId="0" xfId="0" applyFont="1" applyFill="1" applyAlignment="1">
      <alignment horizontal="center" wrapText="1"/>
    </xf>
    <xf numFmtId="0" fontId="22" fillId="7" borderId="0" xfId="0" applyFont="1" applyFill="1" applyAlignment="1">
      <alignment horizontal="center" wrapText="1"/>
    </xf>
    <xf numFmtId="0" fontId="21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1" fillId="19" borderId="0" xfId="0" applyFont="1" applyFill="1" applyAlignment="1">
      <alignment horizontal="center" wrapText="1"/>
    </xf>
    <xf numFmtId="0" fontId="22" fillId="19" borderId="0" xfId="0" applyFont="1" applyFill="1" applyAlignment="1">
      <alignment horizontal="center" wrapText="1"/>
    </xf>
    <xf numFmtId="0" fontId="0" fillId="19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1" fillId="13" borderId="0" xfId="0" applyFont="1" applyFill="1" applyAlignment="1">
      <alignment horizontal="center" wrapText="1"/>
    </xf>
    <xf numFmtId="0" fontId="22" fillId="13" borderId="0" xfId="0" applyFont="1" applyFill="1" applyAlignment="1">
      <alignment horizontal="center" wrapText="1"/>
    </xf>
    <xf numFmtId="0" fontId="24" fillId="7" borderId="0" xfId="0" applyFont="1" applyFill="1" applyAlignment="1">
      <alignment horizontal="center" wrapText="1"/>
    </xf>
    <xf numFmtId="0" fontId="23" fillId="24" borderId="0" xfId="0" applyFont="1" applyFill="1" applyAlignment="1">
      <alignment horizontal="center" wrapText="1"/>
    </xf>
    <xf numFmtId="0" fontId="23" fillId="19" borderId="0" xfId="0" applyFont="1" applyFill="1" applyAlignment="1">
      <alignment horizontal="center" wrapText="1"/>
    </xf>
    <xf numFmtId="0" fontId="0" fillId="25" borderId="0" xfId="0" applyFill="1" applyAlignment="1">
      <alignment horizontal="center"/>
    </xf>
    <xf numFmtId="0" fontId="21" fillId="25" borderId="0" xfId="0" applyFont="1" applyFill="1" applyAlignment="1">
      <alignment horizontal="center" wrapText="1"/>
    </xf>
    <xf numFmtId="0" fontId="11" fillId="23" borderId="20" xfId="0" applyFont="1" applyFill="1" applyBorder="1" applyAlignment="1">
      <alignment horizontal="center"/>
    </xf>
    <xf numFmtId="0" fontId="1" fillId="19" borderId="2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3" fillId="19" borderId="0" xfId="0" applyFont="1" applyFill="1" applyAlignment="1">
      <alignment horizontal="center"/>
    </xf>
    <xf numFmtId="0" fontId="21" fillId="13" borderId="20" xfId="0" applyFont="1" applyFill="1" applyBorder="1" applyAlignment="1">
      <alignment horizontal="center" wrapText="1"/>
    </xf>
    <xf numFmtId="0" fontId="0" fillId="13" borderId="20" xfId="0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13" borderId="20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19" borderId="20" xfId="0" applyFont="1" applyFill="1" applyBorder="1" applyAlignment="1">
      <alignment horizontal="center"/>
    </xf>
    <xf numFmtId="0" fontId="11" fillId="24" borderId="20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22" fillId="24" borderId="20" xfId="0" applyFont="1" applyFill="1" applyBorder="1" applyAlignment="1">
      <alignment horizontal="center" wrapText="1"/>
    </xf>
    <xf numFmtId="0" fontId="22" fillId="19" borderId="20" xfId="0" applyFont="1" applyFill="1" applyBorder="1" applyAlignment="1">
      <alignment horizontal="center" wrapText="1"/>
    </xf>
    <xf numFmtId="0" fontId="22" fillId="13" borderId="20" xfId="0" applyFont="1" applyFill="1" applyBorder="1" applyAlignment="1">
      <alignment horizontal="center" wrapText="1"/>
    </xf>
    <xf numFmtId="0" fontId="22" fillId="24" borderId="19" xfId="0" applyFont="1" applyFill="1" applyBorder="1" applyAlignment="1">
      <alignment horizontal="center" wrapText="1"/>
    </xf>
    <xf numFmtId="0" fontId="22" fillId="25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11" fillId="24" borderId="0" xfId="0" applyFont="1" applyFill="1" applyAlignment="1">
      <alignment horizontal="center"/>
    </xf>
    <xf numFmtId="0" fontId="11" fillId="24" borderId="21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14" fontId="21" fillId="19" borderId="20" xfId="0" applyNumberFormat="1" applyFont="1" applyFill="1" applyBorder="1" applyAlignment="1">
      <alignment horizontal="center" wrapText="1"/>
    </xf>
    <xf numFmtId="14" fontId="21" fillId="24" borderId="20" xfId="0" applyNumberFormat="1" applyFont="1" applyFill="1" applyBorder="1" applyAlignment="1">
      <alignment horizontal="center" wrapText="1"/>
    </xf>
    <xf numFmtId="14" fontId="21" fillId="7" borderId="20" xfId="0" applyNumberFormat="1" applyFont="1" applyFill="1" applyBorder="1" applyAlignment="1">
      <alignment horizontal="center" wrapText="1"/>
    </xf>
    <xf numFmtId="14" fontId="21" fillId="25" borderId="20" xfId="0" applyNumberFormat="1" applyFont="1" applyFill="1" applyBorder="1" applyAlignment="1">
      <alignment horizontal="center" wrapText="1"/>
    </xf>
    <xf numFmtId="14" fontId="21" fillId="24" borderId="19" xfId="0" applyNumberFormat="1" applyFont="1" applyFill="1" applyBorder="1" applyAlignment="1">
      <alignment horizontal="center" wrapText="1"/>
    </xf>
    <xf numFmtId="14" fontId="10" fillId="9" borderId="22" xfId="0" applyNumberFormat="1" applyFont="1" applyFill="1" applyBorder="1" applyAlignment="1">
      <alignment horizontal="center"/>
    </xf>
    <xf numFmtId="14" fontId="10" fillId="9" borderId="20" xfId="0" applyNumberFormat="1" applyFont="1" applyFill="1" applyBorder="1" applyAlignment="1">
      <alignment horizontal="center"/>
    </xf>
    <xf numFmtId="14" fontId="10" fillId="9" borderId="23" xfId="0" applyNumberFormat="1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0" fillId="9" borderId="24" xfId="0" applyNumberFormat="1" applyFont="1" applyFill="1" applyBorder="1" applyAlignment="1">
      <alignment horizontal="center"/>
    </xf>
    <xf numFmtId="14" fontId="10" fillId="8" borderId="20" xfId="0" applyNumberFormat="1" applyFont="1" applyFill="1" applyBorder="1" applyAlignment="1">
      <alignment horizontal="center"/>
    </xf>
    <xf numFmtId="14" fontId="26" fillId="8" borderId="20" xfId="0" applyNumberFormat="1" applyFont="1" applyFill="1" applyBorder="1" applyAlignment="1">
      <alignment horizontal="center"/>
    </xf>
    <xf numFmtId="14" fontId="10" fillId="7" borderId="20" xfId="0" applyNumberFormat="1" applyFont="1" applyFill="1" applyBorder="1" applyAlignment="1">
      <alignment horizontal="center"/>
    </xf>
    <xf numFmtId="14" fontId="10" fillId="7" borderId="25" xfId="0" applyNumberFormat="1" applyFont="1" applyFill="1" applyBorder="1" applyAlignment="1">
      <alignment horizontal="center"/>
    </xf>
    <xf numFmtId="14" fontId="3" fillId="9" borderId="20" xfId="0" applyNumberFormat="1" applyFont="1" applyFill="1" applyBorder="1" applyAlignment="1">
      <alignment horizontal="center"/>
    </xf>
    <xf numFmtId="14" fontId="3" fillId="8" borderId="20" xfId="0" applyNumberFormat="1" applyFont="1" applyFill="1" applyBorder="1" applyAlignment="1">
      <alignment horizontal="center"/>
    </xf>
    <xf numFmtId="14" fontId="10" fillId="19" borderId="20" xfId="0" applyNumberFormat="1" applyFont="1" applyFill="1" applyBorder="1" applyAlignment="1">
      <alignment horizontal="center"/>
    </xf>
    <xf numFmtId="14" fontId="3" fillId="19" borderId="20" xfId="0" applyNumberFormat="1" applyFont="1" applyFill="1" applyBorder="1" applyAlignment="1">
      <alignment horizontal="center"/>
    </xf>
    <xf numFmtId="14" fontId="0" fillId="8" borderId="20" xfId="0" applyNumberFormat="1" applyFill="1" applyBorder="1" applyAlignment="1">
      <alignment horizontal="center"/>
    </xf>
    <xf numFmtId="14" fontId="0" fillId="7" borderId="20" xfId="0" applyNumberFormat="1" applyFill="1" applyBorder="1" applyAlignment="1">
      <alignment horizontal="center"/>
    </xf>
    <xf numFmtId="14" fontId="10" fillId="24" borderId="20" xfId="0" applyNumberFormat="1" applyFont="1" applyFill="1" applyBorder="1" applyAlignment="1">
      <alignment horizontal="center"/>
    </xf>
    <xf numFmtId="14" fontId="10" fillId="24" borderId="21" xfId="0" applyNumberFormat="1" applyFont="1" applyFill="1" applyBorder="1" applyAlignment="1">
      <alignment horizontal="center"/>
    </xf>
    <xf numFmtId="0" fontId="22" fillId="24" borderId="29" xfId="0" applyFont="1" applyFill="1" applyBorder="1" applyAlignment="1">
      <alignment horizontal="center" wrapText="1"/>
    </xf>
    <xf numFmtId="0" fontId="11" fillId="24" borderId="30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1" fillId="0" borderId="0" xfId="0" applyFont="1"/>
    <xf numFmtId="0" fontId="10" fillId="9" borderId="17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26" fillId="8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0" fillId="21" borderId="0" xfId="0" applyFill="1" applyAlignment="1">
      <alignment horizontal="center"/>
    </xf>
    <xf numFmtId="0" fontId="10" fillId="21" borderId="0" xfId="0" applyFont="1" applyFill="1" applyAlignment="1">
      <alignment horizontal="center"/>
    </xf>
    <xf numFmtId="14" fontId="10" fillId="21" borderId="20" xfId="0" applyNumberFormat="1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15" borderId="20" xfId="0" applyFont="1" applyFill="1" applyBorder="1" applyAlignment="1">
      <alignment horizontal="center"/>
    </xf>
    <xf numFmtId="0" fontId="11" fillId="19" borderId="20" xfId="0" applyFont="1" applyFill="1" applyBorder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0" fontId="11" fillId="26" borderId="31" xfId="0" applyFont="1" applyFill="1" applyBorder="1" applyAlignment="1">
      <alignment horizontal="center"/>
    </xf>
    <xf numFmtId="0" fontId="11" fillId="26" borderId="19" xfId="0" applyFont="1" applyFill="1" applyBorder="1" applyAlignment="1">
      <alignment horizontal="center"/>
    </xf>
    <xf numFmtId="0" fontId="11" fillId="26" borderId="32" xfId="0" applyFont="1" applyFill="1" applyBorder="1" applyAlignment="1">
      <alignment horizontal="center"/>
    </xf>
    <xf numFmtId="0" fontId="11" fillId="8" borderId="33" xfId="0" applyFont="1" applyFill="1" applyBorder="1" applyAlignment="1">
      <alignment horizontal="center"/>
    </xf>
    <xf numFmtId="0" fontId="11" fillId="8" borderId="19" xfId="0" applyFont="1" applyFill="1" applyBorder="1" applyAlignment="1">
      <alignment horizontal="center" wrapText="1"/>
    </xf>
    <xf numFmtId="0" fontId="11" fillId="8" borderId="34" xfId="0" applyFont="1" applyFill="1" applyBorder="1" applyAlignment="1">
      <alignment horizontal="center"/>
    </xf>
    <xf numFmtId="0" fontId="11" fillId="7" borderId="45" xfId="0" applyFont="1" applyFill="1" applyBorder="1" applyAlignment="1">
      <alignment horizontal="center"/>
    </xf>
    <xf numFmtId="0" fontId="11" fillId="7" borderId="57" xfId="0" applyFont="1" applyFill="1" applyBorder="1" applyAlignment="1">
      <alignment horizontal="center" wrapText="1"/>
    </xf>
    <xf numFmtId="0" fontId="11" fillId="7" borderId="46" xfId="0" applyFont="1" applyFill="1" applyBorder="1" applyAlignment="1">
      <alignment horizontal="center"/>
    </xf>
    <xf numFmtId="0" fontId="11" fillId="27" borderId="58" xfId="0" applyFont="1" applyFill="1" applyBorder="1" applyAlignment="1">
      <alignment horizontal="center" wrapText="1"/>
    </xf>
    <xf numFmtId="0" fontId="11" fillId="25" borderId="59" xfId="0" applyFont="1" applyFill="1" applyBorder="1" applyAlignment="1">
      <alignment horizontal="center"/>
    </xf>
    <xf numFmtId="0" fontId="11" fillId="25" borderId="19" xfId="0" applyFont="1" applyFill="1" applyBorder="1" applyAlignment="1">
      <alignment horizontal="center" wrapText="1"/>
    </xf>
    <xf numFmtId="0" fontId="11" fillId="25" borderId="60" xfId="0" applyFont="1" applyFill="1" applyBorder="1" applyAlignment="1">
      <alignment horizontal="center"/>
    </xf>
    <xf numFmtId="0" fontId="11" fillId="19" borderId="56" xfId="0" applyFont="1" applyFill="1" applyBorder="1" applyAlignment="1">
      <alignment horizontal="center" wrapText="1"/>
    </xf>
    <xf numFmtId="0" fontId="11" fillId="21" borderId="39" xfId="0" applyFont="1" applyFill="1" applyBorder="1" applyAlignment="1">
      <alignment horizontal="center"/>
    </xf>
    <xf numFmtId="0" fontId="11" fillId="21" borderId="55" xfId="0" applyFont="1" applyFill="1" applyBorder="1" applyAlignment="1">
      <alignment horizontal="center" wrapText="1"/>
    </xf>
    <xf numFmtId="0" fontId="11" fillId="21" borderId="40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0" fillId="28" borderId="0" xfId="0" applyFont="1" applyFill="1" applyAlignment="1">
      <alignment horizontal="center"/>
    </xf>
    <xf numFmtId="49" fontId="10" fillId="28" borderId="0" xfId="0" applyNumberFormat="1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4" fontId="10" fillId="28" borderId="0" xfId="0" applyNumberFormat="1" applyFont="1" applyFill="1" applyAlignment="1">
      <alignment horizontal="center"/>
    </xf>
    <xf numFmtId="0" fontId="27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1" fillId="0" borderId="6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8" fillId="22" borderId="0" xfId="0" applyFont="1" applyFill="1" applyAlignment="1">
      <alignment horizontal="center"/>
    </xf>
    <xf numFmtId="0" fontId="11" fillId="30" borderId="8" xfId="0" applyFont="1" applyFill="1" applyBorder="1" applyAlignment="1">
      <alignment horizontal="center"/>
    </xf>
    <xf numFmtId="0" fontId="0" fillId="30" borderId="8" xfId="0" applyFill="1" applyBorder="1"/>
    <xf numFmtId="0" fontId="11" fillId="8" borderId="8" xfId="0" applyFont="1" applyFill="1" applyBorder="1" applyAlignment="1">
      <alignment horizontal="center"/>
    </xf>
    <xf numFmtId="0" fontId="0" fillId="8" borderId="8" xfId="0" applyFill="1" applyBorder="1"/>
    <xf numFmtId="14" fontId="0" fillId="0" borderId="8" xfId="0" applyNumberFormat="1" applyBorder="1" applyAlignment="1">
      <alignment horizontal="center"/>
    </xf>
    <xf numFmtId="0" fontId="10" fillId="9" borderId="10" xfId="0" applyFont="1" applyFill="1" applyBorder="1" applyAlignment="1">
      <alignment horizontal="center"/>
    </xf>
    <xf numFmtId="0" fontId="10" fillId="8" borderId="10" xfId="0" applyFont="1" applyFill="1" applyBorder="1"/>
    <xf numFmtId="0" fontId="10" fillId="8" borderId="10" xfId="0" applyFont="1" applyFill="1" applyBorder="1" applyAlignment="1">
      <alignment horizontal="center"/>
    </xf>
    <xf numFmtId="0" fontId="10" fillId="19" borderId="10" xfId="0" applyFont="1" applyFill="1" applyBorder="1" applyAlignment="1">
      <alignment horizontal="center"/>
    </xf>
    <xf numFmtId="0" fontId="11" fillId="0" borderId="1" xfId="0" applyFont="1" applyBorder="1"/>
    <xf numFmtId="0" fontId="11" fillId="29" borderId="0" xfId="0" applyFont="1" applyFill="1" applyAlignment="1">
      <alignment horizontal="center"/>
    </xf>
    <xf numFmtId="2" fontId="1" fillId="31" borderId="0" xfId="0" applyNumberFormat="1" applyFont="1" applyFill="1" applyAlignment="1">
      <alignment horizontal="center"/>
    </xf>
    <xf numFmtId="0" fontId="11" fillId="0" borderId="2" xfId="0" applyFont="1" applyBorder="1"/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3" borderId="0" xfId="0" applyFill="1"/>
    <xf numFmtId="0" fontId="11" fillId="13" borderId="0" xfId="0" applyFont="1" applyFill="1"/>
    <xf numFmtId="0" fontId="0" fillId="21" borderId="0" xfId="0" applyFill="1"/>
    <xf numFmtId="0" fontId="0" fillId="8" borderId="0" xfId="0" applyFill="1"/>
    <xf numFmtId="0" fontId="0" fillId="32" borderId="0" xfId="0" applyFill="1"/>
    <xf numFmtId="0" fontId="0" fillId="17" borderId="0" xfId="0" applyFill="1"/>
    <xf numFmtId="0" fontId="1" fillId="29" borderId="0" xfId="0" applyFont="1" applyFill="1" applyAlignment="1">
      <alignment horizontal="center"/>
    </xf>
    <xf numFmtId="14" fontId="11" fillId="24" borderId="0" xfId="0" applyNumberFormat="1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25" fillId="19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11" fillId="13" borderId="20" xfId="0" applyFont="1" applyFill="1" applyBorder="1" applyAlignment="1">
      <alignment horizontal="center"/>
    </xf>
    <xf numFmtId="0" fontId="11" fillId="21" borderId="20" xfId="0" applyFont="1" applyFill="1" applyBorder="1" applyAlignment="1">
      <alignment horizontal="center"/>
    </xf>
    <xf numFmtId="0" fontId="0" fillId="13" borderId="20" xfId="0" applyFill="1" applyBorder="1"/>
    <xf numFmtId="14" fontId="11" fillId="9" borderId="20" xfId="0" applyNumberFormat="1" applyFont="1" applyFill="1" applyBorder="1" applyAlignment="1">
      <alignment horizontal="center"/>
    </xf>
    <xf numFmtId="14" fontId="11" fillId="8" borderId="20" xfId="0" applyNumberFormat="1" applyFont="1" applyFill="1" applyBorder="1" applyAlignment="1">
      <alignment horizontal="center"/>
    </xf>
    <xf numFmtId="14" fontId="11" fillId="7" borderId="20" xfId="0" applyNumberFormat="1" applyFont="1" applyFill="1" applyBorder="1" applyAlignment="1">
      <alignment horizontal="center"/>
    </xf>
    <xf numFmtId="14" fontId="11" fillId="19" borderId="20" xfId="0" applyNumberFormat="1" applyFont="1" applyFill="1" applyBorder="1" applyAlignment="1">
      <alignment horizontal="center"/>
    </xf>
    <xf numFmtId="14" fontId="25" fillId="19" borderId="20" xfId="0" applyNumberFormat="1" applyFont="1" applyFill="1" applyBorder="1" applyAlignment="1">
      <alignment horizontal="center"/>
    </xf>
    <xf numFmtId="14" fontId="11" fillId="21" borderId="20" xfId="0" applyNumberFormat="1" applyFont="1" applyFill="1" applyBorder="1" applyAlignment="1">
      <alignment horizontal="center"/>
    </xf>
    <xf numFmtId="14" fontId="11" fillId="24" borderId="20" xfId="0" applyNumberFormat="1" applyFont="1" applyFill="1" applyBorder="1" applyAlignment="1">
      <alignment horizontal="center"/>
    </xf>
    <xf numFmtId="0" fontId="15" fillId="16" borderId="19" xfId="0" applyFont="1" applyFill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14" fontId="22" fillId="19" borderId="20" xfId="0" applyNumberFormat="1" applyFont="1" applyFill="1" applyBorder="1" applyAlignment="1">
      <alignment horizontal="center" wrapText="1"/>
    </xf>
    <xf numFmtId="14" fontId="22" fillId="24" borderId="20" xfId="0" applyNumberFormat="1" applyFont="1" applyFill="1" applyBorder="1" applyAlignment="1">
      <alignment horizontal="center" wrapText="1"/>
    </xf>
    <xf numFmtId="14" fontId="22" fillId="7" borderId="20" xfId="0" applyNumberFormat="1" applyFont="1" applyFill="1" applyBorder="1" applyAlignment="1">
      <alignment horizontal="center" wrapText="1"/>
    </xf>
    <xf numFmtId="14" fontId="22" fillId="25" borderId="20" xfId="0" applyNumberFormat="1" applyFont="1" applyFill="1" applyBorder="1" applyAlignment="1">
      <alignment horizontal="center" wrapText="1"/>
    </xf>
    <xf numFmtId="14" fontId="22" fillId="24" borderId="19" xfId="0" applyNumberFormat="1" applyFont="1" applyFill="1" applyBorder="1" applyAlignment="1">
      <alignment horizontal="center" wrapText="1"/>
    </xf>
    <xf numFmtId="0" fontId="11" fillId="8" borderId="29" xfId="0" applyFont="1" applyFill="1" applyBorder="1" applyAlignment="1">
      <alignment horizontal="center"/>
    </xf>
    <xf numFmtId="0" fontId="4" fillId="8" borderId="29" xfId="0" applyFont="1" applyFill="1" applyBorder="1" applyAlignment="1">
      <alignment horizontal="center"/>
    </xf>
    <xf numFmtId="14" fontId="4" fillId="8" borderId="29" xfId="0" applyNumberFormat="1" applyFont="1" applyFill="1" applyBorder="1" applyAlignment="1">
      <alignment horizontal="center"/>
    </xf>
    <xf numFmtId="2" fontId="1" fillId="8" borderId="29" xfId="0" applyNumberFormat="1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14" fontId="1" fillId="0" borderId="29" xfId="0" applyNumberFormat="1" applyFont="1" applyBorder="1" applyAlignment="1">
      <alignment horizontal="center"/>
    </xf>
    <xf numFmtId="2" fontId="1" fillId="31" borderId="29" xfId="0" applyNumberFormat="1" applyFont="1" applyFill="1" applyBorder="1" applyAlignment="1">
      <alignment horizontal="center"/>
    </xf>
    <xf numFmtId="0" fontId="11" fillId="16" borderId="63" xfId="0" applyFont="1" applyFill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1" fillId="27" borderId="0" xfId="0" applyFont="1" applyFill="1" applyAlignment="1">
      <alignment horizontal="center"/>
    </xf>
    <xf numFmtId="14" fontId="11" fillId="27" borderId="0" xfId="0" applyNumberFormat="1" applyFont="1" applyFill="1" applyAlignment="1">
      <alignment horizontal="center"/>
    </xf>
    <xf numFmtId="2" fontId="1" fillId="27" borderId="0" xfId="0" applyNumberFormat="1" applyFont="1" applyFill="1" applyAlignment="1">
      <alignment horizontal="center"/>
    </xf>
    <xf numFmtId="0" fontId="1" fillId="27" borderId="0" xfId="0" applyFont="1" applyFill="1" applyAlignment="1">
      <alignment horizontal="center"/>
    </xf>
    <xf numFmtId="0" fontId="11" fillId="27" borderId="29" xfId="0" applyFont="1" applyFill="1" applyBorder="1" applyAlignment="1">
      <alignment horizontal="center"/>
    </xf>
    <xf numFmtId="14" fontId="11" fillId="27" borderId="29" xfId="0" applyNumberFormat="1" applyFont="1" applyFill="1" applyBorder="1" applyAlignment="1">
      <alignment horizontal="center"/>
    </xf>
    <xf numFmtId="2" fontId="1" fillId="27" borderId="29" xfId="0" applyNumberFormat="1" applyFont="1" applyFill="1" applyBorder="1" applyAlignment="1">
      <alignment horizontal="center"/>
    </xf>
    <xf numFmtId="0" fontId="1" fillId="27" borderId="29" xfId="0" applyFont="1" applyFill="1" applyBorder="1" applyAlignment="1">
      <alignment horizontal="center"/>
    </xf>
    <xf numFmtId="0" fontId="11" fillId="16" borderId="0" xfId="0" applyFont="1" applyFill="1" applyAlignment="1">
      <alignment horizontal="center"/>
    </xf>
    <xf numFmtId="2" fontId="11" fillId="24" borderId="0" xfId="0" applyNumberFormat="1" applyFont="1" applyFill="1" applyAlignment="1">
      <alignment horizontal="center"/>
    </xf>
    <xf numFmtId="14" fontId="11" fillId="24" borderId="29" xfId="0" applyNumberFormat="1" applyFont="1" applyFill="1" applyBorder="1" applyAlignment="1">
      <alignment horizontal="center"/>
    </xf>
    <xf numFmtId="2" fontId="11" fillId="24" borderId="29" xfId="0" applyNumberFormat="1" applyFont="1" applyFill="1" applyBorder="1" applyAlignment="1">
      <alignment horizontal="center"/>
    </xf>
    <xf numFmtId="2" fontId="1" fillId="31" borderId="20" xfId="0" applyNumberFormat="1" applyFont="1" applyFill="1" applyBorder="1" applyAlignment="1">
      <alignment horizontal="center"/>
    </xf>
    <xf numFmtId="2" fontId="1" fillId="31" borderId="21" xfId="0" applyNumberFormat="1" applyFont="1" applyFill="1" applyBorder="1" applyAlignment="1">
      <alignment horizontal="center"/>
    </xf>
    <xf numFmtId="0" fontId="20" fillId="25" borderId="20" xfId="0" applyFont="1" applyFill="1" applyBorder="1" applyAlignment="1">
      <alignment horizontal="center" wrapText="1"/>
    </xf>
    <xf numFmtId="14" fontId="22" fillId="24" borderId="0" xfId="0" applyNumberFormat="1" applyFont="1" applyFill="1" applyAlignment="1">
      <alignment horizontal="center" wrapText="1"/>
    </xf>
    <xf numFmtId="14" fontId="22" fillId="19" borderId="0" xfId="0" applyNumberFormat="1" applyFont="1" applyFill="1" applyAlignment="1">
      <alignment horizontal="center" wrapText="1"/>
    </xf>
    <xf numFmtId="0" fontId="28" fillId="9" borderId="0" xfId="0" applyFont="1" applyFill="1" applyAlignment="1">
      <alignment horizontal="center"/>
    </xf>
    <xf numFmtId="14" fontId="28" fillId="9" borderId="0" xfId="0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0" fontId="28" fillId="7" borderId="0" xfId="0" applyFont="1" applyFill="1" applyAlignment="1">
      <alignment horizontal="center"/>
    </xf>
    <xf numFmtId="14" fontId="22" fillId="24" borderId="29" xfId="0" applyNumberFormat="1" applyFont="1" applyFill="1" applyBorder="1" applyAlignment="1">
      <alignment horizontal="center" wrapText="1"/>
    </xf>
    <xf numFmtId="0" fontId="11" fillId="8" borderId="30" xfId="0" applyFont="1" applyFill="1" applyBorder="1" applyAlignment="1">
      <alignment horizontal="center"/>
    </xf>
    <xf numFmtId="0" fontId="22" fillId="7" borderId="20" xfId="0" applyFont="1" applyFill="1" applyBorder="1" applyAlignment="1">
      <alignment horizontal="center" wrapText="1"/>
    </xf>
    <xf numFmtId="0" fontId="22" fillId="25" borderId="20" xfId="0" applyFont="1" applyFill="1" applyBorder="1" applyAlignment="1">
      <alignment horizontal="center" wrapText="1"/>
    </xf>
    <xf numFmtId="0" fontId="28" fillId="9" borderId="20" xfId="0" applyFont="1" applyFill="1" applyBorder="1" applyAlignment="1">
      <alignment horizontal="center"/>
    </xf>
    <xf numFmtId="14" fontId="28" fillId="9" borderId="20" xfId="0" applyNumberFormat="1" applyFont="1" applyFill="1" applyBorder="1" applyAlignment="1">
      <alignment horizontal="center"/>
    </xf>
    <xf numFmtId="0" fontId="28" fillId="8" borderId="20" xfId="0" applyFont="1" applyFill="1" applyBorder="1" applyAlignment="1">
      <alignment horizontal="center"/>
    </xf>
    <xf numFmtId="0" fontId="28" fillId="7" borderId="20" xfId="0" applyFont="1" applyFill="1" applyBorder="1" applyAlignment="1">
      <alignment horizontal="center"/>
    </xf>
    <xf numFmtId="0" fontId="25" fillId="19" borderId="20" xfId="0" applyFont="1" applyFill="1" applyBorder="1" applyAlignment="1">
      <alignment horizontal="center"/>
    </xf>
    <xf numFmtId="0" fontId="0" fillId="13" borderId="21" xfId="0" applyFill="1" applyBorder="1"/>
    <xf numFmtId="2" fontId="22" fillId="24" borderId="65" xfId="0" applyNumberFormat="1" applyFont="1" applyFill="1" applyBorder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20" fillId="33" borderId="21" xfId="0" applyFont="1" applyFill="1" applyBorder="1" applyAlignment="1">
      <alignment horizontal="center" wrapText="1"/>
    </xf>
    <xf numFmtId="2" fontId="22" fillId="24" borderId="20" xfId="0" applyNumberFormat="1" applyFont="1" applyFill="1" applyBorder="1" applyAlignment="1">
      <alignment horizontal="center" wrapText="1"/>
    </xf>
    <xf numFmtId="2" fontId="22" fillId="19" borderId="20" xfId="0" applyNumberFormat="1" applyFont="1" applyFill="1" applyBorder="1" applyAlignment="1">
      <alignment horizontal="center" wrapText="1"/>
    </xf>
    <xf numFmtId="2" fontId="22" fillId="13" borderId="0" xfId="0" applyNumberFormat="1" applyFont="1" applyFill="1" applyAlignment="1">
      <alignment horizontal="center" wrapText="1"/>
    </xf>
    <xf numFmtId="2" fontId="22" fillId="13" borderId="20" xfId="0" applyNumberFormat="1" applyFont="1" applyFill="1" applyBorder="1" applyAlignment="1">
      <alignment horizontal="center" wrapText="1"/>
    </xf>
    <xf numFmtId="2" fontId="22" fillId="24" borderId="66" xfId="0" applyNumberFormat="1" applyFont="1" applyFill="1" applyBorder="1" applyAlignment="1">
      <alignment horizontal="center" wrapText="1"/>
    </xf>
    <xf numFmtId="2" fontId="22" fillId="7" borderId="20" xfId="0" applyNumberFormat="1" applyFont="1" applyFill="1" applyBorder="1" applyAlignment="1">
      <alignment horizontal="center" wrapText="1"/>
    </xf>
    <xf numFmtId="2" fontId="22" fillId="25" borderId="20" xfId="0" applyNumberFormat="1" applyFont="1" applyFill="1" applyBorder="1" applyAlignment="1">
      <alignment horizontal="center" wrapText="1"/>
    </xf>
    <xf numFmtId="2" fontId="22" fillId="9" borderId="20" xfId="0" applyNumberFormat="1" applyFont="1" applyFill="1" applyBorder="1" applyAlignment="1">
      <alignment horizontal="center" wrapText="1"/>
    </xf>
    <xf numFmtId="2" fontId="22" fillId="8" borderId="20" xfId="0" applyNumberFormat="1" applyFont="1" applyFill="1" applyBorder="1" applyAlignment="1">
      <alignment horizontal="center" wrapText="1"/>
    </xf>
    <xf numFmtId="2" fontId="22" fillId="21" borderId="20" xfId="0" applyNumberFormat="1" applyFont="1" applyFill="1" applyBorder="1" applyAlignment="1">
      <alignment horizontal="center" wrapText="1"/>
    </xf>
    <xf numFmtId="14" fontId="22" fillId="24" borderId="27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1" borderId="27" xfId="0" applyFill="1" applyBorder="1"/>
    <xf numFmtId="0" fontId="0" fillId="13" borderId="27" xfId="0" applyFill="1" applyBorder="1"/>
    <xf numFmtId="0" fontId="28" fillId="22" borderId="27" xfId="0" applyFont="1" applyFill="1" applyBorder="1" applyAlignment="1">
      <alignment horizontal="center"/>
    </xf>
    <xf numFmtId="0" fontId="11" fillId="31" borderId="27" xfId="0" applyFont="1" applyFill="1" applyBorder="1"/>
    <xf numFmtId="0" fontId="21" fillId="0" borderId="0" xfId="0" applyFont="1" applyAlignment="1">
      <alignment horizontal="left" wrapText="1"/>
    </xf>
    <xf numFmtId="14" fontId="21" fillId="0" borderId="0" xfId="0" applyNumberFormat="1" applyFont="1" applyAlignment="1">
      <alignment horizontal="left" wrapText="1"/>
    </xf>
    <xf numFmtId="14" fontId="11" fillId="8" borderId="0" xfId="0" applyNumberFormat="1" applyFont="1" applyFill="1" applyAlignment="1">
      <alignment horizontal="center" wrapText="1"/>
    </xf>
    <xf numFmtId="0" fontId="11" fillId="21" borderId="0" xfId="0" applyFont="1" applyFill="1" applyAlignment="1">
      <alignment horizontal="center" wrapText="1"/>
    </xf>
    <xf numFmtId="14" fontId="11" fillId="21" borderId="0" xfId="0" applyNumberFormat="1" applyFont="1" applyFill="1" applyAlignment="1">
      <alignment horizontal="center"/>
    </xf>
    <xf numFmtId="2" fontId="11" fillId="21" borderId="0" xfId="0" applyNumberFormat="1" applyFont="1" applyFill="1" applyAlignment="1">
      <alignment horizontal="center"/>
    </xf>
    <xf numFmtId="14" fontId="11" fillId="21" borderId="0" xfId="0" applyNumberFormat="1" applyFont="1" applyFill="1" applyAlignment="1">
      <alignment horizontal="center" wrapText="1"/>
    </xf>
    <xf numFmtId="0" fontId="30" fillId="7" borderId="0" xfId="0" applyFont="1" applyFill="1" applyAlignment="1">
      <alignment horizontal="center"/>
    </xf>
    <xf numFmtId="2" fontId="22" fillId="8" borderId="0" xfId="0" quotePrefix="1" applyNumberFormat="1" applyFont="1" applyFill="1" applyAlignment="1">
      <alignment horizontal="center" wrapText="1"/>
    </xf>
    <xf numFmtId="2" fontId="22" fillId="7" borderId="0" xfId="0" quotePrefix="1" applyNumberFormat="1" applyFont="1" applyFill="1" applyAlignment="1">
      <alignment horizontal="center" wrapText="1"/>
    </xf>
    <xf numFmtId="2" fontId="22" fillId="24" borderId="0" xfId="0" quotePrefix="1" applyNumberFormat="1" applyFont="1" applyFill="1" applyAlignment="1">
      <alignment horizontal="center" wrapText="1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25" fillId="19" borderId="41" xfId="0" applyFont="1" applyFill="1" applyBorder="1" applyAlignment="1">
      <alignment horizontal="center"/>
    </xf>
    <xf numFmtId="0" fontId="25" fillId="19" borderId="42" xfId="0" applyFont="1" applyFill="1" applyBorder="1" applyAlignment="1">
      <alignment horizontal="center"/>
    </xf>
    <xf numFmtId="0" fontId="13" fillId="0" borderId="53" xfId="0" applyFont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25" fillId="27" borderId="50" xfId="0" applyFont="1" applyFill="1" applyBorder="1" applyAlignment="1">
      <alignment horizontal="center"/>
    </xf>
    <xf numFmtId="0" fontId="25" fillId="27" borderId="49" xfId="0" applyFont="1" applyFill="1" applyBorder="1" applyAlignment="1">
      <alignment horizontal="center"/>
    </xf>
    <xf numFmtId="0" fontId="0" fillId="33" borderId="68" xfId="0" applyFill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33" borderId="70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7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14" fontId="11" fillId="7" borderId="66" xfId="0" applyNumberFormat="1" applyFont="1" applyFill="1" applyBorder="1" applyAlignment="1">
      <alignment horizontal="center"/>
    </xf>
    <xf numFmtId="14" fontId="11" fillId="24" borderId="66" xfId="0" applyNumberFormat="1" applyFont="1" applyFill="1" applyBorder="1" applyAlignment="1">
      <alignment horizontal="center"/>
    </xf>
    <xf numFmtId="14" fontId="11" fillId="7" borderId="65" xfId="0" applyNumberFormat="1" applyFont="1" applyFill="1" applyBorder="1" applyAlignment="1">
      <alignment horizontal="center"/>
    </xf>
    <xf numFmtId="14" fontId="11" fillId="24" borderId="67" xfId="0" applyNumberFormat="1" applyFont="1" applyFill="1" applyBorder="1" applyAlignment="1">
      <alignment horizontal="center"/>
    </xf>
    <xf numFmtId="0" fontId="0" fillId="7" borderId="65" xfId="0" applyFill="1" applyBorder="1"/>
    <xf numFmtId="0" fontId="0" fillId="7" borderId="66" xfId="0" applyFill="1" applyBorder="1"/>
    <xf numFmtId="0" fontId="0" fillId="23" borderId="66" xfId="0" applyFill="1" applyBorder="1"/>
    <xf numFmtId="0" fontId="0" fillId="23" borderId="67" xfId="0" applyFill="1" applyBorder="1"/>
    <xf numFmtId="0" fontId="0" fillId="13" borderId="66" xfId="0" applyFill="1" applyBorder="1"/>
    <xf numFmtId="2" fontId="22" fillId="23" borderId="20" xfId="0" applyNumberFormat="1" applyFont="1" applyFill="1" applyBorder="1" applyAlignment="1">
      <alignment horizontal="center" wrapText="1"/>
    </xf>
    <xf numFmtId="0" fontId="0" fillId="10" borderId="27" xfId="0" applyFill="1" applyBorder="1" applyAlignment="1">
      <alignment horizontal="center"/>
    </xf>
    <xf numFmtId="0" fontId="11" fillId="7" borderId="66" xfId="0" applyFont="1" applyFill="1" applyBorder="1" applyAlignment="1">
      <alignment horizontal="center"/>
    </xf>
    <xf numFmtId="0" fontId="11" fillId="23" borderId="66" xfId="0" applyFont="1" applyFill="1" applyBorder="1" applyAlignment="1">
      <alignment horizontal="center"/>
    </xf>
    <xf numFmtId="0" fontId="11" fillId="21" borderId="66" xfId="0" applyFont="1" applyFill="1" applyBorder="1" applyAlignment="1">
      <alignment horizontal="center"/>
    </xf>
    <xf numFmtId="0" fontId="11" fillId="8" borderId="66" xfId="0" applyFont="1" applyFill="1" applyBorder="1" applyAlignment="1">
      <alignment horizontal="center"/>
    </xf>
    <xf numFmtId="0" fontId="11" fillId="19" borderId="2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2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20" borderId="73" xfId="0" applyFont="1" applyFill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2" fillId="9" borderId="74" xfId="0" applyFont="1" applyFill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0" fontId="2" fillId="8" borderId="77" xfId="0" applyFont="1" applyFill="1" applyBorder="1" applyAlignment="1">
      <alignment horizontal="center"/>
    </xf>
    <xf numFmtId="2" fontId="0" fillId="0" borderId="78" xfId="0" applyNumberFormat="1" applyBorder="1" applyAlignment="1">
      <alignment horizontal="center"/>
    </xf>
    <xf numFmtId="2" fontId="0" fillId="0" borderId="79" xfId="0" applyNumberFormat="1" applyBorder="1" applyAlignment="1">
      <alignment horizontal="center"/>
    </xf>
    <xf numFmtId="0" fontId="2" fillId="8" borderId="74" xfId="0" applyFont="1" applyFill="1" applyBorder="1" applyAlignment="1">
      <alignment horizontal="center"/>
    </xf>
    <xf numFmtId="0" fontId="1" fillId="19" borderId="77" xfId="0" applyFont="1" applyFill="1" applyBorder="1" applyAlignment="1">
      <alignment horizontal="center"/>
    </xf>
    <xf numFmtId="0" fontId="1" fillId="19" borderId="80" xfId="0" applyFont="1" applyFill="1" applyBorder="1" applyAlignment="1">
      <alignment horizontal="center"/>
    </xf>
    <xf numFmtId="2" fontId="0" fillId="0" borderId="81" xfId="0" applyNumberFormat="1" applyBorder="1" applyAlignment="1">
      <alignment horizontal="center"/>
    </xf>
    <xf numFmtId="2" fontId="0" fillId="0" borderId="82" xfId="0" applyNumberFormat="1" applyBorder="1" applyAlignment="1">
      <alignment horizontal="center"/>
    </xf>
    <xf numFmtId="0" fontId="1" fillId="20" borderId="19" xfId="0" applyFont="1" applyFill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2" fillId="9" borderId="66" xfId="0" applyFont="1" applyFill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2" fillId="8" borderId="84" xfId="0" applyFont="1" applyFill="1" applyBorder="1" applyAlignment="1">
      <alignment horizontal="center"/>
    </xf>
    <xf numFmtId="2" fontId="0" fillId="0" borderId="85" xfId="0" applyNumberFormat="1" applyBorder="1" applyAlignment="1">
      <alignment horizontal="center"/>
    </xf>
    <xf numFmtId="0" fontId="10" fillId="19" borderId="86" xfId="0" applyFont="1" applyFill="1" applyBorder="1" applyAlignment="1">
      <alignment horizontal="center"/>
    </xf>
    <xf numFmtId="2" fontId="0" fillId="0" borderId="87" xfId="0" applyNumberFormat="1" applyBorder="1" applyAlignment="1">
      <alignment horizontal="center"/>
    </xf>
    <xf numFmtId="2" fontId="0" fillId="0" borderId="88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6" borderId="8" xfId="0" applyNumberFormat="1" applyFill="1" applyBorder="1" applyAlignment="1">
      <alignment horizontal="center"/>
    </xf>
    <xf numFmtId="0" fontId="1" fillId="9" borderId="89" xfId="0" applyFont="1" applyFill="1" applyBorder="1" applyAlignment="1">
      <alignment horizontal="center"/>
    </xf>
    <xf numFmtId="2" fontId="1" fillId="9" borderId="7" xfId="0" applyNumberFormat="1" applyFont="1" applyFill="1" applyBorder="1" applyAlignment="1">
      <alignment horizontal="center"/>
    </xf>
    <xf numFmtId="2" fontId="1" fillId="9" borderId="72" xfId="0" applyNumberFormat="1" applyFont="1" applyFill="1" applyBorder="1" applyAlignment="1">
      <alignment horizontal="center"/>
    </xf>
    <xf numFmtId="2" fontId="1" fillId="9" borderId="9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9" borderId="3" xfId="0" applyNumberFormat="1" applyFont="1" applyFill="1" applyBorder="1" applyAlignment="1">
      <alignment horizontal="center"/>
    </xf>
    <xf numFmtId="2" fontId="1" fillId="11" borderId="3" xfId="0" applyNumberFormat="1" applyFont="1" applyFill="1" applyBorder="1" applyAlignment="1">
      <alignment horizontal="center"/>
    </xf>
    <xf numFmtId="2" fontId="1" fillId="11" borderId="72" xfId="0" applyNumberFormat="1" applyFont="1" applyFill="1" applyBorder="1" applyAlignment="1">
      <alignment horizontal="center"/>
    </xf>
    <xf numFmtId="2" fontId="2" fillId="12" borderId="90" xfId="0" applyNumberFormat="1" applyFont="1" applyFill="1" applyBorder="1" applyAlignment="1">
      <alignment horizontal="center"/>
    </xf>
    <xf numFmtId="2" fontId="2" fillId="12" borderId="10" xfId="0" applyNumberFormat="1" applyFont="1" applyFill="1" applyBorder="1" applyAlignment="1">
      <alignment horizontal="center"/>
    </xf>
    <xf numFmtId="2" fontId="1" fillId="8" borderId="72" xfId="0" applyNumberFormat="1" applyFont="1" applyFill="1" applyBorder="1" applyAlignment="1">
      <alignment horizontal="center"/>
    </xf>
    <xf numFmtId="2" fontId="1" fillId="8" borderId="90" xfId="0" applyNumberFormat="1" applyFont="1" applyFill="1" applyBorder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72" xfId="0" applyNumberFormat="1" applyFont="1" applyFill="1" applyBorder="1" applyAlignment="1">
      <alignment horizontal="center"/>
    </xf>
    <xf numFmtId="2" fontId="2" fillId="14" borderId="9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0" xfId="0" quotePrefix="1" applyNumberFormat="1" applyFont="1" applyFill="1" applyAlignment="1">
      <alignment horizontal="center"/>
    </xf>
    <xf numFmtId="2" fontId="0" fillId="0" borderId="73" xfId="0" applyNumberFormat="1" applyBorder="1"/>
    <xf numFmtId="0" fontId="0" fillId="0" borderId="73" xfId="0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20" fillId="33" borderId="20" xfId="0" applyFont="1" applyFill="1" applyBorder="1" applyAlignment="1">
      <alignment horizontal="center" wrapText="1"/>
    </xf>
    <xf numFmtId="0" fontId="1" fillId="9" borderId="91" xfId="0" applyFont="1" applyFill="1" applyBorder="1" applyAlignment="1">
      <alignment horizontal="center"/>
    </xf>
    <xf numFmtId="0" fontId="1" fillId="9" borderId="92" xfId="0" applyFont="1" applyFill="1" applyBorder="1" applyAlignment="1">
      <alignment horizontal="center"/>
    </xf>
    <xf numFmtId="0" fontId="1" fillId="11" borderId="92" xfId="0" applyFont="1" applyFill="1" applyBorder="1" applyAlignment="1">
      <alignment horizontal="center"/>
    </xf>
    <xf numFmtId="0" fontId="1" fillId="8" borderId="92" xfId="0" applyFont="1" applyFill="1" applyBorder="1" applyAlignment="1">
      <alignment horizontal="center"/>
    </xf>
    <xf numFmtId="0" fontId="4" fillId="8" borderId="92" xfId="0" applyFont="1" applyFill="1" applyBorder="1" applyAlignment="1">
      <alignment horizontal="center"/>
    </xf>
    <xf numFmtId="0" fontId="1" fillId="2" borderId="92" xfId="0" applyFont="1" applyFill="1" applyBorder="1" applyAlignment="1">
      <alignment horizontal="center"/>
    </xf>
    <xf numFmtId="0" fontId="1" fillId="2" borderId="93" xfId="0" applyFont="1" applyFill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1" xfId="0" applyBorder="1"/>
    <xf numFmtId="0" fontId="1" fillId="0" borderId="66" xfId="0" applyFont="1" applyBorder="1" applyAlignment="1">
      <alignment horizontal="center"/>
    </xf>
    <xf numFmtId="0" fontId="0" fillId="0" borderId="76" xfId="0" applyBorder="1"/>
    <xf numFmtId="0" fontId="0" fillId="0" borderId="82" xfId="0" applyBorder="1"/>
    <xf numFmtId="0" fontId="2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0" fillId="0" borderId="94" xfId="0" applyNumberFormat="1" applyBorder="1" applyAlignment="1">
      <alignment horizontal="center"/>
    </xf>
    <xf numFmtId="0" fontId="11" fillId="8" borderId="92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2" fontId="2" fillId="9" borderId="15" xfId="0" applyNumberFormat="1" applyFont="1" applyFill="1" applyBorder="1" applyAlignment="1">
      <alignment horizontal="center"/>
    </xf>
    <xf numFmtId="0" fontId="28" fillId="22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11" fillId="0" borderId="73" xfId="0" applyFont="1" applyBorder="1" applyAlignment="1">
      <alignment horizontal="center"/>
    </xf>
    <xf numFmtId="0" fontId="11" fillId="21" borderId="73" xfId="0" applyFont="1" applyFill="1" applyBorder="1" applyAlignment="1">
      <alignment horizontal="center"/>
    </xf>
    <xf numFmtId="0" fontId="11" fillId="21" borderId="95" xfId="0" applyFont="1" applyFill="1" applyBorder="1" applyAlignment="1">
      <alignment horizontal="center"/>
    </xf>
    <xf numFmtId="0" fontId="11" fillId="8" borderId="7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1" borderId="29" xfId="0" applyFont="1" applyFill="1" applyBorder="1" applyAlignment="1">
      <alignment horizontal="center" wrapText="1"/>
    </xf>
    <xf numFmtId="0" fontId="11" fillId="21" borderId="29" xfId="0" applyFont="1" applyFill="1" applyBorder="1" applyAlignment="1">
      <alignment horizontal="center"/>
    </xf>
    <xf numFmtId="14" fontId="11" fillId="21" borderId="29" xfId="0" applyNumberFormat="1" applyFont="1" applyFill="1" applyBorder="1" applyAlignment="1">
      <alignment horizontal="center" wrapText="1"/>
    </xf>
    <xf numFmtId="0" fontId="28" fillId="22" borderId="29" xfId="0" applyFont="1" applyFill="1" applyBorder="1" applyAlignment="1">
      <alignment horizontal="center"/>
    </xf>
    <xf numFmtId="14" fontId="11" fillId="21" borderId="29" xfId="0" applyNumberFormat="1" applyFont="1" applyFill="1" applyBorder="1" applyAlignment="1">
      <alignment horizontal="center"/>
    </xf>
    <xf numFmtId="2" fontId="11" fillId="21" borderId="29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7" borderId="0" xfId="0" applyFont="1" applyFill="1" applyAlignment="1">
      <alignment horizontal="center" wrapText="1"/>
    </xf>
    <xf numFmtId="14" fontId="11" fillId="7" borderId="0" xfId="0" applyNumberFormat="1" applyFont="1" applyFill="1" applyAlignment="1">
      <alignment horizont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2" fontId="16" fillId="7" borderId="0" xfId="0" quotePrefix="1" applyNumberFormat="1" applyFont="1" applyFill="1" applyAlignment="1">
      <alignment horizontal="center" wrapText="1"/>
    </xf>
    <xf numFmtId="2" fontId="16" fillId="21" borderId="0" xfId="0" quotePrefix="1" applyNumberFormat="1" applyFont="1" applyFill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/>
    </xf>
    <xf numFmtId="2" fontId="16" fillId="9" borderId="0" xfId="0" quotePrefix="1" applyNumberFormat="1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  <xf numFmtId="14" fontId="11" fillId="6" borderId="0" xfId="0" applyNumberFormat="1" applyFont="1" applyFill="1" applyAlignment="1">
      <alignment horizontal="center" wrapText="1"/>
    </xf>
    <xf numFmtId="2" fontId="16" fillId="6" borderId="0" xfId="0" quotePrefix="1" applyNumberFormat="1" applyFont="1" applyFill="1" applyAlignment="1">
      <alignment horizontal="center" wrapText="1"/>
    </xf>
    <xf numFmtId="2" fontId="11" fillId="7" borderId="0" xfId="0" applyNumberFormat="1" applyFont="1" applyFill="1" applyAlignment="1">
      <alignment horizontal="center" wrapText="1"/>
    </xf>
    <xf numFmtId="2" fontId="11" fillId="9" borderId="0" xfId="0" applyNumberFormat="1" applyFont="1" applyFill="1" applyAlignment="1">
      <alignment horizontal="center" wrapText="1"/>
    </xf>
    <xf numFmtId="0" fontId="25" fillId="9" borderId="0" xfId="0" applyFont="1" applyFill="1" applyAlignment="1">
      <alignment horizontal="center" wrapText="1"/>
    </xf>
    <xf numFmtId="0" fontId="28" fillId="22" borderId="20" xfId="0" applyFont="1" applyFill="1" applyBorder="1" applyAlignment="1">
      <alignment horizontal="center"/>
    </xf>
    <xf numFmtId="0" fontId="28" fillId="22" borderId="21" xfId="0" applyFont="1" applyFill="1" applyBorder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2" fontId="7" fillId="31" borderId="0" xfId="0" applyNumberFormat="1" applyFont="1" applyFill="1" applyAlignment="1">
      <alignment horizontal="center"/>
    </xf>
    <xf numFmtId="14" fontId="31" fillId="7" borderId="0" xfId="0" applyNumberFormat="1" applyFont="1" applyFill="1" applyAlignment="1">
      <alignment horizontal="center"/>
    </xf>
    <xf numFmtId="2" fontId="31" fillId="7" borderId="0" xfId="0" applyNumberFormat="1" applyFont="1" applyFill="1" applyAlignment="1">
      <alignment horizontal="center"/>
    </xf>
    <xf numFmtId="0" fontId="28" fillId="22" borderId="23" xfId="0" applyFont="1" applyFill="1" applyBorder="1" applyAlignment="1">
      <alignment horizontal="center"/>
    </xf>
    <xf numFmtId="0" fontId="11" fillId="7" borderId="0" xfId="0" applyNumberFormat="1" applyFont="1" applyFill="1" applyAlignment="1">
      <alignment horizontal="center"/>
    </xf>
    <xf numFmtId="0" fontId="31" fillId="7" borderId="0" xfId="0" applyNumberFormat="1" applyFont="1" applyFill="1" applyAlignment="1">
      <alignment horizontal="center"/>
    </xf>
    <xf numFmtId="0" fontId="11" fillId="23" borderId="29" xfId="0" applyNumberFormat="1" applyFont="1" applyFill="1" applyBorder="1" applyAlignment="1">
      <alignment horizontal="center"/>
    </xf>
    <xf numFmtId="0" fontId="11" fillId="23" borderId="29" xfId="0" applyFont="1" applyFill="1" applyBorder="1" applyAlignment="1">
      <alignment horizontal="center"/>
    </xf>
    <xf numFmtId="0" fontId="11" fillId="23" borderId="0" xfId="0" applyNumberFormat="1" applyFont="1" applyFill="1" applyAlignment="1">
      <alignment horizontal="center"/>
    </xf>
    <xf numFmtId="14" fontId="18" fillId="23" borderId="0" xfId="0" applyNumberFormat="1" applyFont="1" applyFill="1" applyAlignment="1">
      <alignment wrapText="1"/>
    </xf>
    <xf numFmtId="14" fontId="18" fillId="7" borderId="0" xfId="0" applyNumberFormat="1" applyFont="1" applyFill="1" applyAlignment="1">
      <alignment wrapText="1"/>
    </xf>
    <xf numFmtId="14" fontId="18" fillId="19" borderId="0" xfId="0" applyNumberFormat="1" applyFont="1" applyFill="1" applyAlignment="1">
      <alignment wrapText="1"/>
    </xf>
    <xf numFmtId="14" fontId="20" fillId="23" borderId="0" xfId="0" applyNumberFormat="1" applyFont="1" applyFill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11" fillId="33" borderId="0" xfId="0" applyFont="1" applyFill="1" applyAlignment="1">
      <alignment horizontal="center"/>
    </xf>
    <xf numFmtId="14" fontId="1" fillId="33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32" fillId="0" borderId="0" xfId="0" applyNumberFormat="1" applyFont="1" applyFill="1" applyAlignment="1">
      <alignment horizontal="center"/>
    </xf>
    <xf numFmtId="2" fontId="3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864A8"/>
      <color rgb="FFCC257B"/>
      <color rgb="FFCEB8D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EE28-F066-4B7E-8871-4D76ED8499A9}">
  <sheetPr codeName="Sheet1">
    <tabColor rgb="FFA9D08E"/>
    <pageSetUpPr fitToPage="1"/>
  </sheetPr>
  <dimension ref="A1:L51"/>
  <sheetViews>
    <sheetView topLeftCell="J7" workbookViewId="0">
      <selection activeCell="K46" sqref="K46"/>
    </sheetView>
  </sheetViews>
  <sheetFormatPr baseColWidth="10" defaultColWidth="8.83203125" defaultRowHeight="15" x14ac:dyDescent="0.2"/>
  <cols>
    <col min="2" max="2" width="39.1640625" customWidth="1"/>
    <col min="3" max="3" width="21.5" customWidth="1"/>
    <col min="4" max="4" width="9.6640625" bestFit="1" customWidth="1"/>
    <col min="5" max="5" width="20.83203125" customWidth="1"/>
    <col min="6" max="6" width="20" customWidth="1"/>
    <col min="7" max="7" width="11.5" customWidth="1"/>
    <col min="9" max="9" width="2.6640625" customWidth="1"/>
    <col min="11" max="11" width="19.5" customWidth="1"/>
  </cols>
  <sheetData>
    <row r="1" spans="1:12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89" t="s">
        <v>6</v>
      </c>
      <c r="K1" s="183" t="s">
        <v>7</v>
      </c>
    </row>
    <row r="2" spans="1:12" ht="19" x14ac:dyDescent="0.25">
      <c r="A2" s="87">
        <v>1</v>
      </c>
      <c r="B2" s="87" t="s">
        <v>8</v>
      </c>
      <c r="C2" s="14" t="s">
        <v>9</v>
      </c>
      <c r="D2" s="87">
        <v>18</v>
      </c>
      <c r="E2" s="318">
        <v>44130</v>
      </c>
      <c r="F2" s="87" t="s">
        <v>10</v>
      </c>
      <c r="G2" s="293" t="s">
        <v>11</v>
      </c>
      <c r="J2" s="1"/>
      <c r="K2" s="320" t="s">
        <v>12</v>
      </c>
      <c r="L2" s="1"/>
    </row>
    <row r="3" spans="1:12" ht="19" x14ac:dyDescent="0.25">
      <c r="A3" s="316">
        <v>2</v>
      </c>
      <c r="B3" s="316" t="s">
        <v>13</v>
      </c>
      <c r="C3" s="315" t="s">
        <v>14</v>
      </c>
      <c r="D3" s="316">
        <v>12</v>
      </c>
      <c r="E3" s="319">
        <v>44207</v>
      </c>
      <c r="F3" s="316">
        <v>26</v>
      </c>
      <c r="G3" s="293" t="s">
        <v>11</v>
      </c>
      <c r="J3" s="320" t="s">
        <v>15</v>
      </c>
      <c r="K3" s="1" t="s">
        <v>16</v>
      </c>
      <c r="L3" s="320" t="s">
        <v>17</v>
      </c>
    </row>
    <row r="4" spans="1:12" ht="16" x14ac:dyDescent="0.2">
      <c r="A4" s="316">
        <v>3</v>
      </c>
      <c r="B4" s="316" t="s">
        <v>18</v>
      </c>
      <c r="C4" s="315" t="s">
        <v>19</v>
      </c>
      <c r="D4" s="317" t="s">
        <v>20</v>
      </c>
      <c r="E4" s="319">
        <v>44208</v>
      </c>
      <c r="F4" s="316">
        <v>29</v>
      </c>
      <c r="G4" s="294" t="s">
        <v>21</v>
      </c>
      <c r="J4" s="298">
        <v>13</v>
      </c>
      <c r="K4" s="299" t="s">
        <v>22</v>
      </c>
      <c r="L4" s="300">
        <v>18</v>
      </c>
    </row>
    <row r="5" spans="1:12" ht="16" x14ac:dyDescent="0.2">
      <c r="A5" s="87">
        <v>4</v>
      </c>
      <c r="B5" s="87" t="s">
        <v>23</v>
      </c>
      <c r="C5" s="14" t="s">
        <v>9</v>
      </c>
      <c r="D5" s="87">
        <v>12</v>
      </c>
      <c r="E5" s="318">
        <v>44228</v>
      </c>
      <c r="F5" s="87">
        <v>20</v>
      </c>
      <c r="G5" s="294" t="s">
        <v>21</v>
      </c>
      <c r="J5" s="277">
        <v>4</v>
      </c>
      <c r="K5" s="276" t="s">
        <v>24</v>
      </c>
      <c r="L5" s="278">
        <v>5</v>
      </c>
    </row>
    <row r="6" spans="1:12" ht="16" x14ac:dyDescent="0.2">
      <c r="A6" s="87">
        <v>5</v>
      </c>
      <c r="B6" s="87" t="s">
        <v>25</v>
      </c>
      <c r="C6" s="14" t="s">
        <v>9</v>
      </c>
      <c r="D6" s="87">
        <v>12</v>
      </c>
      <c r="E6" s="318">
        <v>44249</v>
      </c>
      <c r="F6" s="87">
        <v>17</v>
      </c>
      <c r="G6" s="294" t="s">
        <v>21</v>
      </c>
      <c r="J6" s="277">
        <v>2</v>
      </c>
      <c r="K6" s="276" t="s">
        <v>26</v>
      </c>
      <c r="L6" s="278">
        <v>2</v>
      </c>
    </row>
    <row r="7" spans="1:12" ht="16" x14ac:dyDescent="0.2">
      <c r="A7" s="87">
        <v>6</v>
      </c>
      <c r="B7" s="87" t="s">
        <v>27</v>
      </c>
      <c r="C7" s="14" t="s">
        <v>9</v>
      </c>
      <c r="D7" s="417" t="s">
        <v>28</v>
      </c>
      <c r="E7" s="318">
        <v>44319</v>
      </c>
      <c r="F7" s="87">
        <v>22</v>
      </c>
      <c r="G7" s="294" t="s">
        <v>21</v>
      </c>
      <c r="J7" s="277">
        <v>7</v>
      </c>
      <c r="K7" s="276" t="s">
        <v>29</v>
      </c>
      <c r="L7" s="278">
        <v>11</v>
      </c>
    </row>
    <row r="8" spans="1:12" ht="16" x14ac:dyDescent="0.2">
      <c r="A8" s="316">
        <v>7</v>
      </c>
      <c r="B8" s="316" t="s">
        <v>30</v>
      </c>
      <c r="C8" s="315" t="s">
        <v>19</v>
      </c>
      <c r="D8" s="317" t="s">
        <v>20</v>
      </c>
      <c r="E8" s="319">
        <v>44361</v>
      </c>
      <c r="F8" s="316">
        <v>31</v>
      </c>
      <c r="G8" s="294" t="s">
        <v>21</v>
      </c>
      <c r="J8" s="277">
        <v>0</v>
      </c>
      <c r="K8" s="276" t="s">
        <v>31</v>
      </c>
      <c r="L8" s="278">
        <v>0</v>
      </c>
    </row>
    <row r="9" spans="1:12" ht="16" x14ac:dyDescent="0.2">
      <c r="A9" s="316">
        <v>8</v>
      </c>
      <c r="B9" s="316" t="s">
        <v>32</v>
      </c>
      <c r="C9" s="315" t="s">
        <v>19</v>
      </c>
      <c r="D9" s="317" t="s">
        <v>20</v>
      </c>
      <c r="E9" s="319">
        <v>44417</v>
      </c>
      <c r="F9" s="316" t="s">
        <v>33</v>
      </c>
      <c r="G9" s="295" t="s">
        <v>34</v>
      </c>
      <c r="J9" s="277">
        <v>0</v>
      </c>
      <c r="K9" s="276" t="s">
        <v>35</v>
      </c>
      <c r="L9" s="278">
        <v>0</v>
      </c>
    </row>
    <row r="10" spans="1:12" ht="16" x14ac:dyDescent="0.2">
      <c r="A10" s="316">
        <v>9</v>
      </c>
      <c r="B10" s="316" t="s">
        <v>36</v>
      </c>
      <c r="C10" s="315" t="s">
        <v>19</v>
      </c>
      <c r="D10" s="317" t="s">
        <v>20</v>
      </c>
      <c r="E10" s="319">
        <v>44445</v>
      </c>
      <c r="F10" s="316" t="s">
        <v>33</v>
      </c>
      <c r="G10" s="295" t="s">
        <v>34</v>
      </c>
      <c r="J10" s="301">
        <v>23</v>
      </c>
      <c r="K10" s="302" t="s">
        <v>37</v>
      </c>
      <c r="L10" s="303">
        <v>17</v>
      </c>
    </row>
    <row r="11" spans="1:12" ht="16" x14ac:dyDescent="0.2">
      <c r="A11" s="316">
        <v>10</v>
      </c>
      <c r="B11" s="316" t="s">
        <v>38</v>
      </c>
      <c r="C11" s="315" t="s">
        <v>19</v>
      </c>
      <c r="D11" s="317" t="s">
        <v>20</v>
      </c>
      <c r="E11" s="319">
        <v>44483</v>
      </c>
      <c r="F11" s="316" t="s">
        <v>33</v>
      </c>
      <c r="G11" s="295" t="s">
        <v>34</v>
      </c>
      <c r="J11" s="279">
        <v>13</v>
      </c>
      <c r="K11" s="276" t="s">
        <v>24</v>
      </c>
      <c r="L11" s="284">
        <v>7</v>
      </c>
    </row>
    <row r="12" spans="1:12" ht="16" x14ac:dyDescent="0.2">
      <c r="A12" s="87">
        <v>11</v>
      </c>
      <c r="B12" s="87" t="s">
        <v>33</v>
      </c>
      <c r="C12" s="87" t="s">
        <v>33</v>
      </c>
      <c r="D12" s="87" t="s">
        <v>33</v>
      </c>
      <c r="E12" s="87" t="s">
        <v>33</v>
      </c>
      <c r="F12" s="87" t="s">
        <v>33</v>
      </c>
      <c r="G12" s="480" t="s">
        <v>34</v>
      </c>
      <c r="J12" s="279">
        <v>0</v>
      </c>
      <c r="K12" s="276" t="s">
        <v>26</v>
      </c>
      <c r="L12" s="284">
        <v>0</v>
      </c>
    </row>
    <row r="13" spans="1:12" ht="16" x14ac:dyDescent="0.2">
      <c r="A13" s="14"/>
      <c r="B13" s="14"/>
      <c r="C13" s="14"/>
      <c r="D13" s="14"/>
      <c r="E13" s="14"/>
      <c r="F13" s="14"/>
      <c r="G13" s="125"/>
      <c r="J13" s="279">
        <v>10</v>
      </c>
      <c r="K13" s="276" t="s">
        <v>29</v>
      </c>
      <c r="L13" s="284">
        <v>10</v>
      </c>
    </row>
    <row r="14" spans="1:12" ht="16" x14ac:dyDescent="0.2">
      <c r="A14" s="14"/>
      <c r="B14" s="14"/>
      <c r="C14" s="14"/>
      <c r="D14" s="14"/>
      <c r="E14" s="14"/>
      <c r="F14" s="14"/>
      <c r="G14" s="125"/>
      <c r="J14" s="279">
        <v>0</v>
      </c>
      <c r="K14" s="276" t="s">
        <v>31</v>
      </c>
      <c r="L14" s="284">
        <v>0</v>
      </c>
    </row>
    <row r="15" spans="1:12" ht="16" x14ac:dyDescent="0.2">
      <c r="A15" s="14"/>
      <c r="B15" s="177" t="s">
        <v>39</v>
      </c>
      <c r="C15" s="14"/>
      <c r="D15" s="14"/>
      <c r="E15" s="14"/>
      <c r="F15" s="14"/>
      <c r="G15" s="125"/>
      <c r="J15" s="279">
        <v>0</v>
      </c>
      <c r="K15" s="276" t="s">
        <v>35</v>
      </c>
      <c r="L15" s="284">
        <v>0</v>
      </c>
    </row>
    <row r="16" spans="1:12" ht="16" x14ac:dyDescent="0.2">
      <c r="B16" s="178" t="s">
        <v>22</v>
      </c>
      <c r="J16" s="312">
        <v>3</v>
      </c>
      <c r="K16" s="313" t="s">
        <v>40</v>
      </c>
      <c r="L16" s="314">
        <v>5</v>
      </c>
    </row>
    <row r="17" spans="1:12" x14ac:dyDescent="0.2">
      <c r="A17" s="127"/>
      <c r="B17" s="179" t="s">
        <v>37</v>
      </c>
      <c r="C17" s="127"/>
      <c r="D17" s="127"/>
      <c r="E17" s="127"/>
      <c r="F17" s="127"/>
      <c r="G17" s="127"/>
      <c r="J17" s="280">
        <v>1</v>
      </c>
      <c r="K17" s="276" t="s">
        <v>24</v>
      </c>
      <c r="L17" s="285">
        <v>0</v>
      </c>
    </row>
    <row r="18" spans="1:12" ht="16" x14ac:dyDescent="0.2">
      <c r="A18" s="127"/>
      <c r="B18" s="180" t="s">
        <v>40</v>
      </c>
      <c r="C18" s="127"/>
      <c r="D18" s="127"/>
      <c r="E18" s="127"/>
      <c r="F18" s="127"/>
      <c r="G18" s="127"/>
      <c r="J18" s="280">
        <v>0</v>
      </c>
      <c r="K18" s="276" t="s">
        <v>26</v>
      </c>
      <c r="L18" s="285">
        <v>0</v>
      </c>
    </row>
    <row r="19" spans="1:12" ht="16" x14ac:dyDescent="0.2">
      <c r="A19" s="126"/>
      <c r="B19" s="181" t="s">
        <v>41</v>
      </c>
      <c r="C19" s="126"/>
      <c r="D19" s="126"/>
      <c r="E19" s="126"/>
      <c r="F19" s="126"/>
      <c r="G19" s="126"/>
      <c r="J19" s="280">
        <v>2</v>
      </c>
      <c r="K19" s="276" t="s">
        <v>29</v>
      </c>
      <c r="L19" s="285">
        <v>5</v>
      </c>
    </row>
    <row r="20" spans="1:12" ht="16" x14ac:dyDescent="0.2">
      <c r="A20" s="126"/>
      <c r="B20" s="203" t="s">
        <v>42</v>
      </c>
      <c r="C20" s="126"/>
      <c r="D20" s="126"/>
      <c r="E20" s="126"/>
      <c r="F20" s="126"/>
      <c r="G20" s="126"/>
      <c r="J20" s="280">
        <v>0</v>
      </c>
      <c r="K20" s="276" t="s">
        <v>31</v>
      </c>
      <c r="L20" s="285">
        <v>0</v>
      </c>
    </row>
    <row r="21" spans="1:12" ht="16" x14ac:dyDescent="0.2">
      <c r="A21" s="126"/>
      <c r="B21" s="202" t="s">
        <v>43</v>
      </c>
      <c r="C21" s="126"/>
      <c r="D21" s="126"/>
      <c r="E21" s="126"/>
      <c r="F21" s="126"/>
      <c r="G21" s="126"/>
      <c r="J21" s="280">
        <v>0</v>
      </c>
      <c r="K21" s="276" t="s">
        <v>35</v>
      </c>
      <c r="L21" s="285">
        <v>0</v>
      </c>
    </row>
    <row r="22" spans="1:12" ht="17" x14ac:dyDescent="0.2">
      <c r="A22" s="126"/>
      <c r="B22" s="399" t="s">
        <v>44</v>
      </c>
      <c r="C22" s="126"/>
      <c r="D22" s="126"/>
      <c r="E22" s="126"/>
      <c r="F22" s="126"/>
      <c r="G22" s="126"/>
      <c r="J22" s="449">
        <v>20</v>
      </c>
      <c r="K22" s="311" t="s">
        <v>42</v>
      </c>
      <c r="L22" s="450">
        <v>12</v>
      </c>
    </row>
    <row r="23" spans="1:12" ht="17" x14ac:dyDescent="0.2">
      <c r="A23" s="126"/>
      <c r="B23" s="418" t="s">
        <v>45</v>
      </c>
      <c r="C23" s="126"/>
      <c r="D23" s="126"/>
      <c r="E23" s="126"/>
      <c r="F23" s="126"/>
      <c r="G23" s="126"/>
      <c r="J23" s="281">
        <v>13</v>
      </c>
      <c r="K23" s="276" t="s">
        <v>24</v>
      </c>
      <c r="L23" s="286">
        <v>8</v>
      </c>
    </row>
    <row r="24" spans="1:12" ht="16" x14ac:dyDescent="0.2">
      <c r="A24" s="126"/>
      <c r="B24" s="126"/>
      <c r="C24" s="126"/>
      <c r="D24" s="126"/>
      <c r="E24" s="126"/>
      <c r="F24" s="126"/>
      <c r="G24" s="126"/>
      <c r="J24" s="447">
        <v>5</v>
      </c>
      <c r="K24" s="276" t="s">
        <v>26</v>
      </c>
      <c r="L24" s="448">
        <v>1</v>
      </c>
    </row>
    <row r="25" spans="1:12" ht="16" x14ac:dyDescent="0.2">
      <c r="A25" s="126"/>
      <c r="B25" s="126"/>
      <c r="C25" s="126"/>
      <c r="D25" s="126"/>
      <c r="E25" s="126"/>
      <c r="F25" s="126"/>
      <c r="G25" s="126"/>
      <c r="J25" s="281">
        <v>2</v>
      </c>
      <c r="K25" s="276" t="s">
        <v>29</v>
      </c>
      <c r="L25" s="286">
        <v>3</v>
      </c>
    </row>
    <row r="26" spans="1:12" ht="16" x14ac:dyDescent="0.2">
      <c r="A26" s="126"/>
      <c r="B26" s="126"/>
      <c r="C26" s="126"/>
      <c r="D26" s="126"/>
      <c r="E26" s="126"/>
      <c r="F26" s="126"/>
      <c r="G26" s="126"/>
      <c r="J26" s="281">
        <v>0</v>
      </c>
      <c r="K26" s="276" t="s">
        <v>31</v>
      </c>
      <c r="L26" s="286">
        <v>0</v>
      </c>
    </row>
    <row r="27" spans="1:12" x14ac:dyDescent="0.2">
      <c r="J27" s="281">
        <v>0</v>
      </c>
      <c r="K27" s="276" t="s">
        <v>35</v>
      </c>
      <c r="L27" s="286">
        <v>0</v>
      </c>
    </row>
    <row r="28" spans="1:12" ht="16" x14ac:dyDescent="0.2">
      <c r="J28" s="304">
        <v>20</v>
      </c>
      <c r="K28" s="305" t="s">
        <v>41</v>
      </c>
      <c r="L28" s="306">
        <v>31</v>
      </c>
    </row>
    <row r="29" spans="1:12" x14ac:dyDescent="0.2">
      <c r="J29" s="282">
        <v>6</v>
      </c>
      <c r="K29" s="276" t="s">
        <v>24</v>
      </c>
      <c r="L29" s="287">
        <v>11</v>
      </c>
    </row>
    <row r="30" spans="1:12" x14ac:dyDescent="0.2">
      <c r="J30" s="282">
        <v>8</v>
      </c>
      <c r="K30" s="276" t="s">
        <v>26</v>
      </c>
      <c r="L30" s="287">
        <v>13</v>
      </c>
    </row>
    <row r="31" spans="1:12" x14ac:dyDescent="0.2">
      <c r="J31" s="282">
        <v>6</v>
      </c>
      <c r="K31" s="276" t="s">
        <v>29</v>
      </c>
      <c r="L31" s="287">
        <v>7</v>
      </c>
    </row>
    <row r="32" spans="1:12" x14ac:dyDescent="0.2">
      <c r="J32" s="282">
        <v>0</v>
      </c>
      <c r="K32" s="276" t="s">
        <v>31</v>
      </c>
      <c r="L32" s="287">
        <v>0</v>
      </c>
    </row>
    <row r="33" spans="10:12" x14ac:dyDescent="0.2">
      <c r="J33" s="282">
        <v>0</v>
      </c>
      <c r="K33" s="276" t="s">
        <v>35</v>
      </c>
      <c r="L33" s="287">
        <v>0</v>
      </c>
    </row>
    <row r="34" spans="10:12" ht="16" x14ac:dyDescent="0.2">
      <c r="J34" s="454">
        <v>22</v>
      </c>
      <c r="K34" s="307" t="s">
        <v>43</v>
      </c>
      <c r="L34" s="453">
        <v>24</v>
      </c>
    </row>
    <row r="35" spans="10:12" x14ac:dyDescent="0.2">
      <c r="J35" s="283">
        <v>11</v>
      </c>
      <c r="K35" s="276" t="s">
        <v>24</v>
      </c>
      <c r="L35" s="288">
        <v>7</v>
      </c>
    </row>
    <row r="36" spans="10:12" x14ac:dyDescent="0.2">
      <c r="J36" s="451">
        <v>11</v>
      </c>
      <c r="K36" s="276" t="s">
        <v>26</v>
      </c>
      <c r="L36" s="452">
        <v>17</v>
      </c>
    </row>
    <row r="37" spans="10:12" x14ac:dyDescent="0.2">
      <c r="J37" s="283">
        <v>0</v>
      </c>
      <c r="K37" s="276" t="s">
        <v>29</v>
      </c>
      <c r="L37" s="288">
        <v>0</v>
      </c>
    </row>
    <row r="38" spans="10:12" x14ac:dyDescent="0.2">
      <c r="J38" s="283">
        <v>0</v>
      </c>
      <c r="K38" s="276" t="s">
        <v>31</v>
      </c>
      <c r="L38" s="288">
        <v>0</v>
      </c>
    </row>
    <row r="39" spans="10:12" x14ac:dyDescent="0.2">
      <c r="J39" s="283">
        <v>0</v>
      </c>
      <c r="K39" s="276" t="s">
        <v>35</v>
      </c>
      <c r="L39" s="288">
        <v>0</v>
      </c>
    </row>
    <row r="40" spans="10:12" ht="16" x14ac:dyDescent="0.2">
      <c r="J40" s="308">
        <v>1</v>
      </c>
      <c r="K40" s="309" t="s">
        <v>44</v>
      </c>
      <c r="L40" s="310">
        <v>1</v>
      </c>
    </row>
    <row r="41" spans="10:12" x14ac:dyDescent="0.2">
      <c r="J41" s="296">
        <v>0</v>
      </c>
      <c r="K41" s="276" t="s">
        <v>24</v>
      </c>
      <c r="L41" s="297">
        <v>1</v>
      </c>
    </row>
    <row r="42" spans="10:12" x14ac:dyDescent="0.2">
      <c r="J42" s="296">
        <v>1</v>
      </c>
      <c r="K42" s="276" t="s">
        <v>26</v>
      </c>
      <c r="L42" s="297">
        <v>0</v>
      </c>
    </row>
    <row r="43" spans="10:12" x14ac:dyDescent="0.2">
      <c r="J43" s="296">
        <v>0</v>
      </c>
      <c r="K43" s="276" t="s">
        <v>29</v>
      </c>
      <c r="L43" s="297">
        <v>0</v>
      </c>
    </row>
    <row r="44" spans="10:12" x14ac:dyDescent="0.2">
      <c r="J44" s="296">
        <v>0</v>
      </c>
      <c r="K44" s="276" t="s">
        <v>31</v>
      </c>
      <c r="L44" s="297">
        <v>0</v>
      </c>
    </row>
    <row r="45" spans="10:12" x14ac:dyDescent="0.2">
      <c r="J45" s="296">
        <v>0</v>
      </c>
      <c r="K45" s="276" t="s">
        <v>35</v>
      </c>
      <c r="L45" s="297">
        <v>0</v>
      </c>
    </row>
    <row r="46" spans="10:12" x14ac:dyDescent="0.2">
      <c r="J46" s="455">
        <v>0</v>
      </c>
      <c r="K46" s="461" t="s">
        <v>45</v>
      </c>
      <c r="L46" s="458">
        <v>0</v>
      </c>
    </row>
    <row r="47" spans="10:12" x14ac:dyDescent="0.2">
      <c r="J47" s="456">
        <v>0</v>
      </c>
      <c r="K47" s="276" t="s">
        <v>24</v>
      </c>
      <c r="L47" s="459">
        <v>0</v>
      </c>
    </row>
    <row r="48" spans="10:12" x14ac:dyDescent="0.2">
      <c r="J48" s="456">
        <v>0</v>
      </c>
      <c r="K48" s="276" t="s">
        <v>26</v>
      </c>
      <c r="L48" s="459">
        <v>0</v>
      </c>
    </row>
    <row r="49" spans="10:12" x14ac:dyDescent="0.2">
      <c r="J49" s="456">
        <v>0</v>
      </c>
      <c r="K49" s="276" t="s">
        <v>29</v>
      </c>
      <c r="L49" s="459">
        <v>0</v>
      </c>
    </row>
    <row r="50" spans="10:12" x14ac:dyDescent="0.2">
      <c r="J50" s="456">
        <v>0</v>
      </c>
      <c r="K50" s="276" t="s">
        <v>31</v>
      </c>
      <c r="L50" s="459">
        <v>0</v>
      </c>
    </row>
    <row r="51" spans="10:12" x14ac:dyDescent="0.2">
      <c r="J51" s="457">
        <v>0</v>
      </c>
      <c r="K51" s="276" t="s">
        <v>35</v>
      </c>
      <c r="L51" s="460">
        <v>0</v>
      </c>
    </row>
  </sheetData>
  <pageMargins left="0.7" right="0.7" top="0.75" bottom="0.75" header="0.3" footer="0.3"/>
  <pageSetup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10A4-72EF-4CFE-B188-5A656E16DBBD}">
  <sheetPr codeName="Sheet10">
    <tabColor rgb="FFFFC000"/>
    <pageSetUpPr fitToPage="1"/>
  </sheetPr>
  <dimension ref="A1:S32"/>
  <sheetViews>
    <sheetView workbookViewId="0">
      <selection activeCell="S2" sqref="S2"/>
    </sheetView>
  </sheetViews>
  <sheetFormatPr baseColWidth="10" defaultColWidth="8.83203125" defaultRowHeight="15" x14ac:dyDescent="0.2"/>
  <cols>
    <col min="2" max="2" width="13" customWidth="1"/>
    <col min="3" max="3" width="11.6640625" customWidth="1"/>
    <col min="4" max="4" width="19.5" customWidth="1"/>
    <col min="5" max="5" width="18.6640625" customWidth="1"/>
    <col min="9" max="9" width="14.6640625" customWidth="1"/>
    <col min="10" max="10" width="12.5" customWidth="1"/>
    <col min="11" max="11" width="12.33203125" customWidth="1"/>
    <col min="12" max="12" width="14" customWidth="1"/>
    <col min="13" max="13" width="24.5" customWidth="1"/>
    <col min="14" max="14" width="21.5" customWidth="1"/>
    <col min="15" max="15" width="19.1640625" customWidth="1"/>
    <col min="16" max="18" width="20.5" customWidth="1"/>
    <col min="19" max="19" width="18.5" customWidth="1"/>
  </cols>
  <sheetData>
    <row r="1" spans="1:19" x14ac:dyDescent="0.2">
      <c r="A1" s="183" t="s">
        <v>0</v>
      </c>
      <c r="B1" s="183" t="s">
        <v>852</v>
      </c>
      <c r="C1" s="125" t="s">
        <v>853</v>
      </c>
      <c r="D1" s="338" t="s">
        <v>682</v>
      </c>
      <c r="E1" s="183" t="s">
        <v>51</v>
      </c>
      <c r="F1" s="183" t="s">
        <v>52</v>
      </c>
      <c r="G1" s="183" t="s">
        <v>53</v>
      </c>
      <c r="H1" s="183" t="s">
        <v>538</v>
      </c>
      <c r="I1" s="183" t="s">
        <v>54</v>
      </c>
      <c r="J1" s="183" t="s">
        <v>539</v>
      </c>
      <c r="K1" s="183" t="s">
        <v>854</v>
      </c>
      <c r="L1" s="183" t="s">
        <v>855</v>
      </c>
      <c r="M1" s="183" t="s">
        <v>61</v>
      </c>
      <c r="N1" s="393" t="s">
        <v>856</v>
      </c>
      <c r="O1" s="125" t="s">
        <v>857</v>
      </c>
      <c r="P1" s="155" t="s">
        <v>858</v>
      </c>
      <c r="Q1" s="339" t="s">
        <v>859</v>
      </c>
      <c r="R1" s="155" t="s">
        <v>860</v>
      </c>
      <c r="S1" s="339" t="s">
        <v>861</v>
      </c>
    </row>
    <row r="2" spans="1:19" ht="16" x14ac:dyDescent="0.2">
      <c r="A2" s="1">
        <v>1</v>
      </c>
      <c r="B2" s="1" t="s">
        <v>862</v>
      </c>
      <c r="C2" s="1" t="s">
        <v>239</v>
      </c>
      <c r="D2" s="183" t="s">
        <v>707</v>
      </c>
      <c r="E2" s="109">
        <v>1275947</v>
      </c>
      <c r="F2" s="109" t="s">
        <v>15</v>
      </c>
      <c r="G2" s="109" t="s">
        <v>41</v>
      </c>
      <c r="H2" s="156" t="s">
        <v>592</v>
      </c>
      <c r="I2" s="156">
        <v>43751</v>
      </c>
      <c r="J2" s="384">
        <f ca="1">YEARFRAC(I2,TODAY())</f>
        <v>1.7361111111111112</v>
      </c>
      <c r="K2" s="109">
        <f ca="1">_xlfn.DAYS(TODAY(),I2)</f>
        <v>634</v>
      </c>
      <c r="L2" s="109">
        <f ca="1">K2/30</f>
        <v>21.133333333333333</v>
      </c>
      <c r="M2" s="340" t="s">
        <v>547</v>
      </c>
      <c r="N2" s="113">
        <v>44319</v>
      </c>
      <c r="O2" s="114">
        <f>_xlfn.DAYS(N2,I2)/30</f>
        <v>18.933333333333334</v>
      </c>
      <c r="P2" s="608">
        <v>172</v>
      </c>
      <c r="Q2" s="608">
        <v>24</v>
      </c>
      <c r="R2" s="623">
        <v>168</v>
      </c>
      <c r="S2" s="28">
        <v>35</v>
      </c>
    </row>
    <row r="3" spans="1:19" ht="16" x14ac:dyDescent="0.2">
      <c r="A3" s="1">
        <v>2</v>
      </c>
      <c r="B3" s="1" t="s">
        <v>863</v>
      </c>
      <c r="C3" s="1" t="s">
        <v>240</v>
      </c>
      <c r="D3" s="183" t="s">
        <v>707</v>
      </c>
      <c r="E3" s="109">
        <v>1275947</v>
      </c>
      <c r="F3" s="109" t="s">
        <v>15</v>
      </c>
      <c r="G3" s="109" t="s">
        <v>41</v>
      </c>
      <c r="H3" s="156" t="s">
        <v>551</v>
      </c>
      <c r="I3" s="156">
        <v>43751</v>
      </c>
      <c r="J3" s="384">
        <f t="shared" ref="J3:J23" ca="1" si="0">YEARFRAC(I3,TODAY())</f>
        <v>1.7361111111111112</v>
      </c>
      <c r="K3" s="109">
        <f t="shared" ref="K3:K23" ca="1" si="1">_xlfn.DAYS(TODAY(),I3)</f>
        <v>634</v>
      </c>
      <c r="L3" s="109">
        <f t="shared" ref="L3:L10" ca="1" si="2">K3/30</f>
        <v>21.133333333333333</v>
      </c>
      <c r="M3" s="340" t="s">
        <v>547</v>
      </c>
      <c r="N3" s="113">
        <v>44319</v>
      </c>
      <c r="O3" s="114">
        <f t="shared" ref="O3:O23" si="3">_xlfn.DAYS(N3,I3)/30</f>
        <v>18.933333333333334</v>
      </c>
      <c r="P3" s="608">
        <v>168</v>
      </c>
      <c r="Q3" s="608">
        <v>26</v>
      </c>
      <c r="R3" s="623">
        <v>202</v>
      </c>
      <c r="S3" s="28">
        <v>42</v>
      </c>
    </row>
    <row r="4" spans="1:19" ht="16" x14ac:dyDescent="0.2">
      <c r="A4" s="1">
        <v>3</v>
      </c>
      <c r="B4" s="1" t="s">
        <v>864</v>
      </c>
      <c r="C4" s="1" t="s">
        <v>241</v>
      </c>
      <c r="D4" s="183" t="s">
        <v>707</v>
      </c>
      <c r="E4" s="109">
        <v>1275947</v>
      </c>
      <c r="F4" s="109" t="s">
        <v>15</v>
      </c>
      <c r="G4" s="109" t="s">
        <v>41</v>
      </c>
      <c r="H4" s="156" t="s">
        <v>549</v>
      </c>
      <c r="I4" s="156">
        <v>43751</v>
      </c>
      <c r="J4" s="384">
        <f t="shared" ca="1" si="0"/>
        <v>1.7361111111111112</v>
      </c>
      <c r="K4" s="109">
        <f t="shared" ca="1" si="1"/>
        <v>634</v>
      </c>
      <c r="L4" s="109">
        <f t="shared" ca="1" si="2"/>
        <v>21.133333333333333</v>
      </c>
      <c r="M4" s="340" t="s">
        <v>547</v>
      </c>
      <c r="N4" s="113">
        <v>44319</v>
      </c>
      <c r="O4" s="114">
        <f t="shared" si="3"/>
        <v>18.933333333333334</v>
      </c>
      <c r="P4" s="608">
        <v>155</v>
      </c>
      <c r="Q4" s="608">
        <v>25</v>
      </c>
      <c r="R4" s="623">
        <v>208</v>
      </c>
      <c r="S4" s="28">
        <v>45</v>
      </c>
    </row>
    <row r="5" spans="1:19" ht="16" x14ac:dyDescent="0.2">
      <c r="A5" s="1">
        <v>4</v>
      </c>
      <c r="B5" s="1" t="s">
        <v>865</v>
      </c>
      <c r="C5" s="1" t="s">
        <v>242</v>
      </c>
      <c r="D5" s="183" t="s">
        <v>710</v>
      </c>
      <c r="E5" s="109">
        <v>1275956</v>
      </c>
      <c r="F5" s="109" t="s">
        <v>15</v>
      </c>
      <c r="G5" s="109" t="s">
        <v>41</v>
      </c>
      <c r="H5" s="156" t="s">
        <v>592</v>
      </c>
      <c r="I5" s="156">
        <v>43771</v>
      </c>
      <c r="J5" s="384">
        <f t="shared" ca="1" si="0"/>
        <v>1.6833333333333333</v>
      </c>
      <c r="K5" s="109">
        <f t="shared" ca="1" si="1"/>
        <v>614</v>
      </c>
      <c r="L5" s="109">
        <f t="shared" ca="1" si="2"/>
        <v>20.466666666666665</v>
      </c>
      <c r="M5" s="340" t="s">
        <v>547</v>
      </c>
      <c r="N5" s="113">
        <v>44319</v>
      </c>
      <c r="O5" s="114">
        <f t="shared" si="3"/>
        <v>18.266666666666666</v>
      </c>
      <c r="P5" s="608">
        <v>188</v>
      </c>
      <c r="Q5" s="608">
        <v>23</v>
      </c>
      <c r="R5" s="623">
        <v>170</v>
      </c>
      <c r="S5" s="28">
        <v>28</v>
      </c>
    </row>
    <row r="6" spans="1:19" ht="16" x14ac:dyDescent="0.2">
      <c r="A6" s="1">
        <v>5</v>
      </c>
      <c r="B6" s="1" t="s">
        <v>866</v>
      </c>
      <c r="C6" s="1" t="s">
        <v>243</v>
      </c>
      <c r="D6" s="183" t="s">
        <v>710</v>
      </c>
      <c r="E6" s="109">
        <v>1275956</v>
      </c>
      <c r="F6" s="109" t="s">
        <v>15</v>
      </c>
      <c r="G6" s="109" t="s">
        <v>41</v>
      </c>
      <c r="H6" s="156" t="s">
        <v>551</v>
      </c>
      <c r="I6" s="156">
        <v>43771</v>
      </c>
      <c r="J6" s="384">
        <f t="shared" ca="1" si="0"/>
        <v>1.6833333333333333</v>
      </c>
      <c r="K6" s="109">
        <f t="shared" ca="1" si="1"/>
        <v>614</v>
      </c>
      <c r="L6" s="109">
        <f t="shared" ca="1" si="2"/>
        <v>20.466666666666665</v>
      </c>
      <c r="M6" s="340" t="s">
        <v>547</v>
      </c>
      <c r="N6" s="113">
        <v>44319</v>
      </c>
      <c r="O6" s="114">
        <f t="shared" si="3"/>
        <v>18.266666666666666</v>
      </c>
      <c r="P6" s="608">
        <v>210</v>
      </c>
      <c r="Q6" s="608">
        <v>31</v>
      </c>
      <c r="R6" s="623">
        <v>180</v>
      </c>
      <c r="S6" s="28">
        <v>33</v>
      </c>
    </row>
    <row r="7" spans="1:19" ht="16" x14ac:dyDescent="0.2">
      <c r="A7" s="1">
        <v>6</v>
      </c>
      <c r="B7" s="1" t="s">
        <v>867</v>
      </c>
      <c r="C7" s="1" t="s">
        <v>244</v>
      </c>
      <c r="D7" s="183" t="s">
        <v>710</v>
      </c>
      <c r="E7" s="109">
        <v>1275956</v>
      </c>
      <c r="F7" s="109" t="s">
        <v>15</v>
      </c>
      <c r="G7" s="109" t="s">
        <v>41</v>
      </c>
      <c r="H7" s="156" t="s">
        <v>549</v>
      </c>
      <c r="I7" s="156">
        <v>43771</v>
      </c>
      <c r="J7" s="384">
        <f t="shared" ca="1" si="0"/>
        <v>1.6833333333333333</v>
      </c>
      <c r="K7" s="109">
        <f t="shared" ca="1" si="1"/>
        <v>614</v>
      </c>
      <c r="L7" s="109">
        <f t="shared" ca="1" si="2"/>
        <v>20.466666666666665</v>
      </c>
      <c r="M7" s="340" t="s">
        <v>547</v>
      </c>
      <c r="N7" s="113">
        <v>44319</v>
      </c>
      <c r="O7" s="114">
        <f t="shared" si="3"/>
        <v>18.266666666666666</v>
      </c>
      <c r="P7" s="608">
        <v>178</v>
      </c>
      <c r="Q7" s="608">
        <v>30</v>
      </c>
      <c r="R7" s="623">
        <v>174</v>
      </c>
      <c r="S7" s="28">
        <v>35</v>
      </c>
    </row>
    <row r="8" spans="1:19" ht="16" x14ac:dyDescent="0.2">
      <c r="A8" s="1">
        <v>7</v>
      </c>
      <c r="B8" s="1" t="s">
        <v>868</v>
      </c>
      <c r="C8" s="1" t="s">
        <v>245</v>
      </c>
      <c r="D8" s="183" t="s">
        <v>711</v>
      </c>
      <c r="E8" s="109">
        <v>1275955</v>
      </c>
      <c r="F8" s="109" t="s">
        <v>17</v>
      </c>
      <c r="G8" s="109" t="s">
        <v>41</v>
      </c>
      <c r="H8" s="156" t="s">
        <v>592</v>
      </c>
      <c r="I8" s="156">
        <v>43771</v>
      </c>
      <c r="J8" s="384">
        <f t="shared" ca="1" si="0"/>
        <v>1.6833333333333333</v>
      </c>
      <c r="K8" s="109">
        <f t="shared" ca="1" si="1"/>
        <v>614</v>
      </c>
      <c r="L8" s="109">
        <f t="shared" ca="1" si="2"/>
        <v>20.466666666666665</v>
      </c>
      <c r="M8" s="340" t="s">
        <v>547</v>
      </c>
      <c r="N8" s="113">
        <v>44319</v>
      </c>
      <c r="O8" s="114">
        <f t="shared" si="3"/>
        <v>18.266666666666666</v>
      </c>
      <c r="P8" s="608">
        <v>166</v>
      </c>
      <c r="Q8" s="608">
        <v>30</v>
      </c>
      <c r="R8" s="623">
        <v>201</v>
      </c>
      <c r="S8" s="28">
        <v>27</v>
      </c>
    </row>
    <row r="9" spans="1:19" ht="16" x14ac:dyDescent="0.2">
      <c r="A9" s="1">
        <v>8</v>
      </c>
      <c r="B9" s="1" t="s">
        <v>869</v>
      </c>
      <c r="C9" s="1" t="s">
        <v>246</v>
      </c>
      <c r="D9" s="183" t="s">
        <v>711</v>
      </c>
      <c r="E9" s="109">
        <v>1275955</v>
      </c>
      <c r="F9" s="109" t="s">
        <v>17</v>
      </c>
      <c r="G9" s="109" t="s">
        <v>41</v>
      </c>
      <c r="H9" s="156" t="s">
        <v>551</v>
      </c>
      <c r="I9" s="156">
        <v>43771</v>
      </c>
      <c r="J9" s="384">
        <f t="shared" ca="1" si="0"/>
        <v>1.6833333333333333</v>
      </c>
      <c r="K9" s="109">
        <f t="shared" ca="1" si="1"/>
        <v>614</v>
      </c>
      <c r="L9" s="109">
        <f t="shared" ca="1" si="2"/>
        <v>20.466666666666665</v>
      </c>
      <c r="M9" s="340" t="s">
        <v>547</v>
      </c>
      <c r="N9" s="113">
        <v>44319</v>
      </c>
      <c r="O9" s="114">
        <f t="shared" si="3"/>
        <v>18.266666666666666</v>
      </c>
      <c r="P9" s="608">
        <v>183</v>
      </c>
      <c r="Q9" s="608">
        <v>29</v>
      </c>
      <c r="R9" s="623">
        <v>184</v>
      </c>
      <c r="S9" s="28">
        <v>28</v>
      </c>
    </row>
    <row r="10" spans="1:19" ht="16" x14ac:dyDescent="0.2">
      <c r="A10" s="1">
        <v>9</v>
      </c>
      <c r="B10" s="1" t="s">
        <v>870</v>
      </c>
      <c r="C10" s="1" t="s">
        <v>247</v>
      </c>
      <c r="D10" s="183" t="s">
        <v>711</v>
      </c>
      <c r="E10" s="109">
        <v>1275955</v>
      </c>
      <c r="F10" s="109" t="s">
        <v>17</v>
      </c>
      <c r="G10" s="109" t="s">
        <v>41</v>
      </c>
      <c r="H10" s="156" t="s">
        <v>549</v>
      </c>
      <c r="I10" s="156">
        <v>43771</v>
      </c>
      <c r="J10" s="384">
        <f t="shared" ca="1" si="0"/>
        <v>1.6833333333333333</v>
      </c>
      <c r="K10" s="109">
        <f t="shared" ca="1" si="1"/>
        <v>614</v>
      </c>
      <c r="L10" s="109">
        <f t="shared" ca="1" si="2"/>
        <v>20.466666666666665</v>
      </c>
      <c r="M10" s="340" t="s">
        <v>547</v>
      </c>
      <c r="N10" s="113">
        <v>44319</v>
      </c>
      <c r="O10" s="114">
        <f t="shared" si="3"/>
        <v>18.266666666666666</v>
      </c>
      <c r="P10" s="608">
        <v>188</v>
      </c>
      <c r="Q10" s="608">
        <v>30</v>
      </c>
      <c r="R10" s="623">
        <v>183</v>
      </c>
      <c r="S10" s="28">
        <v>29</v>
      </c>
    </row>
    <row r="11" spans="1:19" ht="16" x14ac:dyDescent="0.2">
      <c r="A11" s="1">
        <v>10</v>
      </c>
      <c r="B11" s="1" t="s">
        <v>871</v>
      </c>
      <c r="C11" s="1" t="s">
        <v>248</v>
      </c>
      <c r="D11" s="183" t="s">
        <v>711</v>
      </c>
      <c r="E11" s="601">
        <v>1275955</v>
      </c>
      <c r="F11" s="601" t="s">
        <v>17</v>
      </c>
      <c r="G11" s="601" t="s">
        <v>41</v>
      </c>
      <c r="H11" s="602" t="s">
        <v>548</v>
      </c>
      <c r="I11" s="602">
        <v>43771</v>
      </c>
      <c r="J11" s="603">
        <f t="shared" ca="1" si="0"/>
        <v>1.6833333333333333</v>
      </c>
      <c r="K11" s="601">
        <f t="shared" ca="1" si="1"/>
        <v>614</v>
      </c>
      <c r="L11" s="601">
        <f ca="1">K11/30</f>
        <v>20.466666666666665</v>
      </c>
      <c r="M11" s="604" t="s">
        <v>547</v>
      </c>
      <c r="N11" s="605">
        <v>44319</v>
      </c>
      <c r="O11" s="606">
        <f t="shared" si="3"/>
        <v>18.266666666666666</v>
      </c>
      <c r="P11" s="609">
        <v>209</v>
      </c>
      <c r="Q11" s="609">
        <v>26</v>
      </c>
      <c r="R11" s="625"/>
      <c r="S11" s="626"/>
    </row>
    <row r="12" spans="1:19" ht="16" x14ac:dyDescent="0.2">
      <c r="A12" s="1">
        <v>11</v>
      </c>
      <c r="B12" s="1" t="s">
        <v>872</v>
      </c>
      <c r="C12" s="1" t="s">
        <v>249</v>
      </c>
      <c r="D12" s="183" t="s">
        <v>711</v>
      </c>
      <c r="E12" s="109">
        <v>1275955</v>
      </c>
      <c r="F12" s="109" t="s">
        <v>17</v>
      </c>
      <c r="G12" s="109" t="s">
        <v>41</v>
      </c>
      <c r="H12" s="156" t="s">
        <v>546</v>
      </c>
      <c r="I12" s="156">
        <v>43771</v>
      </c>
      <c r="J12" s="384">
        <f t="shared" ref="J12" ca="1" si="4">YEARFRAC(I12,TODAY())</f>
        <v>1.6833333333333333</v>
      </c>
      <c r="K12" s="109">
        <f t="shared" ref="K12" ca="1" si="5">_xlfn.DAYS(TODAY(),I12)</f>
        <v>614</v>
      </c>
      <c r="L12" s="109">
        <f ca="1">K12/30</f>
        <v>20.466666666666665</v>
      </c>
      <c r="M12" s="340" t="s">
        <v>547</v>
      </c>
      <c r="N12" s="113">
        <v>44319</v>
      </c>
      <c r="O12" s="114">
        <f t="shared" si="3"/>
        <v>18.266666666666666</v>
      </c>
      <c r="P12" s="608">
        <v>187</v>
      </c>
      <c r="Q12" s="608">
        <v>25</v>
      </c>
      <c r="R12" s="623">
        <v>188</v>
      </c>
      <c r="S12" s="28">
        <v>30</v>
      </c>
    </row>
    <row r="13" spans="1:19" ht="16" x14ac:dyDescent="0.2">
      <c r="A13" s="1">
        <v>12</v>
      </c>
      <c r="B13" s="1" t="s">
        <v>873</v>
      </c>
      <c r="C13" s="1" t="s">
        <v>250</v>
      </c>
      <c r="D13" s="183" t="s">
        <v>712</v>
      </c>
      <c r="E13" s="109">
        <v>1253154</v>
      </c>
      <c r="F13" s="109" t="s">
        <v>17</v>
      </c>
      <c r="G13" s="109" t="s">
        <v>41</v>
      </c>
      <c r="H13" s="156" t="s">
        <v>592</v>
      </c>
      <c r="I13" s="156">
        <v>43777</v>
      </c>
      <c r="J13" s="384">
        <f t="shared" ca="1" si="0"/>
        <v>1.6666666666666667</v>
      </c>
      <c r="K13" s="109">
        <f t="shared" ca="1" si="1"/>
        <v>608</v>
      </c>
      <c r="L13" s="109">
        <f t="shared" ref="L13:L18" ca="1" si="6">K13/30</f>
        <v>20.266666666666666</v>
      </c>
      <c r="M13" s="340" t="s">
        <v>547</v>
      </c>
      <c r="N13" s="113">
        <v>44319</v>
      </c>
      <c r="O13" s="114">
        <f t="shared" si="3"/>
        <v>18.066666666666666</v>
      </c>
      <c r="P13" s="608">
        <v>167</v>
      </c>
      <c r="Q13" s="608">
        <v>28</v>
      </c>
      <c r="R13" s="623">
        <v>190</v>
      </c>
      <c r="S13" s="28">
        <v>32</v>
      </c>
    </row>
    <row r="14" spans="1:19" ht="16" x14ac:dyDescent="0.2">
      <c r="A14" s="1">
        <v>13</v>
      </c>
      <c r="B14" s="1" t="s">
        <v>874</v>
      </c>
      <c r="C14" s="1" t="s">
        <v>251</v>
      </c>
      <c r="D14" s="183" t="s">
        <v>712</v>
      </c>
      <c r="E14" s="109">
        <v>1253154</v>
      </c>
      <c r="F14" s="109" t="s">
        <v>17</v>
      </c>
      <c r="G14" s="109" t="s">
        <v>41</v>
      </c>
      <c r="H14" s="156" t="s">
        <v>551</v>
      </c>
      <c r="I14" s="156">
        <v>43777</v>
      </c>
      <c r="J14" s="384">
        <f t="shared" ca="1" si="0"/>
        <v>1.6666666666666667</v>
      </c>
      <c r="K14" s="109">
        <f t="shared" ca="1" si="1"/>
        <v>608</v>
      </c>
      <c r="L14" s="109">
        <f t="shared" ca="1" si="6"/>
        <v>20.266666666666666</v>
      </c>
      <c r="M14" s="340" t="s">
        <v>547</v>
      </c>
      <c r="N14" s="113">
        <v>44319</v>
      </c>
      <c r="O14" s="114">
        <f t="shared" si="3"/>
        <v>18.066666666666666</v>
      </c>
      <c r="P14" s="608">
        <v>198</v>
      </c>
      <c r="Q14" s="608">
        <v>27</v>
      </c>
      <c r="R14" s="623">
        <v>191</v>
      </c>
      <c r="S14" s="28">
        <v>29</v>
      </c>
    </row>
    <row r="15" spans="1:19" ht="16" x14ac:dyDescent="0.2">
      <c r="A15" s="1">
        <v>14</v>
      </c>
      <c r="B15" s="1" t="s">
        <v>875</v>
      </c>
      <c r="C15" s="1" t="s">
        <v>252</v>
      </c>
      <c r="D15" s="183" t="s">
        <v>712</v>
      </c>
      <c r="E15" s="109">
        <v>1253154</v>
      </c>
      <c r="F15" s="109" t="s">
        <v>17</v>
      </c>
      <c r="G15" s="109" t="s">
        <v>41</v>
      </c>
      <c r="H15" s="156" t="s">
        <v>549</v>
      </c>
      <c r="I15" s="156">
        <v>43777</v>
      </c>
      <c r="J15" s="384">
        <f t="shared" ca="1" si="0"/>
        <v>1.6666666666666667</v>
      </c>
      <c r="K15" s="109">
        <f t="shared" ca="1" si="1"/>
        <v>608</v>
      </c>
      <c r="L15" s="109">
        <f t="shared" ca="1" si="6"/>
        <v>20.266666666666666</v>
      </c>
      <c r="M15" s="340" t="s">
        <v>547</v>
      </c>
      <c r="N15" s="113">
        <v>44319</v>
      </c>
      <c r="O15" s="114">
        <f t="shared" si="3"/>
        <v>18.066666666666666</v>
      </c>
      <c r="P15" s="608">
        <v>176</v>
      </c>
      <c r="Q15" s="608">
        <v>29</v>
      </c>
      <c r="R15" s="623">
        <v>177</v>
      </c>
      <c r="S15" s="28">
        <v>35</v>
      </c>
    </row>
    <row r="16" spans="1:19" ht="16" x14ac:dyDescent="0.2">
      <c r="A16" s="1">
        <v>15</v>
      </c>
      <c r="B16" s="1" t="s">
        <v>876</v>
      </c>
      <c r="C16" s="1" t="s">
        <v>253</v>
      </c>
      <c r="D16" s="183" t="s">
        <v>712</v>
      </c>
      <c r="E16" s="109">
        <v>1253154</v>
      </c>
      <c r="F16" s="109" t="s">
        <v>17</v>
      </c>
      <c r="G16" s="109" t="s">
        <v>41</v>
      </c>
      <c r="H16" s="156" t="s">
        <v>548</v>
      </c>
      <c r="I16" s="156">
        <v>43777</v>
      </c>
      <c r="J16" s="384">
        <f t="shared" ca="1" si="0"/>
        <v>1.6666666666666667</v>
      </c>
      <c r="K16" s="109">
        <f t="shared" ca="1" si="1"/>
        <v>608</v>
      </c>
      <c r="L16" s="109">
        <f t="shared" ca="1" si="6"/>
        <v>20.266666666666666</v>
      </c>
      <c r="M16" s="340" t="s">
        <v>547</v>
      </c>
      <c r="N16" s="113">
        <v>44319</v>
      </c>
      <c r="O16" s="114">
        <f t="shared" si="3"/>
        <v>18.066666666666666</v>
      </c>
      <c r="P16" s="608">
        <v>180</v>
      </c>
      <c r="Q16" s="608">
        <v>31</v>
      </c>
      <c r="R16" s="623">
        <v>187</v>
      </c>
      <c r="S16" s="28">
        <v>29</v>
      </c>
    </row>
    <row r="17" spans="1:19" ht="16" x14ac:dyDescent="0.2">
      <c r="A17" s="1">
        <v>16</v>
      </c>
      <c r="B17" s="1" t="s">
        <v>877</v>
      </c>
      <c r="C17" s="1" t="s">
        <v>254</v>
      </c>
      <c r="D17" s="183" t="s">
        <v>712</v>
      </c>
      <c r="E17" s="109">
        <v>1253154</v>
      </c>
      <c r="F17" s="109" t="s">
        <v>17</v>
      </c>
      <c r="G17" s="109" t="s">
        <v>41</v>
      </c>
      <c r="H17" s="156" t="s">
        <v>546</v>
      </c>
      <c r="I17" s="156">
        <v>43777</v>
      </c>
      <c r="J17" s="384">
        <f t="shared" ca="1" si="0"/>
        <v>1.6666666666666667</v>
      </c>
      <c r="K17" s="109">
        <f t="shared" ca="1" si="1"/>
        <v>608</v>
      </c>
      <c r="L17" s="109">
        <f t="shared" ca="1" si="6"/>
        <v>20.266666666666666</v>
      </c>
      <c r="M17" s="340" t="s">
        <v>547</v>
      </c>
      <c r="N17" s="113">
        <v>44319</v>
      </c>
      <c r="O17" s="114">
        <f t="shared" si="3"/>
        <v>18.066666666666666</v>
      </c>
      <c r="P17" s="608">
        <v>168</v>
      </c>
      <c r="Q17" s="608">
        <v>27</v>
      </c>
      <c r="R17" s="623">
        <v>201</v>
      </c>
      <c r="S17" s="28">
        <v>26</v>
      </c>
    </row>
    <row r="18" spans="1:19" ht="16" x14ac:dyDescent="0.2">
      <c r="A18" s="1">
        <v>17</v>
      </c>
      <c r="B18" s="1" t="s">
        <v>878</v>
      </c>
      <c r="C18" s="1" t="s">
        <v>255</v>
      </c>
      <c r="D18" s="183" t="s">
        <v>713</v>
      </c>
      <c r="E18" s="109">
        <v>1272258</v>
      </c>
      <c r="F18" s="109" t="s">
        <v>17</v>
      </c>
      <c r="G18" s="109" t="s">
        <v>41</v>
      </c>
      <c r="H18" s="156" t="s">
        <v>879</v>
      </c>
      <c r="I18" s="156">
        <v>43654</v>
      </c>
      <c r="J18" s="384">
        <f t="shared" ca="1" si="0"/>
        <v>2</v>
      </c>
      <c r="K18" s="109">
        <f t="shared" ca="1" si="1"/>
        <v>731</v>
      </c>
      <c r="L18" s="443">
        <f t="shared" ca="1" si="6"/>
        <v>24.366666666666667</v>
      </c>
      <c r="M18" s="340" t="s">
        <v>547</v>
      </c>
      <c r="N18" s="113">
        <v>44319</v>
      </c>
      <c r="O18" s="114">
        <f t="shared" si="3"/>
        <v>22.166666666666668</v>
      </c>
      <c r="P18" s="608">
        <v>191</v>
      </c>
      <c r="Q18" s="608">
        <v>26</v>
      </c>
      <c r="R18" s="623">
        <v>196</v>
      </c>
      <c r="S18" s="28">
        <v>36</v>
      </c>
    </row>
    <row r="19" spans="1:19" ht="16" x14ac:dyDescent="0.2">
      <c r="A19" s="1">
        <v>18</v>
      </c>
      <c r="B19" s="1"/>
      <c r="C19" s="1" t="s">
        <v>257</v>
      </c>
      <c r="D19" s="183" t="s">
        <v>715</v>
      </c>
      <c r="E19" s="389">
        <v>1125471</v>
      </c>
      <c r="F19" s="389" t="s">
        <v>15</v>
      </c>
      <c r="G19" s="389" t="s">
        <v>43</v>
      </c>
      <c r="H19" s="389" t="s">
        <v>592</v>
      </c>
      <c r="I19" s="390">
        <v>43963</v>
      </c>
      <c r="J19" s="391">
        <f t="shared" ca="1" si="0"/>
        <v>1.1555555555555554</v>
      </c>
      <c r="K19" s="392">
        <f t="shared" ca="1" si="1"/>
        <v>422</v>
      </c>
      <c r="L19" s="392">
        <f t="shared" ref="L19:L23" ca="1" si="7">K19/30</f>
        <v>14.066666666666666</v>
      </c>
      <c r="M19" s="397" t="s">
        <v>547</v>
      </c>
      <c r="N19" s="395">
        <v>44319</v>
      </c>
      <c r="O19" s="396">
        <f t="shared" si="3"/>
        <v>11.866666666666667</v>
      </c>
      <c r="P19" s="610">
        <v>172</v>
      </c>
      <c r="Q19" s="611">
        <v>22</v>
      </c>
      <c r="R19" s="624"/>
    </row>
    <row r="20" spans="1:19" ht="16" x14ac:dyDescent="0.2">
      <c r="A20" s="1">
        <v>19</v>
      </c>
      <c r="B20" s="1"/>
      <c r="C20" s="1" t="s">
        <v>258</v>
      </c>
      <c r="D20" s="183" t="s">
        <v>715</v>
      </c>
      <c r="E20" s="385">
        <v>1125471</v>
      </c>
      <c r="F20" s="385" t="s">
        <v>15</v>
      </c>
      <c r="G20" s="385" t="s">
        <v>43</v>
      </c>
      <c r="H20" s="385" t="s">
        <v>551</v>
      </c>
      <c r="I20" s="386">
        <v>43963</v>
      </c>
      <c r="J20" s="387">
        <f t="shared" ca="1" si="0"/>
        <v>1.1555555555555554</v>
      </c>
      <c r="K20" s="388">
        <f t="shared" ca="1" si="1"/>
        <v>422</v>
      </c>
      <c r="L20" s="388">
        <f t="shared" ca="1" si="7"/>
        <v>14.066666666666666</v>
      </c>
      <c r="M20" s="397" t="s">
        <v>547</v>
      </c>
      <c r="N20" s="352">
        <v>44319</v>
      </c>
      <c r="O20" s="394">
        <f t="shared" si="3"/>
        <v>11.866666666666667</v>
      </c>
      <c r="P20" s="612">
        <v>201</v>
      </c>
      <c r="Q20" s="162">
        <v>32</v>
      </c>
      <c r="R20" s="624"/>
    </row>
    <row r="21" spans="1:19" ht="16" x14ac:dyDescent="0.2">
      <c r="A21" s="1">
        <v>20</v>
      </c>
      <c r="B21" s="1"/>
      <c r="C21" s="1" t="s">
        <v>259</v>
      </c>
      <c r="D21" s="183" t="s">
        <v>715</v>
      </c>
      <c r="E21" s="385">
        <v>1125471</v>
      </c>
      <c r="F21" s="385" t="s">
        <v>15</v>
      </c>
      <c r="G21" s="385" t="s">
        <v>43</v>
      </c>
      <c r="H21" s="385" t="s">
        <v>549</v>
      </c>
      <c r="I21" s="386">
        <v>43963</v>
      </c>
      <c r="J21" s="387">
        <f t="shared" ca="1" si="0"/>
        <v>1.1555555555555554</v>
      </c>
      <c r="K21" s="388">
        <f t="shared" ca="1" si="1"/>
        <v>422</v>
      </c>
      <c r="L21" s="388">
        <f t="shared" ca="1" si="7"/>
        <v>14.066666666666666</v>
      </c>
      <c r="M21" s="397" t="s">
        <v>547</v>
      </c>
      <c r="N21" s="352">
        <v>44319</v>
      </c>
      <c r="O21" s="394">
        <f t="shared" si="3"/>
        <v>11.866666666666667</v>
      </c>
      <c r="P21" s="612">
        <v>187</v>
      </c>
      <c r="Q21" s="162">
        <v>33</v>
      </c>
      <c r="R21" s="624"/>
    </row>
    <row r="22" spans="1:19" ht="16" x14ac:dyDescent="0.2">
      <c r="A22" s="1">
        <v>21</v>
      </c>
      <c r="B22" s="1"/>
      <c r="C22" s="1" t="s">
        <v>260</v>
      </c>
      <c r="D22" s="183" t="s">
        <v>715</v>
      </c>
      <c r="E22" s="385">
        <v>1343445</v>
      </c>
      <c r="F22" s="385" t="s">
        <v>17</v>
      </c>
      <c r="G22" s="385" t="s">
        <v>43</v>
      </c>
      <c r="H22" s="385" t="s">
        <v>592</v>
      </c>
      <c r="I22" s="386">
        <v>43963</v>
      </c>
      <c r="J22" s="387">
        <f t="shared" ca="1" si="0"/>
        <v>1.1555555555555554</v>
      </c>
      <c r="K22" s="388">
        <f t="shared" ca="1" si="1"/>
        <v>422</v>
      </c>
      <c r="L22" s="388">
        <f t="shared" ca="1" si="7"/>
        <v>14.066666666666666</v>
      </c>
      <c r="M22" s="397" t="s">
        <v>547</v>
      </c>
      <c r="N22" s="352">
        <v>44319</v>
      </c>
      <c r="O22" s="394">
        <f t="shared" si="3"/>
        <v>11.866666666666667</v>
      </c>
      <c r="P22" s="612">
        <v>188</v>
      </c>
      <c r="Q22" s="162">
        <v>26</v>
      </c>
      <c r="R22" s="624"/>
    </row>
    <row r="23" spans="1:19" ht="16" x14ac:dyDescent="0.2">
      <c r="A23" s="1">
        <v>22</v>
      </c>
      <c r="B23" s="1"/>
      <c r="C23" s="1" t="s">
        <v>261</v>
      </c>
      <c r="D23" s="183" t="s">
        <v>715</v>
      </c>
      <c r="E23" s="385">
        <v>1343445</v>
      </c>
      <c r="F23" s="385" t="s">
        <v>17</v>
      </c>
      <c r="G23" s="385" t="s">
        <v>43</v>
      </c>
      <c r="H23" s="385" t="s">
        <v>551</v>
      </c>
      <c r="I23" s="386">
        <v>43963</v>
      </c>
      <c r="J23" s="387">
        <f t="shared" ca="1" si="0"/>
        <v>1.1555555555555554</v>
      </c>
      <c r="K23" s="388">
        <f t="shared" ca="1" si="1"/>
        <v>422</v>
      </c>
      <c r="L23" s="388">
        <f t="shared" ca="1" si="7"/>
        <v>14.066666666666666</v>
      </c>
      <c r="M23" s="398" t="s">
        <v>547</v>
      </c>
      <c r="N23" s="352">
        <v>44319</v>
      </c>
      <c r="O23" s="394">
        <f t="shared" si="3"/>
        <v>11.866666666666667</v>
      </c>
      <c r="P23" s="612">
        <v>192</v>
      </c>
      <c r="Q23" s="162">
        <v>25</v>
      </c>
      <c r="R23" s="624"/>
    </row>
    <row r="24" spans="1:19" ht="16" x14ac:dyDescent="0.2">
      <c r="A24" s="177" t="s">
        <v>39</v>
      </c>
      <c r="B24" s="617"/>
      <c r="Q24" s="1"/>
    </row>
    <row r="25" spans="1:19" ht="16" x14ac:dyDescent="0.2">
      <c r="A25" s="178" t="s">
        <v>22</v>
      </c>
      <c r="B25" s="617"/>
    </row>
    <row r="26" spans="1:19" x14ac:dyDescent="0.2">
      <c r="A26" s="179" t="s">
        <v>37</v>
      </c>
      <c r="B26" s="618"/>
    </row>
    <row r="27" spans="1:19" ht="16" x14ac:dyDescent="0.2">
      <c r="A27" s="180" t="s">
        <v>40</v>
      </c>
      <c r="B27" s="619"/>
    </row>
    <row r="28" spans="1:19" ht="16" x14ac:dyDescent="0.2">
      <c r="A28" s="181" t="s">
        <v>41</v>
      </c>
      <c r="B28" s="617"/>
    </row>
    <row r="29" spans="1:19" ht="16" x14ac:dyDescent="0.2">
      <c r="A29" s="203" t="s">
        <v>42</v>
      </c>
      <c r="B29" s="617"/>
    </row>
    <row r="30" spans="1:19" x14ac:dyDescent="0.2">
      <c r="A30" s="202" t="s">
        <v>43</v>
      </c>
      <c r="B30" s="618"/>
    </row>
    <row r="31" spans="1:19" ht="17" x14ac:dyDescent="0.2">
      <c r="A31" s="399" t="s">
        <v>44</v>
      </c>
      <c r="B31" s="620"/>
    </row>
    <row r="32" spans="1:19" ht="17" x14ac:dyDescent="0.2">
      <c r="A32" s="418" t="s">
        <v>45</v>
      </c>
      <c r="B32" s="620"/>
    </row>
  </sheetData>
  <pageMargins left="0.7" right="0.7" top="0.75" bottom="0.75" header="0.3" footer="0.3"/>
  <pageSetup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7A06-CCEB-4246-97C9-17FC9CBE7228}">
  <sheetPr codeName="Sheet11"/>
  <dimension ref="A1:N10"/>
  <sheetViews>
    <sheetView topLeftCell="C1" workbookViewId="0">
      <selection activeCell="N5" sqref="N5"/>
    </sheetView>
  </sheetViews>
  <sheetFormatPr baseColWidth="10" defaultColWidth="8.83203125" defaultRowHeight="15" x14ac:dyDescent="0.2"/>
  <cols>
    <col min="2" max="2" width="9.5" customWidth="1"/>
    <col min="3" max="3" width="18.83203125" customWidth="1"/>
    <col min="4" max="4" width="17" customWidth="1"/>
    <col min="7" max="7" width="11.1640625" customWidth="1"/>
    <col min="8" max="8" width="14.83203125" customWidth="1"/>
    <col min="9" max="9" width="17.6640625" customWidth="1"/>
    <col min="10" max="10" width="16.6640625" customWidth="1"/>
    <col min="11" max="11" width="18" customWidth="1"/>
    <col min="12" max="12" width="25.33203125" customWidth="1"/>
    <col min="13" max="13" width="17.1640625" customWidth="1"/>
    <col min="14" max="14" width="18.6640625" customWidth="1"/>
  </cols>
  <sheetData>
    <row r="1" spans="1:14" x14ac:dyDescent="0.2">
      <c r="A1" s="183" t="s">
        <v>0</v>
      </c>
      <c r="B1" s="183" t="s">
        <v>535</v>
      </c>
      <c r="C1" s="184" t="s">
        <v>682</v>
      </c>
      <c r="D1" s="183" t="s">
        <v>51</v>
      </c>
      <c r="E1" s="183" t="s">
        <v>52</v>
      </c>
      <c r="F1" s="183" t="s">
        <v>53</v>
      </c>
      <c r="G1" s="183" t="s">
        <v>538</v>
      </c>
      <c r="H1" s="183" t="s">
        <v>54</v>
      </c>
      <c r="I1" s="183" t="s">
        <v>539</v>
      </c>
      <c r="J1" s="183" t="s">
        <v>854</v>
      </c>
      <c r="K1" s="183" t="s">
        <v>855</v>
      </c>
      <c r="L1" s="183" t="s">
        <v>61</v>
      </c>
      <c r="M1" s="393" t="s">
        <v>856</v>
      </c>
      <c r="N1" s="125" t="s">
        <v>857</v>
      </c>
    </row>
    <row r="2" spans="1:14" ht="16" x14ac:dyDescent="0.2">
      <c r="A2" s="1">
        <v>1</v>
      </c>
      <c r="B2" s="1"/>
      <c r="C2" s="183" t="s">
        <v>707</v>
      </c>
      <c r="D2" s="621">
        <v>1361537</v>
      </c>
      <c r="E2" s="621" t="s">
        <v>17</v>
      </c>
      <c r="F2" s="621" t="s">
        <v>45</v>
      </c>
      <c r="G2" s="621"/>
      <c r="H2" s="622">
        <v>44014</v>
      </c>
      <c r="I2" s="621">
        <f t="shared" ref="I2:I3" ca="1" si="0">YEARFRAC(H2,TODAY())</f>
        <v>1.0166666666666666</v>
      </c>
      <c r="J2" s="621">
        <f t="shared" ref="J2:J3" ca="1" si="1">_xlfn.DAYS(TODAY(),H2)</f>
        <v>371</v>
      </c>
      <c r="K2" s="621">
        <f t="shared" ref="K2:K3" ca="1" si="2">J2/30</f>
        <v>12.366666666666667</v>
      </c>
      <c r="L2" s="328" t="s">
        <v>14</v>
      </c>
      <c r="M2" s="13">
        <v>44298</v>
      </c>
    </row>
    <row r="3" spans="1:14" ht="16" x14ac:dyDescent="0.2">
      <c r="A3" s="1">
        <v>2</v>
      </c>
      <c r="B3" s="1"/>
      <c r="C3" s="183" t="s">
        <v>707</v>
      </c>
      <c r="D3" s="621">
        <v>1361537</v>
      </c>
      <c r="E3" s="621" t="s">
        <v>17</v>
      </c>
      <c r="F3" s="621" t="s">
        <v>45</v>
      </c>
      <c r="G3" s="621"/>
      <c r="H3" s="622">
        <v>44062</v>
      </c>
      <c r="I3" s="621">
        <f t="shared" ca="1" si="0"/>
        <v>0.88611111111111107</v>
      </c>
      <c r="J3" s="621">
        <f t="shared" ca="1" si="1"/>
        <v>323</v>
      </c>
      <c r="K3" s="621">
        <f t="shared" ca="1" si="2"/>
        <v>10.766666666666667</v>
      </c>
      <c r="L3" s="328" t="s">
        <v>14</v>
      </c>
      <c r="M3" s="13">
        <v>44298</v>
      </c>
    </row>
    <row r="4" spans="1:14" ht="16" x14ac:dyDescent="0.2">
      <c r="A4" s="1">
        <v>3</v>
      </c>
      <c r="B4" s="1"/>
      <c r="C4" s="183" t="s">
        <v>707</v>
      </c>
      <c r="D4" s="621">
        <v>1369925</v>
      </c>
      <c r="E4" s="621" t="s">
        <v>17</v>
      </c>
      <c r="F4" s="621" t="s">
        <v>45</v>
      </c>
      <c r="G4" s="621"/>
      <c r="H4" s="622">
        <v>44157</v>
      </c>
      <c r="I4" s="621">
        <f ca="1">YEARFRAC(H4,TODAY())</f>
        <v>0.62777777777777777</v>
      </c>
      <c r="J4" s="621">
        <f ca="1">_xlfn.DAYS(TODAY(),H4)</f>
        <v>228</v>
      </c>
      <c r="K4" s="621">
        <f ca="1">J4/30</f>
        <v>7.6</v>
      </c>
      <c r="L4" s="328" t="s">
        <v>14</v>
      </c>
      <c r="M4" s="13">
        <v>44298</v>
      </c>
    </row>
    <row r="5" spans="1:14" ht="16" x14ac:dyDescent="0.2">
      <c r="A5" s="1">
        <v>4</v>
      </c>
      <c r="B5" s="1"/>
      <c r="C5" s="183" t="s">
        <v>707</v>
      </c>
      <c r="D5" s="621">
        <v>1369925</v>
      </c>
      <c r="E5" s="621" t="s">
        <v>17</v>
      </c>
      <c r="F5" s="621" t="s">
        <v>45</v>
      </c>
      <c r="G5" s="621"/>
      <c r="H5" s="622">
        <v>44157</v>
      </c>
      <c r="I5" s="621">
        <f t="shared" ref="I5:I10" ca="1" si="3">YEARFRAC(H5,TODAY())</f>
        <v>0.62777777777777777</v>
      </c>
      <c r="J5" s="621">
        <f t="shared" ref="J5:J10" ca="1" si="4">_xlfn.DAYS(TODAY(),H5)</f>
        <v>228</v>
      </c>
      <c r="K5" s="621">
        <f t="shared" ref="K5:K10" ca="1" si="5">J5/30</f>
        <v>7.6</v>
      </c>
      <c r="L5" s="328" t="s">
        <v>14</v>
      </c>
      <c r="M5" s="13">
        <v>44298</v>
      </c>
    </row>
    <row r="6" spans="1:14" ht="16" x14ac:dyDescent="0.2">
      <c r="A6" s="1">
        <v>5</v>
      </c>
      <c r="B6" s="1"/>
      <c r="C6" s="183" t="s">
        <v>710</v>
      </c>
      <c r="D6" s="621">
        <v>1369924</v>
      </c>
      <c r="E6" s="621" t="s">
        <v>15</v>
      </c>
      <c r="F6" s="621" t="s">
        <v>45</v>
      </c>
      <c r="G6" s="621"/>
      <c r="H6" s="622">
        <v>44157</v>
      </c>
      <c r="I6" s="621">
        <f t="shared" ca="1" si="3"/>
        <v>0.62777777777777777</v>
      </c>
      <c r="J6" s="621">
        <f t="shared" ca="1" si="4"/>
        <v>228</v>
      </c>
      <c r="K6" s="621">
        <f t="shared" ca="1" si="5"/>
        <v>7.6</v>
      </c>
      <c r="L6" s="328" t="s">
        <v>14</v>
      </c>
      <c r="M6" s="13">
        <v>44298</v>
      </c>
    </row>
    <row r="7" spans="1:14" ht="16" x14ac:dyDescent="0.2">
      <c r="A7" s="1">
        <v>6</v>
      </c>
      <c r="B7" s="1"/>
      <c r="C7" s="183" t="s">
        <v>710</v>
      </c>
      <c r="D7" s="621">
        <v>1369924</v>
      </c>
      <c r="E7" s="621" t="s">
        <v>15</v>
      </c>
      <c r="F7" s="621" t="s">
        <v>45</v>
      </c>
      <c r="G7" s="621"/>
      <c r="H7" s="622">
        <v>44157</v>
      </c>
      <c r="I7" s="621">
        <f t="shared" ca="1" si="3"/>
        <v>0.62777777777777777</v>
      </c>
      <c r="J7" s="621">
        <f t="shared" ca="1" si="4"/>
        <v>228</v>
      </c>
      <c r="K7" s="621">
        <f t="shared" ca="1" si="5"/>
        <v>7.6</v>
      </c>
      <c r="L7" s="328" t="s">
        <v>14</v>
      </c>
      <c r="M7" s="13">
        <v>44298</v>
      </c>
    </row>
    <row r="8" spans="1:14" ht="16" x14ac:dyDescent="0.2">
      <c r="A8" s="1">
        <v>7</v>
      </c>
      <c r="B8" s="1"/>
      <c r="C8" s="183" t="s">
        <v>710</v>
      </c>
      <c r="D8" s="621">
        <v>1369924</v>
      </c>
      <c r="E8" s="621" t="s">
        <v>15</v>
      </c>
      <c r="F8" s="621" t="s">
        <v>45</v>
      </c>
      <c r="G8" s="621"/>
      <c r="H8" s="622">
        <v>44157</v>
      </c>
      <c r="I8" s="621">
        <f t="shared" ca="1" si="3"/>
        <v>0.62777777777777777</v>
      </c>
      <c r="J8" s="621">
        <f t="shared" ca="1" si="4"/>
        <v>228</v>
      </c>
      <c r="K8" s="621">
        <f t="shared" ca="1" si="5"/>
        <v>7.6</v>
      </c>
      <c r="L8" s="328" t="s">
        <v>14</v>
      </c>
      <c r="M8" s="13">
        <v>44298</v>
      </c>
    </row>
    <row r="9" spans="1:14" ht="16" x14ac:dyDescent="0.2">
      <c r="A9" s="1">
        <v>8</v>
      </c>
      <c r="B9" s="1"/>
      <c r="C9" s="183" t="s">
        <v>711</v>
      </c>
      <c r="D9" s="621">
        <v>1361537</v>
      </c>
      <c r="E9" s="621" t="s">
        <v>17</v>
      </c>
      <c r="F9" s="621" t="s">
        <v>45</v>
      </c>
      <c r="G9" s="621"/>
      <c r="H9" s="622">
        <v>44180</v>
      </c>
      <c r="I9" s="621">
        <f t="shared" ca="1" si="3"/>
        <v>0.56388888888888888</v>
      </c>
      <c r="J9" s="621">
        <f t="shared" ca="1" si="4"/>
        <v>205</v>
      </c>
      <c r="K9" s="621">
        <f t="shared" ca="1" si="5"/>
        <v>6.833333333333333</v>
      </c>
      <c r="L9" s="328" t="s">
        <v>14</v>
      </c>
      <c r="M9" s="13">
        <v>44298</v>
      </c>
    </row>
    <row r="10" spans="1:14" ht="16" x14ac:dyDescent="0.2">
      <c r="A10" s="1">
        <v>9</v>
      </c>
      <c r="B10" s="1"/>
      <c r="C10" s="183" t="s">
        <v>711</v>
      </c>
      <c r="D10" s="621">
        <v>1361537</v>
      </c>
      <c r="E10" s="621" t="s">
        <v>17</v>
      </c>
      <c r="F10" s="621" t="s">
        <v>45</v>
      </c>
      <c r="G10" s="621"/>
      <c r="H10" s="622">
        <v>44180</v>
      </c>
      <c r="I10" s="621">
        <f t="shared" ca="1" si="3"/>
        <v>0.56388888888888888</v>
      </c>
      <c r="J10" s="621">
        <f t="shared" ca="1" si="4"/>
        <v>205</v>
      </c>
      <c r="K10" s="621">
        <f t="shared" ca="1" si="5"/>
        <v>6.833333333333333</v>
      </c>
      <c r="L10" s="328" t="s">
        <v>14</v>
      </c>
      <c r="M10" s="13">
        <v>44298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9204-B674-40B6-A5DA-D5A21EC13EDE}">
  <sheetPr codeName="Sheet12">
    <tabColor rgb="FF8EA9DB"/>
    <pageSetUpPr fitToPage="1"/>
  </sheetPr>
  <dimension ref="A1:R11"/>
  <sheetViews>
    <sheetView workbookViewId="0">
      <selection sqref="A1:N1"/>
    </sheetView>
  </sheetViews>
  <sheetFormatPr baseColWidth="10" defaultColWidth="8.83203125" defaultRowHeight="15" x14ac:dyDescent="0.2"/>
  <cols>
    <col min="2" max="2" width="10.5" customWidth="1"/>
    <col min="3" max="3" width="21.33203125" customWidth="1"/>
    <col min="4" max="4" width="15.83203125" customWidth="1"/>
    <col min="5" max="5" width="17.1640625" customWidth="1"/>
    <col min="6" max="6" width="10.33203125" customWidth="1"/>
    <col min="8" max="8" width="12" customWidth="1"/>
    <col min="9" max="9" width="13.5" customWidth="1"/>
    <col min="10" max="10" width="10.83203125" customWidth="1"/>
    <col min="11" max="11" width="13.5" customWidth="1"/>
    <col min="12" max="12" width="19.33203125" customWidth="1"/>
    <col min="13" max="13" width="18.6640625" customWidth="1"/>
    <col min="14" max="14" width="18.5" customWidth="1"/>
    <col min="15" max="15" width="22.6640625" customWidth="1"/>
    <col min="16" max="16" width="16" customWidth="1"/>
    <col min="17" max="17" width="21.6640625" customWidth="1"/>
    <col min="18" max="18" width="15.1640625" customWidth="1"/>
  </cols>
  <sheetData>
    <row r="1" spans="1:18" x14ac:dyDescent="0.2">
      <c r="A1" s="183" t="s">
        <v>0</v>
      </c>
      <c r="B1" s="125" t="s">
        <v>535</v>
      </c>
      <c r="C1" s="338" t="s">
        <v>682</v>
      </c>
      <c r="D1" s="183" t="s">
        <v>51</v>
      </c>
      <c r="E1" s="183" t="s">
        <v>52</v>
      </c>
      <c r="F1" s="183" t="s">
        <v>53</v>
      </c>
      <c r="G1" s="183" t="s">
        <v>538</v>
      </c>
      <c r="H1" s="183" t="s">
        <v>54</v>
      </c>
      <c r="I1" s="183" t="s">
        <v>539</v>
      </c>
      <c r="J1" s="183" t="s">
        <v>854</v>
      </c>
      <c r="K1" s="183" t="s">
        <v>855</v>
      </c>
      <c r="L1" s="183" t="s">
        <v>61</v>
      </c>
      <c r="M1" s="393" t="s">
        <v>856</v>
      </c>
      <c r="N1" s="125" t="s">
        <v>857</v>
      </c>
      <c r="O1" s="155" t="s">
        <v>880</v>
      </c>
      <c r="P1" s="339" t="s">
        <v>651</v>
      </c>
      <c r="Q1" s="155" t="s">
        <v>880</v>
      </c>
      <c r="R1" s="339" t="s">
        <v>881</v>
      </c>
    </row>
    <row r="2" spans="1:18" ht="16" x14ac:dyDescent="0.2">
      <c r="A2" s="1">
        <v>1</v>
      </c>
      <c r="B2" s="125" t="s">
        <v>882</v>
      </c>
      <c r="C2" s="183" t="s">
        <v>883</v>
      </c>
      <c r="D2" s="110">
        <v>1343448</v>
      </c>
      <c r="E2" s="110" t="s">
        <v>17</v>
      </c>
      <c r="F2" s="110" t="s">
        <v>37</v>
      </c>
      <c r="G2" s="110" t="s">
        <v>551</v>
      </c>
      <c r="H2" s="438">
        <v>44063</v>
      </c>
      <c r="I2" s="110">
        <f t="shared" ref="I2:I8" ca="1" si="0">YEARFRAC(H2,TODAY())</f>
        <v>0.8833333333333333</v>
      </c>
      <c r="J2" s="110">
        <f t="shared" ref="J2:J8" ca="1" si="1">_xlfn.DAYS(TODAY(),H2)</f>
        <v>322</v>
      </c>
      <c r="K2" s="110">
        <f t="shared" ref="K2:K8" ca="1" si="2">J2/30</f>
        <v>10.733333333333333</v>
      </c>
      <c r="L2" s="340" t="s">
        <v>547</v>
      </c>
      <c r="M2" s="111">
        <v>44417</v>
      </c>
      <c r="N2" s="112">
        <f t="shared" ref="N2:N8" si="3">_xlfn.DAYS(M2,H2)/30</f>
        <v>11.8</v>
      </c>
    </row>
    <row r="3" spans="1:18" ht="16" x14ac:dyDescent="0.2">
      <c r="A3" s="1">
        <v>2</v>
      </c>
      <c r="B3" s="125" t="s">
        <v>884</v>
      </c>
      <c r="C3" s="183" t="s">
        <v>883</v>
      </c>
      <c r="D3" s="110">
        <v>1343448</v>
      </c>
      <c r="E3" s="110" t="s">
        <v>17</v>
      </c>
      <c r="F3" s="110" t="s">
        <v>37</v>
      </c>
      <c r="G3" s="110" t="s">
        <v>549</v>
      </c>
      <c r="H3" s="438">
        <v>44067</v>
      </c>
      <c r="I3" s="110">
        <f t="shared" ca="1" si="0"/>
        <v>0.87222222222222223</v>
      </c>
      <c r="J3" s="110">
        <f t="shared" ca="1" si="1"/>
        <v>318</v>
      </c>
      <c r="K3" s="110">
        <f t="shared" ca="1" si="2"/>
        <v>10.6</v>
      </c>
      <c r="L3" s="340" t="s">
        <v>547</v>
      </c>
      <c r="M3" s="111">
        <v>44417</v>
      </c>
      <c r="N3" s="112">
        <f t="shared" si="3"/>
        <v>11.666666666666666</v>
      </c>
    </row>
    <row r="4" spans="1:18" ht="16" x14ac:dyDescent="0.2">
      <c r="A4" s="1">
        <v>3</v>
      </c>
      <c r="B4" s="125" t="s">
        <v>885</v>
      </c>
      <c r="C4" s="183" t="s">
        <v>883</v>
      </c>
      <c r="D4" s="110">
        <v>1343448</v>
      </c>
      <c r="E4" s="110" t="s">
        <v>17</v>
      </c>
      <c r="F4" s="110" t="s">
        <v>37</v>
      </c>
      <c r="G4" s="110" t="s">
        <v>551</v>
      </c>
      <c r="H4" s="438">
        <v>44077</v>
      </c>
      <c r="I4" s="110">
        <f t="shared" ca="1" si="0"/>
        <v>0.84722222222222221</v>
      </c>
      <c r="J4" s="110">
        <f t="shared" ca="1" si="1"/>
        <v>308</v>
      </c>
      <c r="K4" s="110">
        <f t="shared" ca="1" si="2"/>
        <v>10.266666666666667</v>
      </c>
      <c r="L4" s="340" t="s">
        <v>547</v>
      </c>
      <c r="M4" s="111">
        <v>44417</v>
      </c>
      <c r="N4" s="112">
        <f t="shared" si="3"/>
        <v>11.333333333333334</v>
      </c>
    </row>
    <row r="5" spans="1:18" x14ac:dyDescent="0.2">
      <c r="A5" s="1">
        <v>4</v>
      </c>
      <c r="B5" s="125" t="s">
        <v>886</v>
      </c>
      <c r="C5" s="183" t="s">
        <v>887</v>
      </c>
      <c r="D5" s="575">
        <v>1343451</v>
      </c>
      <c r="E5" s="576" t="s">
        <v>15</v>
      </c>
      <c r="F5" s="576" t="s">
        <v>40</v>
      </c>
      <c r="G5" s="576" t="s">
        <v>592</v>
      </c>
      <c r="H5" s="577">
        <v>44059</v>
      </c>
      <c r="I5" s="576">
        <f t="shared" ca="1" si="0"/>
        <v>0.89444444444444449</v>
      </c>
      <c r="J5" s="576">
        <f t="shared" ca="1" si="1"/>
        <v>326</v>
      </c>
      <c r="K5" s="576">
        <f t="shared" ca="1" si="2"/>
        <v>10.866666666666667</v>
      </c>
      <c r="L5" s="578" t="s">
        <v>14</v>
      </c>
      <c r="M5" s="579">
        <v>44417</v>
      </c>
      <c r="N5" s="580">
        <f t="shared" si="3"/>
        <v>11.933333333333334</v>
      </c>
    </row>
    <row r="6" spans="1:18" x14ac:dyDescent="0.2">
      <c r="A6" s="1">
        <v>5</v>
      </c>
      <c r="B6" s="125" t="s">
        <v>888</v>
      </c>
      <c r="C6" s="183" t="s">
        <v>887</v>
      </c>
      <c r="D6" s="439">
        <v>1343451</v>
      </c>
      <c r="E6" s="357" t="s">
        <v>15</v>
      </c>
      <c r="F6" s="357" t="s">
        <v>40</v>
      </c>
      <c r="G6" s="357" t="s">
        <v>551</v>
      </c>
      <c r="H6" s="442">
        <v>44059</v>
      </c>
      <c r="I6" s="357">
        <f t="shared" ca="1" si="0"/>
        <v>0.89444444444444449</v>
      </c>
      <c r="J6" s="357">
        <f t="shared" ca="1" si="1"/>
        <v>326</v>
      </c>
      <c r="K6" s="357">
        <f t="shared" ca="1" si="2"/>
        <v>10.866666666666667</v>
      </c>
      <c r="L6" s="328" t="s">
        <v>14</v>
      </c>
      <c r="M6" s="440">
        <v>44417</v>
      </c>
      <c r="N6" s="441">
        <f>_xlfn.DAYS(M6,H6)/30</f>
        <v>11.933333333333334</v>
      </c>
    </row>
    <row r="7" spans="1:18" x14ac:dyDescent="0.2">
      <c r="A7" s="1">
        <v>6</v>
      </c>
      <c r="B7" s="125" t="s">
        <v>889</v>
      </c>
      <c r="C7" s="183" t="s">
        <v>887</v>
      </c>
      <c r="D7" s="439">
        <v>1343451</v>
      </c>
      <c r="E7" s="357" t="s">
        <v>15</v>
      </c>
      <c r="F7" s="357" t="s">
        <v>40</v>
      </c>
      <c r="G7" s="357" t="s">
        <v>549</v>
      </c>
      <c r="H7" s="442">
        <v>44059</v>
      </c>
      <c r="I7" s="357">
        <f t="shared" ca="1" si="0"/>
        <v>0.89444444444444449</v>
      </c>
      <c r="J7" s="357">
        <f t="shared" ca="1" si="1"/>
        <v>326</v>
      </c>
      <c r="K7" s="357">
        <f t="shared" ca="1" si="2"/>
        <v>10.866666666666667</v>
      </c>
      <c r="L7" s="328" t="s">
        <v>14</v>
      </c>
      <c r="M7" s="440">
        <v>44417</v>
      </c>
      <c r="N7" s="441">
        <f t="shared" si="3"/>
        <v>11.933333333333334</v>
      </c>
    </row>
    <row r="8" spans="1:18" x14ac:dyDescent="0.2">
      <c r="A8" s="1">
        <v>7</v>
      </c>
      <c r="B8" s="125" t="s">
        <v>890</v>
      </c>
      <c r="C8" s="183" t="s">
        <v>887</v>
      </c>
      <c r="D8" s="439">
        <v>1343451</v>
      </c>
      <c r="E8" s="357" t="s">
        <v>15</v>
      </c>
      <c r="F8" s="357" t="s">
        <v>40</v>
      </c>
      <c r="G8" s="357" t="s">
        <v>548</v>
      </c>
      <c r="H8" s="442">
        <v>44059</v>
      </c>
      <c r="I8" s="357">
        <f t="shared" ca="1" si="0"/>
        <v>0.89444444444444449</v>
      </c>
      <c r="J8" s="357">
        <f t="shared" ca="1" si="1"/>
        <v>326</v>
      </c>
      <c r="K8" s="357">
        <f t="shared" ca="1" si="2"/>
        <v>10.866666666666667</v>
      </c>
      <c r="L8" s="328" t="s">
        <v>14</v>
      </c>
      <c r="M8" s="440">
        <v>44417</v>
      </c>
      <c r="N8" s="441">
        <f t="shared" si="3"/>
        <v>11.933333333333334</v>
      </c>
    </row>
    <row r="11" spans="1:18" x14ac:dyDescent="0.2">
      <c r="E11" s="581"/>
      <c r="F11" s="6"/>
    </row>
  </sheetData>
  <pageMargins left="0.7" right="0.7" top="0.75" bottom="0.75" header="0.3" footer="0.3"/>
  <pageSetup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337-B494-41B9-A67C-D1184318B07F}">
  <sheetPr codeName="Sheet13">
    <tabColor rgb="FF8EA9DB"/>
  </sheetPr>
  <dimension ref="A1:R28"/>
  <sheetViews>
    <sheetView workbookViewId="0">
      <selection activeCell="H22" sqref="H22"/>
    </sheetView>
  </sheetViews>
  <sheetFormatPr baseColWidth="10" defaultColWidth="8.83203125" defaultRowHeight="15" x14ac:dyDescent="0.2"/>
  <cols>
    <col min="3" max="3" width="19" customWidth="1"/>
    <col min="4" max="4" width="17.83203125" customWidth="1"/>
    <col min="8" max="8" width="13.6640625" customWidth="1"/>
    <col min="9" max="9" width="14.83203125" customWidth="1"/>
    <col min="11" max="11" width="14.33203125" customWidth="1"/>
    <col min="12" max="12" width="25.1640625" customWidth="1"/>
    <col min="13" max="13" width="15.5" customWidth="1"/>
    <col min="14" max="14" width="18.33203125" customWidth="1"/>
    <col min="15" max="15" width="16" customWidth="1"/>
    <col min="16" max="16" width="17.5" customWidth="1"/>
  </cols>
  <sheetData>
    <row r="1" spans="1:18" x14ac:dyDescent="0.2">
      <c r="A1" s="183" t="s">
        <v>0</v>
      </c>
      <c r="B1" s="125" t="s">
        <v>535</v>
      </c>
      <c r="C1" s="338" t="s">
        <v>682</v>
      </c>
      <c r="D1" s="183" t="s">
        <v>51</v>
      </c>
      <c r="E1" s="183" t="s">
        <v>52</v>
      </c>
      <c r="F1" s="183" t="s">
        <v>53</v>
      </c>
      <c r="G1" s="183" t="s">
        <v>538</v>
      </c>
      <c r="H1" s="183" t="s">
        <v>54</v>
      </c>
      <c r="I1" s="183" t="s">
        <v>539</v>
      </c>
      <c r="J1" s="183" t="s">
        <v>854</v>
      </c>
      <c r="K1" s="183" t="s">
        <v>855</v>
      </c>
      <c r="L1" s="183" t="s">
        <v>61</v>
      </c>
      <c r="M1" s="393" t="s">
        <v>856</v>
      </c>
      <c r="N1" s="125" t="s">
        <v>857</v>
      </c>
      <c r="O1" s="155" t="s">
        <v>880</v>
      </c>
      <c r="P1" s="339" t="s">
        <v>891</v>
      </c>
      <c r="Q1" s="155" t="s">
        <v>880</v>
      </c>
      <c r="R1" s="339" t="s">
        <v>881</v>
      </c>
    </row>
    <row r="2" spans="1:18" ht="16" x14ac:dyDescent="0.2">
      <c r="A2" s="1">
        <v>1</v>
      </c>
      <c r="B2" s="125" t="s">
        <v>892</v>
      </c>
      <c r="C2" s="183"/>
      <c r="D2" s="439">
        <v>1362663</v>
      </c>
      <c r="E2" s="357" t="s">
        <v>17</v>
      </c>
      <c r="F2" s="357" t="s">
        <v>40</v>
      </c>
      <c r="G2" s="357" t="s">
        <v>592</v>
      </c>
      <c r="H2" s="442">
        <v>44081</v>
      </c>
      <c r="I2" s="357">
        <f t="shared" ref="I2:I6" ca="1" si="0">YEARFRAC(H2,TODAY())</f>
        <v>0.83611111111111114</v>
      </c>
      <c r="J2" s="357">
        <f t="shared" ref="J2:J6" ca="1" si="1">_xlfn.DAYS(TODAY(),H2)</f>
        <v>304</v>
      </c>
      <c r="K2" s="357">
        <f t="shared" ref="K2:K6" ca="1" si="2">J2/30</f>
        <v>10.133333333333333</v>
      </c>
      <c r="L2" s="397" t="s">
        <v>547</v>
      </c>
      <c r="M2" s="440">
        <v>44445</v>
      </c>
      <c r="N2" s="441">
        <f t="shared" ref="N2:N9" si="3">_xlfn.DAYS(M2,H2)/30</f>
        <v>12.133333333333333</v>
      </c>
    </row>
    <row r="3" spans="1:18" ht="16" x14ac:dyDescent="0.2">
      <c r="A3" s="1">
        <v>2</v>
      </c>
      <c r="B3" s="125" t="s">
        <v>893</v>
      </c>
      <c r="C3" s="183"/>
      <c r="D3" s="439">
        <v>1362663</v>
      </c>
      <c r="E3" s="357" t="s">
        <v>17</v>
      </c>
      <c r="F3" s="357" t="s">
        <v>40</v>
      </c>
      <c r="G3" s="357" t="s">
        <v>550</v>
      </c>
      <c r="H3" s="442">
        <v>44081</v>
      </c>
      <c r="I3" s="357">
        <f t="shared" ca="1" si="0"/>
        <v>0.83611111111111114</v>
      </c>
      <c r="J3" s="357">
        <f t="shared" ca="1" si="1"/>
        <v>304</v>
      </c>
      <c r="K3" s="357">
        <f t="shared" ca="1" si="2"/>
        <v>10.133333333333333</v>
      </c>
      <c r="L3" s="397" t="s">
        <v>547</v>
      </c>
      <c r="M3" s="440">
        <v>44445</v>
      </c>
      <c r="N3" s="441">
        <f t="shared" si="3"/>
        <v>12.133333333333333</v>
      </c>
    </row>
    <row r="4" spans="1:18" ht="16" x14ac:dyDescent="0.2">
      <c r="A4" s="1">
        <v>3</v>
      </c>
      <c r="B4" s="125" t="s">
        <v>894</v>
      </c>
      <c r="C4" s="183"/>
      <c r="D4" s="439">
        <v>1362663</v>
      </c>
      <c r="E4" s="357" t="s">
        <v>17</v>
      </c>
      <c r="F4" s="357" t="s">
        <v>40</v>
      </c>
      <c r="G4" s="357" t="s">
        <v>548</v>
      </c>
      <c r="H4" s="442">
        <v>44081</v>
      </c>
      <c r="I4" s="357">
        <f t="shared" ca="1" si="0"/>
        <v>0.83611111111111114</v>
      </c>
      <c r="J4" s="357">
        <f t="shared" ca="1" si="1"/>
        <v>304</v>
      </c>
      <c r="K4" s="357">
        <f t="shared" ca="1" si="2"/>
        <v>10.133333333333333</v>
      </c>
      <c r="L4" s="397" t="s">
        <v>547</v>
      </c>
      <c r="M4" s="440">
        <v>44445</v>
      </c>
      <c r="N4" s="441">
        <f t="shared" si="3"/>
        <v>12.133333333333333</v>
      </c>
    </row>
    <row r="5" spans="1:18" ht="16" x14ac:dyDescent="0.2">
      <c r="A5" s="1">
        <v>4</v>
      </c>
      <c r="B5" s="125" t="s">
        <v>895</v>
      </c>
      <c r="C5" s="183"/>
      <c r="D5" s="439">
        <v>1362663</v>
      </c>
      <c r="E5" s="357" t="s">
        <v>17</v>
      </c>
      <c r="F5" s="357" t="s">
        <v>40</v>
      </c>
      <c r="G5" s="357" t="s">
        <v>546</v>
      </c>
      <c r="H5" s="442">
        <v>44081</v>
      </c>
      <c r="I5" s="357">
        <f t="shared" ca="1" si="0"/>
        <v>0.83611111111111114</v>
      </c>
      <c r="J5" s="357">
        <f t="shared" ca="1" si="1"/>
        <v>304</v>
      </c>
      <c r="K5" s="357">
        <f t="shared" ca="1" si="2"/>
        <v>10.133333333333333</v>
      </c>
      <c r="L5" s="397" t="s">
        <v>547</v>
      </c>
      <c r="M5" s="440">
        <v>44445</v>
      </c>
      <c r="N5" s="441">
        <f t="shared" si="3"/>
        <v>12.133333333333333</v>
      </c>
    </row>
    <row r="6" spans="1:18" ht="16" x14ac:dyDescent="0.2">
      <c r="A6" s="1">
        <v>5</v>
      </c>
      <c r="B6" s="125" t="s">
        <v>896</v>
      </c>
      <c r="C6" s="183"/>
      <c r="D6" s="439">
        <v>1362663</v>
      </c>
      <c r="E6" s="357" t="s">
        <v>17</v>
      </c>
      <c r="F6" s="357" t="s">
        <v>40</v>
      </c>
      <c r="G6" s="357" t="s">
        <v>551</v>
      </c>
      <c r="H6" s="442">
        <v>44081</v>
      </c>
      <c r="I6" s="357">
        <f t="shared" ca="1" si="0"/>
        <v>0.83611111111111114</v>
      </c>
      <c r="J6" s="357">
        <f t="shared" ca="1" si="1"/>
        <v>304</v>
      </c>
      <c r="K6" s="357">
        <f t="shared" ca="1" si="2"/>
        <v>10.133333333333333</v>
      </c>
      <c r="L6" s="397" t="s">
        <v>547</v>
      </c>
      <c r="M6" s="440">
        <v>44445</v>
      </c>
      <c r="N6" s="441">
        <f t="shared" si="3"/>
        <v>12.133333333333333</v>
      </c>
    </row>
    <row r="7" spans="1:18" ht="16" x14ac:dyDescent="0.2">
      <c r="A7" s="1">
        <v>6</v>
      </c>
      <c r="B7" s="125" t="s">
        <v>897</v>
      </c>
      <c r="D7" s="357">
        <v>1299778</v>
      </c>
      <c r="E7" s="357" t="s">
        <v>15</v>
      </c>
      <c r="F7" s="357" t="s">
        <v>40</v>
      </c>
      <c r="G7" s="357" t="s">
        <v>592</v>
      </c>
      <c r="H7" s="442">
        <v>44102</v>
      </c>
      <c r="I7" s="439">
        <v>0.7</v>
      </c>
      <c r="J7" s="439">
        <v>255</v>
      </c>
      <c r="K7" s="439">
        <v>8.5</v>
      </c>
      <c r="L7" s="397" t="s">
        <v>547</v>
      </c>
      <c r="M7" s="440">
        <v>44445</v>
      </c>
      <c r="N7" s="587">
        <f t="shared" si="3"/>
        <v>11.433333333333334</v>
      </c>
    </row>
    <row r="8" spans="1:18" ht="16" x14ac:dyDescent="0.2">
      <c r="A8" s="1">
        <v>7</v>
      </c>
      <c r="B8" s="125" t="s">
        <v>898</v>
      </c>
      <c r="D8" s="357">
        <v>1324364</v>
      </c>
      <c r="E8" s="357" t="s">
        <v>17</v>
      </c>
      <c r="F8" s="357" t="s">
        <v>40</v>
      </c>
      <c r="G8" s="357" t="s">
        <v>592</v>
      </c>
      <c r="H8" s="442">
        <v>44095</v>
      </c>
      <c r="I8" s="439">
        <v>0.72</v>
      </c>
      <c r="J8" s="439">
        <v>262</v>
      </c>
      <c r="K8" s="439">
        <v>8.7333333329999991</v>
      </c>
      <c r="L8" s="397" t="s">
        <v>547</v>
      </c>
      <c r="M8" s="440">
        <v>44445</v>
      </c>
      <c r="N8" s="587">
        <f t="shared" si="3"/>
        <v>11.666666666666666</v>
      </c>
    </row>
    <row r="9" spans="1:18" ht="16" x14ac:dyDescent="0.2">
      <c r="A9" s="1">
        <v>8</v>
      </c>
      <c r="B9" s="125" t="s">
        <v>899</v>
      </c>
      <c r="D9" s="357">
        <v>1324364</v>
      </c>
      <c r="E9" s="357" t="s">
        <v>17</v>
      </c>
      <c r="F9" s="357" t="s">
        <v>40</v>
      </c>
      <c r="G9" s="357" t="s">
        <v>900</v>
      </c>
      <c r="H9" s="442">
        <v>44095</v>
      </c>
      <c r="I9" s="439">
        <v>0.72</v>
      </c>
      <c r="J9" s="439">
        <v>262</v>
      </c>
      <c r="K9" s="439">
        <v>8.7333333329999991</v>
      </c>
      <c r="L9" s="397" t="s">
        <v>547</v>
      </c>
      <c r="M9" s="440">
        <v>44445</v>
      </c>
      <c r="N9" s="587">
        <f t="shared" si="3"/>
        <v>11.666666666666666</v>
      </c>
    </row>
    <row r="10" spans="1:18" ht="16" x14ac:dyDescent="0.2">
      <c r="A10" s="1">
        <v>9</v>
      </c>
      <c r="B10" s="125" t="s">
        <v>901</v>
      </c>
      <c r="D10" s="592">
        <v>1343446</v>
      </c>
      <c r="E10" s="592" t="s">
        <v>17</v>
      </c>
      <c r="F10" s="592" t="s">
        <v>42</v>
      </c>
      <c r="G10" s="593"/>
      <c r="H10" s="593">
        <v>44082</v>
      </c>
      <c r="I10" s="592">
        <v>0.76</v>
      </c>
      <c r="J10" s="592">
        <v>275</v>
      </c>
      <c r="K10" s="592">
        <v>9.1666666669999994</v>
      </c>
      <c r="L10" s="598" t="s">
        <v>14</v>
      </c>
      <c r="M10" s="600">
        <v>44445</v>
      </c>
      <c r="N10" s="594">
        <f>_xlfn.DAYS(M10,H10)/30</f>
        <v>12.1</v>
      </c>
    </row>
    <row r="11" spans="1:18" ht="16" x14ac:dyDescent="0.2">
      <c r="A11" s="1">
        <v>10</v>
      </c>
      <c r="B11" s="125" t="s">
        <v>902</v>
      </c>
      <c r="D11" s="592">
        <v>1343446</v>
      </c>
      <c r="E11" s="592" t="s">
        <v>17</v>
      </c>
      <c r="F11" s="592" t="s">
        <v>42</v>
      </c>
      <c r="G11" s="593"/>
      <c r="H11" s="593">
        <v>44082</v>
      </c>
      <c r="I11" s="592">
        <v>0.76</v>
      </c>
      <c r="J11" s="592">
        <v>275</v>
      </c>
      <c r="K11" s="592">
        <v>9.1666666669999994</v>
      </c>
      <c r="L11" s="598" t="s">
        <v>14</v>
      </c>
      <c r="M11" s="600">
        <v>44445</v>
      </c>
      <c r="N11" s="594">
        <f t="shared" ref="N11:N28" si="4">_xlfn.DAYS(M11,H11)/30</f>
        <v>12.1</v>
      </c>
    </row>
    <row r="12" spans="1:18" ht="16" x14ac:dyDescent="0.2">
      <c r="A12" s="1">
        <v>11</v>
      </c>
      <c r="B12" s="125" t="s">
        <v>903</v>
      </c>
      <c r="D12" s="592">
        <v>1343446</v>
      </c>
      <c r="E12" s="592" t="s">
        <v>17</v>
      </c>
      <c r="F12" s="592" t="s">
        <v>42</v>
      </c>
      <c r="G12" s="593"/>
      <c r="H12" s="593">
        <v>44082</v>
      </c>
      <c r="I12" s="592">
        <v>0.76</v>
      </c>
      <c r="J12" s="592">
        <v>275</v>
      </c>
      <c r="K12" s="592">
        <v>9.1666666669999994</v>
      </c>
      <c r="L12" s="598" t="s">
        <v>14</v>
      </c>
      <c r="M12" s="600">
        <v>44445</v>
      </c>
      <c r="N12" s="594">
        <f t="shared" si="4"/>
        <v>12.1</v>
      </c>
    </row>
    <row r="13" spans="1:18" ht="16" x14ac:dyDescent="0.2">
      <c r="A13" s="1">
        <v>12</v>
      </c>
      <c r="B13" s="125" t="s">
        <v>904</v>
      </c>
      <c r="D13" s="592">
        <v>1343446</v>
      </c>
      <c r="E13" s="592" t="s">
        <v>17</v>
      </c>
      <c r="F13" s="592" t="s">
        <v>42</v>
      </c>
      <c r="G13" s="593"/>
      <c r="H13" s="593">
        <v>44082</v>
      </c>
      <c r="I13" s="592">
        <v>0.76</v>
      </c>
      <c r="J13" s="592">
        <v>275</v>
      </c>
      <c r="K13" s="592">
        <v>9.1666666669999994</v>
      </c>
      <c r="L13" s="598" t="s">
        <v>14</v>
      </c>
      <c r="M13" s="600">
        <v>44445</v>
      </c>
      <c r="N13" s="594">
        <f t="shared" si="4"/>
        <v>12.1</v>
      </c>
    </row>
    <row r="14" spans="1:18" ht="16" x14ac:dyDescent="0.2">
      <c r="A14" s="1">
        <v>13</v>
      </c>
      <c r="B14" s="125" t="s">
        <v>905</v>
      </c>
      <c r="D14" s="592">
        <v>1343446</v>
      </c>
      <c r="E14" s="592" t="s">
        <v>17</v>
      </c>
      <c r="F14" s="592" t="s">
        <v>42</v>
      </c>
      <c r="G14" s="593"/>
      <c r="H14" s="593">
        <v>44082</v>
      </c>
      <c r="I14" s="592">
        <v>0.76</v>
      </c>
      <c r="J14" s="592">
        <v>275</v>
      </c>
      <c r="K14" s="592">
        <v>9.1666666669999994</v>
      </c>
      <c r="L14" s="598" t="s">
        <v>14</v>
      </c>
      <c r="M14" s="600">
        <v>44445</v>
      </c>
      <c r="N14" s="594">
        <f t="shared" si="4"/>
        <v>12.1</v>
      </c>
    </row>
    <row r="15" spans="1:18" ht="16" x14ac:dyDescent="0.2">
      <c r="A15" s="1">
        <v>14</v>
      </c>
      <c r="B15" s="125" t="s">
        <v>906</v>
      </c>
      <c r="D15" s="592">
        <v>1362657</v>
      </c>
      <c r="E15" s="592" t="s">
        <v>15</v>
      </c>
      <c r="F15" s="592" t="s">
        <v>42</v>
      </c>
      <c r="G15" s="593"/>
      <c r="H15" s="593">
        <v>44104</v>
      </c>
      <c r="I15" s="592">
        <v>0.69</v>
      </c>
      <c r="J15" s="592">
        <v>253</v>
      </c>
      <c r="K15" s="592">
        <v>8.4333333330000002</v>
      </c>
      <c r="L15" s="598" t="s">
        <v>14</v>
      </c>
      <c r="M15" s="600">
        <v>44445</v>
      </c>
      <c r="N15" s="594">
        <f t="shared" si="4"/>
        <v>11.366666666666667</v>
      </c>
    </row>
    <row r="16" spans="1:18" ht="16" x14ac:dyDescent="0.2">
      <c r="A16" s="1">
        <v>15</v>
      </c>
      <c r="B16" s="125" t="s">
        <v>907</v>
      </c>
      <c r="D16" s="592">
        <v>1362657</v>
      </c>
      <c r="E16" s="592" t="s">
        <v>15</v>
      </c>
      <c r="F16" s="592" t="s">
        <v>42</v>
      </c>
      <c r="G16" s="593"/>
      <c r="H16" s="593">
        <v>44104</v>
      </c>
      <c r="I16" s="592">
        <v>0.69</v>
      </c>
      <c r="J16" s="592">
        <v>253</v>
      </c>
      <c r="K16" s="592">
        <v>8.4333333330000002</v>
      </c>
      <c r="L16" s="598" t="s">
        <v>14</v>
      </c>
      <c r="M16" s="600">
        <v>44445</v>
      </c>
      <c r="N16" s="594">
        <f t="shared" si="4"/>
        <v>11.366666666666667</v>
      </c>
    </row>
    <row r="17" spans="1:14" ht="16" x14ac:dyDescent="0.2">
      <c r="A17" s="1">
        <v>16</v>
      </c>
      <c r="B17" s="125" t="s">
        <v>908</v>
      </c>
      <c r="D17" s="592">
        <v>1362657</v>
      </c>
      <c r="E17" s="592" t="s">
        <v>15</v>
      </c>
      <c r="F17" s="592" t="s">
        <v>42</v>
      </c>
      <c r="G17" s="593"/>
      <c r="H17" s="593">
        <v>44104</v>
      </c>
      <c r="I17" s="592">
        <v>0.69</v>
      </c>
      <c r="J17" s="592">
        <v>253</v>
      </c>
      <c r="K17" s="592">
        <v>8.4333333330000002</v>
      </c>
      <c r="L17" s="598" t="s">
        <v>14</v>
      </c>
      <c r="M17" s="600">
        <v>44445</v>
      </c>
      <c r="N17" s="594">
        <f t="shared" si="4"/>
        <v>11.366666666666667</v>
      </c>
    </row>
    <row r="18" spans="1:14" ht="16" x14ac:dyDescent="0.2">
      <c r="A18" s="1">
        <v>17</v>
      </c>
      <c r="B18" s="125" t="s">
        <v>909</v>
      </c>
      <c r="D18" s="592">
        <v>1362658</v>
      </c>
      <c r="E18" s="592" t="s">
        <v>17</v>
      </c>
      <c r="F18" s="592" t="s">
        <v>42</v>
      </c>
      <c r="G18" s="593"/>
      <c r="H18" s="593">
        <v>44104</v>
      </c>
      <c r="I18" s="592">
        <v>0.69</v>
      </c>
      <c r="J18" s="592">
        <v>253</v>
      </c>
      <c r="K18" s="592">
        <v>8.4333333330000002</v>
      </c>
      <c r="L18" s="397" t="s">
        <v>547</v>
      </c>
      <c r="M18" s="600">
        <v>44445</v>
      </c>
      <c r="N18" s="594">
        <f t="shared" si="4"/>
        <v>11.366666666666667</v>
      </c>
    </row>
    <row r="19" spans="1:14" ht="16" x14ac:dyDescent="0.2">
      <c r="A19" s="1">
        <v>18</v>
      </c>
      <c r="B19" s="125" t="s">
        <v>910</v>
      </c>
      <c r="D19" s="592">
        <v>1362658</v>
      </c>
      <c r="E19" s="592" t="s">
        <v>17</v>
      </c>
      <c r="F19" s="592" t="s">
        <v>42</v>
      </c>
      <c r="G19" s="593"/>
      <c r="H19" s="593">
        <v>44104</v>
      </c>
      <c r="I19" s="592">
        <v>0.69</v>
      </c>
      <c r="J19" s="592">
        <v>253</v>
      </c>
      <c r="K19" s="592">
        <v>8.4333333330000002</v>
      </c>
      <c r="L19" s="397" t="s">
        <v>547</v>
      </c>
      <c r="M19" s="600">
        <v>44445</v>
      </c>
      <c r="N19" s="594">
        <f t="shared" si="4"/>
        <v>11.366666666666667</v>
      </c>
    </row>
    <row r="20" spans="1:14" ht="16" x14ac:dyDescent="0.2">
      <c r="A20" s="1">
        <v>19</v>
      </c>
      <c r="B20" s="125" t="s">
        <v>911</v>
      </c>
      <c r="D20" s="592">
        <v>1362658</v>
      </c>
      <c r="E20" s="592" t="s">
        <v>17</v>
      </c>
      <c r="F20" s="592" t="s">
        <v>42</v>
      </c>
      <c r="G20" s="593"/>
      <c r="H20" s="593">
        <v>44104</v>
      </c>
      <c r="I20" s="592">
        <v>0.69</v>
      </c>
      <c r="J20" s="592">
        <v>253</v>
      </c>
      <c r="K20" s="592">
        <v>8.4333333330000002</v>
      </c>
      <c r="L20" s="598" t="s">
        <v>14</v>
      </c>
      <c r="M20" s="600">
        <v>44445</v>
      </c>
      <c r="N20" s="594">
        <f t="shared" si="4"/>
        <v>11.366666666666667</v>
      </c>
    </row>
    <row r="21" spans="1:14" ht="16" x14ac:dyDescent="0.2">
      <c r="A21" s="1">
        <v>20</v>
      </c>
      <c r="B21" s="125" t="s">
        <v>912</v>
      </c>
      <c r="D21" s="592">
        <v>1362661</v>
      </c>
      <c r="E21" s="592" t="s">
        <v>15</v>
      </c>
      <c r="F21" s="592" t="s">
        <v>42</v>
      </c>
      <c r="G21" s="593"/>
      <c r="H21" s="593">
        <v>44107</v>
      </c>
      <c r="I21" s="592">
        <v>0.69</v>
      </c>
      <c r="J21" s="592">
        <v>250</v>
      </c>
      <c r="K21" s="592">
        <v>8.3333333330000006</v>
      </c>
      <c r="L21" s="598" t="s">
        <v>14</v>
      </c>
      <c r="M21" s="600">
        <v>44445</v>
      </c>
      <c r="N21" s="594">
        <f t="shared" si="4"/>
        <v>11.266666666666667</v>
      </c>
    </row>
    <row r="22" spans="1:14" ht="16" x14ac:dyDescent="0.2">
      <c r="A22" s="1">
        <v>21</v>
      </c>
      <c r="B22" s="125" t="s">
        <v>913</v>
      </c>
      <c r="D22" s="592">
        <v>1362661</v>
      </c>
      <c r="E22" s="592" t="s">
        <v>15</v>
      </c>
      <c r="F22" s="592" t="s">
        <v>42</v>
      </c>
      <c r="G22" s="593"/>
      <c r="H22" s="593">
        <v>44107</v>
      </c>
      <c r="I22" s="592">
        <v>0.69</v>
      </c>
      <c r="J22" s="592">
        <v>250</v>
      </c>
      <c r="K22" s="592">
        <v>8.3333333330000006</v>
      </c>
      <c r="L22" s="598" t="s">
        <v>14</v>
      </c>
      <c r="M22" s="600">
        <v>44445</v>
      </c>
      <c r="N22" s="594">
        <f t="shared" si="4"/>
        <v>11.266666666666667</v>
      </c>
    </row>
    <row r="23" spans="1:14" ht="16" x14ac:dyDescent="0.2">
      <c r="A23" s="1">
        <v>22</v>
      </c>
      <c r="B23" s="125" t="s">
        <v>914</v>
      </c>
      <c r="D23" s="592">
        <v>1362661</v>
      </c>
      <c r="E23" s="592" t="s">
        <v>15</v>
      </c>
      <c r="F23" s="592" t="s">
        <v>42</v>
      </c>
      <c r="G23" s="593"/>
      <c r="H23" s="593">
        <v>44107</v>
      </c>
      <c r="I23" s="592">
        <v>0.69</v>
      </c>
      <c r="J23" s="592">
        <v>250</v>
      </c>
      <c r="K23" s="592">
        <v>8.3333333330000006</v>
      </c>
      <c r="L23" s="598" t="s">
        <v>14</v>
      </c>
      <c r="M23" s="600">
        <v>44445</v>
      </c>
      <c r="N23" s="594">
        <f t="shared" si="4"/>
        <v>11.266666666666667</v>
      </c>
    </row>
    <row r="24" spans="1:14" ht="16" x14ac:dyDescent="0.2">
      <c r="A24" s="1">
        <v>23</v>
      </c>
      <c r="B24" s="125" t="s">
        <v>915</v>
      </c>
      <c r="D24" s="592">
        <v>1362661</v>
      </c>
      <c r="E24" s="592" t="s">
        <v>15</v>
      </c>
      <c r="F24" s="592" t="s">
        <v>42</v>
      </c>
      <c r="G24" s="593"/>
      <c r="H24" s="593">
        <v>44107</v>
      </c>
      <c r="I24" s="592">
        <v>0.69</v>
      </c>
      <c r="J24" s="592">
        <v>250</v>
      </c>
      <c r="K24" s="592">
        <v>8.3333333330000006</v>
      </c>
      <c r="L24" s="598" t="s">
        <v>14</v>
      </c>
      <c r="M24" s="600">
        <v>44445</v>
      </c>
      <c r="N24" s="594">
        <f t="shared" si="4"/>
        <v>11.266666666666667</v>
      </c>
    </row>
    <row r="25" spans="1:14" ht="16" x14ac:dyDescent="0.2">
      <c r="A25" s="1">
        <v>24</v>
      </c>
      <c r="B25" s="125" t="s">
        <v>916</v>
      </c>
      <c r="D25" s="592">
        <v>1362660</v>
      </c>
      <c r="E25" s="592" t="s">
        <v>17</v>
      </c>
      <c r="F25" s="592" t="s">
        <v>42</v>
      </c>
      <c r="G25" s="593"/>
      <c r="H25" s="593">
        <v>44107</v>
      </c>
      <c r="I25" s="592">
        <v>0.69</v>
      </c>
      <c r="J25" s="592">
        <v>250</v>
      </c>
      <c r="K25" s="592">
        <v>8.3333333330000006</v>
      </c>
      <c r="L25" s="598" t="s">
        <v>14</v>
      </c>
      <c r="M25" s="600">
        <v>44445</v>
      </c>
      <c r="N25" s="594">
        <f t="shared" si="4"/>
        <v>11.266666666666667</v>
      </c>
    </row>
    <row r="26" spans="1:14" ht="16" x14ac:dyDescent="0.2">
      <c r="A26" s="1">
        <v>25</v>
      </c>
      <c r="B26" s="125" t="s">
        <v>917</v>
      </c>
      <c r="D26" s="592">
        <v>1362660</v>
      </c>
      <c r="E26" s="592" t="s">
        <v>17</v>
      </c>
      <c r="F26" s="592" t="s">
        <v>42</v>
      </c>
      <c r="G26" s="593"/>
      <c r="H26" s="593">
        <v>44107</v>
      </c>
      <c r="I26" s="592">
        <v>0.69</v>
      </c>
      <c r="J26" s="592">
        <v>250</v>
      </c>
      <c r="K26" s="592">
        <v>8.3333333330000006</v>
      </c>
      <c r="L26" s="598" t="s">
        <v>14</v>
      </c>
      <c r="M26" s="600">
        <v>44445</v>
      </c>
      <c r="N26" s="594">
        <f t="shared" si="4"/>
        <v>11.266666666666667</v>
      </c>
    </row>
    <row r="27" spans="1:14" ht="16" x14ac:dyDescent="0.2">
      <c r="A27" s="1">
        <v>26</v>
      </c>
      <c r="B27" s="125" t="s">
        <v>918</v>
      </c>
      <c r="D27" s="592">
        <v>1362660</v>
      </c>
      <c r="E27" s="592" t="s">
        <v>17</v>
      </c>
      <c r="F27" s="592" t="s">
        <v>42</v>
      </c>
      <c r="G27" s="593"/>
      <c r="H27" s="593">
        <v>44107</v>
      </c>
      <c r="I27" s="592">
        <v>0.69</v>
      </c>
      <c r="J27" s="592">
        <v>250</v>
      </c>
      <c r="K27" s="592">
        <v>8.3333333330000006</v>
      </c>
      <c r="L27" s="598" t="s">
        <v>14</v>
      </c>
      <c r="M27" s="600">
        <v>44445</v>
      </c>
      <c r="N27" s="594">
        <f t="shared" si="4"/>
        <v>11.266666666666667</v>
      </c>
    </row>
    <row r="28" spans="1:14" ht="16" x14ac:dyDescent="0.2">
      <c r="A28" s="1">
        <v>27</v>
      </c>
      <c r="B28" s="125" t="s">
        <v>919</v>
      </c>
      <c r="D28" s="592">
        <v>1362660</v>
      </c>
      <c r="E28" s="592" t="s">
        <v>17</v>
      </c>
      <c r="F28" s="592" t="s">
        <v>42</v>
      </c>
      <c r="G28" s="593"/>
      <c r="H28" s="593">
        <v>44107</v>
      </c>
      <c r="I28" s="592">
        <v>0.69</v>
      </c>
      <c r="J28" s="592">
        <v>250</v>
      </c>
      <c r="K28" s="592">
        <v>8.3333333330000006</v>
      </c>
      <c r="L28" s="599" t="s">
        <v>14</v>
      </c>
      <c r="M28" s="600">
        <v>44445</v>
      </c>
      <c r="N28" s="594">
        <f t="shared" si="4"/>
        <v>11.266666666666667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B8D6-1CFA-40AE-82D1-B1753CB3A873}">
  <sheetPr codeName="Sheet14">
    <tabColor rgb="FF8EA9DB"/>
  </sheetPr>
  <dimension ref="A1:R20"/>
  <sheetViews>
    <sheetView topLeftCell="A3" workbookViewId="0">
      <selection activeCell="K23" sqref="K23"/>
    </sheetView>
  </sheetViews>
  <sheetFormatPr baseColWidth="10" defaultColWidth="8.83203125" defaultRowHeight="15" x14ac:dyDescent="0.2"/>
  <cols>
    <col min="1" max="1" width="16.83203125" customWidth="1"/>
    <col min="2" max="2" width="10.6640625" customWidth="1"/>
    <col min="3" max="3" width="20" customWidth="1"/>
    <col min="4" max="4" width="17.6640625" customWidth="1"/>
    <col min="5" max="5" width="11.1640625" customWidth="1"/>
    <col min="6" max="6" width="11.33203125" customWidth="1"/>
    <col min="7" max="7" width="11.83203125" customWidth="1"/>
    <col min="8" max="8" width="12.33203125" customWidth="1"/>
    <col min="9" max="9" width="13.5" customWidth="1"/>
    <col min="10" max="10" width="13.6640625" customWidth="1"/>
    <col min="11" max="11" width="20.33203125" customWidth="1"/>
    <col min="12" max="12" width="33.33203125" customWidth="1"/>
    <col min="13" max="13" width="24.1640625" customWidth="1"/>
    <col min="14" max="14" width="26.83203125" customWidth="1"/>
    <col min="15" max="15" width="22.1640625" customWidth="1"/>
    <col min="16" max="16" width="16.5" customWidth="1"/>
    <col min="17" max="17" width="15.5" customWidth="1"/>
    <col min="18" max="18" width="18.33203125" customWidth="1"/>
  </cols>
  <sheetData>
    <row r="1" spans="1:18" x14ac:dyDescent="0.2">
      <c r="A1" s="183" t="s">
        <v>0</v>
      </c>
      <c r="B1" s="125" t="s">
        <v>535</v>
      </c>
      <c r="C1" s="338" t="s">
        <v>682</v>
      </c>
      <c r="D1" s="183" t="s">
        <v>51</v>
      </c>
      <c r="E1" s="183" t="s">
        <v>52</v>
      </c>
      <c r="F1" s="183" t="s">
        <v>53</v>
      </c>
      <c r="G1" s="183" t="s">
        <v>538</v>
      </c>
      <c r="H1" s="183" t="s">
        <v>54</v>
      </c>
      <c r="I1" s="183" t="s">
        <v>539</v>
      </c>
      <c r="J1" s="183" t="s">
        <v>854</v>
      </c>
      <c r="K1" s="183" t="s">
        <v>855</v>
      </c>
      <c r="L1" s="183" t="s">
        <v>61</v>
      </c>
      <c r="M1" s="393" t="s">
        <v>856</v>
      </c>
      <c r="N1" s="183" t="s">
        <v>857</v>
      </c>
      <c r="O1" s="155" t="s">
        <v>920</v>
      </c>
      <c r="P1" s="339" t="s">
        <v>891</v>
      </c>
      <c r="Q1" s="155" t="s">
        <v>880</v>
      </c>
      <c r="R1" s="339" t="s">
        <v>881</v>
      </c>
    </row>
    <row r="2" spans="1:18" ht="16" x14ac:dyDescent="0.2">
      <c r="A2" s="584">
        <v>1</v>
      </c>
      <c r="B2" s="585" t="s">
        <v>921</v>
      </c>
      <c r="C2" s="585"/>
      <c r="D2" s="582">
        <v>1416085</v>
      </c>
      <c r="E2" s="582" t="s">
        <v>15</v>
      </c>
      <c r="F2" s="582" t="s">
        <v>41</v>
      </c>
      <c r="G2" s="583"/>
      <c r="H2" s="583">
        <v>44107</v>
      </c>
      <c r="I2" s="595">
        <f ca="1">YEARFRAC(H2,TODAY())</f>
        <v>0.76388888888888884</v>
      </c>
      <c r="J2" s="582">
        <f ca="1">_xlfn.DAYS(TODAY(),H2)</f>
        <v>278</v>
      </c>
      <c r="K2" s="582">
        <f ca="1">(J2/30)</f>
        <v>9.2666666666666675</v>
      </c>
      <c r="L2" s="397" t="s">
        <v>547</v>
      </c>
      <c r="M2" s="113">
        <v>44473</v>
      </c>
      <c r="N2" s="586">
        <f t="shared" ref="N2:N11" si="0">_xlfn.DAYS(M2,H2)/30</f>
        <v>12.2</v>
      </c>
      <c r="O2" s="585"/>
      <c r="P2" s="585"/>
      <c r="Q2" s="585"/>
      <c r="R2" s="585"/>
    </row>
    <row r="3" spans="1:18" ht="16" x14ac:dyDescent="0.2">
      <c r="A3" s="584">
        <v>2</v>
      </c>
      <c r="B3" s="585" t="s">
        <v>922</v>
      </c>
      <c r="C3" s="585"/>
      <c r="D3" s="582">
        <v>1362665</v>
      </c>
      <c r="E3" s="582" t="s">
        <v>17</v>
      </c>
      <c r="F3" s="582" t="s">
        <v>41</v>
      </c>
      <c r="G3" s="583"/>
      <c r="H3" s="583">
        <v>44107</v>
      </c>
      <c r="I3" s="595">
        <f t="shared" ref="I3:I20" ca="1" si="1">YEARFRAC(H3,TODAY())</f>
        <v>0.76388888888888884</v>
      </c>
      <c r="J3" s="582">
        <f t="shared" ref="J3:J20" ca="1" si="2">_xlfn.DAYS(TODAY(),H3)</f>
        <v>278</v>
      </c>
      <c r="K3" s="582">
        <f t="shared" ref="K3:K20" ca="1" si="3">(J3/30)</f>
        <v>9.2666666666666675</v>
      </c>
      <c r="L3" s="397" t="s">
        <v>547</v>
      </c>
      <c r="M3" s="113">
        <v>44473</v>
      </c>
      <c r="N3" s="586">
        <f t="shared" si="0"/>
        <v>12.2</v>
      </c>
      <c r="O3" s="585"/>
      <c r="P3" s="585"/>
      <c r="Q3" s="585"/>
      <c r="R3" s="585"/>
    </row>
    <row r="4" spans="1:18" ht="16" x14ac:dyDescent="0.2">
      <c r="A4" s="584">
        <v>3</v>
      </c>
      <c r="B4" s="585" t="s">
        <v>923</v>
      </c>
      <c r="C4" s="585"/>
      <c r="D4" s="582">
        <v>1362665</v>
      </c>
      <c r="E4" s="582" t="s">
        <v>17</v>
      </c>
      <c r="F4" s="582" t="s">
        <v>41</v>
      </c>
      <c r="G4" s="583"/>
      <c r="H4" s="583">
        <v>44107</v>
      </c>
      <c r="I4" s="595">
        <f t="shared" ca="1" si="1"/>
        <v>0.76388888888888884</v>
      </c>
      <c r="J4" s="582">
        <f t="shared" ca="1" si="2"/>
        <v>278</v>
      </c>
      <c r="K4" s="582">
        <f t="shared" ca="1" si="3"/>
        <v>9.2666666666666675</v>
      </c>
      <c r="L4" s="397" t="s">
        <v>547</v>
      </c>
      <c r="M4" s="113">
        <v>44473</v>
      </c>
      <c r="N4" s="586">
        <f t="shared" si="0"/>
        <v>12.2</v>
      </c>
      <c r="O4" s="585"/>
      <c r="P4" s="585"/>
      <c r="Q4" s="585"/>
      <c r="R4" s="585"/>
    </row>
    <row r="5" spans="1:18" ht="16" x14ac:dyDescent="0.2">
      <c r="A5" s="584">
        <v>4</v>
      </c>
      <c r="B5" s="585" t="s">
        <v>924</v>
      </c>
      <c r="C5" s="585"/>
      <c r="D5" s="582">
        <v>1362674</v>
      </c>
      <c r="E5" s="582" t="s">
        <v>15</v>
      </c>
      <c r="F5" s="582" t="s">
        <v>41</v>
      </c>
      <c r="G5" s="583"/>
      <c r="H5" s="583">
        <v>44107</v>
      </c>
      <c r="I5" s="595">
        <f t="shared" ca="1" si="1"/>
        <v>0.76388888888888884</v>
      </c>
      <c r="J5" s="582">
        <f t="shared" ca="1" si="2"/>
        <v>278</v>
      </c>
      <c r="K5" s="582">
        <f t="shared" ca="1" si="3"/>
        <v>9.2666666666666675</v>
      </c>
      <c r="L5" s="598" t="s">
        <v>14</v>
      </c>
      <c r="M5" s="113">
        <v>44473</v>
      </c>
      <c r="N5" s="586">
        <f t="shared" si="0"/>
        <v>12.2</v>
      </c>
      <c r="O5" s="585"/>
      <c r="P5" s="585"/>
      <c r="Q5" s="585"/>
      <c r="R5" s="585"/>
    </row>
    <row r="6" spans="1:18" ht="16" x14ac:dyDescent="0.2">
      <c r="A6" s="584">
        <v>5</v>
      </c>
      <c r="B6" s="585" t="s">
        <v>925</v>
      </c>
      <c r="C6" s="585"/>
      <c r="D6" s="582">
        <v>1362674</v>
      </c>
      <c r="E6" s="582" t="s">
        <v>15</v>
      </c>
      <c r="F6" s="582" t="s">
        <v>41</v>
      </c>
      <c r="G6" s="583"/>
      <c r="H6" s="583">
        <v>44107</v>
      </c>
      <c r="I6" s="595">
        <f t="shared" ca="1" si="1"/>
        <v>0.76388888888888884</v>
      </c>
      <c r="J6" s="582">
        <f t="shared" ca="1" si="2"/>
        <v>278</v>
      </c>
      <c r="K6" s="582">
        <f t="shared" ca="1" si="3"/>
        <v>9.2666666666666675</v>
      </c>
      <c r="L6" s="598" t="s">
        <v>14</v>
      </c>
      <c r="M6" s="113">
        <v>44473</v>
      </c>
      <c r="N6" s="586">
        <f t="shared" si="0"/>
        <v>12.2</v>
      </c>
      <c r="O6" s="585"/>
      <c r="P6" s="585"/>
      <c r="Q6" s="585"/>
      <c r="R6" s="585"/>
    </row>
    <row r="7" spans="1:18" ht="16" x14ac:dyDescent="0.2">
      <c r="A7" s="584">
        <v>6</v>
      </c>
      <c r="B7" s="585" t="s">
        <v>926</v>
      </c>
      <c r="C7" s="585"/>
      <c r="D7" s="582">
        <v>1362674</v>
      </c>
      <c r="E7" s="582" t="s">
        <v>15</v>
      </c>
      <c r="F7" s="582" t="s">
        <v>41</v>
      </c>
      <c r="G7" s="583"/>
      <c r="H7" s="583">
        <v>44119</v>
      </c>
      <c r="I7" s="595">
        <f t="shared" ca="1" si="1"/>
        <v>0.73055555555555551</v>
      </c>
      <c r="J7" s="582">
        <f t="shared" ca="1" si="2"/>
        <v>266</v>
      </c>
      <c r="K7" s="582">
        <f t="shared" ca="1" si="3"/>
        <v>8.8666666666666671</v>
      </c>
      <c r="L7" s="598" t="s">
        <v>14</v>
      </c>
      <c r="M7" s="113">
        <v>44473</v>
      </c>
      <c r="N7" s="586">
        <f t="shared" si="0"/>
        <v>11.8</v>
      </c>
      <c r="O7" s="585"/>
      <c r="P7" s="585"/>
      <c r="Q7" s="585"/>
      <c r="R7" s="585"/>
    </row>
    <row r="8" spans="1:18" ht="16" x14ac:dyDescent="0.2">
      <c r="A8" s="584">
        <v>7</v>
      </c>
      <c r="B8" s="585" t="s">
        <v>927</v>
      </c>
      <c r="C8" s="585"/>
      <c r="D8" s="582">
        <v>1362674</v>
      </c>
      <c r="E8" s="582" t="s">
        <v>15</v>
      </c>
      <c r="F8" s="582" t="s">
        <v>41</v>
      </c>
      <c r="G8" s="583"/>
      <c r="H8" s="583">
        <v>44119</v>
      </c>
      <c r="I8" s="595">
        <f t="shared" ca="1" si="1"/>
        <v>0.73055555555555551</v>
      </c>
      <c r="J8" s="582">
        <f t="shared" ca="1" si="2"/>
        <v>266</v>
      </c>
      <c r="K8" s="582">
        <f t="shared" ca="1" si="3"/>
        <v>8.8666666666666671</v>
      </c>
      <c r="L8" s="598" t="s">
        <v>14</v>
      </c>
      <c r="M8" s="113">
        <v>44473</v>
      </c>
      <c r="N8" s="586">
        <f t="shared" si="0"/>
        <v>11.8</v>
      </c>
      <c r="O8" s="585"/>
      <c r="P8" s="585"/>
      <c r="Q8" s="585"/>
      <c r="R8" s="585"/>
    </row>
    <row r="9" spans="1:18" ht="16" x14ac:dyDescent="0.2">
      <c r="A9" s="584">
        <v>8</v>
      </c>
      <c r="B9" s="585" t="s">
        <v>928</v>
      </c>
      <c r="C9" s="585"/>
      <c r="D9" s="582">
        <v>1362665</v>
      </c>
      <c r="E9" s="582" t="s">
        <v>17</v>
      </c>
      <c r="F9" s="582" t="s">
        <v>41</v>
      </c>
      <c r="G9" s="583"/>
      <c r="H9" s="583">
        <v>44119</v>
      </c>
      <c r="I9" s="595">
        <f t="shared" ca="1" si="1"/>
        <v>0.73055555555555551</v>
      </c>
      <c r="J9" s="582">
        <f t="shared" ca="1" si="2"/>
        <v>266</v>
      </c>
      <c r="K9" s="582">
        <f t="shared" ca="1" si="3"/>
        <v>8.8666666666666671</v>
      </c>
      <c r="L9" s="598" t="s">
        <v>14</v>
      </c>
      <c r="M9" s="113">
        <v>44473</v>
      </c>
      <c r="N9" s="586">
        <f t="shared" si="0"/>
        <v>11.8</v>
      </c>
      <c r="O9" s="585"/>
      <c r="P9" s="585"/>
      <c r="Q9" s="585"/>
      <c r="R9" s="585"/>
    </row>
    <row r="10" spans="1:18" ht="16" x14ac:dyDescent="0.2">
      <c r="A10" s="584">
        <v>9</v>
      </c>
      <c r="B10" s="585" t="s">
        <v>929</v>
      </c>
      <c r="C10" s="585"/>
      <c r="D10" s="582">
        <v>1362665</v>
      </c>
      <c r="E10" s="582" t="s">
        <v>17</v>
      </c>
      <c r="F10" s="582" t="s">
        <v>41</v>
      </c>
      <c r="G10" s="583"/>
      <c r="H10" s="583">
        <v>44119</v>
      </c>
      <c r="I10" s="595">
        <f t="shared" ca="1" si="1"/>
        <v>0.73055555555555551</v>
      </c>
      <c r="J10" s="582">
        <f t="shared" ca="1" si="2"/>
        <v>266</v>
      </c>
      <c r="K10" s="582">
        <f t="shared" ca="1" si="3"/>
        <v>8.8666666666666671</v>
      </c>
      <c r="L10" s="598" t="s">
        <v>14</v>
      </c>
      <c r="M10" s="113">
        <v>44473</v>
      </c>
      <c r="N10" s="586">
        <f t="shared" si="0"/>
        <v>11.8</v>
      </c>
      <c r="O10" s="585"/>
      <c r="P10" s="585"/>
      <c r="Q10" s="585"/>
      <c r="R10" s="585"/>
    </row>
    <row r="11" spans="1:18" ht="16" x14ac:dyDescent="0.2">
      <c r="A11" s="584">
        <v>10</v>
      </c>
      <c r="B11" s="585" t="s">
        <v>930</v>
      </c>
      <c r="C11" s="585"/>
      <c r="D11" s="582">
        <v>1362665</v>
      </c>
      <c r="E11" s="582" t="s">
        <v>17</v>
      </c>
      <c r="F11" s="582" t="s">
        <v>41</v>
      </c>
      <c r="G11" s="583"/>
      <c r="H11" s="583">
        <v>44119</v>
      </c>
      <c r="I11" s="595">
        <f t="shared" ca="1" si="1"/>
        <v>0.73055555555555551</v>
      </c>
      <c r="J11" s="582">
        <f t="shared" ca="1" si="2"/>
        <v>266</v>
      </c>
      <c r="K11" s="582">
        <f t="shared" ca="1" si="3"/>
        <v>8.8666666666666671</v>
      </c>
      <c r="L11" s="598" t="s">
        <v>14</v>
      </c>
      <c r="M11" s="113">
        <v>44473</v>
      </c>
      <c r="N11" s="586">
        <f t="shared" si="0"/>
        <v>11.8</v>
      </c>
      <c r="O11" s="585"/>
      <c r="P11" s="585"/>
      <c r="Q11" s="585"/>
      <c r="R11" s="585"/>
    </row>
    <row r="12" spans="1:18" ht="16" x14ac:dyDescent="0.2">
      <c r="A12" s="584">
        <v>11</v>
      </c>
      <c r="B12" s="585" t="s">
        <v>931</v>
      </c>
      <c r="D12" s="588">
        <v>1362666</v>
      </c>
      <c r="E12" s="589" t="s">
        <v>17</v>
      </c>
      <c r="F12" s="588" t="s">
        <v>22</v>
      </c>
      <c r="G12" s="588" t="s">
        <v>592</v>
      </c>
      <c r="H12" s="589">
        <v>44109</v>
      </c>
      <c r="I12" s="596">
        <f t="shared" ca="1" si="1"/>
        <v>0.7583333333333333</v>
      </c>
      <c r="J12" s="588">
        <f t="shared" ca="1" si="2"/>
        <v>276</v>
      </c>
      <c r="K12" s="597">
        <f t="shared" ca="1" si="3"/>
        <v>9.1999999999999993</v>
      </c>
      <c r="L12" s="397" t="s">
        <v>547</v>
      </c>
      <c r="M12" s="590">
        <v>44473</v>
      </c>
      <c r="N12" s="591">
        <f t="shared" ref="N12:N20" si="4">_xlfn.DAYS(M12,H12)/30</f>
        <v>12.133333333333333</v>
      </c>
      <c r="O12" s="183"/>
      <c r="P12" s="183"/>
      <c r="Q12" s="183"/>
      <c r="R12" s="183"/>
    </row>
    <row r="13" spans="1:18" ht="16" x14ac:dyDescent="0.2">
      <c r="A13" s="584">
        <v>12</v>
      </c>
      <c r="B13" s="585" t="s">
        <v>932</v>
      </c>
      <c r="D13" s="588">
        <v>1362666</v>
      </c>
      <c r="E13" s="589" t="s">
        <v>17</v>
      </c>
      <c r="F13" s="588" t="s">
        <v>22</v>
      </c>
      <c r="G13" s="588" t="s">
        <v>551</v>
      </c>
      <c r="H13" s="589">
        <v>44109</v>
      </c>
      <c r="I13" s="596">
        <f t="shared" ca="1" si="1"/>
        <v>0.7583333333333333</v>
      </c>
      <c r="J13" s="588">
        <f t="shared" ca="1" si="2"/>
        <v>276</v>
      </c>
      <c r="K13" s="597">
        <f t="shared" ca="1" si="3"/>
        <v>9.1999999999999993</v>
      </c>
      <c r="L13" s="397" t="s">
        <v>547</v>
      </c>
      <c r="M13" s="590">
        <v>44473</v>
      </c>
      <c r="N13" s="591">
        <f t="shared" si="4"/>
        <v>12.133333333333333</v>
      </c>
      <c r="O13" s="183"/>
      <c r="P13" s="183"/>
      <c r="Q13" s="183"/>
      <c r="R13" s="183"/>
    </row>
    <row r="14" spans="1:18" ht="16" x14ac:dyDescent="0.2">
      <c r="A14" s="584">
        <v>13</v>
      </c>
      <c r="B14" s="585" t="s">
        <v>933</v>
      </c>
      <c r="D14" s="588">
        <v>1362666</v>
      </c>
      <c r="E14" s="589" t="s">
        <v>17</v>
      </c>
      <c r="F14" s="588" t="s">
        <v>22</v>
      </c>
      <c r="G14" s="588" t="s">
        <v>549</v>
      </c>
      <c r="H14" s="589">
        <v>44109</v>
      </c>
      <c r="I14" s="596">
        <f t="shared" ca="1" si="1"/>
        <v>0.7583333333333333</v>
      </c>
      <c r="J14" s="588">
        <f t="shared" ca="1" si="2"/>
        <v>276</v>
      </c>
      <c r="K14" s="597">
        <f t="shared" ca="1" si="3"/>
        <v>9.1999999999999993</v>
      </c>
      <c r="L14" s="397" t="s">
        <v>547</v>
      </c>
      <c r="M14" s="590">
        <v>44473</v>
      </c>
      <c r="N14" s="591">
        <f t="shared" si="4"/>
        <v>12.133333333333333</v>
      </c>
      <c r="O14" s="183"/>
      <c r="P14" s="183"/>
      <c r="Q14" s="183"/>
      <c r="R14" s="183"/>
    </row>
    <row r="15" spans="1:18" ht="16" x14ac:dyDescent="0.2">
      <c r="A15" s="584">
        <v>14</v>
      </c>
      <c r="B15" s="585" t="s">
        <v>934</v>
      </c>
      <c r="D15" s="588">
        <v>1362666</v>
      </c>
      <c r="E15" s="589" t="s">
        <v>17</v>
      </c>
      <c r="F15" s="588" t="s">
        <v>22</v>
      </c>
      <c r="G15" s="588" t="s">
        <v>548</v>
      </c>
      <c r="H15" s="589">
        <v>44109</v>
      </c>
      <c r="I15" s="596">
        <f t="shared" ca="1" si="1"/>
        <v>0.7583333333333333</v>
      </c>
      <c r="J15" s="588">
        <f t="shared" ca="1" si="2"/>
        <v>276</v>
      </c>
      <c r="K15" s="597">
        <f t="shared" ca="1" si="3"/>
        <v>9.1999999999999993</v>
      </c>
      <c r="L15" s="397" t="s">
        <v>547</v>
      </c>
      <c r="M15" s="590">
        <v>44473</v>
      </c>
      <c r="N15" s="591">
        <f t="shared" si="4"/>
        <v>12.133333333333333</v>
      </c>
      <c r="O15" s="183"/>
      <c r="P15" s="183"/>
      <c r="Q15" s="183"/>
      <c r="R15" s="183"/>
    </row>
    <row r="16" spans="1:18" ht="16" x14ac:dyDescent="0.2">
      <c r="A16" s="584">
        <v>15</v>
      </c>
      <c r="B16" s="585" t="s">
        <v>935</v>
      </c>
      <c r="D16" s="588">
        <v>1362673</v>
      </c>
      <c r="E16" s="589" t="s">
        <v>15</v>
      </c>
      <c r="F16" s="588" t="s">
        <v>22</v>
      </c>
      <c r="G16" s="588" t="s">
        <v>592</v>
      </c>
      <c r="H16" s="589">
        <v>44109</v>
      </c>
      <c r="I16" s="596">
        <f t="shared" ca="1" si="1"/>
        <v>0.7583333333333333</v>
      </c>
      <c r="J16" s="588">
        <f t="shared" ca="1" si="2"/>
        <v>276</v>
      </c>
      <c r="K16" s="597">
        <f t="shared" ca="1" si="3"/>
        <v>9.1999999999999993</v>
      </c>
      <c r="L16" s="598" t="s">
        <v>14</v>
      </c>
      <c r="M16" s="590">
        <v>44473</v>
      </c>
      <c r="N16" s="591">
        <f t="shared" si="4"/>
        <v>12.133333333333333</v>
      </c>
      <c r="O16" s="183"/>
      <c r="P16" s="183"/>
      <c r="Q16" s="183"/>
      <c r="R16" s="183"/>
    </row>
    <row r="17" spans="1:18" ht="16" x14ac:dyDescent="0.2">
      <c r="A17" s="584">
        <v>16</v>
      </c>
      <c r="B17" s="585" t="s">
        <v>936</v>
      </c>
      <c r="D17" s="588">
        <v>1362673</v>
      </c>
      <c r="E17" s="589" t="s">
        <v>15</v>
      </c>
      <c r="F17" s="588" t="s">
        <v>22</v>
      </c>
      <c r="G17" s="588" t="s">
        <v>551</v>
      </c>
      <c r="H17" s="589">
        <v>44109</v>
      </c>
      <c r="I17" s="596">
        <f t="shared" ca="1" si="1"/>
        <v>0.7583333333333333</v>
      </c>
      <c r="J17" s="588">
        <f t="shared" ca="1" si="2"/>
        <v>276</v>
      </c>
      <c r="K17" s="597">
        <f t="shared" ca="1" si="3"/>
        <v>9.1999999999999993</v>
      </c>
      <c r="L17" s="598" t="s">
        <v>14</v>
      </c>
      <c r="M17" s="590">
        <v>44473</v>
      </c>
      <c r="N17" s="591">
        <f t="shared" si="4"/>
        <v>12.133333333333333</v>
      </c>
      <c r="O17" s="183"/>
      <c r="P17" s="183"/>
      <c r="Q17" s="183"/>
      <c r="R17" s="183"/>
    </row>
    <row r="18" spans="1:18" ht="16" x14ac:dyDescent="0.2">
      <c r="A18" s="584">
        <v>17</v>
      </c>
      <c r="B18" s="585" t="s">
        <v>937</v>
      </c>
      <c r="D18" s="588">
        <v>1362673</v>
      </c>
      <c r="E18" s="589" t="s">
        <v>15</v>
      </c>
      <c r="F18" s="588" t="s">
        <v>22</v>
      </c>
      <c r="G18" s="588" t="s">
        <v>548</v>
      </c>
      <c r="H18" s="589">
        <v>44109</v>
      </c>
      <c r="I18" s="596">
        <f t="shared" ca="1" si="1"/>
        <v>0.7583333333333333</v>
      </c>
      <c r="J18" s="588">
        <f t="shared" ca="1" si="2"/>
        <v>276</v>
      </c>
      <c r="K18" s="597">
        <f t="shared" ca="1" si="3"/>
        <v>9.1999999999999993</v>
      </c>
      <c r="L18" s="598" t="s">
        <v>14</v>
      </c>
      <c r="M18" s="590">
        <v>44473</v>
      </c>
      <c r="N18" s="591">
        <f t="shared" si="4"/>
        <v>12.133333333333333</v>
      </c>
      <c r="O18" s="183"/>
      <c r="P18" s="183"/>
      <c r="Q18" s="183"/>
      <c r="R18" s="183"/>
    </row>
    <row r="19" spans="1:18" ht="16" x14ac:dyDescent="0.2">
      <c r="A19" s="584">
        <v>18</v>
      </c>
      <c r="B19" s="585" t="s">
        <v>938</v>
      </c>
      <c r="D19" s="588">
        <v>1362673</v>
      </c>
      <c r="E19" s="589" t="s">
        <v>15</v>
      </c>
      <c r="F19" s="588" t="s">
        <v>22</v>
      </c>
      <c r="G19" s="588" t="s">
        <v>546</v>
      </c>
      <c r="H19" s="589">
        <v>44109</v>
      </c>
      <c r="I19" s="596">
        <f t="shared" ca="1" si="1"/>
        <v>0.7583333333333333</v>
      </c>
      <c r="J19" s="588">
        <f t="shared" ca="1" si="2"/>
        <v>276</v>
      </c>
      <c r="K19" s="597">
        <f t="shared" ca="1" si="3"/>
        <v>9.1999999999999993</v>
      </c>
      <c r="L19" s="598" t="s">
        <v>14</v>
      </c>
      <c r="M19" s="590">
        <v>44473</v>
      </c>
      <c r="N19" s="591">
        <f t="shared" si="4"/>
        <v>12.133333333333333</v>
      </c>
      <c r="O19" s="183"/>
      <c r="P19" s="183"/>
      <c r="Q19" s="183"/>
      <c r="R19" s="183"/>
    </row>
    <row r="20" spans="1:18" ht="16" x14ac:dyDescent="0.2">
      <c r="A20" s="584">
        <v>19</v>
      </c>
      <c r="B20" s="585" t="s">
        <v>939</v>
      </c>
      <c r="D20" s="588">
        <v>1362673</v>
      </c>
      <c r="E20" s="589" t="s">
        <v>15</v>
      </c>
      <c r="F20" s="588" t="s">
        <v>22</v>
      </c>
      <c r="G20" s="588" t="s">
        <v>550</v>
      </c>
      <c r="H20" s="589">
        <v>44109</v>
      </c>
      <c r="I20" s="596">
        <f t="shared" ca="1" si="1"/>
        <v>0.7583333333333333</v>
      </c>
      <c r="J20" s="588">
        <f t="shared" ca="1" si="2"/>
        <v>276</v>
      </c>
      <c r="K20" s="597">
        <f t="shared" ca="1" si="3"/>
        <v>9.1999999999999993</v>
      </c>
      <c r="L20" s="607" t="s">
        <v>14</v>
      </c>
      <c r="M20" s="590">
        <v>44473</v>
      </c>
      <c r="N20" s="591">
        <f t="shared" si="4"/>
        <v>12.133333333333333</v>
      </c>
      <c r="O20" s="183"/>
      <c r="P20" s="183"/>
      <c r="Q20" s="183"/>
      <c r="R20" s="18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D7C4-845F-4F85-B648-6BE661D429E2}">
  <sheetPr codeName="Sheet15"/>
  <dimension ref="A1:AC15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4.1640625" customWidth="1"/>
    <col min="2" max="2" width="17.5" customWidth="1"/>
  </cols>
  <sheetData>
    <row r="1" spans="1:29" x14ac:dyDescent="0.2">
      <c r="C1" s="349" t="s">
        <v>376</v>
      </c>
      <c r="D1" s="349" t="s">
        <v>357</v>
      </c>
      <c r="E1" s="349" t="s">
        <v>317</v>
      </c>
      <c r="F1" s="350" t="s">
        <v>940</v>
      </c>
      <c r="G1" s="350" t="s">
        <v>941</v>
      </c>
      <c r="H1" s="350" t="s">
        <v>942</v>
      </c>
      <c r="I1" s="349" t="s">
        <v>376</v>
      </c>
      <c r="J1" s="349" t="s">
        <v>357</v>
      </c>
      <c r="K1" s="349" t="s">
        <v>317</v>
      </c>
      <c r="L1" s="350" t="s">
        <v>940</v>
      </c>
      <c r="M1" s="350" t="s">
        <v>941</v>
      </c>
      <c r="N1" s="350" t="s">
        <v>942</v>
      </c>
      <c r="O1" s="349" t="s">
        <v>376</v>
      </c>
      <c r="P1" s="349" t="s">
        <v>357</v>
      </c>
      <c r="Q1" s="349" t="s">
        <v>317</v>
      </c>
      <c r="R1" s="350" t="s">
        <v>940</v>
      </c>
      <c r="S1" s="350" t="s">
        <v>941</v>
      </c>
      <c r="T1" s="350" t="s">
        <v>942</v>
      </c>
      <c r="U1" s="349" t="s">
        <v>376</v>
      </c>
      <c r="V1" s="349" t="s">
        <v>357</v>
      </c>
      <c r="W1" s="349" t="s">
        <v>317</v>
      </c>
      <c r="X1" s="350" t="s">
        <v>940</v>
      </c>
      <c r="Y1" s="350" t="s">
        <v>941</v>
      </c>
      <c r="Z1" s="350" t="s">
        <v>942</v>
      </c>
    </row>
    <row r="2" spans="1:29" x14ac:dyDescent="0.2">
      <c r="C2" s="349" t="s">
        <v>943</v>
      </c>
      <c r="D2" s="349" t="s">
        <v>943</v>
      </c>
      <c r="E2" s="349" t="s">
        <v>943</v>
      </c>
      <c r="F2" s="350" t="s">
        <v>943</v>
      </c>
      <c r="G2" s="350" t="s">
        <v>943</v>
      </c>
      <c r="H2" s="350" t="s">
        <v>943</v>
      </c>
      <c r="I2" s="349" t="s">
        <v>943</v>
      </c>
      <c r="J2" s="349" t="s">
        <v>943</v>
      </c>
      <c r="K2" s="349" t="s">
        <v>943</v>
      </c>
      <c r="L2" s="350" t="s">
        <v>943</v>
      </c>
      <c r="M2" s="350" t="s">
        <v>943</v>
      </c>
      <c r="N2" s="350" t="s">
        <v>943</v>
      </c>
      <c r="O2" s="349" t="s">
        <v>944</v>
      </c>
      <c r="P2" s="349" t="s">
        <v>944</v>
      </c>
      <c r="Q2" s="349" t="s">
        <v>944</v>
      </c>
      <c r="R2" s="350" t="s">
        <v>944</v>
      </c>
      <c r="S2" s="350" t="s">
        <v>944</v>
      </c>
      <c r="T2" s="350" t="s">
        <v>944</v>
      </c>
      <c r="U2" s="349" t="s">
        <v>944</v>
      </c>
      <c r="V2" s="349" t="s">
        <v>944</v>
      </c>
      <c r="W2" s="349" t="s">
        <v>944</v>
      </c>
      <c r="X2" s="350" t="s">
        <v>944</v>
      </c>
      <c r="Y2" s="350" t="s">
        <v>944</v>
      </c>
      <c r="Z2" s="350" t="s">
        <v>944</v>
      </c>
    </row>
    <row r="3" spans="1:29" x14ac:dyDescent="0.2">
      <c r="C3" s="349" t="s">
        <v>9</v>
      </c>
      <c r="D3" s="349" t="s">
        <v>9</v>
      </c>
      <c r="E3" s="349" t="s">
        <v>9</v>
      </c>
      <c r="F3" s="350" t="s">
        <v>9</v>
      </c>
      <c r="G3" s="350" t="s">
        <v>9</v>
      </c>
      <c r="H3" s="350" t="s">
        <v>9</v>
      </c>
      <c r="I3" s="349" t="s">
        <v>14</v>
      </c>
      <c r="J3" s="349" t="s">
        <v>14</v>
      </c>
      <c r="K3" s="349" t="s">
        <v>14</v>
      </c>
      <c r="L3" s="350" t="s">
        <v>14</v>
      </c>
      <c r="M3" s="350" t="s">
        <v>14</v>
      </c>
      <c r="N3" s="350" t="s">
        <v>14</v>
      </c>
      <c r="O3" s="349" t="s">
        <v>9</v>
      </c>
      <c r="P3" s="349" t="s">
        <v>9</v>
      </c>
      <c r="Q3" s="349" t="s">
        <v>9</v>
      </c>
      <c r="R3" s="350" t="s">
        <v>9</v>
      </c>
      <c r="S3" s="350" t="s">
        <v>9</v>
      </c>
      <c r="T3" s="350" t="s">
        <v>9</v>
      </c>
      <c r="U3" s="349" t="s">
        <v>14</v>
      </c>
      <c r="V3" s="349" t="s">
        <v>14</v>
      </c>
      <c r="W3" s="349" t="s">
        <v>14</v>
      </c>
      <c r="X3" s="350" t="s">
        <v>14</v>
      </c>
      <c r="Y3" s="350" t="s">
        <v>14</v>
      </c>
      <c r="Z3" s="350" t="s">
        <v>14</v>
      </c>
    </row>
    <row r="4" spans="1:29" x14ac:dyDescent="0.2">
      <c r="A4" t="s">
        <v>945</v>
      </c>
      <c r="C4" s="349"/>
      <c r="D4" s="349"/>
      <c r="E4" s="349"/>
      <c r="F4" s="350"/>
      <c r="G4" s="350"/>
      <c r="H4" s="350"/>
      <c r="I4" s="349"/>
      <c r="J4" s="349"/>
      <c r="K4" s="349"/>
      <c r="L4" s="350"/>
      <c r="M4" s="350"/>
      <c r="N4" s="350"/>
      <c r="O4" s="349"/>
      <c r="P4" s="349"/>
      <c r="Q4" s="349"/>
      <c r="R4" s="350"/>
      <c r="S4" s="350"/>
      <c r="T4" s="350"/>
      <c r="U4" s="349"/>
      <c r="V4" s="349"/>
      <c r="W4" s="349"/>
      <c r="X4" s="350"/>
      <c r="Y4" s="350"/>
      <c r="Z4" s="350"/>
    </row>
    <row r="5" spans="1:29" x14ac:dyDescent="0.2">
      <c r="A5" t="s">
        <v>945</v>
      </c>
      <c r="C5" s="349"/>
      <c r="D5" s="349"/>
      <c r="E5" s="349"/>
      <c r="F5" s="350"/>
      <c r="G5" s="350"/>
      <c r="H5" s="350"/>
      <c r="I5" s="349"/>
      <c r="J5" s="349"/>
      <c r="K5" s="349"/>
      <c r="L5" s="350"/>
      <c r="M5" s="350"/>
      <c r="N5" s="350"/>
      <c r="O5" s="349"/>
      <c r="P5" s="349"/>
      <c r="Q5" s="349"/>
      <c r="R5" s="350"/>
      <c r="S5" s="350"/>
      <c r="T5" s="350"/>
      <c r="U5" s="349"/>
      <c r="V5" s="349"/>
      <c r="W5" s="349"/>
      <c r="X5" s="350"/>
      <c r="Y5" s="350"/>
      <c r="Z5" s="350"/>
    </row>
    <row r="6" spans="1:29" x14ac:dyDescent="0.2">
      <c r="A6" t="s">
        <v>946</v>
      </c>
      <c r="B6" t="s">
        <v>947</v>
      </c>
      <c r="C6" s="349">
        <v>8</v>
      </c>
      <c r="D6" s="349">
        <v>8</v>
      </c>
      <c r="E6" s="349">
        <v>8</v>
      </c>
      <c r="F6" s="350">
        <v>8</v>
      </c>
      <c r="G6" s="350">
        <v>8</v>
      </c>
      <c r="H6" s="350">
        <v>8</v>
      </c>
      <c r="I6" s="349">
        <v>8</v>
      </c>
      <c r="J6" s="349">
        <v>8</v>
      </c>
      <c r="K6" s="349">
        <v>8</v>
      </c>
      <c r="L6" s="350">
        <v>8</v>
      </c>
      <c r="M6" s="350">
        <v>8</v>
      </c>
      <c r="N6" s="350">
        <v>8</v>
      </c>
      <c r="O6" s="349">
        <v>8</v>
      </c>
      <c r="P6" s="349">
        <v>8</v>
      </c>
      <c r="Q6" s="349">
        <v>8</v>
      </c>
      <c r="R6" s="350">
        <v>8</v>
      </c>
      <c r="S6" s="350">
        <v>8</v>
      </c>
      <c r="T6" s="350">
        <v>8</v>
      </c>
      <c r="U6" s="349">
        <v>8</v>
      </c>
      <c r="V6" s="349">
        <v>8</v>
      </c>
      <c r="W6" s="349">
        <v>8</v>
      </c>
      <c r="X6" s="350">
        <v>8</v>
      </c>
      <c r="Y6" s="350">
        <v>8</v>
      </c>
      <c r="Z6" s="350">
        <v>8</v>
      </c>
    </row>
    <row r="7" spans="1:29" x14ac:dyDescent="0.2">
      <c r="A7" t="s">
        <v>946</v>
      </c>
      <c r="B7" t="s">
        <v>948</v>
      </c>
      <c r="C7" s="349">
        <v>8</v>
      </c>
      <c r="D7" s="349">
        <v>8</v>
      </c>
      <c r="E7" s="349">
        <v>8</v>
      </c>
      <c r="F7" s="350">
        <v>8</v>
      </c>
      <c r="G7" s="350">
        <v>8</v>
      </c>
      <c r="H7" s="350">
        <v>8</v>
      </c>
      <c r="I7" s="349">
        <v>8</v>
      </c>
      <c r="J7" s="349">
        <v>8</v>
      </c>
      <c r="K7" s="349">
        <v>8</v>
      </c>
      <c r="L7" s="350">
        <v>8</v>
      </c>
      <c r="M7" s="350">
        <v>8</v>
      </c>
      <c r="N7" s="350">
        <v>8</v>
      </c>
      <c r="O7" s="349">
        <v>8</v>
      </c>
      <c r="P7" s="349">
        <v>8</v>
      </c>
      <c r="Q7" s="349">
        <v>8</v>
      </c>
      <c r="R7" s="350">
        <v>8</v>
      </c>
      <c r="S7" s="350">
        <v>8</v>
      </c>
      <c r="T7" s="350">
        <v>8</v>
      </c>
      <c r="U7" s="349">
        <v>8</v>
      </c>
      <c r="V7" s="349">
        <v>8</v>
      </c>
      <c r="W7" s="349">
        <v>8</v>
      </c>
      <c r="X7" s="350">
        <v>8</v>
      </c>
      <c r="Y7" s="350">
        <v>8</v>
      </c>
      <c r="Z7" s="350">
        <v>8</v>
      </c>
    </row>
    <row r="8" spans="1:29" x14ac:dyDescent="0.2">
      <c r="A8" t="s">
        <v>949</v>
      </c>
      <c r="B8" t="s">
        <v>947</v>
      </c>
      <c r="C8" s="349">
        <v>8</v>
      </c>
      <c r="D8" s="349">
        <v>8</v>
      </c>
      <c r="E8" s="349">
        <v>8</v>
      </c>
      <c r="F8" s="350">
        <v>8</v>
      </c>
      <c r="G8" s="350">
        <v>8</v>
      </c>
      <c r="H8" s="350">
        <v>8</v>
      </c>
      <c r="I8" s="349">
        <v>8</v>
      </c>
      <c r="J8" s="349">
        <v>8</v>
      </c>
      <c r="K8" s="349">
        <v>8</v>
      </c>
      <c r="L8" s="350">
        <v>8</v>
      </c>
      <c r="M8" s="350">
        <v>8</v>
      </c>
      <c r="N8" s="350">
        <v>8</v>
      </c>
      <c r="O8" s="349">
        <v>8</v>
      </c>
      <c r="P8" s="349">
        <v>8</v>
      </c>
      <c r="Q8" s="349">
        <v>8</v>
      </c>
      <c r="R8" s="350">
        <v>8</v>
      </c>
      <c r="S8" s="350">
        <v>8</v>
      </c>
      <c r="T8" s="350">
        <v>8</v>
      </c>
      <c r="U8" s="349">
        <v>8</v>
      </c>
      <c r="V8" s="349">
        <v>8</v>
      </c>
      <c r="W8" s="349">
        <v>8</v>
      </c>
      <c r="X8" s="350">
        <v>8</v>
      </c>
      <c r="Y8" s="350">
        <v>8</v>
      </c>
      <c r="Z8" s="350">
        <v>8</v>
      </c>
    </row>
    <row r="9" spans="1:29" x14ac:dyDescent="0.2">
      <c r="A9" t="s">
        <v>949</v>
      </c>
      <c r="B9" t="s">
        <v>948</v>
      </c>
      <c r="C9" s="349">
        <v>8</v>
      </c>
      <c r="D9" s="349">
        <v>8</v>
      </c>
      <c r="E9" s="349">
        <v>8</v>
      </c>
      <c r="F9" s="350">
        <v>8</v>
      </c>
      <c r="G9" s="350">
        <v>8</v>
      </c>
      <c r="H9" s="350">
        <v>8</v>
      </c>
      <c r="I9" s="349">
        <v>8</v>
      </c>
      <c r="J9" s="349">
        <v>8</v>
      </c>
      <c r="K9" s="349">
        <v>8</v>
      </c>
      <c r="L9" s="350">
        <v>8</v>
      </c>
      <c r="M9" s="350">
        <v>8</v>
      </c>
      <c r="N9" s="350">
        <v>8</v>
      </c>
      <c r="O9" s="349">
        <v>8</v>
      </c>
      <c r="P9" s="349">
        <v>8</v>
      </c>
      <c r="Q9" s="349">
        <v>8</v>
      </c>
      <c r="R9" s="350">
        <v>8</v>
      </c>
      <c r="S9" s="350">
        <v>8</v>
      </c>
      <c r="T9" s="350">
        <v>8</v>
      </c>
      <c r="U9" s="349">
        <v>8</v>
      </c>
      <c r="V9" s="349">
        <v>8</v>
      </c>
      <c r="W9" s="349">
        <v>8</v>
      </c>
      <c r="X9" s="350">
        <v>8</v>
      </c>
      <c r="Y9" s="350">
        <v>8</v>
      </c>
      <c r="Z9" s="350">
        <v>8</v>
      </c>
    </row>
    <row r="10" spans="1:29" x14ac:dyDescent="0.2">
      <c r="A10" t="s">
        <v>950</v>
      </c>
      <c r="C10" s="349"/>
      <c r="D10" s="349"/>
      <c r="E10" s="349"/>
      <c r="F10" s="350"/>
      <c r="G10" s="350"/>
      <c r="H10" s="350"/>
      <c r="I10" s="349"/>
      <c r="J10" s="349"/>
      <c r="K10" s="349"/>
      <c r="L10" s="350"/>
      <c r="M10" s="350"/>
      <c r="N10" s="350"/>
      <c r="O10" s="349"/>
      <c r="P10" s="349"/>
      <c r="Q10" s="349"/>
      <c r="R10" s="350"/>
      <c r="S10" s="350"/>
      <c r="T10" s="350"/>
      <c r="U10" s="349"/>
      <c r="V10" s="349"/>
      <c r="W10" s="349"/>
      <c r="X10" s="350"/>
      <c r="Y10" s="350"/>
      <c r="Z10" s="350"/>
    </row>
    <row r="11" spans="1:29" x14ac:dyDescent="0.2">
      <c r="A11" t="s">
        <v>951</v>
      </c>
      <c r="C11" s="349"/>
      <c r="D11" s="349"/>
      <c r="E11" s="349"/>
      <c r="F11" s="350"/>
      <c r="G11" s="350"/>
      <c r="H11" s="350"/>
      <c r="I11" s="349"/>
      <c r="J11" s="349"/>
      <c r="K11" s="349"/>
      <c r="L11" s="350"/>
      <c r="M11" s="350"/>
      <c r="N11" s="350"/>
      <c r="O11" s="349"/>
      <c r="P11" s="349"/>
      <c r="Q11" s="349"/>
      <c r="R11" s="350"/>
      <c r="S11" s="350"/>
      <c r="T11" s="350"/>
      <c r="U11" s="349"/>
      <c r="V11" s="349"/>
      <c r="W11" s="349"/>
      <c r="X11" s="350"/>
      <c r="Y11" s="350"/>
      <c r="Z11" s="350"/>
    </row>
    <row r="12" spans="1:29" x14ac:dyDescent="0.2">
      <c r="A12" t="s">
        <v>952</v>
      </c>
      <c r="C12" s="349"/>
      <c r="D12" s="349"/>
      <c r="E12" s="349"/>
      <c r="F12" s="350"/>
      <c r="G12" s="350"/>
      <c r="H12" s="350"/>
      <c r="I12" s="349"/>
      <c r="J12" s="349"/>
      <c r="K12" s="349"/>
      <c r="L12" s="350"/>
      <c r="M12" s="350"/>
      <c r="N12" s="350"/>
      <c r="O12" s="349"/>
      <c r="P12" s="349"/>
      <c r="Q12" s="349"/>
      <c r="R12" s="350"/>
      <c r="S12" s="350"/>
      <c r="T12" s="350"/>
      <c r="U12" s="349"/>
      <c r="V12" s="349"/>
      <c r="W12" s="349"/>
      <c r="X12" s="350"/>
      <c r="Y12" s="350"/>
      <c r="Z12" s="350"/>
    </row>
    <row r="13" spans="1:29" x14ac:dyDescent="0.2">
      <c r="A13" t="s">
        <v>953</v>
      </c>
      <c r="C13" s="349"/>
      <c r="D13" s="349"/>
      <c r="E13" s="349"/>
      <c r="F13" s="350"/>
      <c r="G13" s="350"/>
      <c r="H13" s="350"/>
      <c r="I13" s="349"/>
      <c r="J13" s="349"/>
      <c r="K13" s="349"/>
      <c r="L13" s="350"/>
      <c r="M13" s="350"/>
      <c r="N13" s="350"/>
      <c r="O13" s="349"/>
      <c r="P13" s="349"/>
      <c r="Q13" s="349"/>
      <c r="R13" s="350"/>
      <c r="S13" s="350"/>
      <c r="T13" s="350"/>
      <c r="U13" s="349"/>
      <c r="V13" s="349"/>
      <c r="W13" s="349"/>
      <c r="X13" s="350"/>
      <c r="Y13" s="350"/>
      <c r="Z13" s="350"/>
    </row>
    <row r="14" spans="1:29" x14ac:dyDescent="0.2">
      <c r="C14" s="349"/>
      <c r="D14" s="349"/>
      <c r="E14" s="349"/>
      <c r="F14" s="350"/>
      <c r="G14" s="350"/>
      <c r="H14" s="350"/>
      <c r="I14" s="349"/>
      <c r="J14" s="349"/>
      <c r="K14" s="349"/>
      <c r="L14" s="350"/>
      <c r="M14" s="350"/>
      <c r="N14" s="350"/>
      <c r="O14" s="349"/>
      <c r="P14" s="349"/>
      <c r="Q14" s="349"/>
      <c r="R14" s="350"/>
      <c r="S14" s="350"/>
      <c r="T14" s="350"/>
      <c r="U14" s="349"/>
      <c r="V14" s="349"/>
      <c r="W14" s="349"/>
      <c r="X14" s="350"/>
      <c r="Y14" s="350"/>
      <c r="Z14" s="350"/>
    </row>
    <row r="15" spans="1:29" x14ac:dyDescent="0.2">
      <c r="C15" s="349">
        <f>SUM(C6:C9)</f>
        <v>32</v>
      </c>
      <c r="D15" s="349">
        <f t="shared" ref="D15:Z15" si="0">SUM(D6:D9)</f>
        <v>32</v>
      </c>
      <c r="E15" s="349">
        <f t="shared" si="0"/>
        <v>32</v>
      </c>
      <c r="F15" s="350">
        <f t="shared" si="0"/>
        <v>32</v>
      </c>
      <c r="G15" s="350">
        <f t="shared" si="0"/>
        <v>32</v>
      </c>
      <c r="H15" s="350">
        <f t="shared" si="0"/>
        <v>32</v>
      </c>
      <c r="I15" s="349">
        <f t="shared" si="0"/>
        <v>32</v>
      </c>
      <c r="J15" s="349">
        <f t="shared" si="0"/>
        <v>32</v>
      </c>
      <c r="K15" s="349">
        <f t="shared" si="0"/>
        <v>32</v>
      </c>
      <c r="L15" s="350">
        <f t="shared" si="0"/>
        <v>32</v>
      </c>
      <c r="M15" s="350">
        <f t="shared" si="0"/>
        <v>32</v>
      </c>
      <c r="N15" s="350">
        <f t="shared" si="0"/>
        <v>32</v>
      </c>
      <c r="O15" s="349">
        <f t="shared" si="0"/>
        <v>32</v>
      </c>
      <c r="P15" s="349">
        <f t="shared" si="0"/>
        <v>32</v>
      </c>
      <c r="Q15" s="349">
        <f t="shared" si="0"/>
        <v>32</v>
      </c>
      <c r="R15" s="350">
        <f t="shared" si="0"/>
        <v>32</v>
      </c>
      <c r="S15" s="350">
        <f t="shared" si="0"/>
        <v>32</v>
      </c>
      <c r="T15" s="350">
        <f t="shared" si="0"/>
        <v>32</v>
      </c>
      <c r="U15" s="349">
        <f t="shared" si="0"/>
        <v>32</v>
      </c>
      <c r="V15" s="349">
        <f t="shared" si="0"/>
        <v>32</v>
      </c>
      <c r="W15" s="349">
        <f t="shared" si="0"/>
        <v>32</v>
      </c>
      <c r="X15" s="350">
        <f t="shared" si="0"/>
        <v>32</v>
      </c>
      <c r="Y15" s="350">
        <f t="shared" si="0"/>
        <v>32</v>
      </c>
      <c r="Z15" s="350">
        <f t="shared" si="0"/>
        <v>32</v>
      </c>
      <c r="AA15">
        <f>SUM(C15:Z15)</f>
        <v>768</v>
      </c>
      <c r="AC15">
        <f>768/2*2000</f>
        <v>768000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83FE-FD10-48E5-B521-891EED4B710E}">
  <sheetPr codeName="Sheet16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C6CD-D5CC-47D2-BFBF-0BF7AE83FA94}">
  <sheetPr codeName="Sheet2">
    <tabColor rgb="FFFF0000"/>
  </sheetPr>
  <dimension ref="A1:AA222"/>
  <sheetViews>
    <sheetView topLeftCell="J1" workbookViewId="0">
      <selection activeCell="L6" sqref="L6:L10"/>
    </sheetView>
  </sheetViews>
  <sheetFormatPr baseColWidth="10" defaultColWidth="8.83203125" defaultRowHeight="15" x14ac:dyDescent="0.2"/>
  <cols>
    <col min="2" max="2" width="14.83203125" customWidth="1"/>
    <col min="3" max="3" width="39.83203125" customWidth="1"/>
    <col min="4" max="4" width="14.33203125" customWidth="1"/>
    <col min="5" max="5" width="15.83203125" customWidth="1"/>
    <col min="6" max="6" width="19.5" customWidth="1"/>
    <col min="7" max="7" width="10.5" customWidth="1"/>
    <col min="8" max="8" width="19.5" style="125" customWidth="1"/>
    <col min="9" max="9" width="15.33203125" customWidth="1"/>
    <col min="10" max="10" width="16.5" customWidth="1"/>
    <col min="11" max="11" width="20.83203125" customWidth="1"/>
    <col min="12" max="12" width="16.5" customWidth="1"/>
    <col min="13" max="14" width="21" customWidth="1"/>
    <col min="15" max="15" width="33.5" customWidth="1"/>
    <col min="16" max="16" width="17.6640625" customWidth="1"/>
    <col min="26" max="26" width="17.33203125" customWidth="1"/>
  </cols>
  <sheetData>
    <row r="1" spans="1:27" ht="15" customHeight="1" x14ac:dyDescent="0.2">
      <c r="A1" s="185" t="s">
        <v>46</v>
      </c>
      <c r="B1" s="185" t="s">
        <v>47</v>
      </c>
      <c r="C1" s="185" t="s">
        <v>48</v>
      </c>
      <c r="D1" s="185" t="s">
        <v>49</v>
      </c>
      <c r="E1" s="185" t="s">
        <v>50</v>
      </c>
      <c r="F1" s="185" t="s">
        <v>51</v>
      </c>
      <c r="G1" s="14" t="s">
        <v>52</v>
      </c>
      <c r="H1" s="185" t="s">
        <v>53</v>
      </c>
      <c r="I1" s="185" t="s">
        <v>54</v>
      </c>
      <c r="J1" s="185" t="s">
        <v>55</v>
      </c>
      <c r="K1" s="185" t="s">
        <v>56</v>
      </c>
      <c r="L1" s="185" t="s">
        <v>57</v>
      </c>
      <c r="M1" s="185" t="s">
        <v>58</v>
      </c>
      <c r="N1" s="185" t="s">
        <v>59</v>
      </c>
      <c r="O1" s="185" t="s">
        <v>60</v>
      </c>
      <c r="P1" s="263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Z1" s="183"/>
    </row>
    <row r="2" spans="1:27" ht="19" x14ac:dyDescent="0.25">
      <c r="A2" s="188">
        <v>1</v>
      </c>
      <c r="B2" s="188">
        <v>10</v>
      </c>
      <c r="C2" s="188">
        <v>200302</v>
      </c>
      <c r="D2" s="198" t="s">
        <v>69</v>
      </c>
      <c r="E2" s="188" t="s">
        <v>70</v>
      </c>
      <c r="F2" s="188">
        <v>1206111</v>
      </c>
      <c r="G2" s="230" t="s">
        <v>15</v>
      </c>
      <c r="H2" s="259" t="s">
        <v>43</v>
      </c>
      <c r="I2" s="241">
        <v>43375</v>
      </c>
      <c r="J2" s="259">
        <v>18</v>
      </c>
      <c r="K2" s="375">
        <v>43878</v>
      </c>
      <c r="L2" s="406">
        <v>44005</v>
      </c>
      <c r="M2" s="416">
        <f t="shared" ref="M2:M24" si="0">_xlfn.DAYS(L2,I2)/30</f>
        <v>21</v>
      </c>
      <c r="N2" s="416">
        <f t="shared" ref="N2:N33" si="1">_xlfn.DAYS(K2,I2)/30</f>
        <v>16.766666666666666</v>
      </c>
      <c r="O2" s="375"/>
      <c r="P2" s="432" t="s">
        <v>71</v>
      </c>
      <c r="Q2" s="177" t="s">
        <v>39</v>
      </c>
      <c r="Y2" s="1"/>
      <c r="Z2" s="320"/>
      <c r="AA2" s="1"/>
    </row>
    <row r="3" spans="1:27" ht="19" x14ac:dyDescent="0.25">
      <c r="A3" s="188">
        <v>2</v>
      </c>
      <c r="B3" s="188">
        <v>11</v>
      </c>
      <c r="C3" s="188">
        <v>200302</v>
      </c>
      <c r="D3" s="198" t="s">
        <v>69</v>
      </c>
      <c r="E3" s="188" t="s">
        <v>72</v>
      </c>
      <c r="F3" s="188">
        <v>1206111</v>
      </c>
      <c r="G3" s="227" t="s">
        <v>15</v>
      </c>
      <c r="H3" s="189" t="s">
        <v>43</v>
      </c>
      <c r="I3" s="238">
        <v>43375</v>
      </c>
      <c r="J3" s="189">
        <v>18</v>
      </c>
      <c r="K3" s="372">
        <v>43878</v>
      </c>
      <c r="L3" s="400">
        <v>44006</v>
      </c>
      <c r="M3" s="423">
        <f t="shared" si="0"/>
        <v>21.033333333333335</v>
      </c>
      <c r="N3" s="419">
        <f t="shared" si="1"/>
        <v>16.766666666666666</v>
      </c>
      <c r="O3" s="429"/>
      <c r="P3" s="432" t="s">
        <v>71</v>
      </c>
      <c r="Q3" s="178" t="s">
        <v>22</v>
      </c>
      <c r="Y3" s="320"/>
      <c r="Z3" s="1"/>
      <c r="AA3" s="320"/>
    </row>
    <row r="4" spans="1:27" ht="17" x14ac:dyDescent="0.2">
      <c r="A4" s="188">
        <v>3</v>
      </c>
      <c r="B4" s="188">
        <v>12</v>
      </c>
      <c r="C4" s="188">
        <v>200302</v>
      </c>
      <c r="D4" s="198" t="s">
        <v>69</v>
      </c>
      <c r="E4" s="188" t="s">
        <v>73</v>
      </c>
      <c r="F4" s="188">
        <v>1206111</v>
      </c>
      <c r="G4" s="227" t="s">
        <v>15</v>
      </c>
      <c r="H4" s="189" t="s">
        <v>43</v>
      </c>
      <c r="I4" s="238">
        <v>43375</v>
      </c>
      <c r="J4" s="189">
        <v>18</v>
      </c>
      <c r="K4" s="372">
        <v>43878</v>
      </c>
      <c r="L4" s="400">
        <v>44006</v>
      </c>
      <c r="M4" s="423">
        <f t="shared" si="0"/>
        <v>21.033333333333335</v>
      </c>
      <c r="N4" s="419">
        <f t="shared" si="1"/>
        <v>16.766666666666666</v>
      </c>
      <c r="O4" s="429"/>
      <c r="P4" s="432" t="s">
        <v>71</v>
      </c>
      <c r="Q4" s="179" t="s">
        <v>37</v>
      </c>
      <c r="Y4" s="183"/>
      <c r="Z4" s="183"/>
      <c r="AA4" s="183"/>
    </row>
    <row r="5" spans="1:27" ht="17" x14ac:dyDescent="0.2">
      <c r="A5" s="190">
        <v>4</v>
      </c>
      <c r="B5" s="190">
        <v>14</v>
      </c>
      <c r="C5" s="190">
        <v>200331</v>
      </c>
      <c r="D5" s="199" t="s">
        <v>69</v>
      </c>
      <c r="E5" s="190" t="s">
        <v>74</v>
      </c>
      <c r="F5" s="190">
        <v>1198654</v>
      </c>
      <c r="G5" s="228" t="s">
        <v>15</v>
      </c>
      <c r="H5" s="191" t="s">
        <v>42</v>
      </c>
      <c r="I5" s="237">
        <v>43355</v>
      </c>
      <c r="J5" s="191">
        <v>19</v>
      </c>
      <c r="K5" s="371">
        <v>43907</v>
      </c>
      <c r="L5" s="371">
        <v>43976</v>
      </c>
      <c r="M5" s="420">
        <f t="shared" si="0"/>
        <v>20.7</v>
      </c>
      <c r="N5" s="420">
        <f t="shared" si="1"/>
        <v>18.399999999999999</v>
      </c>
      <c r="O5" s="371"/>
      <c r="P5" s="432" t="s">
        <v>71</v>
      </c>
      <c r="Q5" s="180" t="s">
        <v>40</v>
      </c>
      <c r="Y5" s="1"/>
      <c r="Z5" s="1"/>
      <c r="AA5" s="1"/>
    </row>
    <row r="6" spans="1:27" ht="17" x14ac:dyDescent="0.2">
      <c r="A6" s="190">
        <v>5</v>
      </c>
      <c r="B6" s="190">
        <v>15</v>
      </c>
      <c r="C6" s="190">
        <v>200331</v>
      </c>
      <c r="D6" s="199" t="s">
        <v>69</v>
      </c>
      <c r="E6" s="190" t="s">
        <v>75</v>
      </c>
      <c r="F6" s="190">
        <v>1198654</v>
      </c>
      <c r="G6" s="228" t="s">
        <v>15</v>
      </c>
      <c r="H6" s="191" t="s">
        <v>42</v>
      </c>
      <c r="I6" s="237">
        <v>43355</v>
      </c>
      <c r="J6" s="191">
        <v>19</v>
      </c>
      <c r="K6" s="371">
        <v>43907</v>
      </c>
      <c r="L6" s="371">
        <v>43976</v>
      </c>
      <c r="M6" s="420">
        <f t="shared" si="0"/>
        <v>20.7</v>
      </c>
      <c r="N6" s="420">
        <f t="shared" si="1"/>
        <v>18.399999999999999</v>
      </c>
      <c r="O6" s="371"/>
      <c r="P6" s="432" t="s">
        <v>71</v>
      </c>
      <c r="Q6" s="181" t="s">
        <v>41</v>
      </c>
      <c r="Y6" s="1"/>
      <c r="Z6" s="1"/>
      <c r="AA6" s="1"/>
    </row>
    <row r="7" spans="1:27" ht="17" x14ac:dyDescent="0.2">
      <c r="A7" s="190">
        <v>6</v>
      </c>
      <c r="B7" s="190">
        <v>16</v>
      </c>
      <c r="C7" s="190">
        <v>200331</v>
      </c>
      <c r="D7" s="199" t="s">
        <v>69</v>
      </c>
      <c r="E7" s="190" t="s">
        <v>76</v>
      </c>
      <c r="F7" s="190">
        <v>1213232</v>
      </c>
      <c r="G7" s="228" t="s">
        <v>15</v>
      </c>
      <c r="H7" s="191" t="s">
        <v>42</v>
      </c>
      <c r="I7" s="237">
        <v>43410</v>
      </c>
      <c r="J7" s="191">
        <v>17</v>
      </c>
      <c r="K7" s="371">
        <v>43907</v>
      </c>
      <c r="L7" s="371">
        <v>43976</v>
      </c>
      <c r="M7" s="420">
        <f t="shared" si="0"/>
        <v>18.866666666666667</v>
      </c>
      <c r="N7" s="420">
        <f t="shared" si="1"/>
        <v>16.566666666666666</v>
      </c>
      <c r="O7" s="371"/>
      <c r="P7" s="432" t="s">
        <v>71</v>
      </c>
      <c r="Q7" s="203" t="s">
        <v>42</v>
      </c>
      <c r="Y7" s="1"/>
      <c r="Z7" s="1"/>
      <c r="AA7" s="1"/>
    </row>
    <row r="8" spans="1:27" ht="17" x14ac:dyDescent="0.2">
      <c r="A8" s="190">
        <v>7</v>
      </c>
      <c r="B8" s="190">
        <v>17</v>
      </c>
      <c r="C8" s="190">
        <v>200331</v>
      </c>
      <c r="D8" s="199" t="s">
        <v>69</v>
      </c>
      <c r="E8" s="190" t="s">
        <v>77</v>
      </c>
      <c r="F8" s="190">
        <v>1213232</v>
      </c>
      <c r="G8" s="228" t="s">
        <v>17</v>
      </c>
      <c r="H8" s="191" t="s">
        <v>42</v>
      </c>
      <c r="I8" s="237">
        <v>43355</v>
      </c>
      <c r="J8" s="191">
        <v>19</v>
      </c>
      <c r="K8" s="371">
        <v>43907</v>
      </c>
      <c r="L8" s="371">
        <v>43976</v>
      </c>
      <c r="M8" s="420">
        <f t="shared" si="0"/>
        <v>20.7</v>
      </c>
      <c r="N8" s="420">
        <f t="shared" si="1"/>
        <v>18.399999999999999</v>
      </c>
      <c r="O8" s="371"/>
      <c r="P8" s="432" t="s">
        <v>71</v>
      </c>
      <c r="Q8" s="202" t="s">
        <v>43</v>
      </c>
      <c r="Y8" s="1"/>
      <c r="Z8" s="1"/>
      <c r="AA8" s="1"/>
    </row>
    <row r="9" spans="1:27" ht="17" x14ac:dyDescent="0.2">
      <c r="A9" s="190">
        <v>8</v>
      </c>
      <c r="B9" s="190">
        <v>18</v>
      </c>
      <c r="C9" s="190">
        <v>200331</v>
      </c>
      <c r="D9" s="199" t="s">
        <v>69</v>
      </c>
      <c r="E9" s="190" t="s">
        <v>78</v>
      </c>
      <c r="F9" s="190">
        <v>1275949</v>
      </c>
      <c r="G9" s="228" t="s">
        <v>15</v>
      </c>
      <c r="H9" s="191" t="s">
        <v>42</v>
      </c>
      <c r="I9" s="237">
        <v>43355</v>
      </c>
      <c r="J9" s="191">
        <v>19</v>
      </c>
      <c r="K9" s="371">
        <v>43907</v>
      </c>
      <c r="L9" s="371">
        <v>43976</v>
      </c>
      <c r="M9" s="420">
        <f t="shared" si="0"/>
        <v>20.7</v>
      </c>
      <c r="N9" s="420">
        <f t="shared" si="1"/>
        <v>18.399999999999999</v>
      </c>
      <c r="O9" s="371"/>
      <c r="P9" s="432" t="s">
        <v>71</v>
      </c>
      <c r="Q9" s="399" t="s">
        <v>44</v>
      </c>
      <c r="Y9" s="1"/>
      <c r="Z9" s="1"/>
      <c r="AA9" s="1"/>
    </row>
    <row r="10" spans="1:27" ht="17" x14ac:dyDescent="0.2">
      <c r="A10" s="190">
        <v>9</v>
      </c>
      <c r="B10" s="190">
        <v>19</v>
      </c>
      <c r="C10" s="190">
        <v>200331</v>
      </c>
      <c r="D10" s="199" t="s">
        <v>69</v>
      </c>
      <c r="E10" s="190" t="s">
        <v>79</v>
      </c>
      <c r="F10" s="190">
        <v>275954</v>
      </c>
      <c r="G10" s="228" t="s">
        <v>15</v>
      </c>
      <c r="H10" s="191" t="s">
        <v>42</v>
      </c>
      <c r="I10" s="237">
        <v>43355</v>
      </c>
      <c r="J10" s="191">
        <v>19</v>
      </c>
      <c r="K10" s="371">
        <v>43907</v>
      </c>
      <c r="L10" s="371">
        <v>43976</v>
      </c>
      <c r="M10" s="420">
        <f t="shared" si="0"/>
        <v>20.7</v>
      </c>
      <c r="N10" s="420">
        <f t="shared" si="1"/>
        <v>18.399999999999999</v>
      </c>
      <c r="O10" s="371"/>
      <c r="P10" s="432" t="s">
        <v>71</v>
      </c>
      <c r="Q10" s="418" t="s">
        <v>45</v>
      </c>
      <c r="Y10" s="183"/>
      <c r="Z10" s="430"/>
      <c r="AA10" s="183"/>
    </row>
    <row r="11" spans="1:27" ht="16" x14ac:dyDescent="0.2">
      <c r="A11" s="195"/>
      <c r="B11" s="195"/>
      <c r="C11" s="195"/>
      <c r="D11" s="195"/>
      <c r="E11" s="195"/>
      <c r="F11" s="195"/>
      <c r="G11" s="229"/>
      <c r="H11" s="196"/>
      <c r="I11" s="216"/>
      <c r="J11" s="196"/>
      <c r="K11" s="229"/>
      <c r="L11" s="196"/>
      <c r="M11" s="422">
        <f t="shared" si="0"/>
        <v>0</v>
      </c>
      <c r="N11" s="422">
        <f t="shared" si="1"/>
        <v>0</v>
      </c>
      <c r="O11" s="229"/>
      <c r="P11" s="433"/>
      <c r="Y11" s="1"/>
      <c r="Z11" s="1"/>
      <c r="AA11" s="1"/>
    </row>
    <row r="12" spans="1:27" ht="17" x14ac:dyDescent="0.2">
      <c r="A12" s="188">
        <v>10</v>
      </c>
      <c r="B12" s="188">
        <v>3</v>
      </c>
      <c r="C12" s="188">
        <v>200302</v>
      </c>
      <c r="D12" s="198" t="s">
        <v>69</v>
      </c>
      <c r="E12" s="188" t="s">
        <v>80</v>
      </c>
      <c r="F12" s="188">
        <v>1177408</v>
      </c>
      <c r="G12" s="227" t="s">
        <v>15</v>
      </c>
      <c r="H12" s="189" t="s">
        <v>43</v>
      </c>
      <c r="I12" s="238">
        <v>43396</v>
      </c>
      <c r="J12" s="189">
        <v>18</v>
      </c>
      <c r="K12" s="372">
        <v>43878</v>
      </c>
      <c r="L12" s="400">
        <v>44008</v>
      </c>
      <c r="M12" s="419">
        <f t="shared" si="0"/>
        <v>20.399999999999999</v>
      </c>
      <c r="N12" s="419">
        <f t="shared" si="1"/>
        <v>16.066666666666666</v>
      </c>
      <c r="O12" s="372"/>
      <c r="P12" s="432" t="s">
        <v>71</v>
      </c>
      <c r="Y12" s="1"/>
      <c r="Z12" s="1"/>
      <c r="AA12" s="1"/>
    </row>
    <row r="13" spans="1:27" ht="17" x14ac:dyDescent="0.2">
      <c r="A13" s="188">
        <v>11</v>
      </c>
      <c r="B13" s="188">
        <v>4</v>
      </c>
      <c r="C13" s="188">
        <v>200302</v>
      </c>
      <c r="D13" s="198" t="s">
        <v>69</v>
      </c>
      <c r="E13" s="188" t="s">
        <v>81</v>
      </c>
      <c r="F13" s="188">
        <v>1177408</v>
      </c>
      <c r="G13" s="227" t="s">
        <v>15</v>
      </c>
      <c r="H13" s="189" t="s">
        <v>43</v>
      </c>
      <c r="I13" s="238">
        <v>43396</v>
      </c>
      <c r="J13" s="189">
        <v>18</v>
      </c>
      <c r="K13" s="372">
        <v>43878</v>
      </c>
      <c r="L13" s="400">
        <v>44011</v>
      </c>
      <c r="M13" s="419">
        <f t="shared" si="0"/>
        <v>20.5</v>
      </c>
      <c r="N13" s="419">
        <f t="shared" si="1"/>
        <v>16.066666666666666</v>
      </c>
      <c r="O13" s="372"/>
      <c r="P13" s="432" t="s">
        <v>71</v>
      </c>
      <c r="Y13" s="1"/>
      <c r="Z13" s="431"/>
      <c r="AA13" s="1"/>
    </row>
    <row r="14" spans="1:27" ht="17" x14ac:dyDescent="0.2">
      <c r="A14" s="188">
        <v>12</v>
      </c>
      <c r="B14" s="188">
        <v>5</v>
      </c>
      <c r="C14" s="188">
        <v>200302</v>
      </c>
      <c r="D14" s="198" t="s">
        <v>69</v>
      </c>
      <c r="E14" s="188" t="s">
        <v>82</v>
      </c>
      <c r="F14" s="188">
        <v>1177408</v>
      </c>
      <c r="G14" s="227" t="s">
        <v>15</v>
      </c>
      <c r="H14" s="189" t="s">
        <v>43</v>
      </c>
      <c r="I14" s="238">
        <v>43396</v>
      </c>
      <c r="J14" s="189">
        <v>18</v>
      </c>
      <c r="K14" s="372">
        <v>43878</v>
      </c>
      <c r="L14" s="400">
        <v>44012</v>
      </c>
      <c r="M14" s="419">
        <f t="shared" si="0"/>
        <v>20.533333333333335</v>
      </c>
      <c r="N14" s="419">
        <f t="shared" si="1"/>
        <v>16.066666666666666</v>
      </c>
      <c r="O14" s="372"/>
      <c r="P14" s="432" t="s">
        <v>71</v>
      </c>
      <c r="Y14" s="1"/>
      <c r="Z14" s="1"/>
      <c r="AA14" s="1"/>
    </row>
    <row r="15" spans="1:27" ht="17" x14ac:dyDescent="0.2">
      <c r="A15" s="188">
        <v>13</v>
      </c>
      <c r="B15" s="188">
        <v>6</v>
      </c>
      <c r="C15" s="188">
        <v>200302</v>
      </c>
      <c r="D15" s="198" t="s">
        <v>69</v>
      </c>
      <c r="E15" s="188" t="s">
        <v>83</v>
      </c>
      <c r="F15" s="188">
        <v>1213228</v>
      </c>
      <c r="G15" s="227" t="s">
        <v>17</v>
      </c>
      <c r="H15" s="189" t="s">
        <v>43</v>
      </c>
      <c r="I15" s="238">
        <v>43396</v>
      </c>
      <c r="J15" s="189">
        <v>18</v>
      </c>
      <c r="K15" s="372">
        <v>43878</v>
      </c>
      <c r="L15" s="400">
        <v>44013</v>
      </c>
      <c r="M15" s="419">
        <f t="shared" si="0"/>
        <v>20.566666666666666</v>
      </c>
      <c r="N15" s="419">
        <f t="shared" si="1"/>
        <v>16.066666666666666</v>
      </c>
      <c r="O15" s="372"/>
      <c r="P15" s="432" t="s">
        <v>71</v>
      </c>
      <c r="Y15" s="1"/>
      <c r="Z15" s="1"/>
      <c r="AA15" s="1"/>
    </row>
    <row r="16" spans="1:27" ht="17" x14ac:dyDescent="0.2">
      <c r="A16" s="188">
        <v>14</v>
      </c>
      <c r="B16" s="188">
        <v>7</v>
      </c>
      <c r="C16" s="188">
        <v>200302</v>
      </c>
      <c r="D16" s="198" t="s">
        <v>69</v>
      </c>
      <c r="E16" s="188" t="s">
        <v>84</v>
      </c>
      <c r="F16" s="188">
        <v>1213228</v>
      </c>
      <c r="G16" s="227" t="s">
        <v>17</v>
      </c>
      <c r="H16" s="189" t="s">
        <v>43</v>
      </c>
      <c r="I16" s="238">
        <v>43396</v>
      </c>
      <c r="J16" s="189">
        <v>18</v>
      </c>
      <c r="K16" s="372">
        <v>43878</v>
      </c>
      <c r="L16" s="400">
        <v>44025</v>
      </c>
      <c r="M16" s="419">
        <f t="shared" si="0"/>
        <v>20.966666666666665</v>
      </c>
      <c r="N16" s="419">
        <f t="shared" si="1"/>
        <v>16.066666666666666</v>
      </c>
      <c r="O16" s="372"/>
      <c r="P16" s="432" t="s">
        <v>71</v>
      </c>
      <c r="Y16" s="183"/>
      <c r="Z16" s="430"/>
      <c r="AA16" s="183"/>
    </row>
    <row r="17" spans="1:27" ht="17" x14ac:dyDescent="0.2">
      <c r="A17" s="188">
        <v>15</v>
      </c>
      <c r="B17" s="188">
        <v>8</v>
      </c>
      <c r="C17" s="188">
        <v>200302</v>
      </c>
      <c r="D17" s="198" t="s">
        <v>69</v>
      </c>
      <c r="E17" s="188" t="s">
        <v>85</v>
      </c>
      <c r="F17" s="188">
        <v>1213228</v>
      </c>
      <c r="G17" s="227" t="s">
        <v>17</v>
      </c>
      <c r="H17" s="189" t="s">
        <v>43</v>
      </c>
      <c r="I17" s="238">
        <v>43396</v>
      </c>
      <c r="J17" s="189">
        <v>18</v>
      </c>
      <c r="K17" s="372">
        <v>43878</v>
      </c>
      <c r="L17" s="400">
        <v>44026</v>
      </c>
      <c r="M17" s="419">
        <f t="shared" si="0"/>
        <v>21</v>
      </c>
      <c r="N17" s="419">
        <f t="shared" si="1"/>
        <v>16.066666666666666</v>
      </c>
      <c r="O17" s="372"/>
      <c r="P17" s="432" t="s">
        <v>71</v>
      </c>
      <c r="Y17" s="1"/>
      <c r="Z17" s="1"/>
      <c r="AA17" s="1"/>
    </row>
    <row r="18" spans="1:27" ht="17" x14ac:dyDescent="0.2">
      <c r="A18" s="188">
        <v>16</v>
      </c>
      <c r="B18" s="188">
        <v>9</v>
      </c>
      <c r="C18" s="188">
        <v>200302</v>
      </c>
      <c r="D18" s="198" t="s">
        <v>69</v>
      </c>
      <c r="E18" s="188" t="s">
        <v>86</v>
      </c>
      <c r="F18" s="188">
        <v>1213228</v>
      </c>
      <c r="G18" s="227" t="s">
        <v>17</v>
      </c>
      <c r="H18" s="189" t="s">
        <v>43</v>
      </c>
      <c r="I18" s="238">
        <v>43396</v>
      </c>
      <c r="J18" s="189">
        <v>18</v>
      </c>
      <c r="K18" s="372">
        <v>43878</v>
      </c>
      <c r="L18" s="400">
        <v>44027</v>
      </c>
      <c r="M18" s="419">
        <f t="shared" si="0"/>
        <v>21.033333333333335</v>
      </c>
      <c r="N18" s="419">
        <f t="shared" si="1"/>
        <v>16.066666666666666</v>
      </c>
      <c r="O18" s="372"/>
      <c r="P18" s="432" t="s">
        <v>71</v>
      </c>
      <c r="Y18" s="1"/>
      <c r="Z18" s="1"/>
      <c r="AA18" s="1"/>
    </row>
    <row r="19" spans="1:27" ht="17" x14ac:dyDescent="0.2">
      <c r="A19" s="195" t="s">
        <v>87</v>
      </c>
      <c r="B19" s="195"/>
      <c r="C19" s="195"/>
      <c r="D19" s="195"/>
      <c r="E19" s="195"/>
      <c r="F19" s="195"/>
      <c r="G19" s="229"/>
      <c r="H19" s="196"/>
      <c r="I19" s="216"/>
      <c r="J19" s="196"/>
      <c r="K19" s="229"/>
      <c r="L19" s="196"/>
      <c r="M19" s="422">
        <f t="shared" si="0"/>
        <v>0</v>
      </c>
      <c r="N19" s="422">
        <f t="shared" si="1"/>
        <v>0</v>
      </c>
      <c r="O19" s="229"/>
      <c r="P19" s="433"/>
      <c r="Y19" s="1"/>
      <c r="Z19" s="1"/>
      <c r="AA19" s="1"/>
    </row>
    <row r="20" spans="1:27" ht="17" x14ac:dyDescent="0.2">
      <c r="A20" s="188">
        <v>17</v>
      </c>
      <c r="B20" s="188"/>
      <c r="C20" s="188">
        <v>200331</v>
      </c>
      <c r="D20" s="198" t="s">
        <v>69</v>
      </c>
      <c r="E20" s="188" t="s">
        <v>88</v>
      </c>
      <c r="F20" s="188">
        <v>1213236</v>
      </c>
      <c r="G20" s="227" t="s">
        <v>17</v>
      </c>
      <c r="H20" s="189" t="s">
        <v>43</v>
      </c>
      <c r="I20" s="238">
        <v>43428</v>
      </c>
      <c r="J20" s="189">
        <v>18</v>
      </c>
      <c r="K20" s="372">
        <v>43907</v>
      </c>
      <c r="L20" s="400">
        <v>44028</v>
      </c>
      <c r="M20" s="419">
        <f t="shared" si="0"/>
        <v>20</v>
      </c>
      <c r="N20" s="419">
        <f t="shared" si="1"/>
        <v>15.966666666666667</v>
      </c>
      <c r="O20" s="372"/>
      <c r="P20" s="432" t="s">
        <v>71</v>
      </c>
      <c r="Y20" s="1"/>
      <c r="Z20" s="1"/>
      <c r="AA20" s="1"/>
    </row>
    <row r="21" spans="1:27" ht="17" x14ac:dyDescent="0.2">
      <c r="A21" s="188">
        <v>18</v>
      </c>
      <c r="B21" s="188"/>
      <c r="C21" s="188">
        <v>200331</v>
      </c>
      <c r="D21" s="198" t="s">
        <v>69</v>
      </c>
      <c r="E21" s="188" t="s">
        <v>89</v>
      </c>
      <c r="F21" s="188">
        <v>1213236</v>
      </c>
      <c r="G21" s="227" t="s">
        <v>17</v>
      </c>
      <c r="H21" s="189" t="s">
        <v>43</v>
      </c>
      <c r="I21" s="238">
        <v>43428</v>
      </c>
      <c r="J21" s="189">
        <v>18</v>
      </c>
      <c r="K21" s="372">
        <v>43907</v>
      </c>
      <c r="L21" s="400">
        <v>44029</v>
      </c>
      <c r="M21" s="419">
        <f t="shared" si="0"/>
        <v>20.033333333333335</v>
      </c>
      <c r="N21" s="419">
        <f t="shared" si="1"/>
        <v>15.966666666666667</v>
      </c>
      <c r="O21" s="372"/>
      <c r="P21" s="432" t="s">
        <v>71</v>
      </c>
      <c r="Y21" s="1"/>
      <c r="Z21" s="1"/>
      <c r="AA21" s="1"/>
    </row>
    <row r="22" spans="1:27" ht="17" x14ac:dyDescent="0.2">
      <c r="A22" s="188">
        <v>19</v>
      </c>
      <c r="B22" s="188"/>
      <c r="C22" s="188">
        <v>200331</v>
      </c>
      <c r="D22" s="198" t="s">
        <v>69</v>
      </c>
      <c r="E22" s="188" t="s">
        <v>90</v>
      </c>
      <c r="F22" s="188">
        <v>1213236</v>
      </c>
      <c r="G22" s="227" t="s">
        <v>17</v>
      </c>
      <c r="H22" s="189" t="s">
        <v>43</v>
      </c>
      <c r="I22" s="238">
        <v>43428</v>
      </c>
      <c r="J22" s="189">
        <v>18</v>
      </c>
      <c r="K22" s="372">
        <v>43907</v>
      </c>
      <c r="L22" s="400">
        <v>44032</v>
      </c>
      <c r="M22" s="419">
        <f t="shared" si="0"/>
        <v>20.133333333333333</v>
      </c>
      <c r="N22" s="419">
        <f t="shared" si="1"/>
        <v>15.966666666666667</v>
      </c>
      <c r="O22" s="372"/>
      <c r="P22" s="432" t="s">
        <v>71</v>
      </c>
      <c r="Y22" s="183"/>
      <c r="Z22" s="430"/>
      <c r="AA22" s="183"/>
    </row>
    <row r="23" spans="1:27" ht="17" x14ac:dyDescent="0.2">
      <c r="A23" s="188">
        <v>20</v>
      </c>
      <c r="B23" s="188"/>
      <c r="C23" s="188">
        <v>200331</v>
      </c>
      <c r="D23" s="198" t="s">
        <v>69</v>
      </c>
      <c r="E23" s="188" t="s">
        <v>91</v>
      </c>
      <c r="F23" s="188">
        <v>1213236</v>
      </c>
      <c r="G23" s="227" t="s">
        <v>17</v>
      </c>
      <c r="H23" s="189" t="s">
        <v>43</v>
      </c>
      <c r="I23" s="238">
        <v>43428</v>
      </c>
      <c r="J23" s="189">
        <v>18</v>
      </c>
      <c r="K23" s="372">
        <v>43907</v>
      </c>
      <c r="L23" s="400">
        <v>44033</v>
      </c>
      <c r="M23" s="419">
        <f t="shared" si="0"/>
        <v>20.166666666666668</v>
      </c>
      <c r="N23" s="419">
        <f t="shared" si="1"/>
        <v>15.966666666666667</v>
      </c>
      <c r="O23" s="372"/>
      <c r="P23" s="432" t="s">
        <v>71</v>
      </c>
      <c r="Y23" s="1"/>
      <c r="Z23" s="1"/>
      <c r="AA23" s="1"/>
    </row>
    <row r="24" spans="1:27" ht="17" x14ac:dyDescent="0.2">
      <c r="A24" s="188">
        <v>21</v>
      </c>
      <c r="B24" s="188"/>
      <c r="C24" s="188">
        <v>200331</v>
      </c>
      <c r="D24" s="198" t="s">
        <v>69</v>
      </c>
      <c r="E24" s="188" t="s">
        <v>92</v>
      </c>
      <c r="F24" s="188">
        <v>1213236</v>
      </c>
      <c r="G24" s="227" t="s">
        <v>17</v>
      </c>
      <c r="H24" s="189" t="s">
        <v>43</v>
      </c>
      <c r="I24" s="238">
        <v>43428</v>
      </c>
      <c r="J24" s="189">
        <v>18</v>
      </c>
      <c r="K24" s="372">
        <v>43907</v>
      </c>
      <c r="L24" s="400">
        <v>44034</v>
      </c>
      <c r="M24" s="419">
        <f t="shared" si="0"/>
        <v>20.2</v>
      </c>
      <c r="N24" s="419">
        <f t="shared" si="1"/>
        <v>15.966666666666667</v>
      </c>
      <c r="O24" s="372"/>
      <c r="P24" s="432" t="s">
        <v>71</v>
      </c>
      <c r="Y24" s="1"/>
      <c r="Z24" s="1"/>
      <c r="AA24" s="1"/>
    </row>
    <row r="25" spans="1:27" ht="17" x14ac:dyDescent="0.2">
      <c r="A25" s="188">
        <v>22</v>
      </c>
      <c r="B25" s="188"/>
      <c r="C25" s="188">
        <v>200331</v>
      </c>
      <c r="D25" s="198" t="s">
        <v>69</v>
      </c>
      <c r="E25" s="188" t="s">
        <v>93</v>
      </c>
      <c r="F25" s="188">
        <v>1213229</v>
      </c>
      <c r="G25" s="227" t="s">
        <v>17</v>
      </c>
      <c r="H25" s="189" t="s">
        <v>43</v>
      </c>
      <c r="I25" s="238">
        <v>43428</v>
      </c>
      <c r="J25" s="189">
        <v>18</v>
      </c>
      <c r="K25" s="372">
        <v>43907</v>
      </c>
      <c r="L25" s="189" t="s">
        <v>94</v>
      </c>
      <c r="M25" s="419" t="s">
        <v>95</v>
      </c>
      <c r="N25" s="419">
        <f t="shared" si="1"/>
        <v>15.966666666666667</v>
      </c>
      <c r="O25" s="227"/>
      <c r="P25" s="432" t="s">
        <v>71</v>
      </c>
      <c r="Y25" s="1"/>
      <c r="Z25" s="431"/>
      <c r="AA25" s="1"/>
    </row>
    <row r="26" spans="1:27" ht="17" x14ac:dyDescent="0.2">
      <c r="A26" s="188">
        <v>23</v>
      </c>
      <c r="B26" s="188"/>
      <c r="C26" s="188">
        <v>200331</v>
      </c>
      <c r="D26" s="198" t="s">
        <v>69</v>
      </c>
      <c r="E26" s="188" t="s">
        <v>96</v>
      </c>
      <c r="F26" s="188">
        <v>1213229</v>
      </c>
      <c r="G26" s="227" t="s">
        <v>17</v>
      </c>
      <c r="H26" s="189" t="s">
        <v>43</v>
      </c>
      <c r="I26" s="238">
        <v>43428</v>
      </c>
      <c r="J26" s="189">
        <v>18</v>
      </c>
      <c r="K26" s="372">
        <v>43907</v>
      </c>
      <c r="L26" s="400">
        <v>44032</v>
      </c>
      <c r="M26" s="419">
        <f t="shared" ref="M26:M39" si="2">_xlfn.DAYS(L26,I26)/30</f>
        <v>20.133333333333333</v>
      </c>
      <c r="N26" s="419">
        <f t="shared" si="1"/>
        <v>15.966666666666667</v>
      </c>
      <c r="O26" s="372"/>
      <c r="P26" s="432" t="s">
        <v>71</v>
      </c>
      <c r="Y26" s="1"/>
      <c r="Z26" s="1"/>
      <c r="AA26" s="1"/>
    </row>
    <row r="27" spans="1:27" ht="17" x14ac:dyDescent="0.2">
      <c r="A27" s="188">
        <v>24</v>
      </c>
      <c r="B27" s="188"/>
      <c r="C27" s="188">
        <v>200331</v>
      </c>
      <c r="D27" s="198" t="s">
        <v>69</v>
      </c>
      <c r="E27" s="188" t="s">
        <v>97</v>
      </c>
      <c r="F27" s="188">
        <v>1213229</v>
      </c>
      <c r="G27" s="227" t="s">
        <v>17</v>
      </c>
      <c r="H27" s="189" t="s">
        <v>43</v>
      </c>
      <c r="I27" s="238">
        <v>43428</v>
      </c>
      <c r="J27" s="189">
        <v>18</v>
      </c>
      <c r="K27" s="372">
        <v>43907</v>
      </c>
      <c r="L27" s="400">
        <v>44032</v>
      </c>
      <c r="M27" s="419">
        <f t="shared" si="2"/>
        <v>20.133333333333333</v>
      </c>
      <c r="N27" s="419">
        <f t="shared" si="1"/>
        <v>15.966666666666667</v>
      </c>
      <c r="O27" s="372"/>
      <c r="P27" s="432" t="s">
        <v>71</v>
      </c>
      <c r="Y27" s="1"/>
      <c r="Z27" s="1"/>
      <c r="AA27" s="1"/>
    </row>
    <row r="28" spans="1:27" ht="17" x14ac:dyDescent="0.2">
      <c r="A28" s="188">
        <v>25</v>
      </c>
      <c r="B28" s="188"/>
      <c r="C28" s="188">
        <v>200331</v>
      </c>
      <c r="D28" s="198" t="s">
        <v>69</v>
      </c>
      <c r="E28" s="188" t="s">
        <v>98</v>
      </c>
      <c r="F28" s="188">
        <v>1213229</v>
      </c>
      <c r="G28" s="227" t="s">
        <v>17</v>
      </c>
      <c r="H28" s="189" t="s">
        <v>43</v>
      </c>
      <c r="I28" s="238">
        <v>43428</v>
      </c>
      <c r="J28" s="189">
        <v>18</v>
      </c>
      <c r="K28" s="372">
        <v>43907</v>
      </c>
      <c r="L28" s="400">
        <v>44032</v>
      </c>
      <c r="M28" s="419">
        <f t="shared" si="2"/>
        <v>20.133333333333333</v>
      </c>
      <c r="N28" s="419">
        <f t="shared" si="1"/>
        <v>15.966666666666667</v>
      </c>
      <c r="O28" s="372"/>
      <c r="P28" s="432" t="s">
        <v>71</v>
      </c>
      <c r="Y28" s="183"/>
      <c r="Z28" s="430"/>
      <c r="AA28" s="183"/>
    </row>
    <row r="29" spans="1:27" ht="17" x14ac:dyDescent="0.2">
      <c r="A29" s="188">
        <v>26</v>
      </c>
      <c r="B29" s="188"/>
      <c r="C29" s="188">
        <v>200331</v>
      </c>
      <c r="D29" s="198" t="s">
        <v>69</v>
      </c>
      <c r="E29" s="188" t="s">
        <v>99</v>
      </c>
      <c r="F29" s="188">
        <v>1213229</v>
      </c>
      <c r="G29" s="227" t="s">
        <v>17</v>
      </c>
      <c r="H29" s="189" t="s">
        <v>43</v>
      </c>
      <c r="I29" s="238">
        <v>43428</v>
      </c>
      <c r="J29" s="189">
        <v>18</v>
      </c>
      <c r="K29" s="372">
        <v>43907</v>
      </c>
      <c r="L29" s="400">
        <v>44032</v>
      </c>
      <c r="M29" s="419">
        <f t="shared" si="2"/>
        <v>20.133333333333333</v>
      </c>
      <c r="N29" s="419">
        <f t="shared" si="1"/>
        <v>15.966666666666667</v>
      </c>
      <c r="O29" s="372"/>
      <c r="P29" s="432" t="s">
        <v>71</v>
      </c>
      <c r="Y29" s="1"/>
      <c r="Z29" s="1"/>
      <c r="AA29" s="1"/>
    </row>
    <row r="30" spans="1:27" ht="17" x14ac:dyDescent="0.2">
      <c r="A30" s="188">
        <v>27</v>
      </c>
      <c r="B30" s="188"/>
      <c r="C30" s="188">
        <v>200331</v>
      </c>
      <c r="D30" s="198" t="s">
        <v>69</v>
      </c>
      <c r="E30" s="188" t="s">
        <v>100</v>
      </c>
      <c r="F30" s="188">
        <v>1213235</v>
      </c>
      <c r="G30" s="227" t="s">
        <v>15</v>
      </c>
      <c r="H30" s="189" t="s">
        <v>43</v>
      </c>
      <c r="I30" s="238">
        <v>43428</v>
      </c>
      <c r="J30" s="189">
        <v>18</v>
      </c>
      <c r="K30" s="372">
        <v>43907</v>
      </c>
      <c r="L30" s="400">
        <v>44032</v>
      </c>
      <c r="M30" s="419">
        <f t="shared" si="2"/>
        <v>20.133333333333333</v>
      </c>
      <c r="N30" s="419">
        <f t="shared" si="1"/>
        <v>15.966666666666667</v>
      </c>
      <c r="O30" s="372"/>
      <c r="P30" s="432" t="s">
        <v>71</v>
      </c>
      <c r="Y30" s="1"/>
      <c r="Z30" s="1"/>
      <c r="AA30" s="1"/>
    </row>
    <row r="31" spans="1:27" ht="17" x14ac:dyDescent="0.2">
      <c r="A31" s="188">
        <v>28</v>
      </c>
      <c r="B31" s="188"/>
      <c r="C31" s="188">
        <v>200331</v>
      </c>
      <c r="D31" s="198" t="s">
        <v>69</v>
      </c>
      <c r="E31" s="188" t="s">
        <v>101</v>
      </c>
      <c r="F31" s="188">
        <v>1213235</v>
      </c>
      <c r="G31" s="227" t="s">
        <v>15</v>
      </c>
      <c r="H31" s="189" t="s">
        <v>43</v>
      </c>
      <c r="I31" s="238">
        <v>43428</v>
      </c>
      <c r="J31" s="189">
        <v>18</v>
      </c>
      <c r="K31" s="372">
        <v>43907</v>
      </c>
      <c r="L31" s="400">
        <v>44032</v>
      </c>
      <c r="M31" s="419">
        <f t="shared" si="2"/>
        <v>20.133333333333333</v>
      </c>
      <c r="N31" s="419">
        <f t="shared" si="1"/>
        <v>15.966666666666667</v>
      </c>
      <c r="O31" s="372"/>
      <c r="P31" s="432" t="s">
        <v>71</v>
      </c>
      <c r="Y31" s="1"/>
      <c r="Z31" s="431"/>
      <c r="AA31" s="1"/>
    </row>
    <row r="32" spans="1:27" ht="17" x14ac:dyDescent="0.2">
      <c r="A32" s="188">
        <v>29</v>
      </c>
      <c r="B32" s="188"/>
      <c r="C32" s="188">
        <v>200331</v>
      </c>
      <c r="D32" s="198" t="s">
        <v>69</v>
      </c>
      <c r="E32" s="188" t="s">
        <v>102</v>
      </c>
      <c r="F32" s="188">
        <v>1213235</v>
      </c>
      <c r="G32" s="227" t="s">
        <v>15</v>
      </c>
      <c r="H32" s="189" t="s">
        <v>43</v>
      </c>
      <c r="I32" s="238">
        <v>43428</v>
      </c>
      <c r="J32" s="189">
        <v>18</v>
      </c>
      <c r="K32" s="372">
        <v>43907</v>
      </c>
      <c r="L32" s="400">
        <v>44032</v>
      </c>
      <c r="M32" s="419">
        <f t="shared" si="2"/>
        <v>20.133333333333333</v>
      </c>
      <c r="N32" s="419">
        <f t="shared" si="1"/>
        <v>15.966666666666667</v>
      </c>
      <c r="O32" s="372"/>
      <c r="P32" s="432" t="s">
        <v>71</v>
      </c>
      <c r="Y32" s="1"/>
      <c r="Z32" s="1"/>
      <c r="AA32" s="1"/>
    </row>
    <row r="33" spans="1:27" ht="16" x14ac:dyDescent="0.2">
      <c r="A33" s="195"/>
      <c r="B33" s="195"/>
      <c r="C33" s="195"/>
      <c r="D33" s="195"/>
      <c r="E33" s="195"/>
      <c r="F33" s="195"/>
      <c r="G33" s="229"/>
      <c r="H33" s="196"/>
      <c r="I33" s="216"/>
      <c r="J33" s="196"/>
      <c r="K33" s="229"/>
      <c r="L33" s="196"/>
      <c r="M33" s="422">
        <f t="shared" si="2"/>
        <v>0</v>
      </c>
      <c r="N33" s="422">
        <f t="shared" si="1"/>
        <v>0</v>
      </c>
      <c r="O33" s="229"/>
      <c r="P33" s="433"/>
      <c r="Y33" s="1"/>
      <c r="Z33" s="1"/>
      <c r="AA33" s="1"/>
    </row>
    <row r="34" spans="1:27" ht="17" x14ac:dyDescent="0.2">
      <c r="A34" s="190">
        <v>30</v>
      </c>
      <c r="B34" s="190">
        <v>1</v>
      </c>
      <c r="C34" s="190">
        <v>190610</v>
      </c>
      <c r="D34" s="190" t="s">
        <v>103</v>
      </c>
      <c r="E34" s="190" t="s">
        <v>104</v>
      </c>
      <c r="F34" s="190"/>
      <c r="G34" s="228" t="s">
        <v>15</v>
      </c>
      <c r="H34" s="191" t="s">
        <v>42</v>
      </c>
      <c r="I34" s="237">
        <v>43193</v>
      </c>
      <c r="J34" s="191">
        <v>12</v>
      </c>
      <c r="K34" s="371">
        <v>43612</v>
      </c>
      <c r="L34" s="401">
        <v>43712</v>
      </c>
      <c r="M34" s="420">
        <f t="shared" si="2"/>
        <v>17.3</v>
      </c>
      <c r="N34" s="420">
        <f t="shared" ref="N34:N66" si="3">_xlfn.DAYS(K34,I34)/30</f>
        <v>13.966666666666667</v>
      </c>
      <c r="O34" s="371"/>
      <c r="P34" s="435" t="s">
        <v>105</v>
      </c>
      <c r="Y34" s="183"/>
      <c r="Z34" s="430"/>
      <c r="AA34" s="183"/>
    </row>
    <row r="35" spans="1:27" ht="17" x14ac:dyDescent="0.2">
      <c r="A35" s="190">
        <v>31</v>
      </c>
      <c r="B35" s="190">
        <v>6</v>
      </c>
      <c r="C35" s="190">
        <v>190610</v>
      </c>
      <c r="D35" s="190" t="s">
        <v>103</v>
      </c>
      <c r="E35" s="190" t="s">
        <v>106</v>
      </c>
      <c r="F35" s="190"/>
      <c r="G35" s="228" t="s">
        <v>17</v>
      </c>
      <c r="H35" s="191" t="s">
        <v>42</v>
      </c>
      <c r="I35" s="237">
        <v>43193</v>
      </c>
      <c r="J35" s="191">
        <v>12</v>
      </c>
      <c r="K35" s="371">
        <v>43612</v>
      </c>
      <c r="L35" s="401">
        <v>43717</v>
      </c>
      <c r="M35" s="420">
        <f t="shared" si="2"/>
        <v>17.466666666666665</v>
      </c>
      <c r="N35" s="420">
        <f t="shared" si="3"/>
        <v>13.966666666666667</v>
      </c>
      <c r="O35" s="371"/>
      <c r="P35" s="435" t="s">
        <v>105</v>
      </c>
      <c r="Y35" s="1"/>
      <c r="Z35" s="1"/>
      <c r="AA35" s="1"/>
    </row>
    <row r="36" spans="1:27" ht="17" x14ac:dyDescent="0.2">
      <c r="A36" s="190">
        <v>32</v>
      </c>
      <c r="B36" s="192">
        <v>2</v>
      </c>
      <c r="C36" s="190">
        <v>190610</v>
      </c>
      <c r="D36" s="190" t="s">
        <v>103</v>
      </c>
      <c r="E36" s="190" t="s">
        <v>107</v>
      </c>
      <c r="F36" s="192"/>
      <c r="G36" s="228" t="s">
        <v>15</v>
      </c>
      <c r="H36" s="191" t="s">
        <v>42</v>
      </c>
      <c r="I36" s="237">
        <v>43193</v>
      </c>
      <c r="J36" s="191">
        <v>12</v>
      </c>
      <c r="K36" s="371">
        <v>43612</v>
      </c>
      <c r="L36" s="401">
        <v>43718</v>
      </c>
      <c r="M36" s="420">
        <f t="shared" si="2"/>
        <v>17.5</v>
      </c>
      <c r="N36" s="420">
        <f t="shared" si="3"/>
        <v>13.966666666666667</v>
      </c>
      <c r="O36" s="371"/>
      <c r="P36" s="435" t="s">
        <v>105</v>
      </c>
      <c r="Y36" s="1"/>
      <c r="Z36" s="1"/>
      <c r="AA36" s="1"/>
    </row>
    <row r="37" spans="1:27" ht="17" x14ac:dyDescent="0.2">
      <c r="A37" s="190">
        <v>33</v>
      </c>
      <c r="B37" s="192">
        <v>7</v>
      </c>
      <c r="C37" s="190">
        <v>190610</v>
      </c>
      <c r="D37" s="190" t="s">
        <v>103</v>
      </c>
      <c r="E37" s="190" t="s">
        <v>108</v>
      </c>
      <c r="F37" s="192"/>
      <c r="G37" s="228" t="s">
        <v>17</v>
      </c>
      <c r="H37" s="191" t="s">
        <v>42</v>
      </c>
      <c r="I37" s="237">
        <v>43193</v>
      </c>
      <c r="J37" s="191">
        <v>12</v>
      </c>
      <c r="K37" s="371">
        <v>43612</v>
      </c>
      <c r="L37" s="401">
        <v>43719</v>
      </c>
      <c r="M37" s="420">
        <f t="shared" si="2"/>
        <v>17.533333333333335</v>
      </c>
      <c r="N37" s="420">
        <f t="shared" si="3"/>
        <v>13.966666666666667</v>
      </c>
      <c r="O37" s="371"/>
      <c r="P37" s="435" t="s">
        <v>105</v>
      </c>
      <c r="Y37" s="1"/>
      <c r="Z37" s="431"/>
      <c r="AA37" s="1"/>
    </row>
    <row r="38" spans="1:27" ht="17" x14ac:dyDescent="0.2">
      <c r="A38" s="190">
        <v>34</v>
      </c>
      <c r="B38" s="192">
        <v>3</v>
      </c>
      <c r="C38" s="190">
        <v>190610</v>
      </c>
      <c r="D38" s="190" t="s">
        <v>103</v>
      </c>
      <c r="E38" s="190" t="s">
        <v>109</v>
      </c>
      <c r="F38" s="192"/>
      <c r="G38" s="228" t="s">
        <v>15</v>
      </c>
      <c r="H38" s="191" t="s">
        <v>42</v>
      </c>
      <c r="I38" s="237">
        <v>43193</v>
      </c>
      <c r="J38" s="191">
        <v>12</v>
      </c>
      <c r="K38" s="371">
        <v>43612</v>
      </c>
      <c r="L38" s="401">
        <v>43720</v>
      </c>
      <c r="M38" s="420">
        <f t="shared" si="2"/>
        <v>17.566666666666666</v>
      </c>
      <c r="N38" s="420">
        <f t="shared" si="3"/>
        <v>13.966666666666667</v>
      </c>
      <c r="O38" s="371"/>
      <c r="P38" s="435" t="s">
        <v>105</v>
      </c>
      <c r="Y38" s="1"/>
      <c r="Z38" s="1"/>
      <c r="AA38" s="1"/>
    </row>
    <row r="39" spans="1:27" ht="17" x14ac:dyDescent="0.2">
      <c r="A39" s="190">
        <v>35</v>
      </c>
      <c r="B39" s="192">
        <v>8</v>
      </c>
      <c r="C39" s="190">
        <v>190610</v>
      </c>
      <c r="D39" s="190" t="s">
        <v>103</v>
      </c>
      <c r="E39" s="190" t="s">
        <v>110</v>
      </c>
      <c r="F39" s="192"/>
      <c r="G39" s="228" t="s">
        <v>17</v>
      </c>
      <c r="H39" s="191" t="s">
        <v>42</v>
      </c>
      <c r="I39" s="237">
        <v>43193</v>
      </c>
      <c r="J39" s="191">
        <v>12</v>
      </c>
      <c r="K39" s="371">
        <v>43612</v>
      </c>
      <c r="L39" s="401">
        <v>43721</v>
      </c>
      <c r="M39" s="420">
        <f t="shared" si="2"/>
        <v>17.600000000000001</v>
      </c>
      <c r="N39" s="420">
        <f t="shared" si="3"/>
        <v>13.966666666666667</v>
      </c>
      <c r="O39" s="371"/>
      <c r="P39" s="435" t="s">
        <v>105</v>
      </c>
      <c r="Y39" s="1"/>
      <c r="Z39" s="1"/>
      <c r="AA39" s="1"/>
    </row>
    <row r="40" spans="1:27" ht="17" x14ac:dyDescent="0.2">
      <c r="A40" s="193">
        <v>36</v>
      </c>
      <c r="B40" s="193">
        <v>7</v>
      </c>
      <c r="C40" s="188">
        <v>190715</v>
      </c>
      <c r="D40" s="198" t="s">
        <v>69</v>
      </c>
      <c r="E40" s="188" t="s">
        <v>111</v>
      </c>
      <c r="F40" s="193"/>
      <c r="G40" s="224" t="s">
        <v>17</v>
      </c>
      <c r="H40" s="189" t="s">
        <v>43</v>
      </c>
      <c r="I40" s="238">
        <v>43246</v>
      </c>
      <c r="J40" s="189">
        <v>12</v>
      </c>
      <c r="K40" s="372">
        <v>43647</v>
      </c>
      <c r="L40" s="616">
        <v>43721</v>
      </c>
      <c r="M40" s="419"/>
      <c r="N40" s="419">
        <f t="shared" si="3"/>
        <v>13.366666666666667</v>
      </c>
      <c r="O40" s="227"/>
      <c r="P40" s="435" t="s">
        <v>105</v>
      </c>
      <c r="Y40" s="183"/>
      <c r="Z40" s="430"/>
      <c r="AA40" s="183"/>
    </row>
    <row r="41" spans="1:27" ht="17" x14ac:dyDescent="0.2">
      <c r="A41" s="193">
        <v>37</v>
      </c>
      <c r="B41" s="193">
        <v>6</v>
      </c>
      <c r="C41" s="188">
        <v>190715</v>
      </c>
      <c r="D41" s="198" t="s">
        <v>69</v>
      </c>
      <c r="E41" s="188" t="s">
        <v>112</v>
      </c>
      <c r="F41" s="193"/>
      <c r="G41" s="224" t="s">
        <v>15</v>
      </c>
      <c r="H41" s="189" t="s">
        <v>43</v>
      </c>
      <c r="I41" s="238">
        <v>43246</v>
      </c>
      <c r="J41" s="189">
        <v>12</v>
      </c>
      <c r="K41" s="372">
        <v>43647</v>
      </c>
      <c r="L41" s="616">
        <v>43721</v>
      </c>
      <c r="M41" s="419"/>
      <c r="N41" s="419">
        <f t="shared" si="3"/>
        <v>13.366666666666667</v>
      </c>
      <c r="O41" s="227"/>
      <c r="P41" s="435" t="s">
        <v>105</v>
      </c>
      <c r="Y41" s="183"/>
      <c r="Z41" s="1"/>
      <c r="AA41" s="183"/>
    </row>
    <row r="42" spans="1:27" ht="17" x14ac:dyDescent="0.2">
      <c r="A42" s="193">
        <v>38</v>
      </c>
      <c r="B42" s="193">
        <v>8</v>
      </c>
      <c r="C42" s="188">
        <v>190715</v>
      </c>
      <c r="D42" s="198" t="s">
        <v>69</v>
      </c>
      <c r="E42" s="188" t="s">
        <v>113</v>
      </c>
      <c r="F42" s="193"/>
      <c r="G42" s="224" t="s">
        <v>17</v>
      </c>
      <c r="H42" s="189" t="s">
        <v>43</v>
      </c>
      <c r="I42" s="238">
        <v>43246</v>
      </c>
      <c r="J42" s="189">
        <v>12</v>
      </c>
      <c r="K42" s="372">
        <v>43647</v>
      </c>
      <c r="L42" s="613"/>
      <c r="M42" s="419"/>
      <c r="N42" s="419">
        <f t="shared" si="3"/>
        <v>13.366666666666667</v>
      </c>
      <c r="O42" s="227"/>
      <c r="P42" s="435" t="s">
        <v>105</v>
      </c>
      <c r="Y42" s="183"/>
      <c r="Z42" s="1"/>
      <c r="AA42" s="183"/>
    </row>
    <row r="43" spans="1:27" ht="17" x14ac:dyDescent="0.2">
      <c r="A43" s="193">
        <v>39</v>
      </c>
      <c r="B43" s="193">
        <v>9</v>
      </c>
      <c r="C43" s="188">
        <v>190715</v>
      </c>
      <c r="D43" s="198" t="s">
        <v>69</v>
      </c>
      <c r="E43" s="188" t="s">
        <v>114</v>
      </c>
      <c r="F43" s="193"/>
      <c r="G43" s="224" t="s">
        <v>15</v>
      </c>
      <c r="H43" s="189" t="s">
        <v>43</v>
      </c>
      <c r="I43" s="238">
        <v>43246</v>
      </c>
      <c r="J43" s="189">
        <v>12</v>
      </c>
      <c r="K43" s="372">
        <v>43647</v>
      </c>
      <c r="L43" s="616">
        <v>43721</v>
      </c>
      <c r="M43" s="419"/>
      <c r="N43" s="419">
        <f t="shared" si="3"/>
        <v>13.366666666666667</v>
      </c>
      <c r="O43" s="227"/>
      <c r="P43" s="435" t="s">
        <v>105</v>
      </c>
      <c r="Y43" s="183"/>
      <c r="Z43" s="1"/>
      <c r="AA43" s="183"/>
    </row>
    <row r="44" spans="1:27" ht="17" x14ac:dyDescent="0.2">
      <c r="A44" s="193">
        <v>40</v>
      </c>
      <c r="B44" s="193">
        <v>10</v>
      </c>
      <c r="C44" s="188">
        <v>190715</v>
      </c>
      <c r="D44" s="198" t="s">
        <v>69</v>
      </c>
      <c r="E44" s="188" t="s">
        <v>115</v>
      </c>
      <c r="F44" s="193"/>
      <c r="G44" s="224" t="s">
        <v>15</v>
      </c>
      <c r="H44" s="189" t="s">
        <v>43</v>
      </c>
      <c r="I44" s="238">
        <v>43246</v>
      </c>
      <c r="J44" s="189">
        <v>12</v>
      </c>
      <c r="K44" s="372">
        <v>43647</v>
      </c>
      <c r="L44" s="616">
        <v>43721</v>
      </c>
      <c r="M44" s="419"/>
      <c r="N44" s="419">
        <f t="shared" si="3"/>
        <v>13.366666666666667</v>
      </c>
      <c r="O44" s="227"/>
      <c r="P44" s="435" t="s">
        <v>105</v>
      </c>
      <c r="Y44" s="183"/>
      <c r="Z44" s="1"/>
      <c r="AA44" s="183"/>
    </row>
    <row r="45" spans="1:27" ht="17" x14ac:dyDescent="0.2">
      <c r="A45" s="192">
        <v>41</v>
      </c>
      <c r="B45" s="192">
        <v>4</v>
      </c>
      <c r="C45" s="190">
        <v>190610</v>
      </c>
      <c r="D45" s="190" t="s">
        <v>103</v>
      </c>
      <c r="E45" s="190" t="s">
        <v>116</v>
      </c>
      <c r="F45" s="192"/>
      <c r="G45" s="228" t="s">
        <v>15</v>
      </c>
      <c r="H45" s="191" t="s">
        <v>42</v>
      </c>
      <c r="I45" s="237">
        <v>43193</v>
      </c>
      <c r="J45" s="191">
        <v>12</v>
      </c>
      <c r="K45" s="371">
        <v>43612</v>
      </c>
      <c r="L45" s="615"/>
      <c r="M45" s="420"/>
      <c r="N45" s="420">
        <f t="shared" si="3"/>
        <v>13.966666666666667</v>
      </c>
      <c r="O45" s="228"/>
      <c r="P45" s="435" t="s">
        <v>105</v>
      </c>
      <c r="Z45" s="1"/>
    </row>
    <row r="46" spans="1:27" ht="17" x14ac:dyDescent="0.2">
      <c r="A46" s="192">
        <v>42</v>
      </c>
      <c r="B46" s="192">
        <v>9</v>
      </c>
      <c r="C46" s="190">
        <v>190610</v>
      </c>
      <c r="D46" s="190" t="s">
        <v>103</v>
      </c>
      <c r="E46" s="190" t="s">
        <v>117</v>
      </c>
      <c r="F46" s="192"/>
      <c r="G46" s="228" t="s">
        <v>17</v>
      </c>
      <c r="H46" s="191" t="s">
        <v>42</v>
      </c>
      <c r="I46" s="237">
        <v>43193</v>
      </c>
      <c r="J46" s="191">
        <v>12</v>
      </c>
      <c r="K46" s="371">
        <v>43612</v>
      </c>
      <c r="L46" s="615"/>
      <c r="M46" s="420"/>
      <c r="N46" s="420">
        <f t="shared" si="3"/>
        <v>13.966666666666667</v>
      </c>
      <c r="O46" s="228"/>
      <c r="P46" s="435" t="s">
        <v>105</v>
      </c>
      <c r="Z46" s="1"/>
    </row>
    <row r="47" spans="1:27" ht="17" x14ac:dyDescent="0.2">
      <c r="A47" s="192">
        <v>43</v>
      </c>
      <c r="B47" s="192">
        <v>5</v>
      </c>
      <c r="C47" s="190">
        <v>190610</v>
      </c>
      <c r="D47" s="190" t="s">
        <v>103</v>
      </c>
      <c r="E47" s="190" t="s">
        <v>118</v>
      </c>
      <c r="F47" s="192"/>
      <c r="G47" s="228" t="s">
        <v>15</v>
      </c>
      <c r="H47" s="191" t="s">
        <v>42</v>
      </c>
      <c r="I47" s="237">
        <v>43193</v>
      </c>
      <c r="J47" s="191">
        <v>12</v>
      </c>
      <c r="K47" s="371">
        <v>43612</v>
      </c>
      <c r="L47" s="615"/>
      <c r="M47" s="420"/>
      <c r="N47" s="420">
        <f t="shared" si="3"/>
        <v>13.966666666666667</v>
      </c>
      <c r="O47" s="228"/>
      <c r="P47" s="435" t="s">
        <v>105</v>
      </c>
      <c r="Z47" s="1"/>
    </row>
    <row r="48" spans="1:27" ht="17" x14ac:dyDescent="0.2">
      <c r="A48" s="192">
        <v>44</v>
      </c>
      <c r="B48" s="192">
        <v>10</v>
      </c>
      <c r="C48" s="190">
        <v>190610</v>
      </c>
      <c r="D48" s="190" t="s">
        <v>103</v>
      </c>
      <c r="E48" s="190" t="s">
        <v>119</v>
      </c>
      <c r="F48" s="192"/>
      <c r="G48" s="228" t="s">
        <v>17</v>
      </c>
      <c r="H48" s="191" t="s">
        <v>42</v>
      </c>
      <c r="I48" s="237">
        <v>43193</v>
      </c>
      <c r="J48" s="191">
        <v>12</v>
      </c>
      <c r="K48" s="371">
        <v>43612</v>
      </c>
      <c r="L48" s="615"/>
      <c r="M48" s="420"/>
      <c r="N48" s="420">
        <f t="shared" si="3"/>
        <v>13.966666666666667</v>
      </c>
      <c r="O48" s="228"/>
      <c r="P48" s="435" t="s">
        <v>105</v>
      </c>
      <c r="Z48" s="1"/>
    </row>
    <row r="49" spans="1:26" ht="17" x14ac:dyDescent="0.2">
      <c r="A49" s="194">
        <v>45</v>
      </c>
      <c r="B49" s="194">
        <v>1</v>
      </c>
      <c r="C49" s="186">
        <v>190715</v>
      </c>
      <c r="D49" s="197" t="s">
        <v>69</v>
      </c>
      <c r="E49" s="186" t="s">
        <v>120</v>
      </c>
      <c r="F49" s="194"/>
      <c r="G49" s="236" t="s">
        <v>15</v>
      </c>
      <c r="H49" s="187" t="s">
        <v>41</v>
      </c>
      <c r="I49" s="239">
        <v>43216</v>
      </c>
      <c r="J49" s="187">
        <v>12</v>
      </c>
      <c r="K49" s="373">
        <v>43647</v>
      </c>
      <c r="L49" s="614"/>
      <c r="M49" s="424"/>
      <c r="N49" s="424">
        <f t="shared" si="3"/>
        <v>14.366666666666667</v>
      </c>
      <c r="O49" s="408"/>
      <c r="P49" s="435" t="s">
        <v>105</v>
      </c>
      <c r="Z49" s="1"/>
    </row>
    <row r="50" spans="1:26" ht="17" x14ac:dyDescent="0.2">
      <c r="A50" s="194">
        <v>46</v>
      </c>
      <c r="B50" s="194">
        <v>2</v>
      </c>
      <c r="C50" s="186">
        <v>190715</v>
      </c>
      <c r="D50" s="197" t="s">
        <v>69</v>
      </c>
      <c r="E50" s="186" t="s">
        <v>121</v>
      </c>
      <c r="F50" s="194"/>
      <c r="G50" s="236" t="s">
        <v>15</v>
      </c>
      <c r="H50" s="187" t="s">
        <v>41</v>
      </c>
      <c r="I50" s="239">
        <v>43216</v>
      </c>
      <c r="J50" s="187">
        <v>12</v>
      </c>
      <c r="K50" s="373">
        <v>43647</v>
      </c>
      <c r="L50" s="614"/>
      <c r="M50" s="424"/>
      <c r="N50" s="424">
        <f t="shared" si="3"/>
        <v>14.366666666666667</v>
      </c>
      <c r="O50" s="408"/>
      <c r="P50" s="435" t="s">
        <v>105</v>
      </c>
      <c r="Z50" s="1"/>
    </row>
    <row r="51" spans="1:26" ht="17" x14ac:dyDescent="0.2">
      <c r="A51" s="194">
        <v>47</v>
      </c>
      <c r="B51" s="194">
        <v>3</v>
      </c>
      <c r="C51" s="186">
        <v>190715</v>
      </c>
      <c r="D51" s="197" t="s">
        <v>69</v>
      </c>
      <c r="E51" s="186" t="s">
        <v>122</v>
      </c>
      <c r="F51" s="194"/>
      <c r="G51" s="236" t="s">
        <v>15</v>
      </c>
      <c r="H51" s="187" t="s">
        <v>41</v>
      </c>
      <c r="I51" s="239">
        <v>43216</v>
      </c>
      <c r="J51" s="187">
        <v>12</v>
      </c>
      <c r="K51" s="373">
        <v>43647</v>
      </c>
      <c r="L51" s="187" t="s">
        <v>95</v>
      </c>
      <c r="M51" s="424"/>
      <c r="N51" s="424">
        <f t="shared" si="3"/>
        <v>14.366666666666667</v>
      </c>
      <c r="O51" s="408"/>
      <c r="P51" s="435" t="s">
        <v>105</v>
      </c>
      <c r="Z51" s="1"/>
    </row>
    <row r="52" spans="1:26" ht="17" x14ac:dyDescent="0.2">
      <c r="A52" s="193">
        <v>48</v>
      </c>
      <c r="B52" s="193">
        <v>5</v>
      </c>
      <c r="C52" s="188">
        <v>190715</v>
      </c>
      <c r="D52" s="198" t="s">
        <v>69</v>
      </c>
      <c r="E52" s="188" t="s">
        <v>123</v>
      </c>
      <c r="F52" s="193"/>
      <c r="G52" s="224" t="s">
        <v>15</v>
      </c>
      <c r="H52" s="189" t="s">
        <v>43</v>
      </c>
      <c r="I52" s="238">
        <v>43246</v>
      </c>
      <c r="J52" s="189">
        <v>12</v>
      </c>
      <c r="K52" s="372">
        <v>43647</v>
      </c>
      <c r="L52" s="189" t="s">
        <v>95</v>
      </c>
      <c r="M52" s="419"/>
      <c r="N52" s="419">
        <f t="shared" si="3"/>
        <v>13.366666666666667</v>
      </c>
      <c r="O52" s="227"/>
      <c r="P52" s="435" t="s">
        <v>105</v>
      </c>
      <c r="Z52" s="1"/>
    </row>
    <row r="53" spans="1:26" ht="17" x14ac:dyDescent="0.2">
      <c r="A53" s="200">
        <v>49</v>
      </c>
      <c r="B53" s="200">
        <v>4</v>
      </c>
      <c r="C53" s="201">
        <v>190715</v>
      </c>
      <c r="D53" s="201" t="s">
        <v>69</v>
      </c>
      <c r="E53" s="201" t="s">
        <v>124</v>
      </c>
      <c r="F53" s="200"/>
      <c r="G53" s="261" t="s">
        <v>125</v>
      </c>
      <c r="H53" s="231" t="s">
        <v>44</v>
      </c>
      <c r="I53" s="240">
        <v>43180</v>
      </c>
      <c r="J53" s="231">
        <v>12</v>
      </c>
      <c r="K53" s="374">
        <v>43647</v>
      </c>
      <c r="L53" s="231" t="s">
        <v>95</v>
      </c>
      <c r="M53" s="425"/>
      <c r="N53" s="425">
        <f t="shared" si="3"/>
        <v>15.566666666666666</v>
      </c>
      <c r="O53" s="409"/>
      <c r="P53" s="435" t="s">
        <v>105</v>
      </c>
    </row>
    <row r="54" spans="1:26" ht="17" x14ac:dyDescent="0.2">
      <c r="A54" s="200">
        <v>50</v>
      </c>
      <c r="B54" s="200">
        <v>9</v>
      </c>
      <c r="C54" s="201">
        <v>190909</v>
      </c>
      <c r="D54" s="201" t="s">
        <v>69</v>
      </c>
      <c r="E54" s="201" t="s">
        <v>126</v>
      </c>
      <c r="F54" s="200"/>
      <c r="G54" s="261" t="s">
        <v>15</v>
      </c>
      <c r="H54" s="231" t="s">
        <v>44</v>
      </c>
      <c r="I54" s="240">
        <v>43180</v>
      </c>
      <c r="J54" s="231">
        <v>18</v>
      </c>
      <c r="K54" s="374">
        <v>43703</v>
      </c>
      <c r="L54" s="231" t="s">
        <v>95</v>
      </c>
      <c r="M54" s="425"/>
      <c r="N54" s="425">
        <f t="shared" si="3"/>
        <v>17.433333333333334</v>
      </c>
      <c r="O54" s="409"/>
      <c r="P54" s="432" t="s">
        <v>71</v>
      </c>
    </row>
    <row r="55" spans="1:26" ht="17" x14ac:dyDescent="0.2">
      <c r="A55" s="194">
        <v>51</v>
      </c>
      <c r="B55" s="194">
        <v>10</v>
      </c>
      <c r="C55" s="186">
        <v>190909</v>
      </c>
      <c r="D55" s="197" t="s">
        <v>69</v>
      </c>
      <c r="E55" s="186" t="s">
        <v>127</v>
      </c>
      <c r="F55" s="194"/>
      <c r="G55" s="236" t="s">
        <v>15</v>
      </c>
      <c r="H55" s="187" t="s">
        <v>41</v>
      </c>
      <c r="I55" s="239">
        <v>43216</v>
      </c>
      <c r="J55" s="187">
        <v>18</v>
      </c>
      <c r="K55" s="373">
        <v>43703</v>
      </c>
      <c r="L55" s="187" t="s">
        <v>95</v>
      </c>
      <c r="M55" s="424"/>
      <c r="N55" s="424">
        <f t="shared" si="3"/>
        <v>16.233333333333334</v>
      </c>
      <c r="O55" s="408"/>
      <c r="P55" s="432" t="s">
        <v>71</v>
      </c>
    </row>
    <row r="56" spans="1:26" ht="17" x14ac:dyDescent="0.2">
      <c r="A56" s="194">
        <v>52</v>
      </c>
      <c r="B56" s="194">
        <v>11</v>
      </c>
      <c r="C56" s="186">
        <v>190909</v>
      </c>
      <c r="D56" s="197" t="s">
        <v>69</v>
      </c>
      <c r="E56" s="186" t="s">
        <v>128</v>
      </c>
      <c r="F56" s="194"/>
      <c r="G56" s="236" t="s">
        <v>125</v>
      </c>
      <c r="H56" s="187" t="s">
        <v>41</v>
      </c>
      <c r="I56" s="239">
        <v>43216</v>
      </c>
      <c r="J56" s="187">
        <v>18</v>
      </c>
      <c r="K56" s="373">
        <v>43703</v>
      </c>
      <c r="L56" s="187" t="s">
        <v>95</v>
      </c>
      <c r="M56" s="424"/>
      <c r="N56" s="424">
        <f t="shared" si="3"/>
        <v>16.233333333333334</v>
      </c>
      <c r="O56" s="408"/>
      <c r="P56" s="432" t="s">
        <v>71</v>
      </c>
    </row>
    <row r="57" spans="1:26" ht="17" x14ac:dyDescent="0.2">
      <c r="A57" s="194">
        <v>53</v>
      </c>
      <c r="B57" s="194">
        <v>12</v>
      </c>
      <c r="C57" s="186">
        <v>190909</v>
      </c>
      <c r="D57" s="197" t="s">
        <v>69</v>
      </c>
      <c r="E57" s="186" t="s">
        <v>129</v>
      </c>
      <c r="F57" s="194"/>
      <c r="G57" s="236" t="s">
        <v>125</v>
      </c>
      <c r="H57" s="187" t="s">
        <v>41</v>
      </c>
      <c r="I57" s="239">
        <v>43216</v>
      </c>
      <c r="J57" s="187">
        <v>18</v>
      </c>
      <c r="K57" s="373">
        <v>43703</v>
      </c>
      <c r="L57" s="187" t="s">
        <v>95</v>
      </c>
      <c r="M57" s="424"/>
      <c r="N57" s="424">
        <f t="shared" si="3"/>
        <v>16.233333333333334</v>
      </c>
      <c r="O57" s="408"/>
      <c r="P57" s="432" t="s">
        <v>71</v>
      </c>
    </row>
    <row r="58" spans="1:26" ht="17" x14ac:dyDescent="0.2">
      <c r="A58" s="194">
        <v>54</v>
      </c>
      <c r="B58" s="194">
        <v>13</v>
      </c>
      <c r="C58" s="186">
        <v>190909</v>
      </c>
      <c r="D58" s="197" t="s">
        <v>69</v>
      </c>
      <c r="E58" s="186" t="s">
        <v>130</v>
      </c>
      <c r="F58" s="194"/>
      <c r="G58" s="236" t="s">
        <v>15</v>
      </c>
      <c r="H58" s="187" t="s">
        <v>41</v>
      </c>
      <c r="I58" s="239">
        <v>43216</v>
      </c>
      <c r="J58" s="187">
        <v>18</v>
      </c>
      <c r="K58" s="373">
        <v>43703</v>
      </c>
      <c r="L58" s="187" t="s">
        <v>95</v>
      </c>
      <c r="M58" s="424"/>
      <c r="N58" s="424">
        <f t="shared" si="3"/>
        <v>16.233333333333334</v>
      </c>
      <c r="O58" s="408"/>
      <c r="P58" s="432" t="s">
        <v>71</v>
      </c>
    </row>
    <row r="59" spans="1:26" ht="17" x14ac:dyDescent="0.2">
      <c r="A59" s="194">
        <v>55</v>
      </c>
      <c r="B59" s="194">
        <v>14</v>
      </c>
      <c r="C59" s="186">
        <v>190909</v>
      </c>
      <c r="D59" s="197" t="s">
        <v>69</v>
      </c>
      <c r="E59" s="186" t="s">
        <v>131</v>
      </c>
      <c r="F59" s="194"/>
      <c r="G59" s="236" t="s">
        <v>125</v>
      </c>
      <c r="H59" s="187" t="s">
        <v>41</v>
      </c>
      <c r="I59" s="239">
        <v>43216</v>
      </c>
      <c r="J59" s="187">
        <v>18</v>
      </c>
      <c r="K59" s="373">
        <v>43703</v>
      </c>
      <c r="L59" s="187" t="s">
        <v>95</v>
      </c>
      <c r="M59" s="424"/>
      <c r="N59" s="424">
        <f t="shared" si="3"/>
        <v>16.233333333333334</v>
      </c>
      <c r="O59" s="408"/>
      <c r="P59" s="432" t="s">
        <v>71</v>
      </c>
    </row>
    <row r="60" spans="1:26" ht="17" x14ac:dyDescent="0.2">
      <c r="A60" s="193">
        <v>56</v>
      </c>
      <c r="B60" s="193">
        <v>7</v>
      </c>
      <c r="C60" s="188">
        <v>191028</v>
      </c>
      <c r="D60" s="188" t="s">
        <v>103</v>
      </c>
      <c r="E60" s="188" t="s">
        <v>132</v>
      </c>
      <c r="F60" s="193"/>
      <c r="G60" s="224" t="s">
        <v>15</v>
      </c>
      <c r="H60" s="189" t="s">
        <v>43</v>
      </c>
      <c r="I60" s="238">
        <v>43216</v>
      </c>
      <c r="J60" s="189">
        <v>18</v>
      </c>
      <c r="K60" s="372">
        <v>43752</v>
      </c>
      <c r="L60" s="189" t="s">
        <v>95</v>
      </c>
      <c r="M60" s="419"/>
      <c r="N60" s="419">
        <f t="shared" si="3"/>
        <v>17.866666666666667</v>
      </c>
      <c r="O60" s="227"/>
      <c r="P60" s="432" t="s">
        <v>71</v>
      </c>
    </row>
    <row r="61" spans="1:26" ht="17" x14ac:dyDescent="0.2">
      <c r="A61" s="193">
        <v>57</v>
      </c>
      <c r="B61" s="193">
        <v>3</v>
      </c>
      <c r="C61" s="188">
        <v>191028</v>
      </c>
      <c r="D61" s="188" t="s">
        <v>103</v>
      </c>
      <c r="E61" s="188" t="s">
        <v>133</v>
      </c>
      <c r="F61" s="193"/>
      <c r="G61" s="224" t="s">
        <v>17</v>
      </c>
      <c r="H61" s="189" t="s">
        <v>43</v>
      </c>
      <c r="I61" s="238">
        <v>43216</v>
      </c>
      <c r="J61" s="189">
        <v>18</v>
      </c>
      <c r="K61" s="372">
        <v>43752</v>
      </c>
      <c r="L61" s="189" t="s">
        <v>95</v>
      </c>
      <c r="M61" s="419"/>
      <c r="N61" s="419">
        <f t="shared" si="3"/>
        <v>17.866666666666667</v>
      </c>
      <c r="O61" s="227"/>
      <c r="P61" s="432" t="s">
        <v>71</v>
      </c>
    </row>
    <row r="62" spans="1:26" ht="17" x14ac:dyDescent="0.2">
      <c r="A62" s="193">
        <v>58</v>
      </c>
      <c r="B62" s="193">
        <v>6</v>
      </c>
      <c r="C62" s="188">
        <v>191028</v>
      </c>
      <c r="D62" s="188" t="s">
        <v>103</v>
      </c>
      <c r="E62" s="188" t="s">
        <v>134</v>
      </c>
      <c r="F62" s="193"/>
      <c r="G62" s="224" t="s">
        <v>15</v>
      </c>
      <c r="H62" s="189" t="s">
        <v>43</v>
      </c>
      <c r="I62" s="238">
        <v>43216</v>
      </c>
      <c r="J62" s="189">
        <v>18</v>
      </c>
      <c r="K62" s="372">
        <v>43752</v>
      </c>
      <c r="L62" s="189" t="s">
        <v>95</v>
      </c>
      <c r="M62" s="419"/>
      <c r="N62" s="419">
        <f t="shared" si="3"/>
        <v>17.866666666666667</v>
      </c>
      <c r="O62" s="227"/>
      <c r="P62" s="432" t="s">
        <v>71</v>
      </c>
    </row>
    <row r="63" spans="1:26" ht="17" x14ac:dyDescent="0.2">
      <c r="A63" s="193">
        <v>59</v>
      </c>
      <c r="B63" s="193">
        <v>4</v>
      </c>
      <c r="C63" s="188">
        <v>191028</v>
      </c>
      <c r="D63" s="188" t="s">
        <v>103</v>
      </c>
      <c r="E63" s="188" t="s">
        <v>135</v>
      </c>
      <c r="F63" s="193"/>
      <c r="G63" s="224" t="s">
        <v>17</v>
      </c>
      <c r="H63" s="189" t="s">
        <v>43</v>
      </c>
      <c r="I63" s="238">
        <v>43216</v>
      </c>
      <c r="J63" s="189">
        <v>18</v>
      </c>
      <c r="K63" s="372">
        <v>43752</v>
      </c>
      <c r="L63" s="189" t="s">
        <v>95</v>
      </c>
      <c r="M63" s="419"/>
      <c r="N63" s="419">
        <f t="shared" si="3"/>
        <v>17.866666666666667</v>
      </c>
      <c r="O63" s="227"/>
      <c r="P63" s="432" t="s">
        <v>71</v>
      </c>
    </row>
    <row r="64" spans="1:26" ht="17" x14ac:dyDescent="0.2">
      <c r="A64" s="193">
        <v>60</v>
      </c>
      <c r="B64" s="193">
        <v>5</v>
      </c>
      <c r="C64" s="188">
        <v>191028</v>
      </c>
      <c r="D64" s="188" t="s">
        <v>103</v>
      </c>
      <c r="E64" s="188" t="s">
        <v>136</v>
      </c>
      <c r="F64" s="193"/>
      <c r="G64" s="224" t="s">
        <v>17</v>
      </c>
      <c r="H64" s="189" t="s">
        <v>43</v>
      </c>
      <c r="I64" s="238">
        <v>43216</v>
      </c>
      <c r="J64" s="189">
        <v>18</v>
      </c>
      <c r="K64" s="372">
        <v>43752</v>
      </c>
      <c r="L64" s="189" t="s">
        <v>95</v>
      </c>
      <c r="M64" s="419"/>
      <c r="N64" s="419">
        <f t="shared" si="3"/>
        <v>17.866666666666667</v>
      </c>
      <c r="O64" s="227"/>
      <c r="P64" s="432" t="s">
        <v>71</v>
      </c>
    </row>
    <row r="65" spans="1:16" ht="16" x14ac:dyDescent="0.2">
      <c r="A65" s="206"/>
      <c r="B65" s="206"/>
      <c r="C65" s="206"/>
      <c r="D65" s="206"/>
      <c r="E65" s="206"/>
      <c r="F65" s="206"/>
      <c r="G65" s="217"/>
      <c r="H65" s="232"/>
      <c r="I65" s="217"/>
      <c r="J65" s="232"/>
      <c r="K65" s="358"/>
      <c r="L65" s="232"/>
      <c r="M65" s="421"/>
      <c r="N65" s="422">
        <f t="shared" si="3"/>
        <v>0</v>
      </c>
      <c r="O65" s="358"/>
      <c r="P65" s="433"/>
    </row>
    <row r="66" spans="1:16" ht="16" x14ac:dyDescent="0.2">
      <c r="A66" s="204">
        <v>61</v>
      </c>
      <c r="B66" s="204"/>
      <c r="C66" s="204" t="s">
        <v>8</v>
      </c>
      <c r="D66" s="204" t="s">
        <v>69</v>
      </c>
      <c r="E66" s="204" t="s">
        <v>137</v>
      </c>
      <c r="F66" s="264">
        <v>1253168</v>
      </c>
      <c r="G66" s="218" t="s">
        <v>17</v>
      </c>
      <c r="H66" s="205" t="s">
        <v>22</v>
      </c>
      <c r="I66" s="242">
        <v>43584</v>
      </c>
      <c r="J66" s="354">
        <v>18</v>
      </c>
      <c r="K66" s="361">
        <v>44130</v>
      </c>
      <c r="L66" s="402" t="s">
        <v>138</v>
      </c>
      <c r="M66" s="426"/>
      <c r="N66" s="426">
        <f t="shared" si="3"/>
        <v>18.2</v>
      </c>
      <c r="O66" s="410"/>
      <c r="P66" s="432" t="s">
        <v>71</v>
      </c>
    </row>
    <row r="67" spans="1:16" ht="16" x14ac:dyDescent="0.2">
      <c r="A67" s="204">
        <v>62</v>
      </c>
      <c r="B67" s="204"/>
      <c r="C67" s="204" t="s">
        <v>8</v>
      </c>
      <c r="D67" s="204" t="s">
        <v>69</v>
      </c>
      <c r="E67" s="204" t="s">
        <v>139</v>
      </c>
      <c r="F67" s="265">
        <v>1253168</v>
      </c>
      <c r="G67" s="218" t="s">
        <v>17</v>
      </c>
      <c r="H67" s="205" t="s">
        <v>22</v>
      </c>
      <c r="I67" s="243">
        <v>43689</v>
      </c>
      <c r="J67" s="354">
        <v>18</v>
      </c>
      <c r="K67" s="361">
        <v>44130</v>
      </c>
      <c r="L67" s="402" t="s">
        <v>138</v>
      </c>
      <c r="M67" s="426"/>
      <c r="N67" s="426">
        <f t="shared" ref="N67:N130" si="4">_xlfn.DAYS(K67,I67)/30</f>
        <v>14.7</v>
      </c>
      <c r="O67" s="410"/>
      <c r="P67" s="432" t="s">
        <v>71</v>
      </c>
    </row>
    <row r="68" spans="1:16" ht="16" x14ac:dyDescent="0.2">
      <c r="A68" s="204">
        <v>63</v>
      </c>
      <c r="B68" s="204"/>
      <c r="C68" s="204" t="s">
        <v>8</v>
      </c>
      <c r="D68" s="204" t="s">
        <v>69</v>
      </c>
      <c r="E68" s="204" t="s">
        <v>140</v>
      </c>
      <c r="F68" s="265">
        <v>1299775</v>
      </c>
      <c r="G68" s="218" t="s">
        <v>15</v>
      </c>
      <c r="H68" s="205" t="s">
        <v>22</v>
      </c>
      <c r="I68" s="243">
        <v>43799</v>
      </c>
      <c r="J68" s="354">
        <v>18</v>
      </c>
      <c r="K68" s="361">
        <v>44130</v>
      </c>
      <c r="L68" s="402" t="s">
        <v>138</v>
      </c>
      <c r="M68" s="426"/>
      <c r="N68" s="426">
        <f t="shared" si="4"/>
        <v>11.033333333333333</v>
      </c>
      <c r="O68" s="410"/>
      <c r="P68" s="432" t="s">
        <v>71</v>
      </c>
    </row>
    <row r="69" spans="1:16" ht="16" x14ac:dyDescent="0.2">
      <c r="A69" s="204">
        <v>64</v>
      </c>
      <c r="B69" s="204"/>
      <c r="C69" s="204" t="s">
        <v>8</v>
      </c>
      <c r="D69" s="204" t="s">
        <v>69</v>
      </c>
      <c r="E69" s="204" t="s">
        <v>141</v>
      </c>
      <c r="F69" s="265">
        <v>1299775</v>
      </c>
      <c r="G69" s="218" t="s">
        <v>15</v>
      </c>
      <c r="H69" s="205" t="s">
        <v>22</v>
      </c>
      <c r="I69" s="243">
        <v>43584</v>
      </c>
      <c r="J69" s="354">
        <v>18</v>
      </c>
      <c r="K69" s="361">
        <v>44130</v>
      </c>
      <c r="L69" s="402" t="s">
        <v>138</v>
      </c>
      <c r="M69" s="426"/>
      <c r="N69" s="426">
        <f t="shared" si="4"/>
        <v>18.2</v>
      </c>
      <c r="O69" s="410"/>
      <c r="P69" s="432" t="s">
        <v>71</v>
      </c>
    </row>
    <row r="70" spans="1:16" ht="16" x14ac:dyDescent="0.2">
      <c r="A70" s="204">
        <v>65</v>
      </c>
      <c r="B70" s="204"/>
      <c r="C70" s="204" t="s">
        <v>8</v>
      </c>
      <c r="D70" s="204" t="s">
        <v>69</v>
      </c>
      <c r="E70" s="204" t="s">
        <v>142</v>
      </c>
      <c r="F70" s="265">
        <v>1299782</v>
      </c>
      <c r="G70" s="218" t="s">
        <v>17</v>
      </c>
      <c r="H70" s="205" t="s">
        <v>143</v>
      </c>
      <c r="I70" s="243">
        <v>43838</v>
      </c>
      <c r="J70" s="354">
        <v>18</v>
      </c>
      <c r="K70" s="361">
        <v>44130</v>
      </c>
      <c r="L70" s="402" t="s">
        <v>138</v>
      </c>
      <c r="M70" s="426"/>
      <c r="N70" s="426">
        <f t="shared" si="4"/>
        <v>9.7333333333333325</v>
      </c>
      <c r="O70" s="410"/>
      <c r="P70" s="432" t="s">
        <v>71</v>
      </c>
    </row>
    <row r="71" spans="1:16" ht="16" x14ac:dyDescent="0.2">
      <c r="A71" s="204">
        <v>66</v>
      </c>
      <c r="B71" s="204"/>
      <c r="C71" s="204" t="s">
        <v>8</v>
      </c>
      <c r="D71" s="204" t="s">
        <v>69</v>
      </c>
      <c r="E71" s="204" t="s">
        <v>144</v>
      </c>
      <c r="F71" s="266">
        <v>1299782</v>
      </c>
      <c r="G71" s="218" t="s">
        <v>17</v>
      </c>
      <c r="H71" s="205" t="s">
        <v>143</v>
      </c>
      <c r="I71" s="244">
        <v>43838</v>
      </c>
      <c r="J71" s="354">
        <v>18</v>
      </c>
      <c r="K71" s="361">
        <v>44130</v>
      </c>
      <c r="L71" s="402" t="s">
        <v>138</v>
      </c>
      <c r="M71" s="426"/>
      <c r="N71" s="426">
        <f t="shared" si="4"/>
        <v>9.7333333333333325</v>
      </c>
      <c r="O71" s="410"/>
      <c r="P71" s="432" t="s">
        <v>71</v>
      </c>
    </row>
    <row r="72" spans="1:16" ht="16" x14ac:dyDescent="0.2">
      <c r="A72" s="206"/>
      <c r="B72" s="206"/>
      <c r="C72" s="206"/>
      <c r="D72" s="206"/>
      <c r="E72" s="206"/>
      <c r="F72" s="267"/>
      <c r="G72" s="219"/>
      <c r="H72" s="207"/>
      <c r="I72" s="245"/>
      <c r="J72" s="232"/>
      <c r="K72" s="358"/>
      <c r="L72" s="232"/>
      <c r="M72" s="421"/>
      <c r="N72" s="422">
        <f t="shared" si="4"/>
        <v>0</v>
      </c>
      <c r="O72" s="358"/>
      <c r="P72" s="433"/>
    </row>
    <row r="73" spans="1:16" ht="16" x14ac:dyDescent="0.2">
      <c r="A73" s="204">
        <v>67</v>
      </c>
      <c r="B73" s="204"/>
      <c r="C73" s="204" t="s">
        <v>13</v>
      </c>
      <c r="D73" s="204" t="s">
        <v>69</v>
      </c>
      <c r="E73" s="208" t="s">
        <v>145</v>
      </c>
      <c r="F73" s="268">
        <v>1275958</v>
      </c>
      <c r="G73" s="218" t="s">
        <v>15</v>
      </c>
      <c r="H73" s="205" t="s">
        <v>22</v>
      </c>
      <c r="I73" s="246">
        <v>43845</v>
      </c>
      <c r="J73" s="354">
        <v>12</v>
      </c>
      <c r="K73" s="361">
        <v>44214</v>
      </c>
      <c r="L73" s="403" t="s">
        <v>138</v>
      </c>
      <c r="M73" s="426"/>
      <c r="N73" s="426">
        <f t="shared" si="4"/>
        <v>12.3</v>
      </c>
      <c r="O73" s="411"/>
      <c r="P73" s="434" t="s">
        <v>14</v>
      </c>
    </row>
    <row r="74" spans="1:16" ht="16" x14ac:dyDescent="0.2">
      <c r="A74" s="204">
        <v>68</v>
      </c>
      <c r="B74" s="204"/>
      <c r="C74" s="204" t="s">
        <v>13</v>
      </c>
      <c r="D74" s="204" t="s">
        <v>69</v>
      </c>
      <c r="E74" s="208" t="s">
        <v>146</v>
      </c>
      <c r="F74" s="265">
        <v>1275958</v>
      </c>
      <c r="G74" s="218" t="s">
        <v>15</v>
      </c>
      <c r="H74" s="205" t="s">
        <v>22</v>
      </c>
      <c r="I74" s="243">
        <v>43845</v>
      </c>
      <c r="J74" s="354">
        <v>12</v>
      </c>
      <c r="K74" s="361">
        <v>44214</v>
      </c>
      <c r="L74" s="403" t="s">
        <v>138</v>
      </c>
      <c r="M74" s="426"/>
      <c r="N74" s="426">
        <f t="shared" si="4"/>
        <v>12.3</v>
      </c>
      <c r="O74" s="411"/>
      <c r="P74" s="434" t="s">
        <v>14</v>
      </c>
    </row>
    <row r="75" spans="1:16" ht="16" x14ac:dyDescent="0.2">
      <c r="A75" s="204">
        <v>69</v>
      </c>
      <c r="B75" s="204"/>
      <c r="C75" s="204" t="s">
        <v>13</v>
      </c>
      <c r="D75" s="204" t="s">
        <v>69</v>
      </c>
      <c r="E75" s="208" t="s">
        <v>147</v>
      </c>
      <c r="F75" s="265">
        <v>1275958</v>
      </c>
      <c r="G75" s="218" t="s">
        <v>15</v>
      </c>
      <c r="H75" s="205" t="s">
        <v>22</v>
      </c>
      <c r="I75" s="243">
        <v>43851</v>
      </c>
      <c r="J75" s="354">
        <v>12</v>
      </c>
      <c r="K75" s="361">
        <v>44214</v>
      </c>
      <c r="L75" s="403" t="s">
        <v>138</v>
      </c>
      <c r="M75" s="426"/>
      <c r="N75" s="426">
        <f t="shared" si="4"/>
        <v>12.1</v>
      </c>
      <c r="O75" s="411"/>
      <c r="P75" s="434" t="s">
        <v>14</v>
      </c>
    </row>
    <row r="76" spans="1:16" ht="16" x14ac:dyDescent="0.2">
      <c r="A76" s="204">
        <v>70</v>
      </c>
      <c r="B76" s="204"/>
      <c r="C76" s="204" t="s">
        <v>13</v>
      </c>
      <c r="D76" s="204" t="s">
        <v>69</v>
      </c>
      <c r="E76" s="208" t="s">
        <v>148</v>
      </c>
      <c r="F76" s="265">
        <v>1275948</v>
      </c>
      <c r="G76" s="218" t="s">
        <v>17</v>
      </c>
      <c r="H76" s="205" t="s">
        <v>22</v>
      </c>
      <c r="I76" s="243">
        <v>43845</v>
      </c>
      <c r="J76" s="354">
        <v>12</v>
      </c>
      <c r="K76" s="361">
        <v>44214</v>
      </c>
      <c r="L76" s="403" t="s">
        <v>138</v>
      </c>
      <c r="M76" s="426"/>
      <c r="N76" s="426">
        <f t="shared" si="4"/>
        <v>12.3</v>
      </c>
      <c r="O76" s="411"/>
      <c r="P76" s="434" t="s">
        <v>14</v>
      </c>
    </row>
    <row r="77" spans="1:16" ht="16" x14ac:dyDescent="0.2">
      <c r="A77" s="204">
        <v>71</v>
      </c>
      <c r="B77" s="204"/>
      <c r="C77" s="204" t="s">
        <v>13</v>
      </c>
      <c r="D77" s="204" t="s">
        <v>69</v>
      </c>
      <c r="E77" s="208" t="s">
        <v>149</v>
      </c>
      <c r="F77" s="265">
        <v>1275948</v>
      </c>
      <c r="G77" s="218" t="s">
        <v>17</v>
      </c>
      <c r="H77" s="205" t="s">
        <v>22</v>
      </c>
      <c r="I77" s="243">
        <v>43845</v>
      </c>
      <c r="J77" s="354">
        <v>12</v>
      </c>
      <c r="K77" s="361">
        <v>44214</v>
      </c>
      <c r="L77" s="402" t="s">
        <v>138</v>
      </c>
      <c r="M77" s="426"/>
      <c r="N77" s="426">
        <f t="shared" si="4"/>
        <v>12.3</v>
      </c>
      <c r="O77" s="410"/>
      <c r="P77" s="434" t="s">
        <v>14</v>
      </c>
    </row>
    <row r="78" spans="1:16" ht="16" x14ac:dyDescent="0.2">
      <c r="A78" s="204">
        <v>72</v>
      </c>
      <c r="B78" s="204"/>
      <c r="C78" s="204" t="s">
        <v>13</v>
      </c>
      <c r="D78" s="204" t="s">
        <v>69</v>
      </c>
      <c r="E78" s="208" t="s">
        <v>150</v>
      </c>
      <c r="F78" s="265">
        <v>1275948</v>
      </c>
      <c r="G78" s="218" t="s">
        <v>17</v>
      </c>
      <c r="H78" s="205" t="s">
        <v>22</v>
      </c>
      <c r="I78" s="243">
        <v>43845</v>
      </c>
      <c r="J78" s="354">
        <v>12</v>
      </c>
      <c r="K78" s="361">
        <v>44214</v>
      </c>
      <c r="L78" s="402" t="s">
        <v>138</v>
      </c>
      <c r="M78" s="426"/>
      <c r="N78" s="426">
        <f t="shared" si="4"/>
        <v>12.3</v>
      </c>
      <c r="O78" s="410"/>
      <c r="P78" s="434" t="s">
        <v>14</v>
      </c>
    </row>
    <row r="79" spans="1:16" ht="16" x14ac:dyDescent="0.2">
      <c r="A79" s="204">
        <v>73</v>
      </c>
      <c r="B79" s="204"/>
      <c r="C79" s="204" t="s">
        <v>13</v>
      </c>
      <c r="D79" s="204" t="s">
        <v>69</v>
      </c>
      <c r="E79" s="208" t="s">
        <v>151</v>
      </c>
      <c r="F79" s="265">
        <v>1299774</v>
      </c>
      <c r="G79" s="218" t="s">
        <v>17</v>
      </c>
      <c r="H79" s="205" t="s">
        <v>22</v>
      </c>
      <c r="I79" s="243">
        <v>43824</v>
      </c>
      <c r="J79" s="354">
        <v>12</v>
      </c>
      <c r="K79" s="361">
        <v>44214</v>
      </c>
      <c r="L79" s="402" t="s">
        <v>138</v>
      </c>
      <c r="M79" s="426"/>
      <c r="N79" s="426">
        <f t="shared" si="4"/>
        <v>13</v>
      </c>
      <c r="O79" s="410"/>
      <c r="P79" s="434" t="s">
        <v>14</v>
      </c>
    </row>
    <row r="80" spans="1:16" ht="16" x14ac:dyDescent="0.2">
      <c r="A80" s="204">
        <v>74</v>
      </c>
      <c r="B80" s="204"/>
      <c r="C80" s="204" t="s">
        <v>13</v>
      </c>
      <c r="D80" s="204" t="s">
        <v>69</v>
      </c>
      <c r="E80" s="208" t="s">
        <v>152</v>
      </c>
      <c r="F80" s="265">
        <v>1299774</v>
      </c>
      <c r="G80" s="218" t="s">
        <v>17</v>
      </c>
      <c r="H80" s="205" t="s">
        <v>22</v>
      </c>
      <c r="I80" s="243">
        <v>43824</v>
      </c>
      <c r="J80" s="354">
        <v>12</v>
      </c>
      <c r="K80" s="361">
        <v>44214</v>
      </c>
      <c r="L80" s="402" t="s">
        <v>138</v>
      </c>
      <c r="M80" s="426"/>
      <c r="N80" s="426">
        <f t="shared" si="4"/>
        <v>13</v>
      </c>
      <c r="O80" s="410"/>
      <c r="P80" s="434" t="s">
        <v>14</v>
      </c>
    </row>
    <row r="81" spans="1:16" ht="16" x14ac:dyDescent="0.2">
      <c r="A81" s="204">
        <v>75</v>
      </c>
      <c r="B81" s="204"/>
      <c r="C81" s="204" t="s">
        <v>13</v>
      </c>
      <c r="D81" s="204" t="s">
        <v>69</v>
      </c>
      <c r="E81" s="208" t="s">
        <v>153</v>
      </c>
      <c r="F81" s="265">
        <v>1299774</v>
      </c>
      <c r="G81" s="218" t="s">
        <v>17</v>
      </c>
      <c r="H81" s="205" t="s">
        <v>22</v>
      </c>
      <c r="I81" s="243">
        <v>43824</v>
      </c>
      <c r="J81" s="354">
        <v>12</v>
      </c>
      <c r="K81" s="361">
        <v>44214</v>
      </c>
      <c r="L81" s="402" t="s">
        <v>138</v>
      </c>
      <c r="M81" s="426"/>
      <c r="N81" s="426">
        <f t="shared" si="4"/>
        <v>13</v>
      </c>
      <c r="O81" s="410"/>
      <c r="P81" s="434" t="s">
        <v>14</v>
      </c>
    </row>
    <row r="82" spans="1:16" ht="16" x14ac:dyDescent="0.2">
      <c r="A82" s="204">
        <v>76</v>
      </c>
      <c r="B82" s="204"/>
      <c r="C82" s="204" t="s">
        <v>13</v>
      </c>
      <c r="D82" s="204" t="s">
        <v>69</v>
      </c>
      <c r="E82" s="208" t="s">
        <v>154</v>
      </c>
      <c r="F82" s="265">
        <v>1299774</v>
      </c>
      <c r="G82" s="218" t="s">
        <v>17</v>
      </c>
      <c r="H82" s="205" t="s">
        <v>22</v>
      </c>
      <c r="I82" s="243">
        <v>43824</v>
      </c>
      <c r="J82" s="354">
        <v>12</v>
      </c>
      <c r="K82" s="361">
        <v>44214</v>
      </c>
      <c r="L82" s="402" t="s">
        <v>138</v>
      </c>
      <c r="M82" s="426"/>
      <c r="N82" s="426">
        <f t="shared" si="4"/>
        <v>13</v>
      </c>
      <c r="O82" s="410"/>
      <c r="P82" s="434" t="s">
        <v>14</v>
      </c>
    </row>
    <row r="83" spans="1:16" ht="16" x14ac:dyDescent="0.2">
      <c r="A83" s="210">
        <v>77</v>
      </c>
      <c r="B83" s="210"/>
      <c r="C83" s="210" t="s">
        <v>13</v>
      </c>
      <c r="D83" s="210" t="s">
        <v>69</v>
      </c>
      <c r="E83" s="209" t="s">
        <v>155</v>
      </c>
      <c r="F83" s="225">
        <v>1312798</v>
      </c>
      <c r="G83" s="262" t="s">
        <v>17</v>
      </c>
      <c r="H83" s="110" t="s">
        <v>37</v>
      </c>
      <c r="I83" s="247">
        <v>43789</v>
      </c>
      <c r="J83" s="110">
        <v>12</v>
      </c>
      <c r="K83" s="362">
        <v>44214</v>
      </c>
      <c r="L83" s="404" t="s">
        <v>138</v>
      </c>
      <c r="M83" s="427"/>
      <c r="N83" s="427">
        <f t="shared" si="4"/>
        <v>14.166666666666666</v>
      </c>
      <c r="O83" s="412"/>
      <c r="P83" s="434" t="s">
        <v>14</v>
      </c>
    </row>
    <row r="84" spans="1:16" ht="16" x14ac:dyDescent="0.2">
      <c r="A84" s="210">
        <v>78</v>
      </c>
      <c r="B84" s="210"/>
      <c r="C84" s="210" t="s">
        <v>13</v>
      </c>
      <c r="D84" s="210" t="s">
        <v>69</v>
      </c>
      <c r="E84" s="209" t="s">
        <v>156</v>
      </c>
      <c r="F84" s="225">
        <v>1312798</v>
      </c>
      <c r="G84" s="262" t="s">
        <v>17</v>
      </c>
      <c r="H84" s="110" t="s">
        <v>37</v>
      </c>
      <c r="I84" s="247">
        <v>43808</v>
      </c>
      <c r="J84" s="110">
        <v>12</v>
      </c>
      <c r="K84" s="362">
        <v>44214</v>
      </c>
      <c r="L84" s="404" t="s">
        <v>138</v>
      </c>
      <c r="M84" s="427"/>
      <c r="N84" s="427">
        <f t="shared" si="4"/>
        <v>13.533333333333333</v>
      </c>
      <c r="O84" s="412"/>
      <c r="P84" s="434" t="s">
        <v>14</v>
      </c>
    </row>
    <row r="85" spans="1:16" ht="16" x14ac:dyDescent="0.2">
      <c r="A85" s="210">
        <v>79</v>
      </c>
      <c r="B85" s="210"/>
      <c r="C85" s="210" t="s">
        <v>13</v>
      </c>
      <c r="D85" s="210" t="s">
        <v>69</v>
      </c>
      <c r="E85" s="209" t="s">
        <v>157</v>
      </c>
      <c r="F85" s="269">
        <v>1343433</v>
      </c>
      <c r="G85" s="262" t="s">
        <v>15</v>
      </c>
      <c r="H85" s="110" t="s">
        <v>37</v>
      </c>
      <c r="I85" s="248">
        <v>43871</v>
      </c>
      <c r="J85" s="110">
        <v>12</v>
      </c>
      <c r="K85" s="362">
        <v>44214</v>
      </c>
      <c r="L85" s="404" t="s">
        <v>138</v>
      </c>
      <c r="M85" s="427"/>
      <c r="N85" s="427">
        <f t="shared" si="4"/>
        <v>11.433333333333334</v>
      </c>
      <c r="O85" s="412"/>
      <c r="P85" s="434" t="s">
        <v>14</v>
      </c>
    </row>
    <row r="86" spans="1:16" ht="16" x14ac:dyDescent="0.2">
      <c r="A86" s="210">
        <v>80</v>
      </c>
      <c r="B86" s="210"/>
      <c r="C86" s="210" t="s">
        <v>13</v>
      </c>
      <c r="D86" s="210" t="s">
        <v>69</v>
      </c>
      <c r="E86" s="211" t="s">
        <v>158</v>
      </c>
      <c r="F86" s="269">
        <v>1343433</v>
      </c>
      <c r="G86" s="226" t="s">
        <v>15</v>
      </c>
      <c r="H86" s="108" t="s">
        <v>37</v>
      </c>
      <c r="I86" s="248">
        <v>43811</v>
      </c>
      <c r="J86" s="110">
        <v>12</v>
      </c>
      <c r="K86" s="362">
        <v>44214</v>
      </c>
      <c r="L86" s="404" t="s">
        <v>138</v>
      </c>
      <c r="M86" s="427"/>
      <c r="N86" s="427">
        <f t="shared" si="4"/>
        <v>13.433333333333334</v>
      </c>
      <c r="O86" s="412"/>
      <c r="P86" s="434" t="s">
        <v>14</v>
      </c>
    </row>
    <row r="87" spans="1:16" ht="16" x14ac:dyDescent="0.2">
      <c r="A87" s="194">
        <v>81</v>
      </c>
      <c r="B87" s="194"/>
      <c r="C87" s="194" t="s">
        <v>13</v>
      </c>
      <c r="D87" s="194" t="s">
        <v>69</v>
      </c>
      <c r="E87" s="212" t="s">
        <v>159</v>
      </c>
      <c r="F87" s="270">
        <v>1198647</v>
      </c>
      <c r="G87" s="220" t="s">
        <v>17</v>
      </c>
      <c r="H87" s="109" t="s">
        <v>41</v>
      </c>
      <c r="I87" s="249">
        <v>43831</v>
      </c>
      <c r="J87" s="160">
        <v>12</v>
      </c>
      <c r="K87" s="363">
        <v>44214</v>
      </c>
      <c r="L87" s="405" t="s">
        <v>138</v>
      </c>
      <c r="M87" s="424"/>
      <c r="N87" s="424">
        <f t="shared" si="4"/>
        <v>12.766666666666667</v>
      </c>
      <c r="O87" s="413"/>
      <c r="P87" s="434" t="s">
        <v>14</v>
      </c>
    </row>
    <row r="88" spans="1:16" ht="16" x14ac:dyDescent="0.2">
      <c r="A88" s="194">
        <v>82</v>
      </c>
      <c r="B88" s="194"/>
      <c r="C88" s="194" t="s">
        <v>13</v>
      </c>
      <c r="D88" s="194" t="s">
        <v>69</v>
      </c>
      <c r="E88" s="212" t="s">
        <v>160</v>
      </c>
      <c r="F88" s="270">
        <v>1198647</v>
      </c>
      <c r="G88" s="220" t="s">
        <v>17</v>
      </c>
      <c r="H88" s="109" t="s">
        <v>41</v>
      </c>
      <c r="I88" s="249">
        <v>43831</v>
      </c>
      <c r="J88" s="160">
        <v>12</v>
      </c>
      <c r="K88" s="363">
        <v>44214</v>
      </c>
      <c r="L88" s="405" t="s">
        <v>138</v>
      </c>
      <c r="M88" s="424"/>
      <c r="N88" s="424">
        <f t="shared" si="4"/>
        <v>12.766666666666667</v>
      </c>
      <c r="O88" s="413"/>
      <c r="P88" s="434" t="s">
        <v>14</v>
      </c>
    </row>
    <row r="89" spans="1:16" ht="16" x14ac:dyDescent="0.2">
      <c r="A89" s="194">
        <v>83</v>
      </c>
      <c r="B89" s="194"/>
      <c r="C89" s="194" t="s">
        <v>13</v>
      </c>
      <c r="D89" s="194" t="s">
        <v>69</v>
      </c>
      <c r="E89" s="212" t="s">
        <v>161</v>
      </c>
      <c r="F89" s="270">
        <v>1275960</v>
      </c>
      <c r="G89" s="220" t="s">
        <v>17</v>
      </c>
      <c r="H89" s="109" t="s">
        <v>41</v>
      </c>
      <c r="I89" s="249">
        <v>43831</v>
      </c>
      <c r="J89" s="160">
        <v>12</v>
      </c>
      <c r="K89" s="363">
        <v>44214</v>
      </c>
      <c r="L89" s="405" t="s">
        <v>138</v>
      </c>
      <c r="M89" s="424"/>
      <c r="N89" s="424">
        <f t="shared" si="4"/>
        <v>12.766666666666667</v>
      </c>
      <c r="O89" s="413"/>
      <c r="P89" s="434" t="s">
        <v>14</v>
      </c>
    </row>
    <row r="90" spans="1:16" ht="16" x14ac:dyDescent="0.2">
      <c r="A90" s="194">
        <v>84</v>
      </c>
      <c r="B90" s="194"/>
      <c r="C90" s="194" t="s">
        <v>13</v>
      </c>
      <c r="D90" s="194" t="s">
        <v>69</v>
      </c>
      <c r="E90" s="212" t="s">
        <v>162</v>
      </c>
      <c r="F90" s="270">
        <v>1275960</v>
      </c>
      <c r="G90" s="220" t="s">
        <v>17</v>
      </c>
      <c r="H90" s="109" t="s">
        <v>41</v>
      </c>
      <c r="I90" s="249">
        <v>43831</v>
      </c>
      <c r="J90" s="160">
        <v>12</v>
      </c>
      <c r="K90" s="363">
        <v>44214</v>
      </c>
      <c r="L90" s="405" t="s">
        <v>138</v>
      </c>
      <c r="M90" s="424"/>
      <c r="N90" s="424">
        <f t="shared" si="4"/>
        <v>12.766666666666667</v>
      </c>
      <c r="O90" s="413"/>
      <c r="P90" s="434" t="s">
        <v>14</v>
      </c>
    </row>
    <row r="91" spans="1:16" ht="16" x14ac:dyDescent="0.2">
      <c r="A91" s="194">
        <v>85</v>
      </c>
      <c r="B91" s="194"/>
      <c r="C91" s="194" t="s">
        <v>13</v>
      </c>
      <c r="D91" s="194" t="s">
        <v>69</v>
      </c>
      <c r="E91" s="212" t="s">
        <v>163</v>
      </c>
      <c r="F91" s="270">
        <v>1275960</v>
      </c>
      <c r="G91" s="220" t="s">
        <v>17</v>
      </c>
      <c r="H91" s="109" t="s">
        <v>41</v>
      </c>
      <c r="I91" s="249">
        <v>43832</v>
      </c>
      <c r="J91" s="160">
        <v>12</v>
      </c>
      <c r="K91" s="363">
        <v>44214</v>
      </c>
      <c r="L91" s="405" t="s">
        <v>138</v>
      </c>
      <c r="M91" s="424"/>
      <c r="N91" s="424">
        <f t="shared" si="4"/>
        <v>12.733333333333333</v>
      </c>
      <c r="O91" s="413"/>
      <c r="P91" s="434" t="s">
        <v>14</v>
      </c>
    </row>
    <row r="92" spans="1:16" ht="16" x14ac:dyDescent="0.2">
      <c r="A92" s="194">
        <v>86</v>
      </c>
      <c r="B92" s="194"/>
      <c r="C92" s="194" t="s">
        <v>13</v>
      </c>
      <c r="D92" s="194" t="s">
        <v>69</v>
      </c>
      <c r="E92" s="212" t="s">
        <v>164</v>
      </c>
      <c r="F92" s="270">
        <v>1275960</v>
      </c>
      <c r="G92" s="220" t="s">
        <v>17</v>
      </c>
      <c r="H92" s="109" t="s">
        <v>41</v>
      </c>
      <c r="I92" s="249">
        <v>43832</v>
      </c>
      <c r="J92" s="160">
        <v>12</v>
      </c>
      <c r="K92" s="363">
        <v>44214</v>
      </c>
      <c r="L92" s="405" t="s">
        <v>138</v>
      </c>
      <c r="M92" s="424"/>
      <c r="N92" s="424">
        <f t="shared" si="4"/>
        <v>12.733333333333333</v>
      </c>
      <c r="O92" s="413"/>
      <c r="P92" s="434" t="s">
        <v>14</v>
      </c>
    </row>
    <row r="93" spans="1:16" ht="16" x14ac:dyDescent="0.2">
      <c r="A93" s="194">
        <v>87</v>
      </c>
      <c r="B93" s="194"/>
      <c r="C93" s="194" t="s">
        <v>13</v>
      </c>
      <c r="D93" s="194" t="s">
        <v>69</v>
      </c>
      <c r="E93" s="212" t="s">
        <v>165</v>
      </c>
      <c r="F93" s="270">
        <v>1275960</v>
      </c>
      <c r="G93" s="220" t="s">
        <v>17</v>
      </c>
      <c r="H93" s="109" t="s">
        <v>41</v>
      </c>
      <c r="I93" s="249">
        <v>43832</v>
      </c>
      <c r="J93" s="160">
        <v>12</v>
      </c>
      <c r="K93" s="363">
        <v>44214</v>
      </c>
      <c r="L93" s="405" t="s">
        <v>138</v>
      </c>
      <c r="M93" s="424"/>
      <c r="N93" s="424">
        <f t="shared" si="4"/>
        <v>12.733333333333333</v>
      </c>
      <c r="O93" s="413"/>
      <c r="P93" s="434" t="s">
        <v>14</v>
      </c>
    </row>
    <row r="94" spans="1:16" ht="16" x14ac:dyDescent="0.2">
      <c r="A94" s="194">
        <v>88</v>
      </c>
      <c r="B94" s="194"/>
      <c r="C94" s="194" t="s">
        <v>13</v>
      </c>
      <c r="D94" s="194" t="s">
        <v>69</v>
      </c>
      <c r="E94" s="212" t="s">
        <v>166</v>
      </c>
      <c r="F94" s="270">
        <v>1253158</v>
      </c>
      <c r="G94" s="220" t="s">
        <v>15</v>
      </c>
      <c r="H94" s="109" t="s">
        <v>41</v>
      </c>
      <c r="I94" s="249">
        <v>43832</v>
      </c>
      <c r="J94" s="160">
        <v>12</v>
      </c>
      <c r="K94" s="363">
        <v>44214</v>
      </c>
      <c r="L94" s="405" t="s">
        <v>138</v>
      </c>
      <c r="M94" s="424"/>
      <c r="N94" s="424">
        <f t="shared" si="4"/>
        <v>12.733333333333333</v>
      </c>
      <c r="O94" s="413"/>
      <c r="P94" s="434" t="s">
        <v>14</v>
      </c>
    </row>
    <row r="95" spans="1:16" ht="16" x14ac:dyDescent="0.2">
      <c r="A95" s="194">
        <v>89</v>
      </c>
      <c r="B95" s="194"/>
      <c r="C95" s="194" t="s">
        <v>13</v>
      </c>
      <c r="D95" s="194" t="s">
        <v>69</v>
      </c>
      <c r="E95" s="212" t="s">
        <v>167</v>
      </c>
      <c r="F95" s="270">
        <v>1253158</v>
      </c>
      <c r="G95" s="220" t="s">
        <v>15</v>
      </c>
      <c r="H95" s="109" t="s">
        <v>41</v>
      </c>
      <c r="I95" s="249">
        <v>43832</v>
      </c>
      <c r="J95" s="160">
        <v>12</v>
      </c>
      <c r="K95" s="363">
        <v>44214</v>
      </c>
      <c r="L95" s="405" t="s">
        <v>138</v>
      </c>
      <c r="M95" s="424"/>
      <c r="N95" s="424">
        <f t="shared" si="4"/>
        <v>12.733333333333333</v>
      </c>
      <c r="O95" s="413"/>
      <c r="P95" s="434" t="s">
        <v>14</v>
      </c>
    </row>
    <row r="96" spans="1:16" ht="16" x14ac:dyDescent="0.2">
      <c r="A96" s="194">
        <v>90</v>
      </c>
      <c r="B96" s="194"/>
      <c r="C96" s="194" t="s">
        <v>13</v>
      </c>
      <c r="D96" s="194" t="s">
        <v>69</v>
      </c>
      <c r="E96" s="212" t="s">
        <v>168</v>
      </c>
      <c r="F96" s="270">
        <v>1253152</v>
      </c>
      <c r="G96" s="220" t="s">
        <v>15</v>
      </c>
      <c r="H96" s="109" t="s">
        <v>41</v>
      </c>
      <c r="I96" s="249">
        <v>43831</v>
      </c>
      <c r="J96" s="160">
        <v>12</v>
      </c>
      <c r="K96" s="363">
        <v>44214</v>
      </c>
      <c r="L96" s="405" t="s">
        <v>138</v>
      </c>
      <c r="M96" s="424"/>
      <c r="N96" s="424">
        <f t="shared" si="4"/>
        <v>12.766666666666667</v>
      </c>
      <c r="O96" s="413"/>
      <c r="P96" s="434" t="s">
        <v>14</v>
      </c>
    </row>
    <row r="97" spans="1:16" ht="16" x14ac:dyDescent="0.2">
      <c r="A97" s="194">
        <v>91</v>
      </c>
      <c r="B97" s="194"/>
      <c r="C97" s="194" t="s">
        <v>13</v>
      </c>
      <c r="D97" s="194" t="s">
        <v>69</v>
      </c>
      <c r="E97" s="212" t="s">
        <v>169</v>
      </c>
      <c r="F97" s="270">
        <v>1253152</v>
      </c>
      <c r="G97" s="220" t="s">
        <v>15</v>
      </c>
      <c r="H97" s="109" t="s">
        <v>41</v>
      </c>
      <c r="I97" s="249">
        <v>43831</v>
      </c>
      <c r="J97" s="160">
        <v>12</v>
      </c>
      <c r="K97" s="363">
        <v>44214</v>
      </c>
      <c r="L97" s="405" t="s">
        <v>138</v>
      </c>
      <c r="M97" s="424"/>
      <c r="N97" s="424">
        <f t="shared" si="4"/>
        <v>12.766666666666667</v>
      </c>
      <c r="O97" s="413"/>
      <c r="P97" s="434" t="s">
        <v>14</v>
      </c>
    </row>
    <row r="98" spans="1:16" ht="16" x14ac:dyDescent="0.2">
      <c r="A98" s="194">
        <v>92</v>
      </c>
      <c r="B98" s="194"/>
      <c r="C98" s="194" t="s">
        <v>13</v>
      </c>
      <c r="D98" s="194" t="s">
        <v>69</v>
      </c>
      <c r="E98" s="212" t="s">
        <v>170</v>
      </c>
      <c r="F98" s="270">
        <v>1253152</v>
      </c>
      <c r="G98" s="220" t="s">
        <v>15</v>
      </c>
      <c r="H98" s="109" t="s">
        <v>41</v>
      </c>
      <c r="I98" s="249">
        <v>43831</v>
      </c>
      <c r="J98" s="160">
        <v>12</v>
      </c>
      <c r="K98" s="363">
        <v>44214</v>
      </c>
      <c r="L98" s="405" t="s">
        <v>138</v>
      </c>
      <c r="M98" s="424"/>
      <c r="N98" s="424">
        <f t="shared" si="4"/>
        <v>12.766666666666667</v>
      </c>
      <c r="O98" s="413"/>
      <c r="P98" s="434" t="s">
        <v>14</v>
      </c>
    </row>
    <row r="99" spans="1:16" ht="16" x14ac:dyDescent="0.2">
      <c r="A99" s="194">
        <v>93</v>
      </c>
      <c r="B99" s="194"/>
      <c r="C99" s="194" t="s">
        <v>13</v>
      </c>
      <c r="D99" s="194" t="s">
        <v>69</v>
      </c>
      <c r="E99" s="212" t="s">
        <v>171</v>
      </c>
      <c r="F99" s="271">
        <v>1253152</v>
      </c>
      <c r="G99" s="220" t="s">
        <v>15</v>
      </c>
      <c r="H99" s="109" t="s">
        <v>41</v>
      </c>
      <c r="I99" s="250">
        <v>43831</v>
      </c>
      <c r="J99" s="160">
        <v>12</v>
      </c>
      <c r="K99" s="363">
        <v>44214</v>
      </c>
      <c r="L99" s="405" t="s">
        <v>138</v>
      </c>
      <c r="M99" s="424"/>
      <c r="N99" s="424">
        <f t="shared" si="4"/>
        <v>12.766666666666667</v>
      </c>
      <c r="O99" s="413"/>
      <c r="P99" s="434" t="s">
        <v>14</v>
      </c>
    </row>
    <row r="100" spans="1:16" ht="16" x14ac:dyDescent="0.2">
      <c r="A100" s="206"/>
      <c r="B100" s="206"/>
      <c r="C100" s="206"/>
      <c r="D100" s="206"/>
      <c r="E100" s="206"/>
      <c r="F100" s="206"/>
      <c r="G100" s="217"/>
      <c r="H100" s="232"/>
      <c r="I100" s="217"/>
      <c r="J100" s="232"/>
      <c r="K100" s="358"/>
      <c r="L100" s="232"/>
      <c r="M100" s="421"/>
      <c r="N100" s="422">
        <f t="shared" si="4"/>
        <v>0</v>
      </c>
      <c r="O100" s="358"/>
      <c r="P100" s="433"/>
    </row>
    <row r="101" spans="1:16" ht="16" x14ac:dyDescent="0.2">
      <c r="A101" s="213">
        <v>94</v>
      </c>
      <c r="B101" s="213">
        <v>1</v>
      </c>
      <c r="C101" s="204" t="s">
        <v>18</v>
      </c>
      <c r="D101" s="204"/>
      <c r="E101" s="204" t="s">
        <v>172</v>
      </c>
      <c r="F101" s="272">
        <v>1362659</v>
      </c>
      <c r="G101" s="221" t="s">
        <v>17</v>
      </c>
      <c r="H101" s="16" t="s">
        <v>173</v>
      </c>
      <c r="I101" s="251">
        <v>43927</v>
      </c>
      <c r="J101" s="354">
        <v>12</v>
      </c>
      <c r="K101" s="361">
        <v>44298</v>
      </c>
      <c r="L101" s="354"/>
      <c r="M101" s="426"/>
      <c r="N101" s="426">
        <f t="shared" si="4"/>
        <v>12.366666666666667</v>
      </c>
      <c r="O101" s="293"/>
      <c r="P101" s="434" t="s">
        <v>14</v>
      </c>
    </row>
    <row r="102" spans="1:16" ht="16" x14ac:dyDescent="0.2">
      <c r="A102" s="213">
        <v>95</v>
      </c>
      <c r="B102" s="213">
        <f>1+B101</f>
        <v>2</v>
      </c>
      <c r="C102" s="204" t="s">
        <v>18</v>
      </c>
      <c r="D102" s="204"/>
      <c r="E102" s="204" t="s">
        <v>174</v>
      </c>
      <c r="F102" s="272">
        <v>1362659</v>
      </c>
      <c r="G102" s="221" t="s">
        <v>17</v>
      </c>
      <c r="H102" s="16" t="s">
        <v>173</v>
      </c>
      <c r="I102" s="251">
        <v>43927</v>
      </c>
      <c r="J102" s="354">
        <v>12</v>
      </c>
      <c r="K102" s="361">
        <v>44298</v>
      </c>
      <c r="L102" s="354"/>
      <c r="M102" s="426"/>
      <c r="N102" s="426">
        <f t="shared" si="4"/>
        <v>12.366666666666667</v>
      </c>
      <c r="O102" s="293"/>
      <c r="P102" s="434" t="s">
        <v>14</v>
      </c>
    </row>
    <row r="103" spans="1:16" ht="16" x14ac:dyDescent="0.2">
      <c r="A103" s="213">
        <v>96</v>
      </c>
      <c r="B103" s="213">
        <f t="shared" ref="B103:B129" si="5">1+B102</f>
        <v>3</v>
      </c>
      <c r="C103" s="204" t="s">
        <v>18</v>
      </c>
      <c r="D103" s="204"/>
      <c r="E103" s="204" t="s">
        <v>175</v>
      </c>
      <c r="F103" s="272" t="s">
        <v>176</v>
      </c>
      <c r="G103" s="221" t="s">
        <v>17</v>
      </c>
      <c r="H103" s="16" t="s">
        <v>173</v>
      </c>
      <c r="I103" s="251">
        <v>43950</v>
      </c>
      <c r="J103" s="354">
        <v>12</v>
      </c>
      <c r="K103" s="361">
        <v>44298</v>
      </c>
      <c r="L103" s="354"/>
      <c r="M103" s="426"/>
      <c r="N103" s="426">
        <f t="shared" si="4"/>
        <v>11.6</v>
      </c>
      <c r="O103" s="293"/>
      <c r="P103" s="434" t="s">
        <v>14</v>
      </c>
    </row>
    <row r="104" spans="1:16" ht="16" x14ac:dyDescent="0.2">
      <c r="A104" s="213">
        <v>97</v>
      </c>
      <c r="B104" s="213">
        <f t="shared" si="5"/>
        <v>4</v>
      </c>
      <c r="C104" s="204" t="s">
        <v>18</v>
      </c>
      <c r="D104" s="204"/>
      <c r="E104" s="204" t="s">
        <v>177</v>
      </c>
      <c r="F104" s="272" t="s">
        <v>176</v>
      </c>
      <c r="G104" s="221" t="s">
        <v>17</v>
      </c>
      <c r="H104" s="16" t="s">
        <v>173</v>
      </c>
      <c r="I104" s="251">
        <v>43927</v>
      </c>
      <c r="J104" s="354">
        <v>12</v>
      </c>
      <c r="K104" s="361">
        <v>44298</v>
      </c>
      <c r="L104" s="354"/>
      <c r="M104" s="426"/>
      <c r="N104" s="426">
        <f t="shared" si="4"/>
        <v>12.366666666666667</v>
      </c>
      <c r="O104" s="293"/>
      <c r="P104" s="434" t="s">
        <v>14</v>
      </c>
    </row>
    <row r="105" spans="1:16" ht="16" x14ac:dyDescent="0.2">
      <c r="A105" s="213">
        <v>98</v>
      </c>
      <c r="B105" s="213">
        <f t="shared" si="5"/>
        <v>5</v>
      </c>
      <c r="C105" s="204" t="s">
        <v>18</v>
      </c>
      <c r="D105" s="204"/>
      <c r="E105" s="204" t="s">
        <v>178</v>
      </c>
      <c r="F105" s="272">
        <v>1324361</v>
      </c>
      <c r="G105" s="221" t="s">
        <v>15</v>
      </c>
      <c r="H105" s="16" t="s">
        <v>173</v>
      </c>
      <c r="I105" s="251">
        <v>43936</v>
      </c>
      <c r="J105" s="354">
        <v>12</v>
      </c>
      <c r="K105" s="361">
        <v>44298</v>
      </c>
      <c r="L105" s="354"/>
      <c r="M105" s="426"/>
      <c r="N105" s="426">
        <f t="shared" si="4"/>
        <v>12.066666666666666</v>
      </c>
      <c r="O105" s="293"/>
      <c r="P105" s="435" t="s">
        <v>105</v>
      </c>
    </row>
    <row r="106" spans="1:16" ht="16" x14ac:dyDescent="0.2">
      <c r="A106" s="213">
        <v>99</v>
      </c>
      <c r="B106" s="213">
        <f t="shared" si="5"/>
        <v>6</v>
      </c>
      <c r="C106" s="204" t="s">
        <v>18</v>
      </c>
      <c r="D106" s="204"/>
      <c r="E106" s="204" t="s">
        <v>179</v>
      </c>
      <c r="F106" s="272">
        <v>1324361</v>
      </c>
      <c r="G106" s="221" t="s">
        <v>15</v>
      </c>
      <c r="H106" s="16" t="s">
        <v>173</v>
      </c>
      <c r="I106" s="251">
        <v>43936</v>
      </c>
      <c r="J106" s="354">
        <v>12</v>
      </c>
      <c r="K106" s="361">
        <v>44298</v>
      </c>
      <c r="L106" s="354"/>
      <c r="M106" s="426"/>
      <c r="N106" s="426">
        <f t="shared" si="4"/>
        <v>12.066666666666666</v>
      </c>
      <c r="O106" s="293"/>
      <c r="P106" s="435" t="s">
        <v>105</v>
      </c>
    </row>
    <row r="107" spans="1:16" ht="16" x14ac:dyDescent="0.2">
      <c r="A107" s="213">
        <v>100</v>
      </c>
      <c r="B107" s="213">
        <f t="shared" si="5"/>
        <v>7</v>
      </c>
      <c r="C107" s="204" t="s">
        <v>18</v>
      </c>
      <c r="D107" s="204"/>
      <c r="E107" s="204" t="s">
        <v>180</v>
      </c>
      <c r="F107" s="272">
        <v>1324361</v>
      </c>
      <c r="G107" s="221" t="s">
        <v>15</v>
      </c>
      <c r="H107" s="16" t="s">
        <v>173</v>
      </c>
      <c r="I107" s="251">
        <v>43936</v>
      </c>
      <c r="J107" s="354">
        <v>12</v>
      </c>
      <c r="K107" s="361">
        <v>44298</v>
      </c>
      <c r="L107" s="354"/>
      <c r="M107" s="426"/>
      <c r="N107" s="426">
        <f t="shared" si="4"/>
        <v>12.066666666666666</v>
      </c>
      <c r="O107" s="293"/>
      <c r="P107" s="435" t="s">
        <v>105</v>
      </c>
    </row>
    <row r="108" spans="1:16" ht="16" x14ac:dyDescent="0.2">
      <c r="A108" s="213">
        <v>101</v>
      </c>
      <c r="B108" s="213">
        <f t="shared" si="5"/>
        <v>8</v>
      </c>
      <c r="C108" s="204" t="s">
        <v>18</v>
      </c>
      <c r="D108" s="204"/>
      <c r="E108" s="204" t="s">
        <v>181</v>
      </c>
      <c r="F108" s="272">
        <v>1324361</v>
      </c>
      <c r="G108" s="221" t="s">
        <v>15</v>
      </c>
      <c r="H108" s="16" t="s">
        <v>173</v>
      </c>
      <c r="I108" s="251">
        <v>43936</v>
      </c>
      <c r="J108" s="354">
        <v>12</v>
      </c>
      <c r="K108" s="361">
        <v>44298</v>
      </c>
      <c r="L108" s="354"/>
      <c r="M108" s="426"/>
      <c r="N108" s="426">
        <f t="shared" si="4"/>
        <v>12.066666666666666</v>
      </c>
      <c r="O108" s="293"/>
      <c r="P108" s="435" t="s">
        <v>105</v>
      </c>
    </row>
    <row r="109" spans="1:16" ht="16" x14ac:dyDescent="0.2">
      <c r="A109" s="213">
        <v>102</v>
      </c>
      <c r="B109" s="213">
        <f t="shared" si="5"/>
        <v>9</v>
      </c>
      <c r="C109" s="204" t="s">
        <v>18</v>
      </c>
      <c r="D109" s="204"/>
      <c r="E109" s="204" t="s">
        <v>182</v>
      </c>
      <c r="F109" s="272">
        <v>1324349</v>
      </c>
      <c r="G109" s="221" t="s">
        <v>15</v>
      </c>
      <c r="H109" s="16" t="s">
        <v>173</v>
      </c>
      <c r="I109" s="251">
        <v>43942</v>
      </c>
      <c r="J109" s="354">
        <v>12</v>
      </c>
      <c r="K109" s="361">
        <v>44298</v>
      </c>
      <c r="L109" s="354"/>
      <c r="M109" s="426"/>
      <c r="N109" s="426">
        <f t="shared" si="4"/>
        <v>11.866666666666667</v>
      </c>
      <c r="O109" s="293"/>
      <c r="P109" s="434" t="s">
        <v>14</v>
      </c>
    </row>
    <row r="110" spans="1:16" ht="16" x14ac:dyDescent="0.2">
      <c r="A110" s="213">
        <v>103</v>
      </c>
      <c r="B110" s="213">
        <f t="shared" si="5"/>
        <v>10</v>
      </c>
      <c r="C110" s="204" t="s">
        <v>18</v>
      </c>
      <c r="D110" s="204"/>
      <c r="E110" s="204" t="s">
        <v>183</v>
      </c>
      <c r="F110" s="272">
        <v>1324349</v>
      </c>
      <c r="G110" s="221" t="s">
        <v>15</v>
      </c>
      <c r="H110" s="16" t="s">
        <v>173</v>
      </c>
      <c r="I110" s="251">
        <v>43942</v>
      </c>
      <c r="J110" s="354">
        <v>12</v>
      </c>
      <c r="K110" s="361">
        <v>44298</v>
      </c>
      <c r="L110" s="354"/>
      <c r="M110" s="426"/>
      <c r="N110" s="426">
        <f t="shared" si="4"/>
        <v>11.866666666666667</v>
      </c>
      <c r="O110" s="293"/>
      <c r="P110" s="434" t="s">
        <v>14</v>
      </c>
    </row>
    <row r="111" spans="1:16" ht="16" x14ac:dyDescent="0.2">
      <c r="A111" s="213">
        <v>104</v>
      </c>
      <c r="B111" s="213">
        <f t="shared" si="5"/>
        <v>11</v>
      </c>
      <c r="C111" s="204" t="s">
        <v>18</v>
      </c>
      <c r="D111" s="204"/>
      <c r="E111" s="204" t="s">
        <v>184</v>
      </c>
      <c r="F111" s="272">
        <v>1324349</v>
      </c>
      <c r="G111" s="221" t="s">
        <v>15</v>
      </c>
      <c r="H111" s="16" t="s">
        <v>173</v>
      </c>
      <c r="I111" s="251">
        <v>43942</v>
      </c>
      <c r="J111" s="354">
        <v>12</v>
      </c>
      <c r="K111" s="361">
        <v>44298</v>
      </c>
      <c r="L111" s="354"/>
      <c r="M111" s="426"/>
      <c r="N111" s="426">
        <f t="shared" si="4"/>
        <v>11.866666666666667</v>
      </c>
      <c r="O111" s="293"/>
      <c r="P111" s="434" t="s">
        <v>14</v>
      </c>
    </row>
    <row r="112" spans="1:16" ht="16" x14ac:dyDescent="0.2">
      <c r="A112" s="213">
        <v>105</v>
      </c>
      <c r="B112" s="213">
        <f t="shared" si="5"/>
        <v>12</v>
      </c>
      <c r="C112" s="204" t="s">
        <v>18</v>
      </c>
      <c r="D112" s="204"/>
      <c r="E112" s="204" t="s">
        <v>185</v>
      </c>
      <c r="F112" s="272">
        <v>1324349</v>
      </c>
      <c r="G112" s="221" t="s">
        <v>15</v>
      </c>
      <c r="H112" s="16" t="s">
        <v>173</v>
      </c>
      <c r="I112" s="251">
        <v>43942</v>
      </c>
      <c r="J112" s="354">
        <v>12</v>
      </c>
      <c r="K112" s="361">
        <v>44298</v>
      </c>
      <c r="L112" s="354"/>
      <c r="M112" s="426"/>
      <c r="N112" s="426">
        <f t="shared" si="4"/>
        <v>11.866666666666667</v>
      </c>
      <c r="O112" s="293"/>
      <c r="P112" s="434" t="s">
        <v>14</v>
      </c>
    </row>
    <row r="113" spans="1:16" ht="16" x14ac:dyDescent="0.2">
      <c r="A113" s="213">
        <v>106</v>
      </c>
      <c r="B113" s="213">
        <f t="shared" si="5"/>
        <v>13</v>
      </c>
      <c r="C113" s="204" t="s">
        <v>18</v>
      </c>
      <c r="D113" s="204"/>
      <c r="E113" s="204" t="s">
        <v>186</v>
      </c>
      <c r="F113" s="272">
        <v>1324350</v>
      </c>
      <c r="G113" s="221" t="s">
        <v>17</v>
      </c>
      <c r="H113" s="16" t="s">
        <v>173</v>
      </c>
      <c r="I113" s="251">
        <v>43942</v>
      </c>
      <c r="J113" s="354">
        <v>12</v>
      </c>
      <c r="K113" s="361">
        <v>44298</v>
      </c>
      <c r="L113" s="354"/>
      <c r="M113" s="426"/>
      <c r="N113" s="426">
        <f t="shared" si="4"/>
        <v>11.866666666666667</v>
      </c>
      <c r="O113" s="293"/>
      <c r="P113" s="432" t="s">
        <v>105</v>
      </c>
    </row>
    <row r="114" spans="1:16" ht="16" x14ac:dyDescent="0.2">
      <c r="A114" s="213">
        <v>107</v>
      </c>
      <c r="B114" s="213">
        <f t="shared" si="5"/>
        <v>14</v>
      </c>
      <c r="C114" s="204" t="s">
        <v>18</v>
      </c>
      <c r="D114" s="204"/>
      <c r="E114" s="204" t="s">
        <v>187</v>
      </c>
      <c r="F114" s="272">
        <v>1324350</v>
      </c>
      <c r="G114" s="221" t="s">
        <v>17</v>
      </c>
      <c r="H114" s="16" t="s">
        <v>173</v>
      </c>
      <c r="I114" s="251">
        <v>43942</v>
      </c>
      <c r="J114" s="354">
        <v>12</v>
      </c>
      <c r="K114" s="361">
        <v>44298</v>
      </c>
      <c r="L114" s="354"/>
      <c r="M114" s="426"/>
      <c r="N114" s="426">
        <f t="shared" si="4"/>
        <v>11.866666666666667</v>
      </c>
      <c r="O114" s="293"/>
      <c r="P114" s="432" t="s">
        <v>105</v>
      </c>
    </row>
    <row r="115" spans="1:16" ht="16" x14ac:dyDescent="0.2">
      <c r="A115" s="213">
        <v>108</v>
      </c>
      <c r="B115" s="213">
        <f t="shared" si="5"/>
        <v>15</v>
      </c>
      <c r="C115" s="204" t="s">
        <v>18</v>
      </c>
      <c r="D115" s="204"/>
      <c r="E115" s="204" t="s">
        <v>188</v>
      </c>
      <c r="F115" s="272">
        <v>1324350</v>
      </c>
      <c r="G115" s="221" t="s">
        <v>17</v>
      </c>
      <c r="H115" s="16" t="s">
        <v>173</v>
      </c>
      <c r="I115" s="251">
        <v>43942</v>
      </c>
      <c r="J115" s="354">
        <v>12</v>
      </c>
      <c r="K115" s="361">
        <v>44298</v>
      </c>
      <c r="L115" s="354"/>
      <c r="M115" s="426"/>
      <c r="N115" s="426">
        <f t="shared" si="4"/>
        <v>11.866666666666667</v>
      </c>
      <c r="O115" s="293"/>
      <c r="P115" s="432" t="s">
        <v>105</v>
      </c>
    </row>
    <row r="116" spans="1:16" ht="16" x14ac:dyDescent="0.2">
      <c r="A116" s="213">
        <v>109</v>
      </c>
      <c r="B116" s="213">
        <f t="shared" si="5"/>
        <v>16</v>
      </c>
      <c r="C116" s="204" t="s">
        <v>18</v>
      </c>
      <c r="D116" s="204"/>
      <c r="E116" s="204" t="s">
        <v>189</v>
      </c>
      <c r="F116" s="272">
        <v>1324350</v>
      </c>
      <c r="G116" s="221" t="s">
        <v>17</v>
      </c>
      <c r="H116" s="16" t="s">
        <v>173</v>
      </c>
      <c r="I116" s="251">
        <v>43942</v>
      </c>
      <c r="J116" s="354">
        <v>12</v>
      </c>
      <c r="K116" s="361">
        <v>44298</v>
      </c>
      <c r="L116" s="354"/>
      <c r="M116" s="426"/>
      <c r="N116" s="426">
        <f t="shared" si="4"/>
        <v>11.866666666666667</v>
      </c>
      <c r="O116" s="293"/>
      <c r="P116" s="432" t="s">
        <v>105</v>
      </c>
    </row>
    <row r="117" spans="1:16" ht="16" x14ac:dyDescent="0.2">
      <c r="A117" s="213">
        <v>110</v>
      </c>
      <c r="B117" s="213">
        <f t="shared" si="5"/>
        <v>17</v>
      </c>
      <c r="C117" s="204" t="s">
        <v>18</v>
      </c>
      <c r="D117" s="204"/>
      <c r="E117" s="204" t="s">
        <v>190</v>
      </c>
      <c r="F117" s="272">
        <v>1324350</v>
      </c>
      <c r="G117" s="221" t="s">
        <v>17</v>
      </c>
      <c r="H117" s="16" t="s">
        <v>173</v>
      </c>
      <c r="I117" s="251">
        <v>43950</v>
      </c>
      <c r="J117" s="354">
        <v>12</v>
      </c>
      <c r="K117" s="361">
        <v>44298</v>
      </c>
      <c r="L117" s="354"/>
      <c r="M117" s="426"/>
      <c r="N117" s="426">
        <f t="shared" si="4"/>
        <v>11.6</v>
      </c>
      <c r="O117" s="293"/>
      <c r="P117" s="432" t="s">
        <v>105</v>
      </c>
    </row>
    <row r="118" spans="1:16" ht="16" x14ac:dyDescent="0.2">
      <c r="A118" s="214">
        <v>111</v>
      </c>
      <c r="B118" s="214">
        <f t="shared" si="5"/>
        <v>18</v>
      </c>
      <c r="C118" s="210" t="s">
        <v>18</v>
      </c>
      <c r="D118" s="210"/>
      <c r="E118" s="210" t="s">
        <v>191</v>
      </c>
      <c r="F118" s="211">
        <v>1299771</v>
      </c>
      <c r="G118" s="222" t="s">
        <v>15</v>
      </c>
      <c r="H118" s="95" t="s">
        <v>37</v>
      </c>
      <c r="I118" s="252">
        <v>43949</v>
      </c>
      <c r="J118" s="110">
        <v>12</v>
      </c>
      <c r="K118" s="362">
        <v>44298</v>
      </c>
      <c r="L118" s="110"/>
      <c r="M118" s="427"/>
      <c r="N118" s="427">
        <f t="shared" si="4"/>
        <v>11.633333333333333</v>
      </c>
      <c r="O118" s="179"/>
      <c r="P118" s="434" t="s">
        <v>14</v>
      </c>
    </row>
    <row r="119" spans="1:16" ht="16" x14ac:dyDescent="0.2">
      <c r="A119" s="214">
        <v>112</v>
      </c>
      <c r="B119" s="214">
        <f t="shared" si="5"/>
        <v>19</v>
      </c>
      <c r="C119" s="210" t="s">
        <v>18</v>
      </c>
      <c r="D119" s="210"/>
      <c r="E119" s="210" t="s">
        <v>192</v>
      </c>
      <c r="F119" s="211">
        <v>1299771</v>
      </c>
      <c r="G119" s="222" t="s">
        <v>15</v>
      </c>
      <c r="H119" s="95" t="s">
        <v>37</v>
      </c>
      <c r="I119" s="252">
        <v>43949</v>
      </c>
      <c r="J119" s="110">
        <v>12</v>
      </c>
      <c r="K119" s="362">
        <v>44298</v>
      </c>
      <c r="L119" s="110"/>
      <c r="M119" s="427"/>
      <c r="N119" s="427">
        <f t="shared" si="4"/>
        <v>11.633333333333333</v>
      </c>
      <c r="O119" s="179"/>
      <c r="P119" s="434" t="s">
        <v>14</v>
      </c>
    </row>
    <row r="120" spans="1:16" ht="16" x14ac:dyDescent="0.2">
      <c r="A120" s="214">
        <v>113</v>
      </c>
      <c r="B120" s="214">
        <f t="shared" si="5"/>
        <v>20</v>
      </c>
      <c r="C120" s="210" t="s">
        <v>18</v>
      </c>
      <c r="D120" s="210"/>
      <c r="E120" s="210" t="s">
        <v>193</v>
      </c>
      <c r="F120" s="211">
        <v>1299771</v>
      </c>
      <c r="G120" s="222" t="s">
        <v>15</v>
      </c>
      <c r="H120" s="95" t="s">
        <v>37</v>
      </c>
      <c r="I120" s="252">
        <v>43949</v>
      </c>
      <c r="J120" s="110">
        <v>12</v>
      </c>
      <c r="K120" s="362">
        <v>44298</v>
      </c>
      <c r="L120" s="110"/>
      <c r="M120" s="427"/>
      <c r="N120" s="427">
        <f t="shared" si="4"/>
        <v>11.633333333333333</v>
      </c>
      <c r="O120" s="179"/>
      <c r="P120" s="434" t="s">
        <v>14</v>
      </c>
    </row>
    <row r="121" spans="1:16" ht="16" x14ac:dyDescent="0.2">
      <c r="A121" s="214">
        <v>114</v>
      </c>
      <c r="B121" s="214">
        <f t="shared" si="5"/>
        <v>21</v>
      </c>
      <c r="C121" s="210" t="s">
        <v>18</v>
      </c>
      <c r="D121" s="210"/>
      <c r="E121" s="210" t="s">
        <v>194</v>
      </c>
      <c r="F121" s="211">
        <v>1343452</v>
      </c>
      <c r="G121" s="222" t="s">
        <v>17</v>
      </c>
      <c r="H121" s="95" t="s">
        <v>37</v>
      </c>
      <c r="I121" s="252">
        <v>43949</v>
      </c>
      <c r="J121" s="110">
        <v>12</v>
      </c>
      <c r="K121" s="362">
        <v>44298</v>
      </c>
      <c r="L121" s="110"/>
      <c r="M121" s="427"/>
      <c r="N121" s="427">
        <f t="shared" si="4"/>
        <v>11.633333333333333</v>
      </c>
      <c r="O121" s="179"/>
      <c r="P121" s="434" t="s">
        <v>14</v>
      </c>
    </row>
    <row r="122" spans="1:16" ht="16" x14ac:dyDescent="0.2">
      <c r="A122" s="214">
        <v>115</v>
      </c>
      <c r="B122" s="214">
        <f t="shared" si="5"/>
        <v>22</v>
      </c>
      <c r="C122" s="210" t="s">
        <v>18</v>
      </c>
      <c r="D122" s="210"/>
      <c r="E122" s="210" t="s">
        <v>195</v>
      </c>
      <c r="F122" s="211">
        <v>1343452</v>
      </c>
      <c r="G122" s="222" t="s">
        <v>17</v>
      </c>
      <c r="H122" s="95" t="s">
        <v>37</v>
      </c>
      <c r="I122" s="252">
        <v>43900</v>
      </c>
      <c r="J122" s="110">
        <v>12</v>
      </c>
      <c r="K122" s="362">
        <v>44298</v>
      </c>
      <c r="L122" s="110"/>
      <c r="M122" s="427"/>
      <c r="N122" s="427">
        <f t="shared" si="4"/>
        <v>13.266666666666667</v>
      </c>
      <c r="O122" s="179"/>
      <c r="P122" s="434" t="s">
        <v>14</v>
      </c>
    </row>
    <row r="123" spans="1:16" ht="16" x14ac:dyDescent="0.2">
      <c r="A123" s="214">
        <v>116</v>
      </c>
      <c r="B123" s="214">
        <f t="shared" si="5"/>
        <v>23</v>
      </c>
      <c r="C123" s="210" t="s">
        <v>18</v>
      </c>
      <c r="D123" s="210"/>
      <c r="E123" s="210" t="s">
        <v>196</v>
      </c>
      <c r="F123" s="211">
        <v>1343452</v>
      </c>
      <c r="G123" s="222" t="s">
        <v>17</v>
      </c>
      <c r="H123" s="95" t="s">
        <v>37</v>
      </c>
      <c r="I123" s="252">
        <v>43900</v>
      </c>
      <c r="J123" s="110">
        <v>12</v>
      </c>
      <c r="K123" s="362">
        <v>44298</v>
      </c>
      <c r="L123" s="110"/>
      <c r="M123" s="427"/>
      <c r="N123" s="427">
        <f t="shared" si="4"/>
        <v>13.266666666666667</v>
      </c>
      <c r="O123" s="179"/>
      <c r="P123" s="434" t="s">
        <v>14</v>
      </c>
    </row>
    <row r="124" spans="1:16" ht="16" x14ac:dyDescent="0.2">
      <c r="A124" s="214">
        <v>117</v>
      </c>
      <c r="B124" s="214">
        <f t="shared" si="5"/>
        <v>24</v>
      </c>
      <c r="C124" s="210" t="s">
        <v>18</v>
      </c>
      <c r="D124" s="210"/>
      <c r="E124" s="210" t="s">
        <v>197</v>
      </c>
      <c r="F124" s="211">
        <v>1343452</v>
      </c>
      <c r="G124" s="222" t="s">
        <v>17</v>
      </c>
      <c r="H124" s="95" t="s">
        <v>37</v>
      </c>
      <c r="I124" s="252">
        <v>43949</v>
      </c>
      <c r="J124" s="110">
        <v>12</v>
      </c>
      <c r="K124" s="362">
        <v>44298</v>
      </c>
      <c r="L124" s="110"/>
      <c r="M124" s="427"/>
      <c r="N124" s="427">
        <f t="shared" si="4"/>
        <v>11.633333333333333</v>
      </c>
      <c r="O124" s="179"/>
      <c r="P124" s="434" t="s">
        <v>14</v>
      </c>
    </row>
    <row r="125" spans="1:16" ht="16" x14ac:dyDescent="0.2">
      <c r="A125" s="96">
        <v>118</v>
      </c>
      <c r="B125" s="96">
        <f t="shared" si="5"/>
        <v>25</v>
      </c>
      <c r="C125" s="192" t="s">
        <v>18</v>
      </c>
      <c r="D125" s="192"/>
      <c r="E125" s="192" t="s">
        <v>198</v>
      </c>
      <c r="F125" s="96">
        <v>1324359</v>
      </c>
      <c r="G125" s="203" t="s">
        <v>15</v>
      </c>
      <c r="H125" s="97" t="s">
        <v>42</v>
      </c>
      <c r="I125" s="253">
        <v>43927</v>
      </c>
      <c r="J125" s="355">
        <v>12</v>
      </c>
      <c r="K125" s="364">
        <v>44298</v>
      </c>
      <c r="L125" s="355"/>
      <c r="M125" s="420"/>
      <c r="N125" s="420">
        <f t="shared" si="4"/>
        <v>12.366666666666667</v>
      </c>
      <c r="O125" s="295"/>
      <c r="P125" s="434" t="s">
        <v>14</v>
      </c>
    </row>
    <row r="126" spans="1:16" ht="16" x14ac:dyDescent="0.2">
      <c r="A126" s="96">
        <v>119</v>
      </c>
      <c r="B126" s="96">
        <f t="shared" si="5"/>
        <v>26</v>
      </c>
      <c r="C126" s="192" t="s">
        <v>18</v>
      </c>
      <c r="D126" s="192"/>
      <c r="E126" s="192" t="s">
        <v>199</v>
      </c>
      <c r="F126" s="96">
        <v>1324359</v>
      </c>
      <c r="G126" s="203" t="s">
        <v>15</v>
      </c>
      <c r="H126" s="97" t="s">
        <v>42</v>
      </c>
      <c r="I126" s="253">
        <v>43927</v>
      </c>
      <c r="J126" s="355">
        <v>12</v>
      </c>
      <c r="K126" s="364">
        <v>44298</v>
      </c>
      <c r="L126" s="355"/>
      <c r="M126" s="420"/>
      <c r="N126" s="420">
        <f t="shared" si="4"/>
        <v>12.366666666666667</v>
      </c>
      <c r="O126" s="295"/>
      <c r="P126" s="434" t="s">
        <v>14</v>
      </c>
    </row>
    <row r="127" spans="1:16" ht="16" x14ac:dyDescent="0.2">
      <c r="A127" s="96">
        <v>120</v>
      </c>
      <c r="B127" s="96">
        <f t="shared" si="5"/>
        <v>27</v>
      </c>
      <c r="C127" s="192" t="s">
        <v>18</v>
      </c>
      <c r="D127" s="192"/>
      <c r="E127" s="192" t="s">
        <v>200</v>
      </c>
      <c r="F127" s="96">
        <v>1324352</v>
      </c>
      <c r="G127" s="203" t="s">
        <v>17</v>
      </c>
      <c r="H127" s="97" t="s">
        <v>42</v>
      </c>
      <c r="I127" s="253">
        <v>43927</v>
      </c>
      <c r="J127" s="355">
        <v>12</v>
      </c>
      <c r="K127" s="364">
        <v>44298</v>
      </c>
      <c r="L127" s="355"/>
      <c r="M127" s="420"/>
      <c r="N127" s="420">
        <f t="shared" si="4"/>
        <v>12.366666666666667</v>
      </c>
      <c r="O127" s="295"/>
      <c r="P127" s="434" t="s">
        <v>14</v>
      </c>
    </row>
    <row r="128" spans="1:16" ht="16" x14ac:dyDescent="0.2">
      <c r="A128" s="96">
        <v>121</v>
      </c>
      <c r="B128" s="96">
        <f t="shared" si="5"/>
        <v>28</v>
      </c>
      <c r="C128" s="192" t="s">
        <v>18</v>
      </c>
      <c r="D128" s="192"/>
      <c r="E128" s="192" t="s">
        <v>201</v>
      </c>
      <c r="F128" s="96">
        <v>1324352</v>
      </c>
      <c r="G128" s="203" t="s">
        <v>17</v>
      </c>
      <c r="H128" s="97" t="s">
        <v>42</v>
      </c>
      <c r="I128" s="253">
        <v>43927</v>
      </c>
      <c r="J128" s="355">
        <v>12</v>
      </c>
      <c r="K128" s="364">
        <v>44298</v>
      </c>
      <c r="L128" s="355"/>
      <c r="M128" s="420"/>
      <c r="N128" s="420">
        <f t="shared" si="4"/>
        <v>12.366666666666667</v>
      </c>
      <c r="O128" s="295"/>
      <c r="P128" s="434" t="s">
        <v>14</v>
      </c>
    </row>
    <row r="129" spans="1:16" ht="16" x14ac:dyDescent="0.2">
      <c r="A129" s="96">
        <v>122</v>
      </c>
      <c r="B129" s="96">
        <f t="shared" si="5"/>
        <v>29</v>
      </c>
      <c r="C129" s="192" t="s">
        <v>18</v>
      </c>
      <c r="D129" s="192"/>
      <c r="E129" s="192" t="s">
        <v>202</v>
      </c>
      <c r="F129" s="96">
        <v>1324352</v>
      </c>
      <c r="G129" s="203" t="s">
        <v>17</v>
      </c>
      <c r="H129" s="97" t="s">
        <v>42</v>
      </c>
      <c r="I129" s="253">
        <v>43937</v>
      </c>
      <c r="J129" s="355">
        <v>12</v>
      </c>
      <c r="K129" s="364">
        <v>44298</v>
      </c>
      <c r="L129" s="355"/>
      <c r="M129" s="420"/>
      <c r="N129" s="420">
        <f t="shared" si="4"/>
        <v>12.033333333333333</v>
      </c>
      <c r="O129" s="295"/>
      <c r="P129" s="434" t="s">
        <v>14</v>
      </c>
    </row>
    <row r="130" spans="1:16" ht="16" x14ac:dyDescent="0.2">
      <c r="A130" s="206"/>
      <c r="B130" s="206"/>
      <c r="C130" s="206"/>
      <c r="D130" s="206"/>
      <c r="E130" s="206"/>
      <c r="F130" s="206"/>
      <c r="G130" s="217"/>
      <c r="H130" s="232"/>
      <c r="I130" s="217"/>
      <c r="J130" s="232"/>
      <c r="K130" s="358"/>
      <c r="L130" s="232"/>
      <c r="M130" s="421"/>
      <c r="N130" s="422">
        <f t="shared" si="4"/>
        <v>0</v>
      </c>
      <c r="O130" s="358"/>
      <c r="P130" s="433"/>
    </row>
    <row r="131" spans="1:16" ht="16" x14ac:dyDescent="0.2">
      <c r="A131" s="194">
        <v>123</v>
      </c>
      <c r="B131" s="194">
        <v>1</v>
      </c>
      <c r="C131" s="194" t="s">
        <v>23</v>
      </c>
      <c r="D131" s="194"/>
      <c r="E131" s="194" t="s">
        <v>203</v>
      </c>
      <c r="F131" s="273">
        <v>1253165</v>
      </c>
      <c r="G131" s="220" t="s">
        <v>17</v>
      </c>
      <c r="H131" s="109" t="s">
        <v>41</v>
      </c>
      <c r="I131" s="249">
        <v>43832</v>
      </c>
      <c r="J131" s="160">
        <v>12</v>
      </c>
      <c r="K131" s="363">
        <v>44228</v>
      </c>
      <c r="L131" s="160"/>
      <c r="M131" s="424"/>
      <c r="N131" s="424">
        <f t="shared" ref="N131:N217" si="6">_xlfn.DAYS(K131,I131)/30</f>
        <v>13.2</v>
      </c>
      <c r="O131" s="236"/>
      <c r="P131" s="432" t="s">
        <v>105</v>
      </c>
    </row>
    <row r="132" spans="1:16" ht="16" x14ac:dyDescent="0.2">
      <c r="A132" s="194">
        <v>124</v>
      </c>
      <c r="B132" s="194">
        <v>2</v>
      </c>
      <c r="C132" s="194" t="s">
        <v>23</v>
      </c>
      <c r="D132" s="194"/>
      <c r="E132" s="194" t="s">
        <v>204</v>
      </c>
      <c r="F132" s="273">
        <v>1253165</v>
      </c>
      <c r="G132" s="220" t="s">
        <v>17</v>
      </c>
      <c r="H132" s="109" t="s">
        <v>41</v>
      </c>
      <c r="I132" s="249">
        <v>43832</v>
      </c>
      <c r="J132" s="160">
        <v>12</v>
      </c>
      <c r="K132" s="363">
        <v>44228</v>
      </c>
      <c r="L132" s="160"/>
      <c r="M132" s="424"/>
      <c r="N132" s="424">
        <f t="shared" si="6"/>
        <v>13.2</v>
      </c>
      <c r="O132" s="236"/>
      <c r="P132" s="432" t="s">
        <v>105</v>
      </c>
    </row>
    <row r="133" spans="1:16" ht="16" x14ac:dyDescent="0.2">
      <c r="A133" s="194">
        <v>125</v>
      </c>
      <c r="B133" s="194">
        <v>3</v>
      </c>
      <c r="C133" s="194" t="s">
        <v>23</v>
      </c>
      <c r="D133" s="194"/>
      <c r="E133" s="194" t="s">
        <v>205</v>
      </c>
      <c r="F133" s="273">
        <v>1253165</v>
      </c>
      <c r="G133" s="220" t="s">
        <v>17</v>
      </c>
      <c r="H133" s="109" t="s">
        <v>41</v>
      </c>
      <c r="I133" s="249">
        <v>43832</v>
      </c>
      <c r="J133" s="160">
        <v>12</v>
      </c>
      <c r="K133" s="363">
        <v>44228</v>
      </c>
      <c r="L133" s="160"/>
      <c r="M133" s="424"/>
      <c r="N133" s="424">
        <f t="shared" si="6"/>
        <v>13.2</v>
      </c>
      <c r="O133" s="236"/>
      <c r="P133" s="432" t="s">
        <v>105</v>
      </c>
    </row>
    <row r="134" spans="1:16" ht="16" x14ac:dyDescent="0.2">
      <c r="A134" s="194">
        <v>126</v>
      </c>
      <c r="B134" s="194">
        <v>4</v>
      </c>
      <c r="C134" s="194" t="s">
        <v>23</v>
      </c>
      <c r="D134" s="194"/>
      <c r="E134" s="194" t="s">
        <v>206</v>
      </c>
      <c r="F134" s="273">
        <v>1253165</v>
      </c>
      <c r="G134" s="220" t="s">
        <v>17</v>
      </c>
      <c r="H134" s="109" t="s">
        <v>41</v>
      </c>
      <c r="I134" s="249">
        <v>43832</v>
      </c>
      <c r="J134" s="160">
        <v>12</v>
      </c>
      <c r="K134" s="363">
        <v>44228</v>
      </c>
      <c r="L134" s="160"/>
      <c r="M134" s="424"/>
      <c r="N134" s="424">
        <f t="shared" si="6"/>
        <v>13.2</v>
      </c>
      <c r="O134" s="236"/>
      <c r="P134" s="432" t="s">
        <v>105</v>
      </c>
    </row>
    <row r="135" spans="1:16" ht="16" x14ac:dyDescent="0.2">
      <c r="A135" s="194">
        <v>127</v>
      </c>
      <c r="B135" s="194">
        <v>5</v>
      </c>
      <c r="C135" s="194" t="s">
        <v>23</v>
      </c>
      <c r="D135" s="194"/>
      <c r="E135" s="194" t="s">
        <v>207</v>
      </c>
      <c r="F135" s="273">
        <v>1253165</v>
      </c>
      <c r="G135" s="220" t="s">
        <v>17</v>
      </c>
      <c r="H135" s="109" t="s">
        <v>41</v>
      </c>
      <c r="I135" s="249">
        <v>43832</v>
      </c>
      <c r="J135" s="160">
        <v>12</v>
      </c>
      <c r="K135" s="363">
        <v>44228</v>
      </c>
      <c r="L135" s="160"/>
      <c r="M135" s="424"/>
      <c r="N135" s="424">
        <f t="shared" si="6"/>
        <v>13.2</v>
      </c>
      <c r="O135" s="236"/>
      <c r="P135" s="432" t="s">
        <v>105</v>
      </c>
    </row>
    <row r="136" spans="1:16" ht="16" x14ac:dyDescent="0.2">
      <c r="A136" s="215">
        <v>128</v>
      </c>
      <c r="B136" s="215">
        <v>6</v>
      </c>
      <c r="C136" s="215" t="s">
        <v>23</v>
      </c>
      <c r="D136" s="215"/>
      <c r="E136" s="215" t="s">
        <v>208</v>
      </c>
      <c r="F136" s="274">
        <v>1275963</v>
      </c>
      <c r="G136" s="223" t="s">
        <v>17</v>
      </c>
      <c r="H136" s="233" t="s">
        <v>42</v>
      </c>
      <c r="I136" s="254">
        <v>43894</v>
      </c>
      <c r="J136" s="356">
        <v>12</v>
      </c>
      <c r="K136" s="365">
        <v>44228</v>
      </c>
      <c r="L136" s="356"/>
      <c r="M136" s="420"/>
      <c r="N136" s="420">
        <f t="shared" si="6"/>
        <v>11.133333333333333</v>
      </c>
      <c r="O136" s="414"/>
      <c r="P136" s="432" t="s">
        <v>105</v>
      </c>
    </row>
    <row r="137" spans="1:16" ht="16" x14ac:dyDescent="0.2">
      <c r="A137" s="215">
        <v>129</v>
      </c>
      <c r="B137" s="215">
        <v>7</v>
      </c>
      <c r="C137" s="215" t="s">
        <v>23</v>
      </c>
      <c r="D137" s="215"/>
      <c r="E137" s="215" t="s">
        <v>209</v>
      </c>
      <c r="F137" s="274">
        <v>1275963</v>
      </c>
      <c r="G137" s="223" t="s">
        <v>17</v>
      </c>
      <c r="H137" s="233" t="s">
        <v>42</v>
      </c>
      <c r="I137" s="254">
        <v>43894</v>
      </c>
      <c r="J137" s="356">
        <v>12</v>
      </c>
      <c r="K137" s="365">
        <v>44228</v>
      </c>
      <c r="L137" s="356"/>
      <c r="M137" s="420"/>
      <c r="N137" s="420">
        <f t="shared" si="6"/>
        <v>11.133333333333333</v>
      </c>
      <c r="O137" s="414"/>
      <c r="P137" s="432" t="s">
        <v>105</v>
      </c>
    </row>
    <row r="138" spans="1:16" ht="16" x14ac:dyDescent="0.2">
      <c r="A138" s="215">
        <v>130</v>
      </c>
      <c r="B138" s="215">
        <v>8</v>
      </c>
      <c r="C138" s="215" t="s">
        <v>23</v>
      </c>
      <c r="D138" s="215"/>
      <c r="E138" s="215" t="s">
        <v>210</v>
      </c>
      <c r="F138" s="274">
        <v>1275963</v>
      </c>
      <c r="G138" s="223" t="s">
        <v>17</v>
      </c>
      <c r="H138" s="233" t="s">
        <v>42</v>
      </c>
      <c r="I138" s="254">
        <v>43894</v>
      </c>
      <c r="J138" s="356">
        <v>12</v>
      </c>
      <c r="K138" s="365">
        <v>44228</v>
      </c>
      <c r="L138" s="356"/>
      <c r="M138" s="420"/>
      <c r="N138" s="420">
        <f t="shared" si="6"/>
        <v>11.133333333333333</v>
      </c>
      <c r="O138" s="414"/>
      <c r="P138" s="432" t="s">
        <v>105</v>
      </c>
    </row>
    <row r="139" spans="1:16" ht="16" x14ac:dyDescent="0.2">
      <c r="A139" s="215">
        <v>131</v>
      </c>
      <c r="B139" s="215">
        <v>9</v>
      </c>
      <c r="C139" s="215" t="s">
        <v>23</v>
      </c>
      <c r="D139" s="215"/>
      <c r="E139" s="215" t="s">
        <v>211</v>
      </c>
      <c r="F139" s="274">
        <v>1275963</v>
      </c>
      <c r="G139" s="223" t="s">
        <v>17</v>
      </c>
      <c r="H139" s="233" t="s">
        <v>42</v>
      </c>
      <c r="I139" s="254">
        <v>43894</v>
      </c>
      <c r="J139" s="356">
        <v>12</v>
      </c>
      <c r="K139" s="365">
        <v>44228</v>
      </c>
      <c r="L139" s="356"/>
      <c r="M139" s="420"/>
      <c r="N139" s="420">
        <f t="shared" si="6"/>
        <v>11.133333333333333</v>
      </c>
      <c r="O139" s="414"/>
      <c r="P139" s="432" t="s">
        <v>105</v>
      </c>
    </row>
    <row r="140" spans="1:16" ht="16" x14ac:dyDescent="0.2">
      <c r="A140" s="215">
        <v>132</v>
      </c>
      <c r="B140" s="215">
        <v>10</v>
      </c>
      <c r="C140" s="215" t="s">
        <v>23</v>
      </c>
      <c r="D140" s="215"/>
      <c r="E140" s="215" t="s">
        <v>212</v>
      </c>
      <c r="F140" s="274">
        <v>1275963</v>
      </c>
      <c r="G140" s="223" t="s">
        <v>17</v>
      </c>
      <c r="H140" s="233" t="s">
        <v>42</v>
      </c>
      <c r="I140" s="254">
        <v>43894</v>
      </c>
      <c r="J140" s="356">
        <v>12</v>
      </c>
      <c r="K140" s="365">
        <v>44228</v>
      </c>
      <c r="L140" s="356"/>
      <c r="M140" s="420"/>
      <c r="N140" s="420">
        <f t="shared" si="6"/>
        <v>11.133333333333333</v>
      </c>
      <c r="O140" s="414"/>
      <c r="P140" s="432" t="s">
        <v>105</v>
      </c>
    </row>
    <row r="141" spans="1:16" ht="16" x14ac:dyDescent="0.2">
      <c r="A141" s="215">
        <v>133</v>
      </c>
      <c r="B141" s="215">
        <v>11</v>
      </c>
      <c r="C141" s="215" t="s">
        <v>23</v>
      </c>
      <c r="D141" s="215"/>
      <c r="E141" s="215" t="s">
        <v>213</v>
      </c>
      <c r="F141" s="274">
        <v>1324357</v>
      </c>
      <c r="G141" s="223" t="s">
        <v>15</v>
      </c>
      <c r="H141" s="233" t="s">
        <v>42</v>
      </c>
      <c r="I141" s="254">
        <v>43908</v>
      </c>
      <c r="J141" s="356">
        <v>12</v>
      </c>
      <c r="K141" s="365">
        <v>44228</v>
      </c>
      <c r="L141" s="356"/>
      <c r="M141" s="420"/>
      <c r="N141" s="420">
        <f t="shared" si="6"/>
        <v>10.666666666666666</v>
      </c>
      <c r="O141" s="414"/>
      <c r="P141" s="432" t="s">
        <v>105</v>
      </c>
    </row>
    <row r="142" spans="1:16" ht="16" x14ac:dyDescent="0.2">
      <c r="A142" s="215">
        <v>134</v>
      </c>
      <c r="B142" s="215">
        <v>12</v>
      </c>
      <c r="C142" s="215" t="s">
        <v>23</v>
      </c>
      <c r="D142" s="215"/>
      <c r="E142" s="215" t="s">
        <v>214</v>
      </c>
      <c r="F142" s="274">
        <v>1324357</v>
      </c>
      <c r="G142" s="223" t="s">
        <v>15</v>
      </c>
      <c r="H142" s="233" t="s">
        <v>42</v>
      </c>
      <c r="I142" s="254">
        <v>43908</v>
      </c>
      <c r="J142" s="356">
        <v>12</v>
      </c>
      <c r="K142" s="365">
        <v>44228</v>
      </c>
      <c r="L142" s="356"/>
      <c r="M142" s="420"/>
      <c r="N142" s="420">
        <f t="shared" si="6"/>
        <v>10.666666666666666</v>
      </c>
      <c r="O142" s="414"/>
      <c r="P142" s="432" t="s">
        <v>105</v>
      </c>
    </row>
    <row r="143" spans="1:16" ht="16" x14ac:dyDescent="0.2">
      <c r="A143" s="215">
        <v>135</v>
      </c>
      <c r="B143" s="215">
        <v>13</v>
      </c>
      <c r="C143" s="215" t="s">
        <v>23</v>
      </c>
      <c r="D143" s="215"/>
      <c r="E143" s="215" t="s">
        <v>215</v>
      </c>
      <c r="F143" s="274">
        <v>1324357</v>
      </c>
      <c r="G143" s="223" t="s">
        <v>15</v>
      </c>
      <c r="H143" s="233" t="s">
        <v>42</v>
      </c>
      <c r="I143" s="254">
        <v>43908</v>
      </c>
      <c r="J143" s="356">
        <v>12</v>
      </c>
      <c r="K143" s="365">
        <v>44228</v>
      </c>
      <c r="L143" s="356"/>
      <c r="M143" s="420"/>
      <c r="N143" s="420">
        <f t="shared" si="6"/>
        <v>10.666666666666666</v>
      </c>
      <c r="O143" s="414"/>
      <c r="P143" s="432" t="s">
        <v>105</v>
      </c>
    </row>
    <row r="144" spans="1:16" ht="16" x14ac:dyDescent="0.2">
      <c r="A144" s="215">
        <v>136</v>
      </c>
      <c r="B144" s="215">
        <v>14</v>
      </c>
      <c r="C144" s="215" t="s">
        <v>23</v>
      </c>
      <c r="D144" s="215"/>
      <c r="E144" s="215" t="s">
        <v>216</v>
      </c>
      <c r="F144" s="274">
        <v>1324355</v>
      </c>
      <c r="G144" s="223" t="s">
        <v>15</v>
      </c>
      <c r="H144" s="233" t="s">
        <v>42</v>
      </c>
      <c r="I144" s="254">
        <v>43894</v>
      </c>
      <c r="J144" s="356">
        <v>12</v>
      </c>
      <c r="K144" s="365">
        <v>44228</v>
      </c>
      <c r="L144" s="356"/>
      <c r="M144" s="420"/>
      <c r="N144" s="420">
        <f t="shared" si="6"/>
        <v>11.133333333333333</v>
      </c>
      <c r="O144" s="414"/>
      <c r="P144" s="432" t="s">
        <v>105</v>
      </c>
    </row>
    <row r="145" spans="1:16" ht="16" x14ac:dyDescent="0.2">
      <c r="A145" s="215">
        <v>137</v>
      </c>
      <c r="B145" s="215">
        <v>15</v>
      </c>
      <c r="C145" s="215" t="s">
        <v>23</v>
      </c>
      <c r="D145" s="215"/>
      <c r="E145" s="215" t="s">
        <v>217</v>
      </c>
      <c r="F145" s="274">
        <v>1324355</v>
      </c>
      <c r="G145" s="223" t="s">
        <v>15</v>
      </c>
      <c r="H145" s="233" t="s">
        <v>42</v>
      </c>
      <c r="I145" s="254">
        <v>43894</v>
      </c>
      <c r="J145" s="356">
        <v>12</v>
      </c>
      <c r="K145" s="365">
        <v>44228</v>
      </c>
      <c r="L145" s="356"/>
      <c r="M145" s="420"/>
      <c r="N145" s="420">
        <f t="shared" si="6"/>
        <v>11.133333333333333</v>
      </c>
      <c r="O145" s="414"/>
      <c r="P145" s="432" t="s">
        <v>105</v>
      </c>
    </row>
    <row r="146" spans="1:16" ht="16" x14ac:dyDescent="0.2">
      <c r="A146" s="215">
        <v>138</v>
      </c>
      <c r="B146" s="215">
        <v>16</v>
      </c>
      <c r="C146" s="215" t="s">
        <v>23</v>
      </c>
      <c r="D146" s="215"/>
      <c r="E146" s="215" t="s">
        <v>218</v>
      </c>
      <c r="F146" s="274">
        <v>1324355</v>
      </c>
      <c r="G146" s="223" t="s">
        <v>15</v>
      </c>
      <c r="H146" s="233" t="s">
        <v>42</v>
      </c>
      <c r="I146" s="254">
        <v>43894</v>
      </c>
      <c r="J146" s="356">
        <v>12</v>
      </c>
      <c r="K146" s="365">
        <v>44228</v>
      </c>
      <c r="L146" s="356"/>
      <c r="M146" s="420"/>
      <c r="N146" s="420">
        <f t="shared" si="6"/>
        <v>11.133333333333333</v>
      </c>
      <c r="O146" s="414"/>
      <c r="P146" s="432" t="s">
        <v>105</v>
      </c>
    </row>
    <row r="147" spans="1:16" ht="16" x14ac:dyDescent="0.2">
      <c r="A147" s="215">
        <v>139</v>
      </c>
      <c r="B147" s="215">
        <v>17</v>
      </c>
      <c r="C147" s="215" t="s">
        <v>23</v>
      </c>
      <c r="D147" s="215"/>
      <c r="E147" s="215" t="s">
        <v>219</v>
      </c>
      <c r="F147" s="274">
        <v>1253156</v>
      </c>
      <c r="G147" s="223" t="s">
        <v>15</v>
      </c>
      <c r="H147" s="233" t="s">
        <v>42</v>
      </c>
      <c r="I147" s="254">
        <v>43838</v>
      </c>
      <c r="J147" s="356">
        <v>12</v>
      </c>
      <c r="K147" s="365">
        <v>44228</v>
      </c>
      <c r="L147" s="356"/>
      <c r="M147" s="420"/>
      <c r="N147" s="420">
        <f t="shared" si="6"/>
        <v>13</v>
      </c>
      <c r="O147" s="414"/>
      <c r="P147" s="432" t="s">
        <v>105</v>
      </c>
    </row>
    <row r="148" spans="1:16" ht="16" x14ac:dyDescent="0.2">
      <c r="A148" s="215">
        <v>140</v>
      </c>
      <c r="B148" s="215">
        <v>18</v>
      </c>
      <c r="C148" s="215" t="s">
        <v>23</v>
      </c>
      <c r="D148" s="215"/>
      <c r="E148" s="215" t="s">
        <v>220</v>
      </c>
      <c r="F148" s="274">
        <v>1253156</v>
      </c>
      <c r="G148" s="223" t="s">
        <v>15</v>
      </c>
      <c r="H148" s="233" t="s">
        <v>42</v>
      </c>
      <c r="I148" s="254">
        <v>43838</v>
      </c>
      <c r="J148" s="356">
        <v>12</v>
      </c>
      <c r="K148" s="365">
        <v>44228</v>
      </c>
      <c r="L148" s="356"/>
      <c r="M148" s="420"/>
      <c r="N148" s="420">
        <f t="shared" si="6"/>
        <v>13</v>
      </c>
      <c r="O148" s="414"/>
      <c r="P148" s="432" t="s">
        <v>105</v>
      </c>
    </row>
    <row r="149" spans="1:16" ht="16" x14ac:dyDescent="0.2">
      <c r="A149" s="290">
        <v>141</v>
      </c>
      <c r="B149" s="290">
        <v>19</v>
      </c>
      <c r="C149" s="290" t="s">
        <v>23</v>
      </c>
      <c r="D149" s="290"/>
      <c r="E149" s="290" t="s">
        <v>221</v>
      </c>
      <c r="F149" s="291">
        <v>1385322</v>
      </c>
      <c r="G149" s="180" t="s">
        <v>15</v>
      </c>
      <c r="H149" s="135" t="s">
        <v>40</v>
      </c>
      <c r="I149" s="292">
        <v>43905</v>
      </c>
      <c r="J149" s="357">
        <v>12</v>
      </c>
      <c r="K149" s="366">
        <v>44228</v>
      </c>
      <c r="L149" s="357"/>
      <c r="M149" s="428"/>
      <c r="N149" s="428">
        <f t="shared" si="6"/>
        <v>10.766666666666667</v>
      </c>
      <c r="O149" s="359"/>
      <c r="P149" s="432" t="s">
        <v>105</v>
      </c>
    </row>
    <row r="150" spans="1:16" ht="16" x14ac:dyDescent="0.2">
      <c r="A150" s="206"/>
      <c r="B150" s="206"/>
      <c r="C150" s="206"/>
      <c r="D150" s="206"/>
      <c r="E150" s="206"/>
      <c r="F150" s="206"/>
      <c r="G150" s="217"/>
      <c r="H150" s="232"/>
      <c r="I150" s="217"/>
      <c r="J150" s="232"/>
      <c r="K150" s="358"/>
      <c r="L150" s="232"/>
      <c r="M150" s="421"/>
      <c r="N150" s="422">
        <f t="shared" si="6"/>
        <v>0</v>
      </c>
      <c r="O150" s="358"/>
      <c r="P150" s="433"/>
    </row>
    <row r="151" spans="1:16" ht="16" x14ac:dyDescent="0.2">
      <c r="A151" s="210">
        <v>142</v>
      </c>
      <c r="B151" s="210">
        <v>1</v>
      </c>
      <c r="C151" s="210" t="s">
        <v>25</v>
      </c>
      <c r="D151" s="210"/>
      <c r="E151" s="210" t="s">
        <v>222</v>
      </c>
      <c r="F151" s="214">
        <v>1324347</v>
      </c>
      <c r="G151" s="179" t="s">
        <v>17</v>
      </c>
      <c r="H151" s="108" t="s">
        <v>37</v>
      </c>
      <c r="I151" s="255">
        <v>43900</v>
      </c>
      <c r="J151" s="110">
        <v>12</v>
      </c>
      <c r="K151" s="362">
        <v>44249</v>
      </c>
      <c r="L151" s="110"/>
      <c r="M151" s="427"/>
      <c r="N151" s="427">
        <f t="shared" si="6"/>
        <v>11.633333333333333</v>
      </c>
      <c r="O151" s="179"/>
      <c r="P151" s="432" t="s">
        <v>105</v>
      </c>
    </row>
    <row r="152" spans="1:16" ht="16" x14ac:dyDescent="0.2">
      <c r="A152" s="210">
        <v>143</v>
      </c>
      <c r="B152" s="210">
        <v>2</v>
      </c>
      <c r="C152" s="210" t="s">
        <v>25</v>
      </c>
      <c r="D152" s="210"/>
      <c r="E152" s="210" t="s">
        <v>223</v>
      </c>
      <c r="F152" s="214">
        <v>1324347</v>
      </c>
      <c r="G152" s="179" t="s">
        <v>17</v>
      </c>
      <c r="H152" s="108" t="s">
        <v>37</v>
      </c>
      <c r="I152" s="255">
        <v>43900</v>
      </c>
      <c r="J152" s="110">
        <v>12</v>
      </c>
      <c r="K152" s="362">
        <v>44249</v>
      </c>
      <c r="L152" s="110"/>
      <c r="M152" s="427"/>
      <c r="N152" s="427">
        <f t="shared" si="6"/>
        <v>11.633333333333333</v>
      </c>
      <c r="O152" s="179"/>
      <c r="P152" s="432" t="s">
        <v>105</v>
      </c>
    </row>
    <row r="153" spans="1:16" ht="16" x14ac:dyDescent="0.2">
      <c r="A153" s="210">
        <v>144</v>
      </c>
      <c r="B153" s="210">
        <v>3</v>
      </c>
      <c r="C153" s="210" t="s">
        <v>25</v>
      </c>
      <c r="D153" s="210"/>
      <c r="E153" s="210" t="s">
        <v>224</v>
      </c>
      <c r="F153" s="214">
        <v>1299777</v>
      </c>
      <c r="G153" s="179" t="s">
        <v>15</v>
      </c>
      <c r="H153" s="108" t="s">
        <v>37</v>
      </c>
      <c r="I153" s="255">
        <v>43900</v>
      </c>
      <c r="J153" s="110">
        <v>12</v>
      </c>
      <c r="K153" s="362">
        <v>44249</v>
      </c>
      <c r="L153" s="110"/>
      <c r="M153" s="427"/>
      <c r="N153" s="427">
        <f t="shared" si="6"/>
        <v>11.633333333333333</v>
      </c>
      <c r="O153" s="179"/>
      <c r="P153" s="432" t="s">
        <v>105</v>
      </c>
    </row>
    <row r="154" spans="1:16" ht="16" x14ac:dyDescent="0.2">
      <c r="A154" s="210">
        <v>145</v>
      </c>
      <c r="B154" s="210">
        <v>4</v>
      </c>
      <c r="C154" s="210" t="s">
        <v>25</v>
      </c>
      <c r="D154" s="210"/>
      <c r="E154" s="210" t="s">
        <v>225</v>
      </c>
      <c r="F154" s="214">
        <v>1299777</v>
      </c>
      <c r="G154" s="179" t="s">
        <v>15</v>
      </c>
      <c r="H154" s="108" t="s">
        <v>37</v>
      </c>
      <c r="I154" s="255">
        <v>43900</v>
      </c>
      <c r="J154" s="110">
        <v>12</v>
      </c>
      <c r="K154" s="362">
        <v>44249</v>
      </c>
      <c r="L154" s="110"/>
      <c r="M154" s="427"/>
      <c r="N154" s="427">
        <f t="shared" si="6"/>
        <v>11.633333333333333</v>
      </c>
      <c r="O154" s="179"/>
      <c r="P154" s="432" t="s">
        <v>105</v>
      </c>
    </row>
    <row r="155" spans="1:16" ht="16" x14ac:dyDescent="0.2">
      <c r="A155" s="210">
        <v>146</v>
      </c>
      <c r="B155" s="210">
        <v>5</v>
      </c>
      <c r="C155" s="210" t="s">
        <v>25</v>
      </c>
      <c r="D155" s="210"/>
      <c r="E155" s="210" t="s">
        <v>226</v>
      </c>
      <c r="F155" s="214">
        <v>1299777</v>
      </c>
      <c r="G155" s="179" t="s">
        <v>15</v>
      </c>
      <c r="H155" s="108" t="s">
        <v>37</v>
      </c>
      <c r="I155" s="255">
        <v>43900</v>
      </c>
      <c r="J155" s="110">
        <v>12</v>
      </c>
      <c r="K155" s="362">
        <v>44249</v>
      </c>
      <c r="L155" s="110"/>
      <c r="M155" s="427"/>
      <c r="N155" s="427">
        <f t="shared" si="6"/>
        <v>11.633333333333333</v>
      </c>
      <c r="O155" s="179"/>
      <c r="P155" s="432" t="s">
        <v>105</v>
      </c>
    </row>
    <row r="156" spans="1:16" ht="16" x14ac:dyDescent="0.2">
      <c r="A156" s="210">
        <v>147</v>
      </c>
      <c r="B156" s="210">
        <v>6</v>
      </c>
      <c r="C156" s="210" t="s">
        <v>25</v>
      </c>
      <c r="D156" s="210"/>
      <c r="E156" s="210" t="s">
        <v>227</v>
      </c>
      <c r="F156" s="214">
        <v>1299777</v>
      </c>
      <c r="G156" s="179" t="s">
        <v>15</v>
      </c>
      <c r="H156" s="108" t="s">
        <v>37</v>
      </c>
      <c r="I156" s="255">
        <v>43900</v>
      </c>
      <c r="J156" s="110">
        <v>12</v>
      </c>
      <c r="K156" s="362">
        <v>44249</v>
      </c>
      <c r="L156" s="110"/>
      <c r="M156" s="427"/>
      <c r="N156" s="427">
        <f t="shared" si="6"/>
        <v>11.633333333333333</v>
      </c>
      <c r="O156" s="179"/>
      <c r="P156" s="432" t="s">
        <v>105</v>
      </c>
    </row>
    <row r="157" spans="1:16" ht="16" x14ac:dyDescent="0.2">
      <c r="A157" s="194">
        <v>148</v>
      </c>
      <c r="B157" s="194">
        <v>7</v>
      </c>
      <c r="C157" s="194" t="s">
        <v>25</v>
      </c>
      <c r="D157" s="194"/>
      <c r="E157" s="194" t="s">
        <v>228</v>
      </c>
      <c r="F157" s="273">
        <v>1299779</v>
      </c>
      <c r="G157" s="220" t="s">
        <v>17</v>
      </c>
      <c r="H157" s="109" t="s">
        <v>41</v>
      </c>
      <c r="I157" s="256">
        <v>43884</v>
      </c>
      <c r="J157" s="160">
        <v>12</v>
      </c>
      <c r="K157" s="363">
        <v>44249</v>
      </c>
      <c r="L157" s="160"/>
      <c r="M157" s="424"/>
      <c r="N157" s="424">
        <f t="shared" si="6"/>
        <v>12.166666666666666</v>
      </c>
      <c r="O157" s="236"/>
      <c r="P157" s="432" t="s">
        <v>105</v>
      </c>
    </row>
    <row r="158" spans="1:16" ht="16" x14ac:dyDescent="0.2">
      <c r="A158" s="194">
        <v>149</v>
      </c>
      <c r="B158" s="194">
        <v>8</v>
      </c>
      <c r="C158" s="194" t="s">
        <v>25</v>
      </c>
      <c r="D158" s="194"/>
      <c r="E158" s="194" t="s">
        <v>229</v>
      </c>
      <c r="F158" s="273">
        <v>1299779</v>
      </c>
      <c r="G158" s="220" t="s">
        <v>17</v>
      </c>
      <c r="H158" s="109" t="s">
        <v>41</v>
      </c>
      <c r="I158" s="256">
        <v>43884</v>
      </c>
      <c r="J158" s="160">
        <v>12</v>
      </c>
      <c r="K158" s="363">
        <v>44249</v>
      </c>
      <c r="L158" s="160"/>
      <c r="M158" s="424"/>
      <c r="N158" s="424">
        <f t="shared" si="6"/>
        <v>12.166666666666666</v>
      </c>
      <c r="O158" s="236"/>
      <c r="P158" s="432" t="s">
        <v>105</v>
      </c>
    </row>
    <row r="159" spans="1:16" ht="16" x14ac:dyDescent="0.2">
      <c r="A159" s="194">
        <v>150</v>
      </c>
      <c r="B159" s="194">
        <v>9</v>
      </c>
      <c r="C159" s="194" t="s">
        <v>25</v>
      </c>
      <c r="D159" s="194"/>
      <c r="E159" s="194" t="s">
        <v>230</v>
      </c>
      <c r="F159" s="273">
        <v>1299779</v>
      </c>
      <c r="G159" s="220" t="s">
        <v>17</v>
      </c>
      <c r="H159" s="109" t="s">
        <v>41</v>
      </c>
      <c r="I159" s="256">
        <v>43884</v>
      </c>
      <c r="J159" s="160">
        <v>12</v>
      </c>
      <c r="K159" s="363">
        <v>44249</v>
      </c>
      <c r="L159" s="160"/>
      <c r="M159" s="424"/>
      <c r="N159" s="424">
        <f t="shared" si="6"/>
        <v>12.166666666666666</v>
      </c>
      <c r="O159" s="236"/>
      <c r="P159" s="432" t="s">
        <v>105</v>
      </c>
    </row>
    <row r="160" spans="1:16" ht="16" x14ac:dyDescent="0.2">
      <c r="A160" s="194">
        <v>151</v>
      </c>
      <c r="B160" s="194">
        <v>10</v>
      </c>
      <c r="C160" s="194" t="s">
        <v>25</v>
      </c>
      <c r="D160" s="194"/>
      <c r="E160" s="194" t="s">
        <v>231</v>
      </c>
      <c r="F160" s="273">
        <v>1324351</v>
      </c>
      <c r="G160" s="220" t="s">
        <v>17</v>
      </c>
      <c r="H160" s="109" t="s">
        <v>41</v>
      </c>
      <c r="I160" s="256">
        <v>43898</v>
      </c>
      <c r="J160" s="160">
        <v>12</v>
      </c>
      <c r="K160" s="363">
        <v>44249</v>
      </c>
      <c r="L160" s="160"/>
      <c r="M160" s="424"/>
      <c r="N160" s="424">
        <f t="shared" si="6"/>
        <v>11.7</v>
      </c>
      <c r="O160" s="236"/>
      <c r="P160" s="432" t="s">
        <v>105</v>
      </c>
    </row>
    <row r="161" spans="1:16" ht="16" x14ac:dyDescent="0.2">
      <c r="A161" s="194">
        <v>152</v>
      </c>
      <c r="B161" s="194">
        <v>11</v>
      </c>
      <c r="C161" s="194" t="s">
        <v>25</v>
      </c>
      <c r="D161" s="194"/>
      <c r="E161" s="194" t="s">
        <v>232</v>
      </c>
      <c r="F161" s="273">
        <v>1324351</v>
      </c>
      <c r="G161" s="220" t="s">
        <v>17</v>
      </c>
      <c r="H161" s="109" t="s">
        <v>41</v>
      </c>
      <c r="I161" s="256">
        <v>43898</v>
      </c>
      <c r="J161" s="160">
        <v>12</v>
      </c>
      <c r="K161" s="363">
        <v>44249</v>
      </c>
      <c r="L161" s="160"/>
      <c r="M161" s="424"/>
      <c r="N161" s="424">
        <f t="shared" si="6"/>
        <v>11.7</v>
      </c>
      <c r="O161" s="236"/>
      <c r="P161" s="432" t="s">
        <v>105</v>
      </c>
    </row>
    <row r="162" spans="1:16" ht="16" x14ac:dyDescent="0.2">
      <c r="A162" s="194">
        <v>153</v>
      </c>
      <c r="B162" s="194">
        <v>12</v>
      </c>
      <c r="C162" s="194" t="s">
        <v>25</v>
      </c>
      <c r="D162" s="194"/>
      <c r="E162" s="194" t="s">
        <v>233</v>
      </c>
      <c r="F162" s="273">
        <v>1324351</v>
      </c>
      <c r="G162" s="220" t="s">
        <v>17</v>
      </c>
      <c r="H162" s="109" t="s">
        <v>41</v>
      </c>
      <c r="I162" s="256">
        <v>43898</v>
      </c>
      <c r="J162" s="160">
        <v>12</v>
      </c>
      <c r="K162" s="363">
        <v>44249</v>
      </c>
      <c r="L162" s="160"/>
      <c r="M162" s="424"/>
      <c r="N162" s="424">
        <f t="shared" si="6"/>
        <v>11.7</v>
      </c>
      <c r="O162" s="236"/>
      <c r="P162" s="432" t="s">
        <v>105</v>
      </c>
    </row>
    <row r="163" spans="1:16" ht="16" x14ac:dyDescent="0.2">
      <c r="A163" s="194">
        <v>154</v>
      </c>
      <c r="B163" s="194">
        <v>13</v>
      </c>
      <c r="C163" s="194" t="s">
        <v>25</v>
      </c>
      <c r="D163" s="194"/>
      <c r="E163" s="194" t="s">
        <v>234</v>
      </c>
      <c r="F163" s="273">
        <v>1324353</v>
      </c>
      <c r="G163" s="220" t="s">
        <v>15</v>
      </c>
      <c r="H163" s="109" t="s">
        <v>41</v>
      </c>
      <c r="I163" s="249">
        <v>43898</v>
      </c>
      <c r="J163" s="160">
        <v>12</v>
      </c>
      <c r="K163" s="363">
        <v>44249</v>
      </c>
      <c r="L163" s="160"/>
      <c r="M163" s="424"/>
      <c r="N163" s="424">
        <f t="shared" si="6"/>
        <v>11.7</v>
      </c>
      <c r="O163" s="236"/>
      <c r="P163" s="432" t="s">
        <v>105</v>
      </c>
    </row>
    <row r="164" spans="1:16" ht="16" x14ac:dyDescent="0.2">
      <c r="A164" s="194">
        <v>155</v>
      </c>
      <c r="B164" s="194">
        <v>14</v>
      </c>
      <c r="C164" s="194" t="s">
        <v>25</v>
      </c>
      <c r="D164" s="194"/>
      <c r="E164" s="194" t="s">
        <v>235</v>
      </c>
      <c r="F164" s="273">
        <v>1324353</v>
      </c>
      <c r="G164" s="220" t="s">
        <v>15</v>
      </c>
      <c r="H164" s="109" t="s">
        <v>41</v>
      </c>
      <c r="I164" s="249">
        <v>43898</v>
      </c>
      <c r="J164" s="160">
        <v>12</v>
      </c>
      <c r="K164" s="363">
        <v>44249</v>
      </c>
      <c r="L164" s="160"/>
      <c r="M164" s="424"/>
      <c r="N164" s="424">
        <f t="shared" si="6"/>
        <v>11.7</v>
      </c>
      <c r="O164" s="236"/>
      <c r="P164" s="432" t="s">
        <v>105</v>
      </c>
    </row>
    <row r="165" spans="1:16" ht="16" x14ac:dyDescent="0.2">
      <c r="A165" s="194">
        <v>156</v>
      </c>
      <c r="B165" s="194">
        <v>15</v>
      </c>
      <c r="C165" s="194" t="s">
        <v>25</v>
      </c>
      <c r="D165" s="194"/>
      <c r="E165" s="194" t="s">
        <v>236</v>
      </c>
      <c r="F165" s="273">
        <v>1324353</v>
      </c>
      <c r="G165" s="220" t="s">
        <v>15</v>
      </c>
      <c r="H165" s="109" t="s">
        <v>41</v>
      </c>
      <c r="I165" s="249">
        <v>43898</v>
      </c>
      <c r="J165" s="160">
        <v>12</v>
      </c>
      <c r="K165" s="363">
        <v>44249</v>
      </c>
      <c r="L165" s="160"/>
      <c r="M165" s="424"/>
      <c r="N165" s="424">
        <f t="shared" si="6"/>
        <v>11.7</v>
      </c>
      <c r="O165" s="236"/>
      <c r="P165" s="432" t="s">
        <v>105</v>
      </c>
    </row>
    <row r="166" spans="1:16" ht="16" x14ac:dyDescent="0.2">
      <c r="A166" s="193">
        <v>157</v>
      </c>
      <c r="B166" s="193">
        <v>16</v>
      </c>
      <c r="C166" s="193" t="s">
        <v>25</v>
      </c>
      <c r="D166" s="193"/>
      <c r="E166" s="193" t="s">
        <v>237</v>
      </c>
      <c r="F166" s="275">
        <v>1190436</v>
      </c>
      <c r="G166" s="224" t="s">
        <v>15</v>
      </c>
      <c r="H166" s="234" t="s">
        <v>43</v>
      </c>
      <c r="I166" s="257">
        <v>43878</v>
      </c>
      <c r="J166" s="234">
        <v>12</v>
      </c>
      <c r="K166" s="367">
        <v>44249</v>
      </c>
      <c r="L166" s="234"/>
      <c r="M166" s="419"/>
      <c r="N166" s="419">
        <f t="shared" si="6"/>
        <v>12.366666666666667</v>
      </c>
      <c r="O166" s="224"/>
      <c r="P166" s="432" t="s">
        <v>105</v>
      </c>
    </row>
    <row r="167" spans="1:16" ht="16" x14ac:dyDescent="0.2">
      <c r="A167" s="193">
        <v>158</v>
      </c>
      <c r="B167" s="193">
        <v>17</v>
      </c>
      <c r="C167" s="193" t="s">
        <v>25</v>
      </c>
      <c r="D167" s="193"/>
      <c r="E167" s="193" t="s">
        <v>238</v>
      </c>
      <c r="F167" s="275">
        <v>1190436</v>
      </c>
      <c r="G167" s="235" t="s">
        <v>17</v>
      </c>
      <c r="H167" s="260" t="s">
        <v>43</v>
      </c>
      <c r="I167" s="258">
        <v>43878</v>
      </c>
      <c r="J167" s="260">
        <v>12</v>
      </c>
      <c r="K167" s="367">
        <v>44249</v>
      </c>
      <c r="L167" s="234"/>
      <c r="M167" s="419"/>
      <c r="N167" s="419">
        <f t="shared" si="6"/>
        <v>12.366666666666667</v>
      </c>
      <c r="O167" s="224"/>
      <c r="P167" s="432" t="s">
        <v>105</v>
      </c>
    </row>
    <row r="168" spans="1:16" ht="16" x14ac:dyDescent="0.2">
      <c r="A168" s="345"/>
      <c r="B168" s="345"/>
      <c r="C168" s="345"/>
      <c r="D168" s="345"/>
      <c r="E168" s="345"/>
      <c r="F168" s="345"/>
      <c r="G168" s="345"/>
      <c r="H168" s="346"/>
      <c r="I168" s="345"/>
      <c r="J168" s="345"/>
      <c r="K168" s="360"/>
      <c r="L168" s="345"/>
      <c r="M168" s="473"/>
      <c r="N168" s="422">
        <f t="shared" si="6"/>
        <v>0</v>
      </c>
      <c r="O168" s="415"/>
      <c r="P168" s="433"/>
    </row>
    <row r="169" spans="1:16" ht="16" x14ac:dyDescent="0.2">
      <c r="A169" s="194">
        <v>159</v>
      </c>
      <c r="B169" s="194">
        <v>1</v>
      </c>
      <c r="C169" s="194" t="s">
        <v>27</v>
      </c>
      <c r="D169" s="462"/>
      <c r="E169" s="194" t="s">
        <v>239</v>
      </c>
      <c r="F169" s="109">
        <v>1275947</v>
      </c>
      <c r="G169" s="109" t="s">
        <v>15</v>
      </c>
      <c r="H169" s="109" t="s">
        <v>41</v>
      </c>
      <c r="I169" s="156">
        <v>43751</v>
      </c>
      <c r="J169" s="476">
        <v>18</v>
      </c>
      <c r="K169" s="467">
        <v>44319</v>
      </c>
      <c r="L169" s="469"/>
      <c r="M169" s="469"/>
      <c r="N169" s="424">
        <f t="shared" si="6"/>
        <v>18.933333333333334</v>
      </c>
      <c r="O169" s="462"/>
      <c r="P169" s="432" t="s">
        <v>71</v>
      </c>
    </row>
    <row r="170" spans="1:16" ht="16" x14ac:dyDescent="0.2">
      <c r="A170" s="194">
        <v>160</v>
      </c>
      <c r="B170" s="194">
        <v>2</v>
      </c>
      <c r="C170" s="194" t="s">
        <v>27</v>
      </c>
      <c r="D170" s="462"/>
      <c r="E170" s="194" t="s">
        <v>240</v>
      </c>
      <c r="F170" s="109">
        <v>1275947</v>
      </c>
      <c r="G170" s="109" t="s">
        <v>15</v>
      </c>
      <c r="H170" s="109" t="s">
        <v>41</v>
      </c>
      <c r="I170" s="156">
        <v>43751</v>
      </c>
      <c r="J170" s="476">
        <v>18</v>
      </c>
      <c r="K170" s="465">
        <v>44319</v>
      </c>
      <c r="L170" s="470"/>
      <c r="M170" s="470"/>
      <c r="N170" s="424">
        <f t="shared" si="6"/>
        <v>18.933333333333334</v>
      </c>
      <c r="O170" s="462"/>
      <c r="P170" s="432" t="s">
        <v>71</v>
      </c>
    </row>
    <row r="171" spans="1:16" ht="16" x14ac:dyDescent="0.2">
      <c r="A171" s="194">
        <v>161</v>
      </c>
      <c r="B171" s="194">
        <v>3</v>
      </c>
      <c r="C171" s="194" t="s">
        <v>27</v>
      </c>
      <c r="D171" s="462"/>
      <c r="E171" s="194" t="s">
        <v>241</v>
      </c>
      <c r="F171" s="109">
        <v>1275947</v>
      </c>
      <c r="G171" s="109" t="s">
        <v>15</v>
      </c>
      <c r="H171" s="109" t="s">
        <v>41</v>
      </c>
      <c r="I171" s="156">
        <v>43751</v>
      </c>
      <c r="J171" s="476">
        <v>18</v>
      </c>
      <c r="K171" s="465">
        <v>44319</v>
      </c>
      <c r="L171" s="470"/>
      <c r="M171" s="470"/>
      <c r="N171" s="424">
        <f t="shared" si="6"/>
        <v>18.933333333333334</v>
      </c>
      <c r="O171" s="462"/>
      <c r="P171" s="432" t="s">
        <v>71</v>
      </c>
    </row>
    <row r="172" spans="1:16" ht="16" x14ac:dyDescent="0.2">
      <c r="A172" s="194">
        <v>162</v>
      </c>
      <c r="B172" s="194">
        <v>4</v>
      </c>
      <c r="C172" s="194" t="s">
        <v>27</v>
      </c>
      <c r="D172" s="462"/>
      <c r="E172" s="194" t="s">
        <v>242</v>
      </c>
      <c r="F172" s="109">
        <v>1275956</v>
      </c>
      <c r="G172" s="109" t="s">
        <v>15</v>
      </c>
      <c r="H172" s="109" t="s">
        <v>41</v>
      </c>
      <c r="I172" s="156">
        <v>43771</v>
      </c>
      <c r="J172" s="476">
        <v>18</v>
      </c>
      <c r="K172" s="465">
        <v>44319</v>
      </c>
      <c r="L172" s="470"/>
      <c r="M172" s="470"/>
      <c r="N172" s="424">
        <f t="shared" si="6"/>
        <v>18.266666666666666</v>
      </c>
      <c r="O172" s="462"/>
      <c r="P172" s="432" t="s">
        <v>71</v>
      </c>
    </row>
    <row r="173" spans="1:16" ht="16" x14ac:dyDescent="0.2">
      <c r="A173" s="194">
        <v>163</v>
      </c>
      <c r="B173" s="194">
        <v>5</v>
      </c>
      <c r="C173" s="194" t="s">
        <v>27</v>
      </c>
      <c r="D173" s="462"/>
      <c r="E173" s="194" t="s">
        <v>243</v>
      </c>
      <c r="F173" s="109">
        <v>1275956</v>
      </c>
      <c r="G173" s="109" t="s">
        <v>15</v>
      </c>
      <c r="H173" s="109" t="s">
        <v>41</v>
      </c>
      <c r="I173" s="156">
        <v>43771</v>
      </c>
      <c r="J173" s="476">
        <v>18</v>
      </c>
      <c r="K173" s="465">
        <v>44319</v>
      </c>
      <c r="L173" s="470"/>
      <c r="M173" s="470"/>
      <c r="N173" s="424">
        <f t="shared" si="6"/>
        <v>18.266666666666666</v>
      </c>
      <c r="O173" s="462"/>
      <c r="P173" s="432" t="s">
        <v>71</v>
      </c>
    </row>
    <row r="174" spans="1:16" ht="16" x14ac:dyDescent="0.2">
      <c r="A174" s="194">
        <v>164</v>
      </c>
      <c r="B174" s="194">
        <v>6</v>
      </c>
      <c r="C174" s="194" t="s">
        <v>27</v>
      </c>
      <c r="D174" s="462"/>
      <c r="E174" s="194" t="s">
        <v>244</v>
      </c>
      <c r="F174" s="109">
        <v>1275956</v>
      </c>
      <c r="G174" s="109" t="s">
        <v>15</v>
      </c>
      <c r="H174" s="109" t="s">
        <v>41</v>
      </c>
      <c r="I174" s="156">
        <v>43771</v>
      </c>
      <c r="J174" s="476">
        <v>18</v>
      </c>
      <c r="K174" s="465">
        <v>44319</v>
      </c>
      <c r="L174" s="470"/>
      <c r="M174" s="470"/>
      <c r="N174" s="424">
        <f t="shared" si="6"/>
        <v>18.266666666666666</v>
      </c>
      <c r="O174" s="462"/>
      <c r="P174" s="432" t="s">
        <v>71</v>
      </c>
    </row>
    <row r="175" spans="1:16" ht="16" x14ac:dyDescent="0.2">
      <c r="A175" s="194">
        <v>165</v>
      </c>
      <c r="B175" s="194">
        <v>7</v>
      </c>
      <c r="C175" s="194" t="s">
        <v>27</v>
      </c>
      <c r="D175" s="462"/>
      <c r="E175" s="194" t="s">
        <v>245</v>
      </c>
      <c r="F175" s="109">
        <v>1275955</v>
      </c>
      <c r="G175" s="109" t="s">
        <v>17</v>
      </c>
      <c r="H175" s="109" t="s">
        <v>41</v>
      </c>
      <c r="I175" s="156">
        <v>43771</v>
      </c>
      <c r="J175" s="476">
        <v>18</v>
      </c>
      <c r="K175" s="465">
        <v>44319</v>
      </c>
      <c r="L175" s="470"/>
      <c r="M175" s="470"/>
      <c r="N175" s="424">
        <f t="shared" si="6"/>
        <v>18.266666666666666</v>
      </c>
      <c r="O175" s="462"/>
      <c r="P175" s="432" t="s">
        <v>71</v>
      </c>
    </row>
    <row r="176" spans="1:16" ht="16" x14ac:dyDescent="0.2">
      <c r="A176" s="194">
        <v>166</v>
      </c>
      <c r="B176" s="194">
        <v>8</v>
      </c>
      <c r="C176" s="194" t="s">
        <v>27</v>
      </c>
      <c r="D176" s="462"/>
      <c r="E176" s="194" t="s">
        <v>246</v>
      </c>
      <c r="F176" s="109">
        <v>1275955</v>
      </c>
      <c r="G176" s="109" t="s">
        <v>17</v>
      </c>
      <c r="H176" s="109" t="s">
        <v>41</v>
      </c>
      <c r="I176" s="156">
        <v>43771</v>
      </c>
      <c r="J176" s="476">
        <v>18</v>
      </c>
      <c r="K176" s="465">
        <v>44319</v>
      </c>
      <c r="L176" s="470"/>
      <c r="M176" s="470"/>
      <c r="N176" s="424">
        <f t="shared" si="6"/>
        <v>18.266666666666666</v>
      </c>
      <c r="O176" s="462"/>
      <c r="P176" s="432" t="s">
        <v>71</v>
      </c>
    </row>
    <row r="177" spans="1:16" ht="16" x14ac:dyDescent="0.2">
      <c r="A177" s="194">
        <v>167</v>
      </c>
      <c r="B177" s="194">
        <v>9</v>
      </c>
      <c r="C177" s="194" t="s">
        <v>27</v>
      </c>
      <c r="D177" s="462"/>
      <c r="E177" s="194" t="s">
        <v>247</v>
      </c>
      <c r="F177" s="109">
        <v>1275955</v>
      </c>
      <c r="G177" s="109" t="s">
        <v>17</v>
      </c>
      <c r="H177" s="109" t="s">
        <v>41</v>
      </c>
      <c r="I177" s="156">
        <v>43771</v>
      </c>
      <c r="J177" s="476">
        <v>18</v>
      </c>
      <c r="K177" s="465">
        <v>44319</v>
      </c>
      <c r="L177" s="470"/>
      <c r="M177" s="470"/>
      <c r="N177" s="424">
        <f t="shared" si="6"/>
        <v>18.266666666666666</v>
      </c>
      <c r="O177" s="462"/>
      <c r="P177" s="432" t="s">
        <v>71</v>
      </c>
    </row>
    <row r="178" spans="1:16" ht="16" x14ac:dyDescent="0.2">
      <c r="A178" s="194">
        <v>168</v>
      </c>
      <c r="B178" s="194">
        <v>10</v>
      </c>
      <c r="C178" s="194" t="s">
        <v>27</v>
      </c>
      <c r="D178" s="462"/>
      <c r="E178" s="194" t="s">
        <v>248</v>
      </c>
      <c r="F178" s="109">
        <v>1275955</v>
      </c>
      <c r="G178" s="109" t="s">
        <v>17</v>
      </c>
      <c r="H178" s="109" t="s">
        <v>41</v>
      </c>
      <c r="I178" s="156">
        <v>43771</v>
      </c>
      <c r="J178" s="476">
        <v>18</v>
      </c>
      <c r="K178" s="465">
        <v>44319</v>
      </c>
      <c r="L178" s="470"/>
      <c r="M178" s="470"/>
      <c r="N178" s="424">
        <f t="shared" si="6"/>
        <v>18.266666666666666</v>
      </c>
      <c r="O178" s="462"/>
      <c r="P178" s="432" t="s">
        <v>71</v>
      </c>
    </row>
    <row r="179" spans="1:16" ht="16" x14ac:dyDescent="0.2">
      <c r="A179" s="194">
        <v>169</v>
      </c>
      <c r="B179" s="194">
        <v>11</v>
      </c>
      <c r="C179" s="194" t="s">
        <v>27</v>
      </c>
      <c r="D179" s="462"/>
      <c r="E179" s="194" t="s">
        <v>249</v>
      </c>
      <c r="F179" s="109">
        <v>1275955</v>
      </c>
      <c r="G179" s="109" t="s">
        <v>17</v>
      </c>
      <c r="H179" s="109" t="s">
        <v>41</v>
      </c>
      <c r="I179" s="156">
        <v>43771</v>
      </c>
      <c r="J179" s="476">
        <v>18</v>
      </c>
      <c r="K179" s="465">
        <v>44319</v>
      </c>
      <c r="L179" s="470"/>
      <c r="M179" s="470"/>
      <c r="N179" s="424">
        <f t="shared" si="6"/>
        <v>18.266666666666666</v>
      </c>
      <c r="O179" s="462"/>
      <c r="P179" s="432" t="s">
        <v>71</v>
      </c>
    </row>
    <row r="180" spans="1:16" ht="16" x14ac:dyDescent="0.2">
      <c r="A180" s="194">
        <v>170</v>
      </c>
      <c r="B180" s="194">
        <v>12</v>
      </c>
      <c r="C180" s="194" t="s">
        <v>27</v>
      </c>
      <c r="D180" s="462"/>
      <c r="E180" s="194" t="s">
        <v>250</v>
      </c>
      <c r="F180" s="109">
        <v>1253154</v>
      </c>
      <c r="G180" s="109" t="s">
        <v>17</v>
      </c>
      <c r="H180" s="109" t="s">
        <v>41</v>
      </c>
      <c r="I180" s="156">
        <v>43777</v>
      </c>
      <c r="J180" s="476">
        <v>18</v>
      </c>
      <c r="K180" s="465">
        <v>44319</v>
      </c>
      <c r="L180" s="470"/>
      <c r="M180" s="470"/>
      <c r="N180" s="424">
        <f t="shared" si="6"/>
        <v>18.066666666666666</v>
      </c>
      <c r="O180" s="462"/>
      <c r="P180" s="432" t="s">
        <v>71</v>
      </c>
    </row>
    <row r="181" spans="1:16" ht="16" x14ac:dyDescent="0.2">
      <c r="A181" s="194">
        <v>171</v>
      </c>
      <c r="B181" s="194">
        <v>13</v>
      </c>
      <c r="C181" s="194" t="s">
        <v>27</v>
      </c>
      <c r="D181" s="462"/>
      <c r="E181" s="194" t="s">
        <v>251</v>
      </c>
      <c r="F181" s="109">
        <v>1253154</v>
      </c>
      <c r="G181" s="109" t="s">
        <v>17</v>
      </c>
      <c r="H181" s="109" t="s">
        <v>41</v>
      </c>
      <c r="I181" s="156">
        <v>43777</v>
      </c>
      <c r="J181" s="476">
        <v>18</v>
      </c>
      <c r="K181" s="465">
        <v>44319</v>
      </c>
      <c r="L181" s="470"/>
      <c r="M181" s="470"/>
      <c r="N181" s="424">
        <f t="shared" si="6"/>
        <v>18.066666666666666</v>
      </c>
      <c r="O181" s="462"/>
      <c r="P181" s="432" t="s">
        <v>71</v>
      </c>
    </row>
    <row r="182" spans="1:16" ht="16" x14ac:dyDescent="0.2">
      <c r="A182" s="194">
        <v>172</v>
      </c>
      <c r="B182" s="194">
        <v>14</v>
      </c>
      <c r="C182" s="194" t="s">
        <v>27</v>
      </c>
      <c r="D182" s="462"/>
      <c r="E182" s="194" t="s">
        <v>252</v>
      </c>
      <c r="F182" s="109">
        <v>1253154</v>
      </c>
      <c r="G182" s="109" t="s">
        <v>17</v>
      </c>
      <c r="H182" s="109" t="s">
        <v>41</v>
      </c>
      <c r="I182" s="156">
        <v>43777</v>
      </c>
      <c r="J182" s="476">
        <v>18</v>
      </c>
      <c r="K182" s="465">
        <v>44319</v>
      </c>
      <c r="L182" s="470"/>
      <c r="M182" s="470"/>
      <c r="N182" s="424">
        <f t="shared" si="6"/>
        <v>18.066666666666666</v>
      </c>
      <c r="O182" s="462"/>
      <c r="P182" s="432" t="s">
        <v>71</v>
      </c>
    </row>
    <row r="183" spans="1:16" ht="16" x14ac:dyDescent="0.2">
      <c r="A183" s="194">
        <v>173</v>
      </c>
      <c r="B183" s="194">
        <v>15</v>
      </c>
      <c r="C183" s="194" t="s">
        <v>27</v>
      </c>
      <c r="D183" s="462"/>
      <c r="E183" s="194" t="s">
        <v>253</v>
      </c>
      <c r="F183" s="109">
        <v>1253154</v>
      </c>
      <c r="G183" s="109" t="s">
        <v>17</v>
      </c>
      <c r="H183" s="109" t="s">
        <v>41</v>
      </c>
      <c r="I183" s="156">
        <v>43777</v>
      </c>
      <c r="J183" s="476">
        <v>18</v>
      </c>
      <c r="K183" s="465">
        <v>44319</v>
      </c>
      <c r="L183" s="470"/>
      <c r="M183" s="470"/>
      <c r="N183" s="424">
        <f t="shared" si="6"/>
        <v>18.066666666666666</v>
      </c>
      <c r="O183" s="462"/>
      <c r="P183" s="432" t="s">
        <v>71</v>
      </c>
    </row>
    <row r="184" spans="1:16" ht="16" x14ac:dyDescent="0.2">
      <c r="A184" s="194">
        <v>174</v>
      </c>
      <c r="B184" s="194">
        <v>16</v>
      </c>
      <c r="C184" s="194" t="s">
        <v>27</v>
      </c>
      <c r="D184" s="462"/>
      <c r="E184" s="194" t="s">
        <v>254</v>
      </c>
      <c r="F184" s="109">
        <v>1253154</v>
      </c>
      <c r="G184" s="109" t="s">
        <v>17</v>
      </c>
      <c r="H184" s="109" t="s">
        <v>41</v>
      </c>
      <c r="I184" s="156">
        <v>43777</v>
      </c>
      <c r="J184" s="476">
        <v>18</v>
      </c>
      <c r="K184" s="465">
        <v>44319</v>
      </c>
      <c r="L184" s="470"/>
      <c r="M184" s="470"/>
      <c r="N184" s="424">
        <f t="shared" si="6"/>
        <v>18.066666666666666</v>
      </c>
      <c r="O184" s="462"/>
      <c r="P184" s="432" t="s">
        <v>71</v>
      </c>
    </row>
    <row r="185" spans="1:16" ht="16" x14ac:dyDescent="0.2">
      <c r="A185" s="194">
        <v>175</v>
      </c>
      <c r="B185" s="194">
        <v>17</v>
      </c>
      <c r="C185" s="194" t="s">
        <v>27</v>
      </c>
      <c r="D185" s="462"/>
      <c r="E185" s="194" t="s">
        <v>255</v>
      </c>
      <c r="F185" s="109">
        <v>1272258</v>
      </c>
      <c r="G185" s="109" t="s">
        <v>17</v>
      </c>
      <c r="H185" s="109" t="s">
        <v>41</v>
      </c>
      <c r="I185" s="156">
        <v>43654</v>
      </c>
      <c r="J185" s="476">
        <v>18</v>
      </c>
      <c r="K185" s="465">
        <v>44319</v>
      </c>
      <c r="L185" s="470"/>
      <c r="M185" s="470"/>
      <c r="N185" s="424">
        <f t="shared" si="6"/>
        <v>22.166666666666668</v>
      </c>
      <c r="O185" s="462"/>
      <c r="P185" s="475" t="s">
        <v>256</v>
      </c>
    </row>
    <row r="186" spans="1:16" ht="16" x14ac:dyDescent="0.2">
      <c r="A186" s="464">
        <v>176</v>
      </c>
      <c r="B186" s="464">
        <v>18</v>
      </c>
      <c r="C186" s="464" t="s">
        <v>27</v>
      </c>
      <c r="D186" s="463"/>
      <c r="E186" s="464" t="s">
        <v>257</v>
      </c>
      <c r="F186" s="162">
        <v>1125471</v>
      </c>
      <c r="G186" s="162" t="s">
        <v>15</v>
      </c>
      <c r="H186" s="162" t="s">
        <v>43</v>
      </c>
      <c r="I186" s="166">
        <v>43963</v>
      </c>
      <c r="J186" s="477">
        <v>12</v>
      </c>
      <c r="K186" s="466">
        <v>44319</v>
      </c>
      <c r="L186" s="471"/>
      <c r="M186" s="471"/>
      <c r="N186" s="474">
        <f t="shared" si="6"/>
        <v>11.866666666666667</v>
      </c>
      <c r="O186" s="463"/>
      <c r="P186" s="432" t="s">
        <v>105</v>
      </c>
    </row>
    <row r="187" spans="1:16" ht="16" x14ac:dyDescent="0.2">
      <c r="A187" s="464">
        <v>177</v>
      </c>
      <c r="B187" s="464">
        <v>19</v>
      </c>
      <c r="C187" s="464" t="s">
        <v>27</v>
      </c>
      <c r="D187" s="463"/>
      <c r="E187" s="464" t="s">
        <v>258</v>
      </c>
      <c r="F187" s="162">
        <v>1125471</v>
      </c>
      <c r="G187" s="162" t="s">
        <v>15</v>
      </c>
      <c r="H187" s="162" t="s">
        <v>43</v>
      </c>
      <c r="I187" s="166">
        <v>43963</v>
      </c>
      <c r="J187" s="477">
        <v>12</v>
      </c>
      <c r="K187" s="466">
        <v>44319</v>
      </c>
      <c r="L187" s="471"/>
      <c r="M187" s="471"/>
      <c r="N187" s="474">
        <f t="shared" si="6"/>
        <v>11.866666666666667</v>
      </c>
      <c r="O187" s="463"/>
      <c r="P187" s="432" t="s">
        <v>105</v>
      </c>
    </row>
    <row r="188" spans="1:16" ht="16" x14ac:dyDescent="0.2">
      <c r="A188" s="464">
        <v>178</v>
      </c>
      <c r="B188" s="464">
        <v>20</v>
      </c>
      <c r="C188" s="464" t="s">
        <v>27</v>
      </c>
      <c r="D188" s="463"/>
      <c r="E188" s="464" t="s">
        <v>259</v>
      </c>
      <c r="F188" s="162">
        <v>1125471</v>
      </c>
      <c r="G188" s="162" t="s">
        <v>15</v>
      </c>
      <c r="H188" s="162" t="s">
        <v>43</v>
      </c>
      <c r="I188" s="166">
        <v>43963</v>
      </c>
      <c r="J188" s="477">
        <v>12</v>
      </c>
      <c r="K188" s="466">
        <v>44319</v>
      </c>
      <c r="L188" s="471"/>
      <c r="M188" s="471"/>
      <c r="N188" s="474">
        <f t="shared" si="6"/>
        <v>11.866666666666667</v>
      </c>
      <c r="O188" s="463"/>
      <c r="P188" s="432" t="s">
        <v>105</v>
      </c>
    </row>
    <row r="189" spans="1:16" ht="16" x14ac:dyDescent="0.2">
      <c r="A189" s="464">
        <v>179</v>
      </c>
      <c r="B189" s="464">
        <v>21</v>
      </c>
      <c r="C189" s="464" t="s">
        <v>27</v>
      </c>
      <c r="D189" s="463"/>
      <c r="E189" s="464" t="s">
        <v>260</v>
      </c>
      <c r="F189" s="162">
        <v>1343445</v>
      </c>
      <c r="G189" s="162" t="s">
        <v>17</v>
      </c>
      <c r="H189" s="162" t="s">
        <v>43</v>
      </c>
      <c r="I189" s="166">
        <v>43963</v>
      </c>
      <c r="J189" s="477">
        <v>12</v>
      </c>
      <c r="K189" s="466">
        <v>44319</v>
      </c>
      <c r="L189" s="471"/>
      <c r="M189" s="471"/>
      <c r="N189" s="474">
        <f t="shared" si="6"/>
        <v>11.866666666666667</v>
      </c>
      <c r="O189" s="463"/>
      <c r="P189" s="432" t="s">
        <v>105</v>
      </c>
    </row>
    <row r="190" spans="1:16" ht="16" x14ac:dyDescent="0.2">
      <c r="A190" s="464">
        <v>180</v>
      </c>
      <c r="B190" s="464">
        <v>22</v>
      </c>
      <c r="C190" s="464" t="s">
        <v>27</v>
      </c>
      <c r="D190" s="463"/>
      <c r="E190" s="464" t="s">
        <v>261</v>
      </c>
      <c r="F190" s="162">
        <v>1343445</v>
      </c>
      <c r="G190" s="162" t="s">
        <v>17</v>
      </c>
      <c r="H190" s="162" t="s">
        <v>43</v>
      </c>
      <c r="I190" s="166">
        <v>43963</v>
      </c>
      <c r="J190" s="477">
        <v>12</v>
      </c>
      <c r="K190" s="468">
        <v>44319</v>
      </c>
      <c r="L190" s="472"/>
      <c r="M190" s="471"/>
      <c r="N190" s="474">
        <f t="shared" si="6"/>
        <v>11.866666666666667</v>
      </c>
      <c r="O190" s="463"/>
      <c r="P190" s="432" t="s">
        <v>105</v>
      </c>
    </row>
    <row r="191" spans="1:16" ht="16" x14ac:dyDescent="0.2">
      <c r="A191" s="345"/>
      <c r="B191" s="345"/>
      <c r="C191" s="345"/>
      <c r="D191" s="345"/>
      <c r="E191" s="345"/>
      <c r="F191" s="345"/>
      <c r="G191" s="345"/>
      <c r="H191" s="346"/>
      <c r="I191" s="345"/>
      <c r="J191" s="473"/>
      <c r="K191" s="360"/>
      <c r="L191" s="345"/>
      <c r="M191" s="421"/>
      <c r="N191" s="422">
        <f t="shared" si="6"/>
        <v>0</v>
      </c>
      <c r="O191" s="360"/>
      <c r="P191" s="433"/>
    </row>
    <row r="192" spans="1:16" ht="16" x14ac:dyDescent="0.2">
      <c r="A192" s="290">
        <v>181</v>
      </c>
      <c r="B192" s="290">
        <v>1</v>
      </c>
      <c r="C192" s="290" t="s">
        <v>30</v>
      </c>
      <c r="D192" s="347"/>
      <c r="E192" s="290" t="s">
        <v>262</v>
      </c>
      <c r="F192" s="104">
        <v>1336217</v>
      </c>
      <c r="G192" s="104" t="s">
        <v>17</v>
      </c>
      <c r="H192" s="104" t="s">
        <v>40</v>
      </c>
      <c r="I192" s="105">
        <v>44011</v>
      </c>
      <c r="J192" s="478">
        <v>12</v>
      </c>
      <c r="K192" s="366">
        <v>44368</v>
      </c>
      <c r="L192" s="357"/>
      <c r="M192" s="428"/>
      <c r="N192" s="428">
        <f t="shared" si="6"/>
        <v>11.9</v>
      </c>
      <c r="O192" s="359"/>
      <c r="P192" s="434" t="s">
        <v>14</v>
      </c>
    </row>
    <row r="193" spans="1:16" ht="16" x14ac:dyDescent="0.2">
      <c r="A193" s="290">
        <v>182</v>
      </c>
      <c r="B193" s="290">
        <v>2</v>
      </c>
      <c r="C193" s="290" t="s">
        <v>30</v>
      </c>
      <c r="D193" s="347"/>
      <c r="E193" s="290" t="s">
        <v>263</v>
      </c>
      <c r="F193" s="104">
        <v>1336217</v>
      </c>
      <c r="G193" s="104" t="s">
        <v>17</v>
      </c>
      <c r="H193" s="104" t="s">
        <v>40</v>
      </c>
      <c r="I193" s="105">
        <v>44011</v>
      </c>
      <c r="J193" s="478">
        <v>12</v>
      </c>
      <c r="K193" s="366">
        <v>44368</v>
      </c>
      <c r="L193" s="357"/>
      <c r="M193" s="428"/>
      <c r="N193" s="428">
        <f t="shared" si="6"/>
        <v>11.9</v>
      </c>
      <c r="O193" s="359"/>
      <c r="P193" s="434" t="s">
        <v>14</v>
      </c>
    </row>
    <row r="194" spans="1:16" ht="16" x14ac:dyDescent="0.2">
      <c r="A194" s="290">
        <v>183</v>
      </c>
      <c r="B194" s="290">
        <v>3</v>
      </c>
      <c r="C194" s="290" t="s">
        <v>30</v>
      </c>
      <c r="D194" s="347"/>
      <c r="E194" s="290" t="s">
        <v>264</v>
      </c>
      <c r="F194" s="104">
        <v>1336217</v>
      </c>
      <c r="G194" s="104" t="s">
        <v>17</v>
      </c>
      <c r="H194" s="104" t="s">
        <v>40</v>
      </c>
      <c r="I194" s="105">
        <v>44011</v>
      </c>
      <c r="J194" s="478">
        <v>12</v>
      </c>
      <c r="K194" s="366">
        <v>44368</v>
      </c>
      <c r="L194" s="357"/>
      <c r="M194" s="428"/>
      <c r="N194" s="428">
        <f t="shared" si="6"/>
        <v>11.9</v>
      </c>
      <c r="O194" s="359"/>
      <c r="P194" s="434" t="s">
        <v>14</v>
      </c>
    </row>
    <row r="195" spans="1:16" ht="16" x14ac:dyDescent="0.2">
      <c r="A195" s="290">
        <v>184</v>
      </c>
      <c r="B195" s="290">
        <v>4</v>
      </c>
      <c r="C195" s="290" t="s">
        <v>30</v>
      </c>
      <c r="D195" s="347"/>
      <c r="E195" s="290" t="s">
        <v>265</v>
      </c>
      <c r="F195" s="104">
        <v>1336217</v>
      </c>
      <c r="G195" s="104" t="s">
        <v>17</v>
      </c>
      <c r="H195" s="104" t="s">
        <v>40</v>
      </c>
      <c r="I195" s="105">
        <v>44011</v>
      </c>
      <c r="J195" s="478">
        <v>12</v>
      </c>
      <c r="K195" s="366">
        <v>44368</v>
      </c>
      <c r="L195" s="357"/>
      <c r="M195" s="428"/>
      <c r="N195" s="428">
        <f t="shared" si="6"/>
        <v>11.9</v>
      </c>
      <c r="O195" s="359"/>
      <c r="P195" s="434" t="s">
        <v>14</v>
      </c>
    </row>
    <row r="196" spans="1:16" ht="16" x14ac:dyDescent="0.2">
      <c r="A196" s="290">
        <v>185</v>
      </c>
      <c r="B196" s="290">
        <v>5</v>
      </c>
      <c r="C196" s="290" t="s">
        <v>30</v>
      </c>
      <c r="D196" s="347"/>
      <c r="E196" s="290" t="s">
        <v>266</v>
      </c>
      <c r="F196" s="104">
        <v>1336217</v>
      </c>
      <c r="G196" s="104" t="s">
        <v>17</v>
      </c>
      <c r="H196" s="104" t="s">
        <v>40</v>
      </c>
      <c r="I196" s="105">
        <v>44011</v>
      </c>
      <c r="J196" s="478">
        <v>12</v>
      </c>
      <c r="K196" s="366">
        <v>44368</v>
      </c>
      <c r="L196" s="357"/>
      <c r="M196" s="428"/>
      <c r="N196" s="428">
        <f t="shared" si="6"/>
        <v>11.9</v>
      </c>
      <c r="O196" s="359"/>
      <c r="P196" s="434" t="s">
        <v>14</v>
      </c>
    </row>
    <row r="197" spans="1:16" ht="16" x14ac:dyDescent="0.2">
      <c r="A197" s="290">
        <v>186</v>
      </c>
      <c r="B197" s="290">
        <v>6</v>
      </c>
      <c r="C197" s="290" t="s">
        <v>30</v>
      </c>
      <c r="D197" s="347"/>
      <c r="E197" s="290" t="s">
        <v>267</v>
      </c>
      <c r="F197" s="104">
        <v>1334231</v>
      </c>
      <c r="G197" s="104" t="s">
        <v>15</v>
      </c>
      <c r="H197" s="104" t="s">
        <v>40</v>
      </c>
      <c r="I197" s="105">
        <v>44011</v>
      </c>
      <c r="J197" s="478">
        <v>12</v>
      </c>
      <c r="K197" s="366">
        <v>44368</v>
      </c>
      <c r="L197" s="357"/>
      <c r="M197" s="428"/>
      <c r="N197" s="428">
        <f t="shared" si="6"/>
        <v>11.9</v>
      </c>
      <c r="O197" s="359"/>
      <c r="P197" s="434" t="s">
        <v>14</v>
      </c>
    </row>
    <row r="198" spans="1:16" ht="16" x14ac:dyDescent="0.2">
      <c r="A198" s="290">
        <v>187</v>
      </c>
      <c r="B198" s="290">
        <v>7</v>
      </c>
      <c r="C198" s="290" t="s">
        <v>30</v>
      </c>
      <c r="D198" s="347"/>
      <c r="E198" s="290" t="s">
        <v>268</v>
      </c>
      <c r="F198" s="104">
        <v>1334231</v>
      </c>
      <c r="G198" s="104" t="s">
        <v>15</v>
      </c>
      <c r="H198" s="104" t="s">
        <v>40</v>
      </c>
      <c r="I198" s="105">
        <v>44011</v>
      </c>
      <c r="J198" s="478">
        <v>12</v>
      </c>
      <c r="K198" s="366">
        <v>44368</v>
      </c>
      <c r="L198" s="357"/>
      <c r="M198" s="428"/>
      <c r="N198" s="428">
        <f t="shared" si="6"/>
        <v>11.9</v>
      </c>
      <c r="O198" s="359"/>
      <c r="P198" s="434" t="s">
        <v>14</v>
      </c>
    </row>
    <row r="199" spans="1:16" ht="16" x14ac:dyDescent="0.2">
      <c r="A199" s="210">
        <v>188</v>
      </c>
      <c r="B199" s="210">
        <v>8</v>
      </c>
      <c r="C199" s="210" t="s">
        <v>30</v>
      </c>
      <c r="D199" s="348"/>
      <c r="E199" s="210" t="s">
        <v>269</v>
      </c>
      <c r="F199" s="321">
        <v>1299767</v>
      </c>
      <c r="G199" s="321" t="s">
        <v>15</v>
      </c>
      <c r="H199" s="110" t="s">
        <v>37</v>
      </c>
      <c r="I199" s="322">
        <v>44002</v>
      </c>
      <c r="J199" s="479">
        <v>12</v>
      </c>
      <c r="K199" s="362">
        <v>44368</v>
      </c>
      <c r="L199" s="110"/>
      <c r="M199" s="427"/>
      <c r="N199" s="427">
        <f t="shared" si="6"/>
        <v>12.2</v>
      </c>
      <c r="O199" s="179"/>
      <c r="P199" s="434" t="s">
        <v>14</v>
      </c>
    </row>
    <row r="200" spans="1:16" ht="16" x14ac:dyDescent="0.2">
      <c r="A200" s="210">
        <v>189</v>
      </c>
      <c r="B200" s="210">
        <v>9</v>
      </c>
      <c r="C200" s="210" t="s">
        <v>30</v>
      </c>
      <c r="D200" s="348"/>
      <c r="E200" s="210" t="s">
        <v>270</v>
      </c>
      <c r="F200" s="321">
        <v>1299767</v>
      </c>
      <c r="G200" s="321" t="s">
        <v>15</v>
      </c>
      <c r="H200" s="110" t="s">
        <v>37</v>
      </c>
      <c r="I200" s="322">
        <v>44002</v>
      </c>
      <c r="J200" s="479">
        <v>12</v>
      </c>
      <c r="K200" s="362">
        <v>44368</v>
      </c>
      <c r="L200" s="110"/>
      <c r="M200" s="427"/>
      <c r="N200" s="427">
        <f t="shared" si="6"/>
        <v>12.2</v>
      </c>
      <c r="O200" s="179"/>
      <c r="P200" s="434" t="s">
        <v>14</v>
      </c>
    </row>
    <row r="201" spans="1:16" ht="16" x14ac:dyDescent="0.2">
      <c r="A201" s="210">
        <v>190</v>
      </c>
      <c r="B201" s="210">
        <v>10</v>
      </c>
      <c r="C201" s="210" t="s">
        <v>30</v>
      </c>
      <c r="D201" s="348"/>
      <c r="E201" s="210" t="s">
        <v>271</v>
      </c>
      <c r="F201" s="321">
        <v>1299767</v>
      </c>
      <c r="G201" s="321" t="s">
        <v>15</v>
      </c>
      <c r="H201" s="110" t="s">
        <v>37</v>
      </c>
      <c r="I201" s="322">
        <v>44002</v>
      </c>
      <c r="J201" s="479">
        <v>12</v>
      </c>
      <c r="K201" s="362">
        <v>44368</v>
      </c>
      <c r="L201" s="110"/>
      <c r="M201" s="427"/>
      <c r="N201" s="427">
        <f t="shared" si="6"/>
        <v>12.2</v>
      </c>
      <c r="O201" s="179"/>
      <c r="P201" s="434" t="s">
        <v>14</v>
      </c>
    </row>
    <row r="202" spans="1:16" ht="16" x14ac:dyDescent="0.2">
      <c r="A202" s="210">
        <v>191</v>
      </c>
      <c r="B202" s="210">
        <v>11</v>
      </c>
      <c r="C202" s="210" t="s">
        <v>30</v>
      </c>
      <c r="D202" s="348"/>
      <c r="E202" s="210" t="s">
        <v>272</v>
      </c>
      <c r="F202" s="321">
        <v>1299767</v>
      </c>
      <c r="G202" s="321" t="s">
        <v>15</v>
      </c>
      <c r="H202" s="110" t="s">
        <v>37</v>
      </c>
      <c r="I202" s="322">
        <v>44002</v>
      </c>
      <c r="J202" s="479">
        <v>12</v>
      </c>
      <c r="K202" s="362">
        <v>44368</v>
      </c>
      <c r="L202" s="110"/>
      <c r="M202" s="427"/>
      <c r="N202" s="427">
        <f t="shared" si="6"/>
        <v>12.2</v>
      </c>
      <c r="O202" s="179"/>
      <c r="P202" s="434" t="s">
        <v>14</v>
      </c>
    </row>
    <row r="203" spans="1:16" ht="16" x14ac:dyDescent="0.2">
      <c r="A203" s="210">
        <v>192</v>
      </c>
      <c r="B203" s="210">
        <v>12</v>
      </c>
      <c r="C203" s="210" t="s">
        <v>30</v>
      </c>
      <c r="D203" s="348"/>
      <c r="E203" s="210" t="s">
        <v>273</v>
      </c>
      <c r="F203" s="321">
        <v>1299767</v>
      </c>
      <c r="G203" s="321" t="s">
        <v>15</v>
      </c>
      <c r="H203" s="110" t="s">
        <v>37</v>
      </c>
      <c r="I203" s="322">
        <v>44002</v>
      </c>
      <c r="J203" s="479">
        <v>12</v>
      </c>
      <c r="K203" s="362">
        <v>44368</v>
      </c>
      <c r="L203" s="110"/>
      <c r="M203" s="427"/>
      <c r="N203" s="427">
        <f t="shared" si="6"/>
        <v>12.2</v>
      </c>
      <c r="O203" s="179"/>
      <c r="P203" s="434" t="s">
        <v>14</v>
      </c>
    </row>
    <row r="204" spans="1:16" ht="16" x14ac:dyDescent="0.2">
      <c r="A204" s="210">
        <v>193</v>
      </c>
      <c r="B204" s="210">
        <v>13</v>
      </c>
      <c r="C204" s="210" t="s">
        <v>30</v>
      </c>
      <c r="D204" s="348"/>
      <c r="E204" s="210" t="s">
        <v>274</v>
      </c>
      <c r="F204" s="321">
        <v>1336228</v>
      </c>
      <c r="G204" s="321" t="s">
        <v>17</v>
      </c>
      <c r="H204" s="110" t="s">
        <v>37</v>
      </c>
      <c r="I204" s="322">
        <v>44002</v>
      </c>
      <c r="J204" s="479">
        <v>12</v>
      </c>
      <c r="K204" s="362">
        <v>44368</v>
      </c>
      <c r="L204" s="110"/>
      <c r="M204" s="427"/>
      <c r="N204" s="427">
        <f t="shared" si="6"/>
        <v>12.2</v>
      </c>
      <c r="O204" s="179"/>
      <c r="P204" s="434" t="s">
        <v>14</v>
      </c>
    </row>
    <row r="205" spans="1:16" ht="16" x14ac:dyDescent="0.2">
      <c r="A205" s="210">
        <v>194</v>
      </c>
      <c r="B205" s="210">
        <v>14</v>
      </c>
      <c r="C205" s="210" t="s">
        <v>30</v>
      </c>
      <c r="D205" s="348"/>
      <c r="E205" s="210" t="s">
        <v>275</v>
      </c>
      <c r="F205" s="321">
        <v>1336228</v>
      </c>
      <c r="G205" s="321" t="s">
        <v>17</v>
      </c>
      <c r="H205" s="110" t="s">
        <v>37</v>
      </c>
      <c r="I205" s="322">
        <v>44002</v>
      </c>
      <c r="J205" s="479">
        <v>12</v>
      </c>
      <c r="K205" s="362">
        <v>44368</v>
      </c>
      <c r="L205" s="110"/>
      <c r="M205" s="427"/>
      <c r="N205" s="427">
        <f t="shared" si="6"/>
        <v>12.2</v>
      </c>
      <c r="O205" s="179"/>
      <c r="P205" s="434" t="s">
        <v>14</v>
      </c>
    </row>
    <row r="206" spans="1:16" ht="16" x14ac:dyDescent="0.2">
      <c r="A206" s="210">
        <v>195</v>
      </c>
      <c r="B206" s="210">
        <v>15</v>
      </c>
      <c r="C206" s="210" t="s">
        <v>30</v>
      </c>
      <c r="D206" s="348"/>
      <c r="E206" s="210" t="s">
        <v>276</v>
      </c>
      <c r="F206" s="321">
        <v>1336228</v>
      </c>
      <c r="G206" s="321" t="s">
        <v>17</v>
      </c>
      <c r="H206" s="110" t="s">
        <v>37</v>
      </c>
      <c r="I206" s="322">
        <v>44002</v>
      </c>
      <c r="J206" s="479">
        <v>12</v>
      </c>
      <c r="K206" s="362">
        <v>44368</v>
      </c>
      <c r="L206" s="110"/>
      <c r="M206" s="427"/>
      <c r="N206" s="427">
        <f t="shared" si="6"/>
        <v>12.2</v>
      </c>
      <c r="O206" s="179"/>
      <c r="P206" s="434" t="s">
        <v>14</v>
      </c>
    </row>
    <row r="207" spans="1:16" ht="16" x14ac:dyDescent="0.2">
      <c r="A207" s="210">
        <v>196</v>
      </c>
      <c r="B207" s="210">
        <v>16</v>
      </c>
      <c r="C207" s="210" t="s">
        <v>30</v>
      </c>
      <c r="D207" s="348"/>
      <c r="E207" s="210" t="s">
        <v>277</v>
      </c>
      <c r="F207" s="321">
        <v>1336228</v>
      </c>
      <c r="G207" s="321" t="s">
        <v>17</v>
      </c>
      <c r="H207" s="110" t="s">
        <v>37</v>
      </c>
      <c r="I207" s="322">
        <v>44002</v>
      </c>
      <c r="J207" s="479">
        <v>12</v>
      </c>
      <c r="K207" s="362">
        <v>44368</v>
      </c>
      <c r="L207" s="110"/>
      <c r="M207" s="427"/>
      <c r="N207" s="427">
        <f t="shared" si="6"/>
        <v>12.2</v>
      </c>
      <c r="O207" s="179"/>
      <c r="P207" s="434" t="s">
        <v>14</v>
      </c>
    </row>
    <row r="208" spans="1:16" ht="16" x14ac:dyDescent="0.2">
      <c r="A208" s="210">
        <v>197</v>
      </c>
      <c r="B208" s="210">
        <v>17</v>
      </c>
      <c r="C208" s="210" t="s">
        <v>30</v>
      </c>
      <c r="D208" s="348"/>
      <c r="E208" s="210" t="s">
        <v>278</v>
      </c>
      <c r="F208" s="321">
        <v>1343435</v>
      </c>
      <c r="G208" s="321" t="s">
        <v>17</v>
      </c>
      <c r="H208" s="110" t="s">
        <v>37</v>
      </c>
      <c r="I208" s="322">
        <v>43998</v>
      </c>
      <c r="J208" s="479">
        <v>12</v>
      </c>
      <c r="K208" s="362">
        <v>44368</v>
      </c>
      <c r="L208" s="110"/>
      <c r="M208" s="427"/>
      <c r="N208" s="427">
        <f t="shared" si="6"/>
        <v>12.333333333333334</v>
      </c>
      <c r="O208" s="179"/>
      <c r="P208" s="432" t="s">
        <v>105</v>
      </c>
    </row>
    <row r="209" spans="1:16" ht="16" x14ac:dyDescent="0.2">
      <c r="A209" s="210">
        <v>198</v>
      </c>
      <c r="B209" s="210">
        <v>18</v>
      </c>
      <c r="C209" s="210" t="s">
        <v>30</v>
      </c>
      <c r="D209" s="348"/>
      <c r="E209" s="210" t="s">
        <v>279</v>
      </c>
      <c r="F209" s="321">
        <v>1343435</v>
      </c>
      <c r="G209" s="321" t="s">
        <v>17</v>
      </c>
      <c r="H209" s="110" t="s">
        <v>37</v>
      </c>
      <c r="I209" s="322">
        <v>43998</v>
      </c>
      <c r="J209" s="479">
        <v>12</v>
      </c>
      <c r="K209" s="362">
        <v>44368</v>
      </c>
      <c r="L209" s="110"/>
      <c r="M209" s="427"/>
      <c r="N209" s="427">
        <f t="shared" si="6"/>
        <v>12.333333333333334</v>
      </c>
      <c r="O209" s="179"/>
      <c r="P209" s="432" t="s">
        <v>105</v>
      </c>
    </row>
    <row r="210" spans="1:16" ht="16" x14ac:dyDescent="0.2">
      <c r="A210" s="210">
        <v>199</v>
      </c>
      <c r="B210" s="210">
        <v>19</v>
      </c>
      <c r="C210" s="210" t="s">
        <v>30</v>
      </c>
      <c r="D210" s="348"/>
      <c r="E210" s="210" t="s">
        <v>280</v>
      </c>
      <c r="F210" s="321">
        <v>1343435</v>
      </c>
      <c r="G210" s="321" t="s">
        <v>17</v>
      </c>
      <c r="H210" s="110" t="s">
        <v>37</v>
      </c>
      <c r="I210" s="322">
        <v>43998</v>
      </c>
      <c r="J210" s="479">
        <v>12</v>
      </c>
      <c r="K210" s="362">
        <v>44368</v>
      </c>
      <c r="L210" s="110"/>
      <c r="M210" s="427"/>
      <c r="N210" s="427">
        <f t="shared" si="6"/>
        <v>12.333333333333334</v>
      </c>
      <c r="O210" s="179"/>
      <c r="P210" s="432" t="s">
        <v>105</v>
      </c>
    </row>
    <row r="211" spans="1:16" ht="16" x14ac:dyDescent="0.2">
      <c r="A211" s="210">
        <v>200</v>
      </c>
      <c r="B211" s="210">
        <v>20</v>
      </c>
      <c r="C211" s="210" t="s">
        <v>30</v>
      </c>
      <c r="D211" s="348"/>
      <c r="E211" s="210" t="s">
        <v>281</v>
      </c>
      <c r="F211" s="321">
        <v>1343435</v>
      </c>
      <c r="G211" s="321" t="s">
        <v>17</v>
      </c>
      <c r="H211" s="110" t="s">
        <v>37</v>
      </c>
      <c r="I211" s="322">
        <v>43998</v>
      </c>
      <c r="J211" s="479">
        <v>12</v>
      </c>
      <c r="K211" s="362">
        <v>44368</v>
      </c>
      <c r="L211" s="110"/>
      <c r="M211" s="427"/>
      <c r="N211" s="427">
        <f t="shared" si="6"/>
        <v>12.333333333333334</v>
      </c>
      <c r="O211" s="179"/>
      <c r="P211" s="432" t="s">
        <v>105</v>
      </c>
    </row>
    <row r="212" spans="1:16" ht="16" x14ac:dyDescent="0.2">
      <c r="A212" s="210">
        <v>201</v>
      </c>
      <c r="B212" s="210">
        <v>21</v>
      </c>
      <c r="C212" s="210" t="s">
        <v>30</v>
      </c>
      <c r="D212" s="348"/>
      <c r="E212" s="210" t="s">
        <v>282</v>
      </c>
      <c r="F212" s="321">
        <v>1343435</v>
      </c>
      <c r="G212" s="321" t="s">
        <v>17</v>
      </c>
      <c r="H212" s="110" t="s">
        <v>37</v>
      </c>
      <c r="I212" s="322">
        <v>43998</v>
      </c>
      <c r="J212" s="479">
        <v>12</v>
      </c>
      <c r="K212" s="362">
        <v>44368</v>
      </c>
      <c r="L212" s="110"/>
      <c r="M212" s="427"/>
      <c r="N212" s="427">
        <f t="shared" si="6"/>
        <v>12.333333333333334</v>
      </c>
      <c r="O212" s="179"/>
      <c r="P212" s="432" t="s">
        <v>105</v>
      </c>
    </row>
    <row r="213" spans="1:16" ht="16" x14ac:dyDescent="0.2">
      <c r="A213" s="210">
        <v>202</v>
      </c>
      <c r="B213" s="210">
        <v>22</v>
      </c>
      <c r="C213" s="210" t="s">
        <v>30</v>
      </c>
      <c r="D213" s="348"/>
      <c r="E213" s="210" t="s">
        <v>283</v>
      </c>
      <c r="F213" s="321">
        <v>1336218</v>
      </c>
      <c r="G213" s="321" t="s">
        <v>15</v>
      </c>
      <c r="H213" s="110" t="s">
        <v>37</v>
      </c>
      <c r="I213" s="322">
        <v>44002</v>
      </c>
      <c r="J213" s="479">
        <v>12</v>
      </c>
      <c r="K213" s="362">
        <v>44368</v>
      </c>
      <c r="L213" s="110"/>
      <c r="M213" s="427"/>
      <c r="N213" s="427">
        <f t="shared" si="6"/>
        <v>12.2</v>
      </c>
      <c r="O213" s="179"/>
      <c r="P213" s="432" t="s">
        <v>105</v>
      </c>
    </row>
    <row r="214" spans="1:16" ht="16" x14ac:dyDescent="0.2">
      <c r="A214" s="210">
        <v>203</v>
      </c>
      <c r="B214" s="210">
        <v>23</v>
      </c>
      <c r="C214" s="210" t="s">
        <v>30</v>
      </c>
      <c r="D214" s="348"/>
      <c r="E214" s="210" t="s">
        <v>284</v>
      </c>
      <c r="F214" s="321">
        <v>1336218</v>
      </c>
      <c r="G214" s="321" t="s">
        <v>15</v>
      </c>
      <c r="H214" s="110" t="s">
        <v>37</v>
      </c>
      <c r="I214" s="322">
        <v>44002</v>
      </c>
      <c r="J214" s="479">
        <v>12</v>
      </c>
      <c r="K214" s="362">
        <v>44368</v>
      </c>
      <c r="L214" s="110"/>
      <c r="M214" s="427"/>
      <c r="N214" s="427">
        <f t="shared" si="6"/>
        <v>12.2</v>
      </c>
      <c r="O214" s="179"/>
      <c r="P214" s="432" t="s">
        <v>105</v>
      </c>
    </row>
    <row r="215" spans="1:16" ht="16" x14ac:dyDescent="0.2">
      <c r="A215" s="210">
        <v>204</v>
      </c>
      <c r="B215" s="210">
        <v>24</v>
      </c>
      <c r="C215" s="210" t="s">
        <v>30</v>
      </c>
      <c r="D215" s="348"/>
      <c r="E215" s="210" t="s">
        <v>285</v>
      </c>
      <c r="F215" s="321">
        <v>1336218</v>
      </c>
      <c r="G215" s="321" t="s">
        <v>15</v>
      </c>
      <c r="H215" s="110" t="s">
        <v>37</v>
      </c>
      <c r="I215" s="322">
        <v>44002</v>
      </c>
      <c r="J215" s="479">
        <v>12</v>
      </c>
      <c r="K215" s="362">
        <v>44368</v>
      </c>
      <c r="L215" s="110"/>
      <c r="M215" s="427"/>
      <c r="N215" s="427">
        <f t="shared" si="6"/>
        <v>12.2</v>
      </c>
      <c r="O215" s="179"/>
      <c r="P215" s="432" t="s">
        <v>105</v>
      </c>
    </row>
    <row r="216" spans="1:16" ht="16" x14ac:dyDescent="0.2">
      <c r="A216" s="210">
        <v>205</v>
      </c>
      <c r="B216" s="210">
        <v>25</v>
      </c>
      <c r="C216" s="210" t="s">
        <v>30</v>
      </c>
      <c r="D216" s="348"/>
      <c r="E216" s="210" t="s">
        <v>286</v>
      </c>
      <c r="F216" s="321">
        <v>1336218</v>
      </c>
      <c r="G216" s="321" t="s">
        <v>15</v>
      </c>
      <c r="H216" s="110" t="s">
        <v>37</v>
      </c>
      <c r="I216" s="322">
        <v>44002</v>
      </c>
      <c r="J216" s="479">
        <v>12</v>
      </c>
      <c r="K216" s="362">
        <v>44368</v>
      </c>
      <c r="L216" s="110"/>
      <c r="M216" s="427"/>
      <c r="N216" s="427">
        <f t="shared" si="6"/>
        <v>12.2</v>
      </c>
      <c r="O216" s="179"/>
      <c r="P216" s="432" t="s">
        <v>105</v>
      </c>
    </row>
    <row r="217" spans="1:16" ht="16" x14ac:dyDescent="0.2">
      <c r="A217" s="210">
        <v>206</v>
      </c>
      <c r="B217" s="210">
        <v>26</v>
      </c>
      <c r="C217" s="210" t="s">
        <v>30</v>
      </c>
      <c r="D217" s="348"/>
      <c r="E217" s="210" t="s">
        <v>287</v>
      </c>
      <c r="F217" s="321">
        <v>1336218</v>
      </c>
      <c r="G217" s="321" t="s">
        <v>15</v>
      </c>
      <c r="H217" s="110" t="s">
        <v>37</v>
      </c>
      <c r="I217" s="322">
        <v>44002</v>
      </c>
      <c r="J217" s="479">
        <v>12</v>
      </c>
      <c r="K217" s="362">
        <v>44368</v>
      </c>
      <c r="L217" s="110"/>
      <c r="M217" s="427"/>
      <c r="N217" s="427">
        <f t="shared" si="6"/>
        <v>12.2</v>
      </c>
      <c r="O217" s="179"/>
      <c r="P217" s="432" t="s">
        <v>105</v>
      </c>
    </row>
    <row r="218" spans="1:16" ht="16" x14ac:dyDescent="0.2">
      <c r="A218" s="210">
        <v>207</v>
      </c>
      <c r="B218" s="210">
        <v>27</v>
      </c>
      <c r="C218" s="210" t="s">
        <v>30</v>
      </c>
      <c r="D218" s="348"/>
      <c r="E218" s="210" t="s">
        <v>288</v>
      </c>
      <c r="F218" s="321">
        <v>1324363</v>
      </c>
      <c r="G218" s="321" t="s">
        <v>15</v>
      </c>
      <c r="H218" s="110" t="s">
        <v>37</v>
      </c>
      <c r="I218" s="322">
        <v>44010</v>
      </c>
      <c r="J218" s="479">
        <v>12</v>
      </c>
      <c r="K218" s="362">
        <v>44368</v>
      </c>
      <c r="L218" s="110"/>
      <c r="M218" s="427"/>
      <c r="N218" s="427">
        <f t="shared" ref="N218:N222" si="7">_xlfn.DAYS(K218,I218)/30</f>
        <v>11.933333333333334</v>
      </c>
      <c r="O218" s="179"/>
      <c r="P218" s="432" t="s">
        <v>105</v>
      </c>
    </row>
    <row r="219" spans="1:16" ht="16" x14ac:dyDescent="0.2">
      <c r="A219" s="210">
        <v>208</v>
      </c>
      <c r="B219" s="210">
        <v>28</v>
      </c>
      <c r="C219" s="210" t="s">
        <v>30</v>
      </c>
      <c r="D219" s="348"/>
      <c r="E219" s="210" t="s">
        <v>289</v>
      </c>
      <c r="F219" s="321">
        <v>1324363</v>
      </c>
      <c r="G219" s="321" t="s">
        <v>15</v>
      </c>
      <c r="H219" s="110" t="s">
        <v>37</v>
      </c>
      <c r="I219" s="322">
        <v>44010</v>
      </c>
      <c r="J219" s="479">
        <v>12</v>
      </c>
      <c r="K219" s="362">
        <v>44368</v>
      </c>
      <c r="L219" s="110"/>
      <c r="M219" s="427"/>
      <c r="N219" s="427">
        <f t="shared" si="7"/>
        <v>11.933333333333334</v>
      </c>
      <c r="O219" s="179"/>
      <c r="P219" s="432" t="s">
        <v>105</v>
      </c>
    </row>
    <row r="220" spans="1:16" ht="16" x14ac:dyDescent="0.2">
      <c r="A220" s="210">
        <v>209</v>
      </c>
      <c r="B220" s="210">
        <v>29</v>
      </c>
      <c r="C220" s="210" t="s">
        <v>30</v>
      </c>
      <c r="D220" s="348"/>
      <c r="E220" s="210" t="s">
        <v>290</v>
      </c>
      <c r="F220" s="321">
        <v>1324363</v>
      </c>
      <c r="G220" s="321" t="s">
        <v>15</v>
      </c>
      <c r="H220" s="110" t="s">
        <v>37</v>
      </c>
      <c r="I220" s="322">
        <v>44010</v>
      </c>
      <c r="J220" s="479">
        <v>12</v>
      </c>
      <c r="K220" s="362">
        <v>44368</v>
      </c>
      <c r="L220" s="110"/>
      <c r="M220" s="427"/>
      <c r="N220" s="427">
        <f t="shared" si="7"/>
        <v>11.933333333333334</v>
      </c>
      <c r="O220" s="179"/>
      <c r="P220" s="432" t="s">
        <v>105</v>
      </c>
    </row>
    <row r="221" spans="1:16" ht="16" x14ac:dyDescent="0.2">
      <c r="A221" s="210">
        <v>210</v>
      </c>
      <c r="B221" s="210">
        <v>30</v>
      </c>
      <c r="C221" s="210" t="s">
        <v>30</v>
      </c>
      <c r="D221" s="348"/>
      <c r="E221" s="210" t="s">
        <v>291</v>
      </c>
      <c r="F221" s="321">
        <v>1324363</v>
      </c>
      <c r="G221" s="321" t="s">
        <v>15</v>
      </c>
      <c r="H221" s="110" t="s">
        <v>37</v>
      </c>
      <c r="I221" s="322">
        <v>44010</v>
      </c>
      <c r="J221" s="479">
        <v>12</v>
      </c>
      <c r="K221" s="362">
        <v>44368</v>
      </c>
      <c r="L221" s="407"/>
      <c r="M221" s="427"/>
      <c r="N221" s="427">
        <f t="shared" si="7"/>
        <v>11.933333333333334</v>
      </c>
      <c r="O221" s="179"/>
      <c r="P221" s="432" t="s">
        <v>105</v>
      </c>
    </row>
    <row r="222" spans="1:16" ht="16" x14ac:dyDescent="0.2">
      <c r="A222" s="345"/>
      <c r="B222" s="345"/>
      <c r="C222" s="345"/>
      <c r="D222" s="345"/>
      <c r="E222" s="345"/>
      <c r="F222" s="345"/>
      <c r="G222" s="345"/>
      <c r="H222" s="346"/>
      <c r="I222" s="345"/>
      <c r="J222" s="473"/>
      <c r="K222" s="360"/>
      <c r="L222" s="345"/>
      <c r="M222" s="473"/>
      <c r="N222" s="422">
        <f t="shared" si="7"/>
        <v>0</v>
      </c>
      <c r="O222" s="415"/>
      <c r="P222" s="4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89BA-C637-4793-8E7D-5A9D7E9AE966}">
  <sheetPr codeName="Sheet3">
    <tabColor rgb="FFFF0000"/>
  </sheetPr>
  <dimension ref="A1:AM63"/>
  <sheetViews>
    <sheetView workbookViewId="0">
      <selection activeCell="H2" sqref="H2"/>
    </sheetView>
  </sheetViews>
  <sheetFormatPr baseColWidth="10" defaultColWidth="8.83203125" defaultRowHeight="15" x14ac:dyDescent="0.2"/>
  <cols>
    <col min="2" max="2" width="12" bestFit="1" customWidth="1"/>
    <col min="3" max="3" width="14" customWidth="1"/>
    <col min="4" max="4" width="7.5" bestFit="1" customWidth="1"/>
    <col min="5" max="5" width="12.1640625" customWidth="1"/>
    <col min="6" max="6" width="11.6640625" customWidth="1"/>
    <col min="7" max="7" width="12" bestFit="1" customWidth="1"/>
    <col min="9" max="9" width="18.6640625" customWidth="1"/>
    <col min="10" max="10" width="11" customWidth="1"/>
    <col min="11" max="11" width="11.1640625" customWidth="1"/>
    <col min="12" max="12" width="13.6640625" customWidth="1"/>
    <col min="13" max="13" width="9.1640625" customWidth="1"/>
    <col min="14" max="22" width="8.33203125" bestFit="1" customWidth="1"/>
    <col min="24" max="24" width="8.1640625" bestFit="1" customWidth="1"/>
    <col min="29" max="29" width="8.5" bestFit="1" customWidth="1"/>
    <col min="33" max="33" width="8.83203125" bestFit="1" customWidth="1"/>
    <col min="35" max="35" width="8.83203125" bestFit="1" customWidth="1"/>
  </cols>
  <sheetData>
    <row r="1" spans="1:39" ht="15" customHeight="1" x14ac:dyDescent="0.2">
      <c r="A1" s="185" t="s">
        <v>292</v>
      </c>
      <c r="B1" s="185" t="s">
        <v>293</v>
      </c>
      <c r="C1" s="185" t="s">
        <v>53</v>
      </c>
      <c r="D1" s="185" t="s">
        <v>52</v>
      </c>
      <c r="E1" s="185" t="s">
        <v>294</v>
      </c>
      <c r="F1" s="185" t="s">
        <v>295</v>
      </c>
      <c r="G1" s="185" t="s">
        <v>54</v>
      </c>
      <c r="H1" s="185" t="s">
        <v>296</v>
      </c>
      <c r="I1" s="185" t="s">
        <v>297</v>
      </c>
      <c r="J1" s="185" t="s">
        <v>298</v>
      </c>
      <c r="K1" s="185" t="s">
        <v>298</v>
      </c>
      <c r="L1" s="185" t="s">
        <v>295</v>
      </c>
      <c r="M1" s="185" t="s">
        <v>299</v>
      </c>
      <c r="N1" s="185" t="s">
        <v>300</v>
      </c>
      <c r="O1" s="185" t="s">
        <v>300</v>
      </c>
      <c r="P1" s="185" t="s">
        <v>299</v>
      </c>
      <c r="Q1" s="185" t="s">
        <v>299</v>
      </c>
      <c r="R1" s="185" t="s">
        <v>299</v>
      </c>
      <c r="S1" s="185" t="s">
        <v>299</v>
      </c>
      <c r="T1" s="185" t="s">
        <v>299</v>
      </c>
      <c r="U1" s="185" t="s">
        <v>299</v>
      </c>
      <c r="V1" s="185" t="s">
        <v>299</v>
      </c>
      <c r="W1" s="185" t="s">
        <v>301</v>
      </c>
      <c r="X1" s="185" t="s">
        <v>302</v>
      </c>
      <c r="Y1" s="185" t="s">
        <v>303</v>
      </c>
      <c r="Z1" s="185" t="s">
        <v>304</v>
      </c>
      <c r="AA1" s="185" t="s">
        <v>303</v>
      </c>
      <c r="AB1" s="185" t="s">
        <v>304</v>
      </c>
      <c r="AC1" s="185" t="s">
        <v>305</v>
      </c>
      <c r="AD1" s="185" t="s">
        <v>306</v>
      </c>
      <c r="AE1" s="185" t="s">
        <v>307</v>
      </c>
      <c r="AF1" s="185" t="s">
        <v>308</v>
      </c>
      <c r="AG1" s="185" t="s">
        <v>309</v>
      </c>
      <c r="AH1" s="185" t="s">
        <v>310</v>
      </c>
      <c r="AI1" s="185" t="s">
        <v>311</v>
      </c>
      <c r="AJ1" s="185" t="s">
        <v>312</v>
      </c>
      <c r="AK1" s="185" t="s">
        <v>313</v>
      </c>
      <c r="AL1" s="185" t="s">
        <v>314</v>
      </c>
      <c r="AM1" s="185" t="s">
        <v>315</v>
      </c>
    </row>
    <row r="2" spans="1:39" ht="15" customHeight="1" x14ac:dyDescent="0.2">
      <c r="A2" s="436" t="s">
        <v>316</v>
      </c>
      <c r="B2" s="437">
        <v>43678</v>
      </c>
      <c r="C2" s="436" t="s">
        <v>317</v>
      </c>
      <c r="D2" s="436" t="s">
        <v>318</v>
      </c>
      <c r="E2" s="436" t="s">
        <v>319</v>
      </c>
      <c r="F2" s="436">
        <v>30.7</v>
      </c>
      <c r="G2" s="437">
        <v>43193</v>
      </c>
      <c r="H2" s="436" t="s">
        <v>320</v>
      </c>
      <c r="I2" s="436">
        <v>32</v>
      </c>
      <c r="J2" s="436">
        <v>5</v>
      </c>
      <c r="K2" s="436">
        <v>5</v>
      </c>
      <c r="L2" s="436">
        <v>30.7</v>
      </c>
      <c r="M2" s="436" t="s">
        <v>321</v>
      </c>
      <c r="N2" s="436" t="s">
        <v>322</v>
      </c>
      <c r="O2" s="436" t="s">
        <v>323</v>
      </c>
      <c r="P2" s="436" t="s">
        <v>324</v>
      </c>
      <c r="Q2" s="436" t="s">
        <v>325</v>
      </c>
      <c r="R2" s="436" t="s">
        <v>326</v>
      </c>
      <c r="S2" s="436" t="s">
        <v>327</v>
      </c>
      <c r="T2" s="436" t="s">
        <v>322</v>
      </c>
      <c r="U2" s="436" t="s">
        <v>323</v>
      </c>
      <c r="V2" s="436" t="s">
        <v>328</v>
      </c>
      <c r="W2" s="436" t="s">
        <v>329</v>
      </c>
      <c r="X2" s="436" t="s">
        <v>330</v>
      </c>
      <c r="Y2" s="436"/>
      <c r="Z2" s="436"/>
      <c r="AA2" s="436">
        <v>42</v>
      </c>
      <c r="AB2" s="436"/>
      <c r="AC2" s="436">
        <v>36</v>
      </c>
      <c r="AD2" s="436"/>
      <c r="AE2" s="436">
        <v>45</v>
      </c>
      <c r="AF2" s="436"/>
      <c r="AG2" s="436">
        <v>5</v>
      </c>
      <c r="AH2" s="436"/>
      <c r="AI2" s="436">
        <v>5</v>
      </c>
      <c r="AJ2" s="436"/>
      <c r="AK2" s="436">
        <v>38</v>
      </c>
      <c r="AL2" s="436"/>
      <c r="AM2" s="436"/>
    </row>
    <row r="3" spans="1:39" ht="15" customHeight="1" x14ac:dyDescent="0.2">
      <c r="A3" s="436" t="s">
        <v>107</v>
      </c>
      <c r="B3" s="437">
        <v>43678</v>
      </c>
      <c r="C3" s="436" t="s">
        <v>317</v>
      </c>
      <c r="D3" s="436" t="s">
        <v>318</v>
      </c>
      <c r="E3" s="436" t="s">
        <v>319</v>
      </c>
      <c r="F3" s="436">
        <v>32.1</v>
      </c>
      <c r="G3" s="437">
        <v>43193</v>
      </c>
      <c r="H3" s="436"/>
      <c r="I3" s="436">
        <v>44</v>
      </c>
      <c r="J3" s="436">
        <v>61</v>
      </c>
      <c r="K3" s="436">
        <v>62</v>
      </c>
      <c r="L3" s="436">
        <v>32.1</v>
      </c>
      <c r="M3" s="436" t="s">
        <v>331</v>
      </c>
      <c r="N3" s="436" t="s">
        <v>332</v>
      </c>
      <c r="O3" s="436"/>
      <c r="P3" s="436"/>
      <c r="Q3" s="436"/>
      <c r="R3" s="436"/>
      <c r="S3" s="436"/>
      <c r="T3" s="436"/>
      <c r="U3" s="436"/>
      <c r="V3" s="436"/>
      <c r="W3" s="436"/>
      <c r="X3" s="436" t="s">
        <v>333</v>
      </c>
      <c r="Y3" s="436"/>
      <c r="Z3" s="436"/>
      <c r="AA3" s="436">
        <v>65</v>
      </c>
      <c r="AB3" s="436"/>
      <c r="AC3" s="436">
        <v>53</v>
      </c>
      <c r="AD3" s="436"/>
      <c r="AE3" s="436">
        <v>59</v>
      </c>
      <c r="AF3" s="436"/>
      <c r="AG3" s="436">
        <v>61</v>
      </c>
      <c r="AH3" s="436"/>
      <c r="AI3" s="436">
        <v>62</v>
      </c>
      <c r="AJ3" s="436"/>
      <c r="AK3" s="436">
        <v>64</v>
      </c>
      <c r="AL3" s="436"/>
      <c r="AM3" s="436"/>
    </row>
    <row r="4" spans="1:39" ht="15" customHeight="1" x14ac:dyDescent="0.2">
      <c r="A4" s="436" t="s">
        <v>109</v>
      </c>
      <c r="B4" s="437">
        <v>43678</v>
      </c>
      <c r="C4" s="436" t="s">
        <v>317</v>
      </c>
      <c r="D4" s="436" t="s">
        <v>318</v>
      </c>
      <c r="E4" s="436" t="s">
        <v>319</v>
      </c>
      <c r="F4" s="436">
        <v>31.6</v>
      </c>
      <c r="G4" s="437">
        <v>43193</v>
      </c>
      <c r="H4" s="436"/>
      <c r="I4" s="436">
        <v>53</v>
      </c>
      <c r="J4" s="436">
        <v>80</v>
      </c>
      <c r="K4" s="436">
        <v>85</v>
      </c>
      <c r="L4" s="436">
        <v>31.6</v>
      </c>
      <c r="M4" s="436" t="s">
        <v>334</v>
      </c>
      <c r="N4" s="436" t="s">
        <v>335</v>
      </c>
      <c r="O4" s="436"/>
      <c r="P4" s="436"/>
      <c r="Q4" s="436"/>
      <c r="R4" s="436"/>
      <c r="S4" s="436"/>
      <c r="T4" s="436"/>
      <c r="U4" s="436"/>
      <c r="V4" s="436"/>
      <c r="W4" s="436"/>
      <c r="X4" s="436" t="s">
        <v>333</v>
      </c>
      <c r="Y4" s="436"/>
      <c r="Z4" s="436"/>
      <c r="AA4" s="436">
        <v>88</v>
      </c>
      <c r="AB4" s="436"/>
      <c r="AC4" s="436">
        <v>81</v>
      </c>
      <c r="AD4" s="436"/>
      <c r="AE4" s="436">
        <v>78</v>
      </c>
      <c r="AF4" s="436"/>
      <c r="AG4" s="436">
        <v>80</v>
      </c>
      <c r="AH4" s="436"/>
      <c r="AI4" s="436">
        <v>85</v>
      </c>
      <c r="AJ4" s="436"/>
      <c r="AK4" s="436">
        <v>90</v>
      </c>
      <c r="AL4" s="436"/>
      <c r="AM4" s="436"/>
    </row>
    <row r="5" spans="1:39" ht="15" customHeight="1" x14ac:dyDescent="0.2">
      <c r="A5" s="436" t="s">
        <v>336</v>
      </c>
      <c r="B5" s="437">
        <v>43678</v>
      </c>
      <c r="C5" s="436" t="s">
        <v>317</v>
      </c>
      <c r="D5" s="436" t="s">
        <v>318</v>
      </c>
      <c r="E5" s="436" t="s">
        <v>319</v>
      </c>
      <c r="F5" s="436">
        <v>30.6</v>
      </c>
      <c r="G5" s="437">
        <v>43193</v>
      </c>
      <c r="H5" s="436"/>
      <c r="I5" s="436">
        <v>66</v>
      </c>
      <c r="J5" s="436">
        <v>109</v>
      </c>
      <c r="K5" s="436">
        <v>108</v>
      </c>
      <c r="L5" s="436">
        <v>30.6</v>
      </c>
      <c r="M5" s="436" t="s">
        <v>337</v>
      </c>
      <c r="N5" s="436" t="s">
        <v>338</v>
      </c>
      <c r="O5" s="436"/>
      <c r="P5" s="436"/>
      <c r="Q5" s="436"/>
      <c r="R5" s="436"/>
      <c r="S5" s="436"/>
      <c r="T5" s="436"/>
      <c r="U5" s="436"/>
      <c r="V5" s="436"/>
      <c r="W5" s="436"/>
      <c r="X5" s="436" t="s">
        <v>333</v>
      </c>
      <c r="Y5" s="436"/>
      <c r="Z5" s="436"/>
      <c r="AA5" s="436">
        <v>107</v>
      </c>
      <c r="AB5" s="436"/>
      <c r="AC5" s="436">
        <v>104</v>
      </c>
      <c r="AD5" s="436"/>
      <c r="AE5" s="436">
        <v>96</v>
      </c>
      <c r="AF5" s="436"/>
      <c r="AG5" s="436">
        <v>109</v>
      </c>
      <c r="AH5" s="436"/>
      <c r="AI5" s="436">
        <v>108</v>
      </c>
      <c r="AJ5" s="436"/>
      <c r="AK5" s="436">
        <v>105</v>
      </c>
      <c r="AL5" s="436"/>
      <c r="AM5" s="436"/>
    </row>
    <row r="6" spans="1:39" ht="15" customHeight="1" x14ac:dyDescent="0.2">
      <c r="A6" s="436" t="s">
        <v>339</v>
      </c>
      <c r="B6" s="437">
        <v>43678</v>
      </c>
      <c r="C6" s="436" t="s">
        <v>317</v>
      </c>
      <c r="D6" s="436" t="s">
        <v>318</v>
      </c>
      <c r="E6" s="436" t="s">
        <v>319</v>
      </c>
      <c r="F6" s="436">
        <v>32.200000000000003</v>
      </c>
      <c r="G6" s="437">
        <v>43193</v>
      </c>
      <c r="H6" s="436"/>
      <c r="I6" s="436">
        <v>76</v>
      </c>
      <c r="J6" s="436">
        <v>126</v>
      </c>
      <c r="K6" s="436">
        <v>125</v>
      </c>
      <c r="L6" s="436">
        <v>32.200000000000003</v>
      </c>
      <c r="M6" s="436" t="s">
        <v>340</v>
      </c>
      <c r="N6" s="436" t="s">
        <v>341</v>
      </c>
      <c r="O6" s="436"/>
      <c r="P6" s="436"/>
      <c r="Q6" s="436"/>
      <c r="R6" s="436"/>
      <c r="S6" s="436"/>
      <c r="T6" s="436"/>
      <c r="U6" s="436"/>
      <c r="V6" s="436"/>
      <c r="W6" s="436"/>
      <c r="X6" s="436" t="s">
        <v>333</v>
      </c>
      <c r="Y6" s="436"/>
      <c r="Z6" s="436"/>
      <c r="AA6" s="436">
        <v>121</v>
      </c>
      <c r="AB6" s="436"/>
      <c r="AC6" s="436">
        <v>120</v>
      </c>
      <c r="AD6" s="436"/>
      <c r="AE6" s="436">
        <v>115</v>
      </c>
      <c r="AF6" s="436"/>
      <c r="AG6" s="436">
        <v>126</v>
      </c>
      <c r="AH6" s="436"/>
      <c r="AI6" s="436">
        <v>125</v>
      </c>
      <c r="AJ6" s="436"/>
      <c r="AK6" s="436">
        <v>123</v>
      </c>
      <c r="AL6" s="436"/>
      <c r="AM6" s="436"/>
    </row>
    <row r="7" spans="1:39" ht="15" customHeight="1" x14ac:dyDescent="0.2">
      <c r="A7" s="436" t="s">
        <v>106</v>
      </c>
      <c r="B7" s="437">
        <v>43679</v>
      </c>
      <c r="C7" s="436" t="s">
        <v>317</v>
      </c>
      <c r="D7" s="436" t="s">
        <v>342</v>
      </c>
      <c r="E7" s="436" t="s">
        <v>319</v>
      </c>
      <c r="F7" s="436">
        <v>25.6</v>
      </c>
      <c r="G7" s="437">
        <v>43193</v>
      </c>
      <c r="H7" s="436"/>
      <c r="I7" s="436">
        <v>86</v>
      </c>
      <c r="J7" s="436">
        <v>150</v>
      </c>
      <c r="K7" s="436">
        <v>145</v>
      </c>
      <c r="L7" s="436">
        <v>25.6</v>
      </c>
      <c r="M7" s="436" t="s">
        <v>343</v>
      </c>
      <c r="N7" s="436" t="s">
        <v>344</v>
      </c>
      <c r="O7" s="436"/>
      <c r="P7" s="436"/>
      <c r="Q7" s="436"/>
      <c r="R7" s="436"/>
      <c r="S7" s="436"/>
      <c r="T7" s="436"/>
      <c r="U7" s="436"/>
      <c r="V7" s="436"/>
      <c r="W7" s="436"/>
      <c r="X7" s="436" t="s">
        <v>333</v>
      </c>
      <c r="Y7" s="436"/>
      <c r="Z7" s="436"/>
      <c r="AA7" s="436">
        <v>141</v>
      </c>
      <c r="AB7" s="436"/>
      <c r="AC7" s="436">
        <v>148</v>
      </c>
      <c r="AD7" s="436"/>
      <c r="AE7" s="436">
        <v>146</v>
      </c>
      <c r="AF7" s="436"/>
      <c r="AG7" s="436">
        <v>150</v>
      </c>
      <c r="AH7" s="436"/>
      <c r="AI7" s="436">
        <v>145</v>
      </c>
      <c r="AJ7" s="436"/>
      <c r="AK7" s="436">
        <v>149</v>
      </c>
      <c r="AL7" s="436"/>
      <c r="AM7" s="436"/>
    </row>
    <row r="8" spans="1:39" ht="15" customHeight="1" x14ac:dyDescent="0.2">
      <c r="A8" s="436" t="s">
        <v>108</v>
      </c>
      <c r="B8" s="437">
        <v>43679</v>
      </c>
      <c r="C8" s="436" t="s">
        <v>317</v>
      </c>
      <c r="D8" s="436" t="s">
        <v>342</v>
      </c>
      <c r="E8" s="436" t="s">
        <v>319</v>
      </c>
      <c r="F8" s="436">
        <v>28.7</v>
      </c>
      <c r="G8" s="437">
        <v>43193</v>
      </c>
      <c r="H8" s="436"/>
      <c r="I8" s="436">
        <v>88</v>
      </c>
      <c r="J8" s="436">
        <v>168</v>
      </c>
      <c r="K8" s="436">
        <v>167</v>
      </c>
      <c r="L8" s="436">
        <v>28.7</v>
      </c>
      <c r="M8" s="436" t="s">
        <v>345</v>
      </c>
      <c r="N8" s="436" t="s">
        <v>346</v>
      </c>
      <c r="O8" s="436"/>
      <c r="P8" s="436"/>
      <c r="Q8" s="436"/>
      <c r="R8" s="436"/>
      <c r="S8" s="436"/>
      <c r="T8" s="436"/>
      <c r="U8" s="436"/>
      <c r="V8" s="436"/>
      <c r="W8" s="436"/>
      <c r="X8" s="436" t="s">
        <v>333</v>
      </c>
      <c r="Y8" s="436"/>
      <c r="Z8" s="436"/>
      <c r="AA8" s="436">
        <v>158</v>
      </c>
      <c r="AB8" s="436"/>
      <c r="AC8" s="436">
        <v>164</v>
      </c>
      <c r="AD8" s="436"/>
      <c r="AE8" s="436">
        <v>163</v>
      </c>
      <c r="AF8" s="436"/>
      <c r="AG8" s="436">
        <v>168</v>
      </c>
      <c r="AH8" s="436"/>
      <c r="AI8" s="436">
        <v>167</v>
      </c>
      <c r="AJ8" s="436"/>
      <c r="AK8" s="436">
        <v>166</v>
      </c>
      <c r="AL8" s="436"/>
      <c r="AM8" s="436"/>
    </row>
    <row r="9" spans="1:39" ht="15" customHeight="1" x14ac:dyDescent="0.2">
      <c r="A9" s="436" t="s">
        <v>110</v>
      </c>
      <c r="B9" s="437">
        <v>43679</v>
      </c>
      <c r="C9" s="436" t="s">
        <v>317</v>
      </c>
      <c r="D9" s="436" t="s">
        <v>342</v>
      </c>
      <c r="E9" s="436" t="s">
        <v>319</v>
      </c>
      <c r="F9" s="436">
        <v>25.7</v>
      </c>
      <c r="G9" s="437">
        <v>43193</v>
      </c>
      <c r="H9" s="436"/>
      <c r="I9" s="436">
        <v>104</v>
      </c>
      <c r="J9" s="436">
        <v>185</v>
      </c>
      <c r="K9" s="436">
        <v>186</v>
      </c>
      <c r="L9" s="436">
        <v>25.7</v>
      </c>
      <c r="M9" s="436" t="s">
        <v>347</v>
      </c>
      <c r="N9" s="436" t="s">
        <v>348</v>
      </c>
      <c r="O9" s="436"/>
      <c r="P9" s="436"/>
      <c r="Q9" s="436"/>
      <c r="R9" s="436"/>
      <c r="S9" s="436"/>
      <c r="T9" s="436"/>
      <c r="U9" s="436"/>
      <c r="V9" s="436"/>
      <c r="W9" s="436" t="s">
        <v>349</v>
      </c>
      <c r="X9" s="436" t="s">
        <v>333</v>
      </c>
      <c r="Y9" s="436"/>
      <c r="Z9" s="436"/>
      <c r="AA9" s="436">
        <v>178</v>
      </c>
      <c r="AB9" s="436"/>
      <c r="AC9" s="436">
        <v>183</v>
      </c>
      <c r="AD9" s="436"/>
      <c r="AE9" s="436">
        <v>184</v>
      </c>
      <c r="AF9" s="436"/>
      <c r="AG9" s="436">
        <v>185</v>
      </c>
      <c r="AH9" s="436"/>
      <c r="AI9" s="436">
        <v>186</v>
      </c>
      <c r="AJ9" s="436"/>
      <c r="AK9" s="436">
        <v>174</v>
      </c>
      <c r="AL9" s="436"/>
      <c r="AM9" s="436"/>
    </row>
    <row r="10" spans="1:39" ht="15" customHeight="1" x14ac:dyDescent="0.2">
      <c r="A10" s="436" t="s">
        <v>350</v>
      </c>
      <c r="B10" s="437">
        <v>43679</v>
      </c>
      <c r="C10" s="436" t="s">
        <v>317</v>
      </c>
      <c r="D10" s="436" t="s">
        <v>342</v>
      </c>
      <c r="E10" s="436" t="s">
        <v>319</v>
      </c>
      <c r="F10" s="436">
        <v>24.6</v>
      </c>
      <c r="G10" s="437">
        <v>43193</v>
      </c>
      <c r="H10" s="436"/>
      <c r="I10" s="436">
        <v>105</v>
      </c>
      <c r="J10" s="436">
        <v>201</v>
      </c>
      <c r="K10" s="436">
        <v>202</v>
      </c>
      <c r="L10" s="436">
        <v>24.6</v>
      </c>
      <c r="M10" s="436" t="s">
        <v>351</v>
      </c>
      <c r="N10" s="436" t="s">
        <v>352</v>
      </c>
      <c r="O10" s="436"/>
      <c r="P10" s="436"/>
      <c r="Q10" s="436"/>
      <c r="R10" s="436"/>
      <c r="S10" s="436"/>
      <c r="T10" s="436"/>
      <c r="U10" s="436"/>
      <c r="V10" s="436"/>
      <c r="W10" s="436"/>
      <c r="X10" s="436" t="s">
        <v>333</v>
      </c>
      <c r="Y10" s="436"/>
      <c r="Z10" s="436"/>
      <c r="AA10" s="436">
        <v>189</v>
      </c>
      <c r="AB10" s="436"/>
      <c r="AC10" s="436">
        <v>198</v>
      </c>
      <c r="AD10" s="436"/>
      <c r="AE10" s="436">
        <v>200</v>
      </c>
      <c r="AF10" s="436"/>
      <c r="AG10" s="436">
        <v>201</v>
      </c>
      <c r="AH10" s="436"/>
      <c r="AI10" s="436">
        <v>202</v>
      </c>
      <c r="AJ10" s="436"/>
      <c r="AK10" s="436">
        <v>190</v>
      </c>
      <c r="AL10" s="436"/>
      <c r="AM10" s="436"/>
    </row>
    <row r="11" spans="1:39" ht="15" customHeight="1" x14ac:dyDescent="0.2">
      <c r="A11" s="436" t="s">
        <v>353</v>
      </c>
      <c r="B11" s="437">
        <v>43679</v>
      </c>
      <c r="C11" s="436" t="s">
        <v>317</v>
      </c>
      <c r="D11" s="436" t="s">
        <v>342</v>
      </c>
      <c r="E11" s="436" t="s">
        <v>319</v>
      </c>
      <c r="F11" s="436">
        <v>29.6</v>
      </c>
      <c r="G11" s="437">
        <v>43193</v>
      </c>
      <c r="H11" s="436"/>
      <c r="I11" s="436">
        <v>110</v>
      </c>
      <c r="J11" s="436">
        <v>220</v>
      </c>
      <c r="K11" s="436">
        <v>219</v>
      </c>
      <c r="L11" s="436">
        <v>29.6</v>
      </c>
      <c r="M11" s="436" t="s">
        <v>354</v>
      </c>
      <c r="N11" s="436" t="s">
        <v>355</v>
      </c>
      <c r="O11" s="436"/>
      <c r="P11" s="436"/>
      <c r="Q11" s="436"/>
      <c r="R11" s="436"/>
      <c r="S11" s="436"/>
      <c r="T11" s="436"/>
      <c r="U11" s="436"/>
      <c r="V11" s="436"/>
      <c r="W11" s="436"/>
      <c r="X11" s="436" t="s">
        <v>333</v>
      </c>
      <c r="Y11" s="436"/>
      <c r="Z11" s="436"/>
      <c r="AA11" s="436">
        <v>207</v>
      </c>
      <c r="AB11" s="436"/>
      <c r="AC11" s="436">
        <v>214</v>
      </c>
      <c r="AD11" s="436"/>
      <c r="AE11" s="436">
        <v>211</v>
      </c>
      <c r="AF11" s="436"/>
      <c r="AG11" s="436">
        <v>220</v>
      </c>
      <c r="AH11" s="436"/>
      <c r="AI11" s="436">
        <v>219</v>
      </c>
      <c r="AJ11" s="436"/>
      <c r="AK11" s="436">
        <v>216</v>
      </c>
      <c r="AL11" s="436"/>
      <c r="AM11" s="436"/>
    </row>
    <row r="12" spans="1:39" ht="15" customHeight="1" x14ac:dyDescent="0.2">
      <c r="A12" s="436" t="s">
        <v>356</v>
      </c>
      <c r="B12" s="437">
        <v>43720</v>
      </c>
      <c r="C12" s="436" t="s">
        <v>357</v>
      </c>
      <c r="D12" s="436" t="s">
        <v>318</v>
      </c>
      <c r="E12" s="436" t="s">
        <v>319</v>
      </c>
      <c r="F12" s="436">
        <v>32.700000000000003</v>
      </c>
      <c r="G12" s="437">
        <v>43216</v>
      </c>
      <c r="H12" s="436" t="s">
        <v>358</v>
      </c>
      <c r="I12" s="436">
        <v>5</v>
      </c>
      <c r="J12" s="436">
        <v>14</v>
      </c>
      <c r="K12" s="436"/>
      <c r="L12" s="436">
        <v>32.700000000000003</v>
      </c>
      <c r="M12" s="436" t="s">
        <v>359</v>
      </c>
      <c r="N12" s="436" t="s">
        <v>360</v>
      </c>
      <c r="O12" s="436"/>
      <c r="P12" s="436"/>
      <c r="Q12" s="436"/>
      <c r="R12" s="436"/>
      <c r="S12" s="436"/>
      <c r="T12" s="436"/>
      <c r="U12" s="436"/>
      <c r="V12" s="436"/>
      <c r="W12" s="436" t="s">
        <v>361</v>
      </c>
      <c r="X12" s="436" t="s">
        <v>333</v>
      </c>
      <c r="Y12" s="436">
        <v>29</v>
      </c>
      <c r="Z12" s="436">
        <v>0</v>
      </c>
      <c r="AA12" s="436">
        <v>41</v>
      </c>
      <c r="AB12" s="436">
        <v>-0.5</v>
      </c>
      <c r="AC12" s="436">
        <v>20</v>
      </c>
      <c r="AD12" s="436">
        <v>0</v>
      </c>
      <c r="AE12" s="436">
        <v>34</v>
      </c>
      <c r="AF12" s="436">
        <v>-0.5</v>
      </c>
      <c r="AG12" s="436">
        <v>37</v>
      </c>
      <c r="AH12" s="436">
        <v>0</v>
      </c>
      <c r="AI12" s="436">
        <v>38</v>
      </c>
      <c r="AJ12" s="436">
        <v>-0.5</v>
      </c>
      <c r="AK12" s="436">
        <v>7</v>
      </c>
      <c r="AL12" s="436">
        <v>31</v>
      </c>
      <c r="AM12" s="436">
        <v>19</v>
      </c>
    </row>
    <row r="13" spans="1:39" ht="15" customHeight="1" x14ac:dyDescent="0.2">
      <c r="A13" s="436" t="s">
        <v>362</v>
      </c>
      <c r="B13" s="437">
        <v>43720</v>
      </c>
      <c r="C13" s="436" t="s">
        <v>357</v>
      </c>
      <c r="D13" s="436" t="s">
        <v>318</v>
      </c>
      <c r="E13" s="436" t="s">
        <v>319</v>
      </c>
      <c r="F13" s="436">
        <v>36.9</v>
      </c>
      <c r="G13" s="437">
        <v>43216</v>
      </c>
      <c r="H13" s="436" t="s">
        <v>363</v>
      </c>
      <c r="I13" s="436">
        <v>19</v>
      </c>
      <c r="J13" s="436">
        <v>20</v>
      </c>
      <c r="K13" s="436"/>
      <c r="L13" s="436">
        <v>36.9</v>
      </c>
      <c r="M13" s="436" t="s">
        <v>364</v>
      </c>
      <c r="N13" s="436" t="s">
        <v>365</v>
      </c>
      <c r="O13" s="436"/>
      <c r="P13" s="436"/>
      <c r="Q13" s="436"/>
      <c r="R13" s="436"/>
      <c r="S13" s="436"/>
      <c r="T13" s="436"/>
      <c r="U13" s="436"/>
      <c r="V13" s="436"/>
      <c r="W13" s="436"/>
      <c r="X13" s="436" t="s">
        <v>366</v>
      </c>
      <c r="Y13" s="436">
        <v>47</v>
      </c>
      <c r="Z13" s="436">
        <v>0</v>
      </c>
      <c r="AA13" s="436">
        <v>53</v>
      </c>
      <c r="AB13" s="436">
        <v>-0.5</v>
      </c>
      <c r="AC13" s="436">
        <v>56</v>
      </c>
      <c r="AD13" s="436">
        <v>0</v>
      </c>
      <c r="AE13" s="436">
        <v>57</v>
      </c>
      <c r="AF13" s="436">
        <v>-0.5</v>
      </c>
      <c r="AG13" s="436">
        <v>60</v>
      </c>
      <c r="AH13" s="436">
        <v>0</v>
      </c>
      <c r="AI13" s="436">
        <v>61</v>
      </c>
      <c r="AJ13" s="436">
        <v>34.5</v>
      </c>
      <c r="AK13" s="436">
        <v>59</v>
      </c>
      <c r="AL13" s="436">
        <v>49</v>
      </c>
      <c r="AM13" s="436">
        <v>50</v>
      </c>
    </row>
    <row r="14" spans="1:39" ht="15" customHeight="1" x14ac:dyDescent="0.2">
      <c r="A14" s="436" t="s">
        <v>367</v>
      </c>
      <c r="B14" s="437">
        <v>43720</v>
      </c>
      <c r="C14" s="436" t="s">
        <v>357</v>
      </c>
      <c r="D14" s="436" t="s">
        <v>318</v>
      </c>
      <c r="E14" s="436" t="s">
        <v>319</v>
      </c>
      <c r="F14" s="436">
        <v>32.4</v>
      </c>
      <c r="G14" s="437">
        <v>43216</v>
      </c>
      <c r="H14" s="436" t="s">
        <v>368</v>
      </c>
      <c r="I14" s="436">
        <v>2</v>
      </c>
      <c r="J14" s="436">
        <v>7</v>
      </c>
      <c r="K14" s="436"/>
      <c r="L14" s="436">
        <v>32.4</v>
      </c>
      <c r="M14" s="436" t="s">
        <v>369</v>
      </c>
      <c r="N14" s="436" t="s">
        <v>370</v>
      </c>
      <c r="O14" s="436"/>
      <c r="P14" s="436"/>
      <c r="Q14" s="436"/>
      <c r="R14" s="436"/>
      <c r="S14" s="436"/>
      <c r="T14" s="436"/>
      <c r="U14" s="436"/>
      <c r="V14" s="436"/>
      <c r="W14" s="436"/>
      <c r="X14" s="436" t="s">
        <v>366</v>
      </c>
      <c r="Y14" s="436">
        <v>65</v>
      </c>
      <c r="Z14" s="436">
        <v>0</v>
      </c>
      <c r="AA14" s="436">
        <v>66</v>
      </c>
      <c r="AB14" s="436">
        <v>-0.5</v>
      </c>
      <c r="AC14" s="436">
        <v>71</v>
      </c>
      <c r="AD14" s="436">
        <v>0</v>
      </c>
      <c r="AE14" s="436">
        <v>72</v>
      </c>
      <c r="AF14" s="436">
        <v>-0.5</v>
      </c>
      <c r="AG14" s="436">
        <v>74</v>
      </c>
      <c r="AH14" s="436">
        <v>0</v>
      </c>
      <c r="AI14" s="436">
        <v>75</v>
      </c>
      <c r="AJ14" s="436">
        <v>-0.5</v>
      </c>
      <c r="AK14" s="436">
        <v>73</v>
      </c>
      <c r="AL14" s="436">
        <v>67</v>
      </c>
      <c r="AM14" s="436">
        <v>68</v>
      </c>
    </row>
    <row r="15" spans="1:39" ht="15" customHeight="1" x14ac:dyDescent="0.2">
      <c r="A15" s="436" t="s">
        <v>371</v>
      </c>
      <c r="B15" s="437">
        <v>43720</v>
      </c>
      <c r="C15" s="436" t="s">
        <v>44</v>
      </c>
      <c r="D15" s="436" t="s">
        <v>342</v>
      </c>
      <c r="E15" s="436" t="s">
        <v>319</v>
      </c>
      <c r="F15" s="436">
        <v>27.8</v>
      </c>
      <c r="G15" s="437">
        <v>43180</v>
      </c>
      <c r="H15" s="436" t="s">
        <v>372</v>
      </c>
      <c r="I15" s="436">
        <v>12</v>
      </c>
      <c r="J15" s="436">
        <v>19</v>
      </c>
      <c r="K15" s="436"/>
      <c r="L15" s="436">
        <v>27.8</v>
      </c>
      <c r="M15" s="436" t="s">
        <v>373</v>
      </c>
      <c r="N15" s="436" t="s">
        <v>374</v>
      </c>
      <c r="O15" s="436"/>
      <c r="P15" s="436"/>
      <c r="Q15" s="436"/>
      <c r="R15" s="436"/>
      <c r="S15" s="436"/>
      <c r="T15" s="436"/>
      <c r="U15" s="436"/>
      <c r="V15" s="436"/>
      <c r="W15" s="436"/>
      <c r="X15" s="436" t="s">
        <v>366</v>
      </c>
      <c r="Y15" s="436">
        <v>80</v>
      </c>
      <c r="Z15" s="436">
        <v>0</v>
      </c>
      <c r="AA15" s="436">
        <v>78</v>
      </c>
      <c r="AB15" s="436">
        <v>0.5</v>
      </c>
      <c r="AC15" s="436">
        <v>83</v>
      </c>
      <c r="AD15" s="436">
        <v>0.5</v>
      </c>
      <c r="AE15" s="436">
        <v>82</v>
      </c>
      <c r="AF15" s="436">
        <v>0</v>
      </c>
      <c r="AG15" s="436">
        <v>87</v>
      </c>
      <c r="AH15" s="436">
        <v>0.5</v>
      </c>
      <c r="AI15" s="436">
        <v>85</v>
      </c>
      <c r="AJ15" s="436">
        <v>0</v>
      </c>
      <c r="AK15" s="436">
        <v>84</v>
      </c>
      <c r="AL15" s="436">
        <v>79</v>
      </c>
      <c r="AM15" s="436">
        <v>81</v>
      </c>
    </row>
    <row r="16" spans="1:39" ht="15" customHeight="1" x14ac:dyDescent="0.2">
      <c r="A16" s="436" t="s">
        <v>375</v>
      </c>
      <c r="B16" s="437">
        <v>43720</v>
      </c>
      <c r="C16" s="436" t="s">
        <v>376</v>
      </c>
      <c r="D16" s="436" t="s">
        <v>318</v>
      </c>
      <c r="E16" s="436" t="s">
        <v>319</v>
      </c>
      <c r="F16" s="436">
        <v>32</v>
      </c>
      <c r="G16" s="437">
        <v>43246</v>
      </c>
      <c r="H16" s="436" t="s">
        <v>377</v>
      </c>
      <c r="I16" s="436">
        <v>2</v>
      </c>
      <c r="J16" s="436">
        <v>6</v>
      </c>
      <c r="K16" s="436"/>
      <c r="L16" s="436">
        <v>32</v>
      </c>
      <c r="M16" s="436" t="s">
        <v>359</v>
      </c>
      <c r="N16" s="436" t="s">
        <v>360</v>
      </c>
      <c r="O16" s="436"/>
      <c r="P16" s="436"/>
      <c r="Q16" s="436"/>
      <c r="R16" s="436"/>
      <c r="S16" s="436"/>
      <c r="T16" s="436"/>
      <c r="U16" s="436"/>
      <c r="V16" s="436"/>
      <c r="W16" s="436" t="s">
        <v>378</v>
      </c>
      <c r="X16" s="436" t="s">
        <v>366</v>
      </c>
      <c r="Y16" s="436">
        <v>102</v>
      </c>
      <c r="Z16" s="436">
        <v>0.5</v>
      </c>
      <c r="AA16" s="436">
        <v>94</v>
      </c>
      <c r="AB16" s="436">
        <v>0</v>
      </c>
      <c r="AC16" s="436">
        <v>101</v>
      </c>
      <c r="AD16" s="436">
        <v>0.5</v>
      </c>
      <c r="AE16" s="436">
        <v>97</v>
      </c>
      <c r="AF16" s="436">
        <v>0</v>
      </c>
      <c r="AG16" s="436">
        <v>99</v>
      </c>
      <c r="AH16" s="436">
        <v>0.5</v>
      </c>
      <c r="AI16" s="436">
        <v>98</v>
      </c>
      <c r="AJ16" s="436">
        <v>0</v>
      </c>
      <c r="AK16" s="436"/>
      <c r="AL16" s="436">
        <v>91</v>
      </c>
      <c r="AM16" s="436">
        <v>90</v>
      </c>
    </row>
    <row r="17" spans="1:39" ht="15" customHeight="1" x14ac:dyDescent="0.2">
      <c r="A17" s="436" t="s">
        <v>379</v>
      </c>
      <c r="B17" s="437">
        <v>43720</v>
      </c>
      <c r="C17" s="436" t="s">
        <v>376</v>
      </c>
      <c r="D17" s="436" t="s">
        <v>318</v>
      </c>
      <c r="E17" s="436" t="s">
        <v>319</v>
      </c>
      <c r="F17" s="436">
        <v>32.9</v>
      </c>
      <c r="G17" s="437">
        <v>43246</v>
      </c>
      <c r="H17" s="436" t="s">
        <v>380</v>
      </c>
      <c r="I17" s="436">
        <v>16</v>
      </c>
      <c r="J17" s="436">
        <v>17</v>
      </c>
      <c r="K17" s="436"/>
      <c r="L17" s="436">
        <v>32.9</v>
      </c>
      <c r="M17" s="436" t="s">
        <v>381</v>
      </c>
      <c r="N17" s="436" t="s">
        <v>382</v>
      </c>
      <c r="O17" s="436"/>
      <c r="P17" s="436"/>
      <c r="Q17" s="436"/>
      <c r="R17" s="436"/>
      <c r="S17" s="436"/>
      <c r="T17" s="436"/>
      <c r="U17" s="436"/>
      <c r="V17" s="436"/>
      <c r="W17" s="436"/>
      <c r="X17" s="436" t="s">
        <v>366</v>
      </c>
      <c r="Y17" s="436">
        <v>107</v>
      </c>
      <c r="Z17" s="436">
        <v>0</v>
      </c>
      <c r="AA17" s="436">
        <v>115</v>
      </c>
      <c r="AB17" s="436">
        <v>-0.5</v>
      </c>
      <c r="AC17" s="436">
        <v>110</v>
      </c>
      <c r="AD17" s="436">
        <v>0</v>
      </c>
      <c r="AE17" s="436">
        <v>111</v>
      </c>
      <c r="AF17" s="436">
        <v>-0.5</v>
      </c>
      <c r="AG17" s="436">
        <v>114</v>
      </c>
      <c r="AH17" s="436"/>
      <c r="AI17" s="436">
        <v>113</v>
      </c>
      <c r="AJ17" s="436"/>
      <c r="AK17" s="436">
        <v>112</v>
      </c>
      <c r="AL17" s="436">
        <v>109</v>
      </c>
      <c r="AM17" s="436">
        <v>108</v>
      </c>
    </row>
    <row r="18" spans="1:39" ht="15" customHeight="1" x14ac:dyDescent="0.2">
      <c r="A18" s="436" t="s">
        <v>383</v>
      </c>
      <c r="B18" s="437">
        <v>43720</v>
      </c>
      <c r="C18" s="436" t="s">
        <v>376</v>
      </c>
      <c r="D18" s="436" t="s">
        <v>342</v>
      </c>
      <c r="E18" s="436" t="s">
        <v>319</v>
      </c>
      <c r="F18" s="436">
        <v>27.5</v>
      </c>
      <c r="G18" s="437">
        <v>43246</v>
      </c>
      <c r="H18" s="436" t="s">
        <v>384</v>
      </c>
      <c r="I18" s="436">
        <v>23</v>
      </c>
      <c r="J18" s="436">
        <v>24</v>
      </c>
      <c r="K18" s="436"/>
      <c r="L18" s="436">
        <v>27.5</v>
      </c>
      <c r="M18" s="436" t="s">
        <v>385</v>
      </c>
      <c r="N18" s="436" t="s">
        <v>386</v>
      </c>
      <c r="O18" s="436"/>
      <c r="P18" s="436"/>
      <c r="Q18" s="436"/>
      <c r="R18" s="436"/>
      <c r="S18" s="436"/>
      <c r="T18" s="436"/>
      <c r="U18" s="436"/>
      <c r="V18" s="436"/>
      <c r="W18" s="436"/>
      <c r="X18" s="436" t="s">
        <v>366</v>
      </c>
      <c r="Y18" s="436">
        <v>15</v>
      </c>
      <c r="Z18" s="436">
        <v>2</v>
      </c>
      <c r="AA18" s="436">
        <v>5</v>
      </c>
      <c r="AB18" s="436">
        <v>2.5</v>
      </c>
      <c r="AC18" s="436">
        <v>19</v>
      </c>
      <c r="AD18" s="436">
        <v>2.5</v>
      </c>
      <c r="AE18" s="436">
        <v>4</v>
      </c>
      <c r="AF18" s="436">
        <v>2</v>
      </c>
      <c r="AG18" s="436">
        <v>21</v>
      </c>
      <c r="AH18" s="436">
        <v>2.5</v>
      </c>
      <c r="AI18" s="436">
        <v>6</v>
      </c>
      <c r="AJ18" s="436">
        <v>2</v>
      </c>
      <c r="AK18" s="436">
        <v>20</v>
      </c>
      <c r="AL18" s="436">
        <v>2</v>
      </c>
      <c r="AM18" s="436">
        <v>3</v>
      </c>
    </row>
    <row r="19" spans="1:39" ht="15" customHeight="1" x14ac:dyDescent="0.2">
      <c r="A19" s="436" t="s">
        <v>387</v>
      </c>
      <c r="B19" s="437">
        <v>43720</v>
      </c>
      <c r="C19" s="436" t="s">
        <v>376</v>
      </c>
      <c r="D19" s="436" t="s">
        <v>342</v>
      </c>
      <c r="E19" s="436" t="s">
        <v>319</v>
      </c>
      <c r="F19" s="436">
        <v>28.8</v>
      </c>
      <c r="G19" s="437">
        <v>43246</v>
      </c>
      <c r="H19" s="436" t="s">
        <v>388</v>
      </c>
      <c r="I19" s="436">
        <v>29</v>
      </c>
      <c r="J19" s="436">
        <v>30</v>
      </c>
      <c r="K19" s="436"/>
      <c r="L19" s="436">
        <v>28.8</v>
      </c>
      <c r="M19" s="436" t="s">
        <v>389</v>
      </c>
      <c r="N19" s="436" t="s">
        <v>390</v>
      </c>
      <c r="O19" s="436"/>
      <c r="P19" s="436"/>
      <c r="Q19" s="436"/>
      <c r="R19" s="436"/>
      <c r="S19" s="436"/>
      <c r="T19" s="436"/>
      <c r="U19" s="436"/>
      <c r="V19" s="436"/>
      <c r="W19" s="436"/>
      <c r="X19" s="436" t="s">
        <v>391</v>
      </c>
      <c r="Y19" s="436">
        <v>26</v>
      </c>
      <c r="Z19" s="436">
        <v>0.5</v>
      </c>
      <c r="AA19" s="436">
        <v>25</v>
      </c>
      <c r="AB19" s="436">
        <v>0</v>
      </c>
      <c r="AC19" s="436">
        <v>32</v>
      </c>
      <c r="AD19" s="436">
        <v>0.5</v>
      </c>
      <c r="AE19" s="436">
        <v>31</v>
      </c>
      <c r="AF19" s="436">
        <v>0</v>
      </c>
      <c r="AG19" s="436">
        <v>36</v>
      </c>
      <c r="AH19" s="436">
        <v>0.5</v>
      </c>
      <c r="AI19" s="436">
        <v>35</v>
      </c>
      <c r="AJ19" s="436">
        <v>0</v>
      </c>
      <c r="AK19" s="436">
        <v>34</v>
      </c>
      <c r="AL19" s="436">
        <v>27</v>
      </c>
      <c r="AM19" s="436" t="s">
        <v>392</v>
      </c>
    </row>
    <row r="20" spans="1:39" ht="15" customHeight="1" x14ac:dyDescent="0.2">
      <c r="A20" s="436" t="s">
        <v>393</v>
      </c>
      <c r="B20" s="437">
        <v>43720</v>
      </c>
      <c r="C20" s="436" t="s">
        <v>376</v>
      </c>
      <c r="D20" s="436" t="s">
        <v>318</v>
      </c>
      <c r="E20" s="436" t="s">
        <v>319</v>
      </c>
      <c r="F20" s="436">
        <v>29.3</v>
      </c>
      <c r="G20" s="437">
        <v>43246</v>
      </c>
      <c r="H20" s="436"/>
      <c r="I20" s="436">
        <v>18</v>
      </c>
      <c r="J20" s="436">
        <v>19</v>
      </c>
      <c r="K20" s="436"/>
      <c r="L20" s="436">
        <v>29.3</v>
      </c>
      <c r="M20" s="436" t="s">
        <v>351</v>
      </c>
      <c r="N20" s="436" t="s">
        <v>352</v>
      </c>
      <c r="O20" s="436"/>
      <c r="P20" s="436"/>
      <c r="Q20" s="436"/>
      <c r="R20" s="436"/>
      <c r="S20" s="436"/>
      <c r="T20" s="436"/>
      <c r="U20" s="436"/>
      <c r="V20" s="436"/>
      <c r="W20" s="436"/>
      <c r="X20" s="436" t="s">
        <v>391</v>
      </c>
      <c r="Y20" s="436">
        <v>48</v>
      </c>
      <c r="Z20" s="436">
        <v>0.5</v>
      </c>
      <c r="AA20" s="436">
        <v>40</v>
      </c>
      <c r="AB20" s="436">
        <v>0</v>
      </c>
      <c r="AC20" s="436">
        <v>44</v>
      </c>
      <c r="AD20" s="436">
        <v>0.5</v>
      </c>
      <c r="AE20" s="436">
        <v>43</v>
      </c>
      <c r="AF20" s="436">
        <v>0</v>
      </c>
      <c r="AG20" s="436">
        <v>47</v>
      </c>
      <c r="AH20" s="436">
        <v>0.5</v>
      </c>
      <c r="AI20" s="436">
        <v>46</v>
      </c>
      <c r="AJ20" s="436">
        <v>0</v>
      </c>
      <c r="AK20" s="436" t="s">
        <v>394</v>
      </c>
      <c r="AL20" s="436">
        <v>41</v>
      </c>
      <c r="AM20" s="436">
        <v>42</v>
      </c>
    </row>
    <row r="21" spans="1:39" ht="15" customHeight="1" x14ac:dyDescent="0.2">
      <c r="A21" s="436" t="s">
        <v>395</v>
      </c>
      <c r="B21" s="437">
        <v>43720</v>
      </c>
      <c r="C21" s="436" t="s">
        <v>376</v>
      </c>
      <c r="D21" s="436" t="s">
        <v>318</v>
      </c>
      <c r="E21" s="436" t="s">
        <v>319</v>
      </c>
      <c r="F21" s="436">
        <v>32.299999999999997</v>
      </c>
      <c r="G21" s="437">
        <v>43246</v>
      </c>
      <c r="H21" s="436"/>
      <c r="I21" s="436">
        <v>25</v>
      </c>
      <c r="J21" s="436">
        <v>26</v>
      </c>
      <c r="K21" s="436"/>
      <c r="L21" s="436">
        <v>32.299999999999997</v>
      </c>
      <c r="M21" s="436" t="s">
        <v>354</v>
      </c>
      <c r="N21" s="436" t="s">
        <v>355</v>
      </c>
      <c r="O21" s="436"/>
      <c r="P21" s="436"/>
      <c r="Q21" s="436"/>
      <c r="R21" s="436"/>
      <c r="S21" s="436"/>
      <c r="T21" s="436"/>
      <c r="U21" s="436"/>
      <c r="V21" s="436"/>
      <c r="W21" s="436" t="s">
        <v>396</v>
      </c>
      <c r="X21" s="436" t="s">
        <v>391</v>
      </c>
      <c r="Y21" s="436">
        <v>54</v>
      </c>
      <c r="Z21" s="436">
        <v>0</v>
      </c>
      <c r="AA21" s="436">
        <v>62</v>
      </c>
      <c r="AB21" s="436">
        <v>-0.5</v>
      </c>
      <c r="AC21" s="436">
        <v>57</v>
      </c>
      <c r="AD21" s="436">
        <v>0</v>
      </c>
      <c r="AE21" s="436">
        <v>58</v>
      </c>
      <c r="AF21" s="436">
        <v>-0.5</v>
      </c>
      <c r="AG21" s="436">
        <v>59</v>
      </c>
      <c r="AH21" s="436">
        <v>0</v>
      </c>
      <c r="AI21" s="436">
        <v>60</v>
      </c>
      <c r="AJ21" s="436">
        <v>-0.5</v>
      </c>
      <c r="AK21" s="436">
        <v>51</v>
      </c>
      <c r="AL21" s="436">
        <v>55</v>
      </c>
      <c r="AM21" s="436">
        <v>56</v>
      </c>
    </row>
    <row r="22" spans="1:39" ht="15" customHeight="1" x14ac:dyDescent="0.2">
      <c r="A22" s="436" t="s">
        <v>397</v>
      </c>
      <c r="B22" s="437">
        <v>43741</v>
      </c>
      <c r="C22" s="436" t="s">
        <v>44</v>
      </c>
      <c r="D22" s="436" t="s">
        <v>318</v>
      </c>
      <c r="E22" s="436" t="s">
        <v>319</v>
      </c>
      <c r="F22" s="436">
        <v>33.4</v>
      </c>
      <c r="G22" s="437">
        <v>43180</v>
      </c>
      <c r="H22" s="436"/>
      <c r="I22" s="436">
        <v>2</v>
      </c>
      <c r="J22" s="436">
        <v>3</v>
      </c>
      <c r="K22" s="436">
        <v>11</v>
      </c>
      <c r="L22" s="436">
        <v>33.4</v>
      </c>
      <c r="M22" s="436"/>
      <c r="N22" s="436"/>
      <c r="O22" s="436"/>
      <c r="P22" s="436"/>
      <c r="Q22" s="436"/>
      <c r="R22" s="436"/>
      <c r="S22" s="436"/>
      <c r="T22" s="436"/>
      <c r="U22" s="436"/>
      <c r="V22" s="436"/>
      <c r="W22" s="436"/>
      <c r="X22" s="436" t="s">
        <v>391</v>
      </c>
      <c r="Y22" s="436">
        <v>2</v>
      </c>
      <c r="Z22" s="436">
        <v>0</v>
      </c>
      <c r="AA22" s="436">
        <v>18</v>
      </c>
      <c r="AB22" s="436">
        <v>-0.5</v>
      </c>
      <c r="AC22" s="436">
        <v>4</v>
      </c>
      <c r="AD22" s="436">
        <v>0</v>
      </c>
      <c r="AE22" s="436">
        <v>21</v>
      </c>
      <c r="AF22" s="436">
        <v>-0.5</v>
      </c>
      <c r="AG22" s="436">
        <v>8</v>
      </c>
      <c r="AH22" s="436">
        <v>0</v>
      </c>
      <c r="AI22" s="436">
        <v>9</v>
      </c>
      <c r="AJ22" s="436">
        <v>-0.5</v>
      </c>
      <c r="AK22" s="436">
        <v>3</v>
      </c>
      <c r="AL22" s="436">
        <v>6</v>
      </c>
      <c r="AM22" s="436">
        <v>7</v>
      </c>
    </row>
    <row r="23" spans="1:39" ht="15" customHeight="1" x14ac:dyDescent="0.2">
      <c r="A23" s="436" t="s">
        <v>398</v>
      </c>
      <c r="B23" s="437">
        <v>43741</v>
      </c>
      <c r="C23" s="436" t="s">
        <v>357</v>
      </c>
      <c r="D23" s="436" t="s">
        <v>318</v>
      </c>
      <c r="E23" s="436" t="s">
        <v>319</v>
      </c>
      <c r="F23" s="436">
        <v>36.4</v>
      </c>
      <c r="G23" s="437">
        <v>43216</v>
      </c>
      <c r="H23" s="436"/>
      <c r="I23" s="436">
        <v>16</v>
      </c>
      <c r="J23" s="436">
        <v>15</v>
      </c>
      <c r="K23" s="436">
        <v>14</v>
      </c>
      <c r="L23" s="436">
        <v>36.4</v>
      </c>
      <c r="M23" s="436" t="s">
        <v>399</v>
      </c>
      <c r="N23" s="436" t="s">
        <v>400</v>
      </c>
      <c r="O23" s="436"/>
      <c r="P23" s="436"/>
      <c r="Q23" s="436"/>
      <c r="R23" s="436"/>
      <c r="S23" s="436"/>
      <c r="T23" s="436"/>
      <c r="U23" s="436"/>
      <c r="V23" s="436"/>
      <c r="W23" s="436"/>
      <c r="X23" s="436" t="s">
        <v>401</v>
      </c>
      <c r="Y23" s="436">
        <v>30</v>
      </c>
      <c r="Z23" s="436">
        <v>0.5</v>
      </c>
      <c r="AA23" s="436">
        <v>31</v>
      </c>
      <c r="AB23" s="436">
        <v>0</v>
      </c>
      <c r="AC23" s="436">
        <v>38</v>
      </c>
      <c r="AD23" s="436">
        <v>0.5</v>
      </c>
      <c r="AE23" s="436">
        <v>26</v>
      </c>
      <c r="AF23" s="436">
        <v>0</v>
      </c>
      <c r="AG23" s="436">
        <v>40</v>
      </c>
      <c r="AH23" s="436">
        <v>0.5</v>
      </c>
      <c r="AI23" s="436">
        <v>39</v>
      </c>
      <c r="AJ23" s="436">
        <v>0</v>
      </c>
      <c r="AK23" s="436">
        <v>28</v>
      </c>
      <c r="AL23" s="436">
        <v>24</v>
      </c>
      <c r="AM23" s="436">
        <v>25</v>
      </c>
    </row>
    <row r="24" spans="1:39" ht="15" customHeight="1" x14ac:dyDescent="0.2">
      <c r="A24" s="436" t="s">
        <v>402</v>
      </c>
      <c r="B24" s="437">
        <v>43741</v>
      </c>
      <c r="C24" s="436" t="s">
        <v>357</v>
      </c>
      <c r="D24" s="436" t="s">
        <v>342</v>
      </c>
      <c r="E24" s="436" t="s">
        <v>319</v>
      </c>
      <c r="F24" s="436">
        <v>36.200000000000003</v>
      </c>
      <c r="G24" s="437">
        <v>43216</v>
      </c>
      <c r="H24" s="436" t="s">
        <v>403</v>
      </c>
      <c r="I24" s="436">
        <v>31</v>
      </c>
      <c r="J24" s="436">
        <v>32</v>
      </c>
      <c r="K24" s="436"/>
      <c r="L24" s="436">
        <v>36.200000000000003</v>
      </c>
      <c r="M24" s="436" t="s">
        <v>404</v>
      </c>
      <c r="N24" s="436" t="s">
        <v>405</v>
      </c>
      <c r="O24" s="436"/>
      <c r="P24" s="436"/>
      <c r="Q24" s="436"/>
      <c r="R24" s="436"/>
      <c r="S24" s="436"/>
      <c r="T24" s="436"/>
      <c r="U24" s="436"/>
      <c r="V24" s="436"/>
      <c r="W24" s="436"/>
      <c r="X24" s="436" t="s">
        <v>401</v>
      </c>
      <c r="Y24" s="436">
        <v>50</v>
      </c>
      <c r="Z24" s="436">
        <v>0</v>
      </c>
      <c r="AA24" s="436">
        <v>49</v>
      </c>
      <c r="AB24" s="436">
        <v>0.5</v>
      </c>
      <c r="AC24" s="436">
        <v>45</v>
      </c>
      <c r="AD24" s="436">
        <v>0.5</v>
      </c>
      <c r="AE24" s="436">
        <v>44</v>
      </c>
      <c r="AF24" s="436">
        <v>0</v>
      </c>
      <c r="AG24" s="436">
        <v>57</v>
      </c>
      <c r="AH24" s="436">
        <v>0.5</v>
      </c>
      <c r="AI24" s="436">
        <v>56</v>
      </c>
      <c r="AJ24" s="436">
        <v>0</v>
      </c>
      <c r="AK24" s="436">
        <v>48</v>
      </c>
      <c r="AL24" s="436">
        <v>42</v>
      </c>
      <c r="AM24" s="436">
        <v>43</v>
      </c>
    </row>
    <row r="25" spans="1:39" ht="15" customHeight="1" x14ac:dyDescent="0.2">
      <c r="A25" s="436" t="s">
        <v>129</v>
      </c>
      <c r="B25" s="437">
        <v>43741</v>
      </c>
      <c r="C25" s="436" t="s">
        <v>357</v>
      </c>
      <c r="D25" s="436" t="s">
        <v>342</v>
      </c>
      <c r="E25" s="436" t="s">
        <v>319</v>
      </c>
      <c r="F25" s="436">
        <v>30.4</v>
      </c>
      <c r="G25" s="437">
        <v>43216</v>
      </c>
      <c r="H25" s="436" t="s">
        <v>406</v>
      </c>
      <c r="I25" s="436">
        <v>42</v>
      </c>
      <c r="J25" s="436">
        <v>49</v>
      </c>
      <c r="K25" s="436"/>
      <c r="L25" s="436">
        <v>30.4</v>
      </c>
      <c r="M25" s="436" t="s">
        <v>407</v>
      </c>
      <c r="N25" s="436" t="s">
        <v>408</v>
      </c>
      <c r="O25" s="436"/>
      <c r="P25" s="436"/>
      <c r="Q25" s="436"/>
      <c r="R25" s="436"/>
      <c r="S25" s="436"/>
      <c r="T25" s="436"/>
      <c r="U25" s="436"/>
      <c r="V25" s="436"/>
      <c r="W25" s="436"/>
      <c r="X25" s="436" t="s">
        <v>401</v>
      </c>
      <c r="Y25" s="436">
        <v>60</v>
      </c>
      <c r="Z25" s="436">
        <v>0.5</v>
      </c>
      <c r="AA25" s="436">
        <v>61</v>
      </c>
      <c r="AB25" s="436">
        <v>0</v>
      </c>
      <c r="AC25" s="436">
        <v>63</v>
      </c>
      <c r="AD25" s="436">
        <v>0.5</v>
      </c>
      <c r="AE25" s="436">
        <v>64</v>
      </c>
      <c r="AF25" s="436">
        <v>0</v>
      </c>
      <c r="AG25" s="436">
        <v>58</v>
      </c>
      <c r="AH25" s="436">
        <v>0.5</v>
      </c>
      <c r="AI25" s="436">
        <v>59</v>
      </c>
      <c r="AJ25" s="436">
        <v>0</v>
      </c>
      <c r="AK25" s="436">
        <v>62</v>
      </c>
      <c r="AL25" s="436">
        <v>74</v>
      </c>
      <c r="AM25" s="436">
        <v>65</v>
      </c>
    </row>
    <row r="26" spans="1:39" ht="15" customHeight="1" x14ac:dyDescent="0.2">
      <c r="A26" s="436" t="s">
        <v>130</v>
      </c>
      <c r="B26" s="437">
        <v>43741</v>
      </c>
      <c r="C26" s="436" t="s">
        <v>357</v>
      </c>
      <c r="D26" s="436" t="s">
        <v>318</v>
      </c>
      <c r="E26" s="436" t="s">
        <v>319</v>
      </c>
      <c r="F26" s="436">
        <v>34</v>
      </c>
      <c r="G26" s="437">
        <v>43216</v>
      </c>
      <c r="H26" s="436" t="s">
        <v>409</v>
      </c>
      <c r="I26" s="436">
        <v>60</v>
      </c>
      <c r="J26" s="436">
        <v>59</v>
      </c>
      <c r="K26" s="436"/>
      <c r="L26" s="436">
        <v>34</v>
      </c>
      <c r="M26" s="436" t="s">
        <v>410</v>
      </c>
      <c r="N26" s="436" t="s">
        <v>411</v>
      </c>
      <c r="O26" s="436"/>
      <c r="P26" s="436"/>
      <c r="Q26" s="436"/>
      <c r="R26" s="436"/>
      <c r="S26" s="436"/>
      <c r="T26" s="436"/>
      <c r="U26" s="436"/>
      <c r="V26" s="436"/>
      <c r="W26" s="436" t="s">
        <v>412</v>
      </c>
      <c r="X26" s="436" t="s">
        <v>401</v>
      </c>
      <c r="Y26" s="436">
        <v>93</v>
      </c>
      <c r="Z26" s="436">
        <v>1</v>
      </c>
      <c r="AA26" s="436">
        <v>94</v>
      </c>
      <c r="AB26" s="436">
        <v>0.5</v>
      </c>
      <c r="AC26" s="436">
        <v>80</v>
      </c>
      <c r="AD26" s="436">
        <v>1</v>
      </c>
      <c r="AE26" s="436">
        <v>91</v>
      </c>
      <c r="AF26" s="436">
        <v>0.5</v>
      </c>
      <c r="AG26" s="436">
        <v>95</v>
      </c>
      <c r="AH26" s="436">
        <v>1</v>
      </c>
      <c r="AI26" s="436">
        <v>96</v>
      </c>
      <c r="AJ26" s="436">
        <v>0.5</v>
      </c>
      <c r="AK26" s="436">
        <v>79</v>
      </c>
      <c r="AL26" s="436">
        <v>88</v>
      </c>
      <c r="AM26" s="436">
        <v>89</v>
      </c>
    </row>
    <row r="27" spans="1:39" ht="15" customHeight="1" x14ac:dyDescent="0.2">
      <c r="A27" s="436" t="s">
        <v>131</v>
      </c>
      <c r="B27" s="437">
        <v>43741</v>
      </c>
      <c r="C27" s="436" t="s">
        <v>357</v>
      </c>
      <c r="D27" s="436" t="s">
        <v>342</v>
      </c>
      <c r="E27" s="436" t="s">
        <v>319</v>
      </c>
      <c r="F27" s="436">
        <v>28.1</v>
      </c>
      <c r="G27" s="437">
        <v>43216</v>
      </c>
      <c r="H27" s="436"/>
      <c r="I27" s="436">
        <v>63</v>
      </c>
      <c r="J27" s="436">
        <v>62</v>
      </c>
      <c r="K27" s="436">
        <v>47</v>
      </c>
      <c r="L27" s="436">
        <v>28.1</v>
      </c>
      <c r="M27" s="436" t="s">
        <v>413</v>
      </c>
      <c r="N27" s="436" t="s">
        <v>414</v>
      </c>
      <c r="O27" s="436"/>
      <c r="P27" s="436"/>
      <c r="Q27" s="436"/>
      <c r="R27" s="436"/>
      <c r="S27" s="436"/>
      <c r="T27" s="436"/>
      <c r="U27" s="436"/>
      <c r="V27" s="436"/>
      <c r="W27" s="436"/>
      <c r="X27" s="436" t="s">
        <v>401</v>
      </c>
      <c r="Y27" s="436">
        <v>105</v>
      </c>
      <c r="Z27" s="436">
        <v>1</v>
      </c>
      <c r="AA27" s="436">
        <v>104</v>
      </c>
      <c r="AB27" s="436">
        <v>0.5</v>
      </c>
      <c r="AC27" s="436">
        <v>118</v>
      </c>
      <c r="AD27" s="436">
        <v>1</v>
      </c>
      <c r="AE27" s="436">
        <v>107</v>
      </c>
      <c r="AF27" s="436">
        <v>0.5</v>
      </c>
      <c r="AG27" s="436">
        <v>102</v>
      </c>
      <c r="AH27" s="436">
        <v>1</v>
      </c>
      <c r="AI27" s="436">
        <v>101</v>
      </c>
      <c r="AJ27" s="436">
        <v>0.5</v>
      </c>
      <c r="AK27" s="436">
        <v>103</v>
      </c>
      <c r="AL27" s="436">
        <v>111</v>
      </c>
      <c r="AM27" s="436">
        <v>109</v>
      </c>
    </row>
    <row r="28" spans="1:39" ht="15" customHeight="1" x14ac:dyDescent="0.2">
      <c r="A28" s="436" t="s">
        <v>415</v>
      </c>
      <c r="B28" s="437">
        <v>43803</v>
      </c>
      <c r="C28" s="436" t="s">
        <v>376</v>
      </c>
      <c r="D28" s="436" t="s">
        <v>342</v>
      </c>
      <c r="E28" s="436" t="s">
        <v>319</v>
      </c>
      <c r="F28" s="436">
        <v>22.3</v>
      </c>
      <c r="G28" s="437">
        <v>43216</v>
      </c>
      <c r="H28" s="436" t="s">
        <v>416</v>
      </c>
      <c r="I28" s="436">
        <v>3</v>
      </c>
      <c r="J28" s="436">
        <v>2</v>
      </c>
      <c r="K28" s="436"/>
      <c r="L28" s="436">
        <v>22.5</v>
      </c>
      <c r="M28" s="436" t="s">
        <v>417</v>
      </c>
      <c r="N28" s="436" t="s">
        <v>418</v>
      </c>
      <c r="O28" s="436"/>
      <c r="P28" s="436"/>
      <c r="Q28" s="436"/>
      <c r="R28" s="436"/>
      <c r="S28" s="436"/>
      <c r="T28" s="436"/>
      <c r="U28" s="436"/>
      <c r="V28" s="436"/>
      <c r="W28" s="436"/>
      <c r="X28" s="436" t="s">
        <v>419</v>
      </c>
      <c r="Y28" s="436">
        <v>2</v>
      </c>
      <c r="Z28" s="436">
        <v>0</v>
      </c>
      <c r="AA28" s="436">
        <v>11</v>
      </c>
      <c r="AB28" s="436">
        <v>0.5</v>
      </c>
      <c r="AC28" s="436">
        <v>4</v>
      </c>
      <c r="AD28" s="436">
        <v>0</v>
      </c>
      <c r="AE28" s="436">
        <v>5</v>
      </c>
      <c r="AF28" s="436">
        <v>0.5</v>
      </c>
      <c r="AG28" s="436">
        <v>8</v>
      </c>
      <c r="AH28" s="436">
        <v>0</v>
      </c>
      <c r="AI28" s="436">
        <v>9</v>
      </c>
      <c r="AJ28" s="436">
        <v>0.5</v>
      </c>
      <c r="AK28" s="436">
        <v>3</v>
      </c>
      <c r="AL28" s="436">
        <v>84</v>
      </c>
      <c r="AM28" s="436">
        <v>85</v>
      </c>
    </row>
    <row r="29" spans="1:39" ht="15" customHeight="1" x14ac:dyDescent="0.2">
      <c r="A29" s="436" t="s">
        <v>420</v>
      </c>
      <c r="B29" s="437">
        <v>43803</v>
      </c>
      <c r="C29" s="436" t="s">
        <v>376</v>
      </c>
      <c r="D29" s="436" t="s">
        <v>342</v>
      </c>
      <c r="E29" s="436" t="s">
        <v>319</v>
      </c>
      <c r="F29" s="436">
        <v>24</v>
      </c>
      <c r="G29" s="437">
        <v>43216</v>
      </c>
      <c r="H29" s="436" t="s">
        <v>421</v>
      </c>
      <c r="I29" s="436">
        <v>24</v>
      </c>
      <c r="J29" s="436">
        <v>20</v>
      </c>
      <c r="K29" s="436"/>
      <c r="L29" s="436">
        <v>24</v>
      </c>
      <c r="M29" s="436" t="s">
        <v>422</v>
      </c>
      <c r="N29" s="436" t="s">
        <v>423</v>
      </c>
      <c r="O29" s="436"/>
      <c r="P29" s="436"/>
      <c r="Q29" s="436"/>
      <c r="R29" s="436"/>
      <c r="S29" s="436"/>
      <c r="T29" s="436"/>
      <c r="U29" s="436"/>
      <c r="V29" s="436"/>
      <c r="W29" s="436" t="s">
        <v>424</v>
      </c>
      <c r="X29" s="436" t="s">
        <v>419</v>
      </c>
      <c r="Y29" s="436">
        <v>41</v>
      </c>
      <c r="Z29" s="436">
        <v>-1</v>
      </c>
      <c r="AA29" s="436">
        <v>69</v>
      </c>
      <c r="AB29" s="436">
        <v>-1.5</v>
      </c>
      <c r="AC29" s="436">
        <v>34</v>
      </c>
      <c r="AD29" s="436">
        <v>-1</v>
      </c>
      <c r="AE29" s="436">
        <v>35</v>
      </c>
      <c r="AF29" s="436">
        <v>-1.5</v>
      </c>
      <c r="AG29" s="436">
        <v>38</v>
      </c>
      <c r="AH29" s="436">
        <v>-1</v>
      </c>
      <c r="AI29" s="436">
        <v>39</v>
      </c>
      <c r="AJ29" s="436">
        <v>-1.5</v>
      </c>
      <c r="AK29" s="436">
        <v>70</v>
      </c>
      <c r="AL29" s="436">
        <v>64</v>
      </c>
      <c r="AM29" s="436">
        <v>57</v>
      </c>
    </row>
    <row r="30" spans="1:39" ht="15" customHeight="1" x14ac:dyDescent="0.2">
      <c r="A30" s="436" t="s">
        <v>425</v>
      </c>
      <c r="B30" s="437">
        <v>43803</v>
      </c>
      <c r="C30" s="436" t="s">
        <v>376</v>
      </c>
      <c r="D30" s="436" t="s">
        <v>342</v>
      </c>
      <c r="E30" s="436" t="s">
        <v>319</v>
      </c>
      <c r="F30" s="436">
        <v>22.5</v>
      </c>
      <c r="G30" s="437">
        <v>43216</v>
      </c>
      <c r="H30" s="436" t="s">
        <v>426</v>
      </c>
      <c r="I30" s="436">
        <v>3</v>
      </c>
      <c r="J30" s="436">
        <v>2</v>
      </c>
      <c r="K30" s="436"/>
      <c r="L30" s="436">
        <v>22.5</v>
      </c>
      <c r="M30" s="436" t="s">
        <v>427</v>
      </c>
      <c r="N30" s="436" t="s">
        <v>428</v>
      </c>
      <c r="O30" s="436"/>
      <c r="P30" s="436"/>
      <c r="Q30" s="436"/>
      <c r="R30" s="436"/>
      <c r="S30" s="436"/>
      <c r="T30" s="436"/>
      <c r="U30" s="436"/>
      <c r="V30" s="436"/>
      <c r="W30" s="436"/>
      <c r="X30" s="436" t="s">
        <v>419</v>
      </c>
      <c r="Y30" s="436">
        <v>89</v>
      </c>
      <c r="Z30" s="436">
        <v>-0.5</v>
      </c>
      <c r="AA30" s="436">
        <v>80</v>
      </c>
      <c r="AB30" s="436">
        <v>-1</v>
      </c>
      <c r="AC30" s="436">
        <v>83</v>
      </c>
      <c r="AD30" s="436">
        <v>-0.5</v>
      </c>
      <c r="AE30" s="436">
        <v>82</v>
      </c>
      <c r="AF30" s="436">
        <v>-1</v>
      </c>
      <c r="AG30" s="436">
        <v>87</v>
      </c>
      <c r="AH30" s="436">
        <v>-0.5</v>
      </c>
      <c r="AI30" s="436">
        <v>86</v>
      </c>
      <c r="AJ30" s="436">
        <v>-1</v>
      </c>
      <c r="AK30" s="436">
        <v>81</v>
      </c>
      <c r="AL30" s="436">
        <v>84</v>
      </c>
      <c r="AM30" s="436">
        <v>85</v>
      </c>
    </row>
    <row r="31" spans="1:39" ht="15" customHeight="1" x14ac:dyDescent="0.2">
      <c r="A31" s="436" t="s">
        <v>429</v>
      </c>
      <c r="B31" s="437">
        <v>43803</v>
      </c>
      <c r="C31" s="436" t="s">
        <v>376</v>
      </c>
      <c r="D31" s="436" t="s">
        <v>318</v>
      </c>
      <c r="E31" s="436" t="s">
        <v>319</v>
      </c>
      <c r="F31" s="436">
        <v>30.3</v>
      </c>
      <c r="G31" s="437">
        <v>43216</v>
      </c>
      <c r="H31" s="436" t="s">
        <v>430</v>
      </c>
      <c r="I31" s="436">
        <v>31</v>
      </c>
      <c r="J31" s="436">
        <v>32</v>
      </c>
      <c r="K31" s="436"/>
      <c r="L31" s="436">
        <v>30.3</v>
      </c>
      <c r="M31" s="436" t="s">
        <v>431</v>
      </c>
      <c r="N31" s="436" t="s">
        <v>432</v>
      </c>
      <c r="O31" s="436"/>
      <c r="P31" s="436"/>
      <c r="Q31" s="436"/>
      <c r="R31" s="436"/>
      <c r="S31" s="436"/>
      <c r="T31" s="436"/>
      <c r="U31" s="436"/>
      <c r="V31" s="436"/>
      <c r="W31" s="436"/>
      <c r="X31" s="436" t="s">
        <v>419</v>
      </c>
      <c r="Y31" s="436">
        <v>101</v>
      </c>
      <c r="Z31" s="436">
        <v>-1</v>
      </c>
      <c r="AA31" s="436">
        <v>110</v>
      </c>
      <c r="AB31" s="436">
        <v>-1.5</v>
      </c>
      <c r="AC31" s="436">
        <v>103</v>
      </c>
      <c r="AD31" s="436">
        <v>-1</v>
      </c>
      <c r="AE31" s="436">
        <v>104</v>
      </c>
      <c r="AF31" s="436">
        <v>-1.5</v>
      </c>
      <c r="AG31" s="436">
        <v>107</v>
      </c>
      <c r="AH31" s="436">
        <v>-1</v>
      </c>
      <c r="AI31" s="436">
        <v>108</v>
      </c>
      <c r="AJ31" s="436">
        <v>-1.5</v>
      </c>
      <c r="AK31" s="436">
        <v>102</v>
      </c>
      <c r="AL31" s="436">
        <v>105</v>
      </c>
      <c r="AM31" s="436">
        <v>106</v>
      </c>
    </row>
    <row r="32" spans="1:39" ht="15" customHeight="1" x14ac:dyDescent="0.2">
      <c r="A32" s="436" t="s">
        <v>433</v>
      </c>
      <c r="B32" s="437">
        <v>43803</v>
      </c>
      <c r="C32" s="436" t="s">
        <v>376</v>
      </c>
      <c r="D32" s="436" t="s">
        <v>318</v>
      </c>
      <c r="E32" s="436" t="s">
        <v>319</v>
      </c>
      <c r="F32" s="436">
        <v>28</v>
      </c>
      <c r="G32" s="437">
        <v>43216</v>
      </c>
      <c r="H32" s="436" t="s">
        <v>434</v>
      </c>
      <c r="I32" s="436">
        <v>40</v>
      </c>
      <c r="J32" s="436">
        <v>41</v>
      </c>
      <c r="K32" s="436"/>
      <c r="L32" s="436">
        <v>28</v>
      </c>
      <c r="M32" s="436" t="s">
        <v>435</v>
      </c>
      <c r="N32" s="436" t="s">
        <v>436</v>
      </c>
      <c r="O32" s="436"/>
      <c r="P32" s="436"/>
      <c r="Q32" s="436"/>
      <c r="R32" s="436"/>
      <c r="S32" s="436"/>
      <c r="T32" s="436"/>
      <c r="U32" s="436"/>
      <c r="V32" s="436"/>
      <c r="W32" s="436"/>
      <c r="X32" s="436" t="s">
        <v>419</v>
      </c>
      <c r="Y32" s="436">
        <v>133</v>
      </c>
      <c r="Z32" s="436"/>
      <c r="AA32" s="436">
        <v>128</v>
      </c>
      <c r="AB32" s="436"/>
      <c r="AC32" s="436">
        <v>130</v>
      </c>
      <c r="AD32" s="436"/>
      <c r="AE32" s="436">
        <v>131</v>
      </c>
      <c r="AF32" s="436"/>
      <c r="AG32" s="436">
        <v>141</v>
      </c>
      <c r="AH32" s="436"/>
      <c r="AI32" s="436">
        <v>142</v>
      </c>
      <c r="AJ32" s="436"/>
      <c r="AK32" s="436">
        <v>129</v>
      </c>
      <c r="AL32" s="436">
        <v>138</v>
      </c>
      <c r="AM32" s="436">
        <v>127</v>
      </c>
    </row>
    <row r="33" spans="1:39" ht="15" customHeight="1" x14ac:dyDescent="0.2">
      <c r="A33" s="436" t="s">
        <v>437</v>
      </c>
      <c r="B33" s="437">
        <v>43810</v>
      </c>
      <c r="C33" s="436" t="s">
        <v>438</v>
      </c>
      <c r="D33" s="436" t="s">
        <v>342</v>
      </c>
      <c r="E33" s="436" t="s">
        <v>439</v>
      </c>
      <c r="F33" s="436">
        <v>24.1</v>
      </c>
      <c r="G33" s="437">
        <v>43457</v>
      </c>
      <c r="H33" s="436" t="s">
        <v>440</v>
      </c>
      <c r="I33" s="436">
        <v>15</v>
      </c>
      <c r="J33" s="436">
        <v>22</v>
      </c>
      <c r="K33" s="436">
        <v>21</v>
      </c>
      <c r="L33" s="436">
        <v>24.1</v>
      </c>
      <c r="M33" s="436" t="s">
        <v>441</v>
      </c>
      <c r="N33" s="436"/>
      <c r="O33" s="436"/>
      <c r="P33" s="436"/>
      <c r="Q33" s="436"/>
      <c r="R33" s="436"/>
      <c r="S33" s="436"/>
      <c r="T33" s="436"/>
      <c r="U33" s="436"/>
      <c r="V33" s="436"/>
      <c r="W33" s="436"/>
      <c r="X33" s="436" t="s">
        <v>419</v>
      </c>
      <c r="Y33" s="436"/>
      <c r="Z33" s="436"/>
      <c r="AA33" s="436"/>
      <c r="AB33" s="436"/>
      <c r="AC33" s="436">
        <v>19</v>
      </c>
      <c r="AD33" s="436">
        <v>1.5</v>
      </c>
      <c r="AE33" s="436">
        <v>18</v>
      </c>
      <c r="AF33" s="436">
        <v>1</v>
      </c>
      <c r="AG33" s="436">
        <v>22</v>
      </c>
      <c r="AH33" s="436">
        <v>1.5</v>
      </c>
      <c r="AI33" s="436">
        <v>21</v>
      </c>
      <c r="AJ33" s="436">
        <v>1</v>
      </c>
      <c r="AK33" s="436">
        <v>20</v>
      </c>
      <c r="AL33" s="436">
        <v>16</v>
      </c>
      <c r="AM33" s="436">
        <v>17</v>
      </c>
    </row>
    <row r="34" spans="1:39" ht="15" customHeight="1" x14ac:dyDescent="0.2">
      <c r="A34" s="436" t="s">
        <v>442</v>
      </c>
      <c r="B34" s="437">
        <v>43810</v>
      </c>
      <c r="C34" s="436" t="s">
        <v>438</v>
      </c>
      <c r="D34" s="436" t="s">
        <v>342</v>
      </c>
      <c r="E34" s="436" t="s">
        <v>439</v>
      </c>
      <c r="F34" s="436">
        <v>24</v>
      </c>
      <c r="G34" s="437">
        <v>43457</v>
      </c>
      <c r="H34" s="436" t="s">
        <v>443</v>
      </c>
      <c r="I34" s="436">
        <v>3</v>
      </c>
      <c r="J34" s="436">
        <v>10</v>
      </c>
      <c r="K34" s="436">
        <v>9</v>
      </c>
      <c r="L34" s="436">
        <v>24</v>
      </c>
      <c r="M34" s="436" t="s">
        <v>444</v>
      </c>
      <c r="N34" s="436"/>
      <c r="O34" s="436"/>
      <c r="P34" s="436"/>
      <c r="Q34" s="436"/>
      <c r="R34" s="436"/>
      <c r="S34" s="436"/>
      <c r="T34" s="436"/>
      <c r="U34" s="436"/>
      <c r="V34" s="436"/>
      <c r="W34" s="436"/>
      <c r="X34" s="436" t="s">
        <v>445</v>
      </c>
      <c r="Y34" s="436"/>
      <c r="Z34" s="436"/>
      <c r="AA34" s="436"/>
      <c r="AB34" s="436"/>
      <c r="AC34" s="436">
        <v>7</v>
      </c>
      <c r="AD34" s="436">
        <v>1.5</v>
      </c>
      <c r="AE34" s="436">
        <v>6</v>
      </c>
      <c r="AF34" s="436">
        <v>1</v>
      </c>
      <c r="AG34" s="436">
        <v>10</v>
      </c>
      <c r="AH34" s="436">
        <v>1.5</v>
      </c>
      <c r="AI34" s="436">
        <v>9</v>
      </c>
      <c r="AJ34" s="436">
        <v>1</v>
      </c>
      <c r="AK34" s="436">
        <v>8</v>
      </c>
      <c r="AL34" s="436">
        <v>4</v>
      </c>
      <c r="AM34" s="436">
        <v>5</v>
      </c>
    </row>
    <row r="35" spans="1:39" ht="15" customHeight="1" x14ac:dyDescent="0.2">
      <c r="A35" s="436" t="s">
        <v>446</v>
      </c>
      <c r="B35" s="437">
        <v>43810</v>
      </c>
      <c r="C35" s="436" t="s">
        <v>438</v>
      </c>
      <c r="D35" s="436" t="s">
        <v>342</v>
      </c>
      <c r="E35" s="436" t="s">
        <v>439</v>
      </c>
      <c r="F35" s="436">
        <v>24</v>
      </c>
      <c r="G35" s="437">
        <v>43457</v>
      </c>
      <c r="H35" s="436"/>
      <c r="I35" s="436">
        <v>45</v>
      </c>
      <c r="J35" s="436">
        <v>43</v>
      </c>
      <c r="K35" s="436">
        <v>42</v>
      </c>
      <c r="L35" s="436">
        <v>24</v>
      </c>
      <c r="M35" s="436" t="s">
        <v>447</v>
      </c>
      <c r="N35" s="436"/>
      <c r="O35" s="436"/>
      <c r="P35" s="436"/>
      <c r="Q35" s="436"/>
      <c r="R35" s="436"/>
      <c r="S35" s="436"/>
      <c r="T35" s="436"/>
      <c r="U35" s="436"/>
      <c r="V35" s="436"/>
      <c r="W35" s="436"/>
      <c r="X35" s="436" t="s">
        <v>448</v>
      </c>
      <c r="Y35" s="436"/>
      <c r="Z35" s="436"/>
      <c r="AA35" s="436"/>
      <c r="AB35" s="436"/>
      <c r="AC35" s="436">
        <v>39</v>
      </c>
      <c r="AD35" s="436">
        <v>1.5</v>
      </c>
      <c r="AE35" s="436">
        <v>38</v>
      </c>
      <c r="AF35" s="436">
        <v>1</v>
      </c>
      <c r="AG35" s="436">
        <v>43</v>
      </c>
      <c r="AH35" s="436">
        <v>1.5</v>
      </c>
      <c r="AI35" s="436">
        <v>42</v>
      </c>
      <c r="AJ35" s="436">
        <v>1</v>
      </c>
      <c r="AK35" s="436">
        <v>37</v>
      </c>
      <c r="AL35" s="436">
        <v>35</v>
      </c>
      <c r="AM35" s="436">
        <v>36</v>
      </c>
    </row>
    <row r="36" spans="1:39" ht="15" customHeight="1" x14ac:dyDescent="0.2">
      <c r="A36" s="436" t="s">
        <v>449</v>
      </c>
      <c r="B36" s="437">
        <v>43810</v>
      </c>
      <c r="C36" s="436" t="s">
        <v>438</v>
      </c>
      <c r="D36" s="436" t="s">
        <v>342</v>
      </c>
      <c r="E36" s="436" t="s">
        <v>439</v>
      </c>
      <c r="F36" s="436">
        <v>22.8</v>
      </c>
      <c r="G36" s="437">
        <v>43457</v>
      </c>
      <c r="H36" s="436" t="s">
        <v>450</v>
      </c>
      <c r="I36" s="436">
        <v>14</v>
      </c>
      <c r="J36" s="436">
        <v>24</v>
      </c>
      <c r="K36" s="436">
        <v>23</v>
      </c>
      <c r="L36" s="436">
        <v>22.8</v>
      </c>
      <c r="M36" s="436" t="s">
        <v>451</v>
      </c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 t="s">
        <v>448</v>
      </c>
      <c r="Y36" s="436"/>
      <c r="Z36" s="436"/>
      <c r="AA36" s="436"/>
      <c r="AB36" s="436"/>
      <c r="AC36" s="436">
        <v>20</v>
      </c>
      <c r="AD36" s="436">
        <v>1</v>
      </c>
      <c r="AE36" s="436">
        <v>21</v>
      </c>
      <c r="AF36" s="436">
        <v>0.5</v>
      </c>
      <c r="AG36" s="436">
        <v>24</v>
      </c>
      <c r="AH36" s="436">
        <v>0.5</v>
      </c>
      <c r="AI36" s="436">
        <v>25</v>
      </c>
      <c r="AJ36" s="436">
        <v>1</v>
      </c>
      <c r="AK36" s="436">
        <v>22</v>
      </c>
      <c r="AL36" s="436">
        <v>18</v>
      </c>
      <c r="AM36" s="436">
        <v>19</v>
      </c>
    </row>
    <row r="37" spans="1:39" ht="15" customHeight="1" x14ac:dyDescent="0.2">
      <c r="A37" s="436" t="s">
        <v>452</v>
      </c>
      <c r="B37" s="437">
        <v>43810</v>
      </c>
      <c r="C37" s="436" t="s">
        <v>438</v>
      </c>
      <c r="D37" s="436" t="s">
        <v>342</v>
      </c>
      <c r="E37" s="436" t="s">
        <v>439</v>
      </c>
      <c r="F37" s="436">
        <v>24.7</v>
      </c>
      <c r="G37" s="437">
        <v>43457</v>
      </c>
      <c r="H37" s="436" t="s">
        <v>453</v>
      </c>
      <c r="I37" s="436">
        <v>46</v>
      </c>
      <c r="J37" s="436">
        <v>44</v>
      </c>
      <c r="K37" s="436">
        <v>45</v>
      </c>
      <c r="L37" s="436">
        <v>24.7</v>
      </c>
      <c r="M37" s="436" t="s">
        <v>454</v>
      </c>
      <c r="N37" s="436"/>
      <c r="O37" s="436"/>
      <c r="P37" s="436"/>
      <c r="Q37" s="436"/>
      <c r="R37" s="436"/>
      <c r="S37" s="436"/>
      <c r="T37" s="436"/>
      <c r="U37" s="436"/>
      <c r="V37" s="436"/>
      <c r="W37" s="436" t="s">
        <v>455</v>
      </c>
      <c r="X37" s="436" t="s">
        <v>456</v>
      </c>
      <c r="Y37" s="436"/>
      <c r="Z37" s="436"/>
      <c r="AA37" s="436"/>
      <c r="AB37" s="436"/>
      <c r="AC37" s="436">
        <v>43</v>
      </c>
      <c r="AD37" s="436" t="s">
        <v>457</v>
      </c>
      <c r="AE37" s="436">
        <v>42</v>
      </c>
      <c r="AF37" s="436">
        <v>1</v>
      </c>
      <c r="AG37" s="436">
        <v>44</v>
      </c>
      <c r="AH37" s="436">
        <v>1</v>
      </c>
      <c r="AI37" s="436">
        <v>45</v>
      </c>
      <c r="AJ37" s="436">
        <v>1.5</v>
      </c>
      <c r="AK37" s="436">
        <v>33</v>
      </c>
      <c r="AL37" s="436">
        <v>39</v>
      </c>
      <c r="AM37" s="436">
        <v>40</v>
      </c>
    </row>
    <row r="38" spans="1:39" ht="15" customHeight="1" x14ac:dyDescent="0.2">
      <c r="A38" s="436" t="s">
        <v>458</v>
      </c>
      <c r="B38" s="437">
        <v>43810</v>
      </c>
      <c r="C38" s="436" t="s">
        <v>438</v>
      </c>
      <c r="D38" s="436" t="s">
        <v>342</v>
      </c>
      <c r="E38" s="436" t="s">
        <v>459</v>
      </c>
      <c r="F38" s="436">
        <v>24.8</v>
      </c>
      <c r="G38" s="437">
        <v>43459</v>
      </c>
      <c r="H38" s="436" t="s">
        <v>460</v>
      </c>
      <c r="I38" s="436">
        <v>11</v>
      </c>
      <c r="J38" s="436">
        <v>10</v>
      </c>
      <c r="K38" s="436">
        <v>9</v>
      </c>
      <c r="L38" s="436">
        <v>24.8</v>
      </c>
      <c r="M38" s="436" t="s">
        <v>461</v>
      </c>
      <c r="N38" s="436"/>
      <c r="O38" s="436"/>
      <c r="P38" s="436"/>
      <c r="Q38" s="436"/>
      <c r="R38" s="436"/>
      <c r="S38" s="436"/>
      <c r="T38" s="436"/>
      <c r="U38" s="436"/>
      <c r="V38" s="436"/>
      <c r="W38" s="436"/>
      <c r="X38" s="436" t="s">
        <v>456</v>
      </c>
      <c r="Y38" s="436"/>
      <c r="Z38" s="436"/>
      <c r="AA38" s="436"/>
      <c r="AB38" s="436"/>
      <c r="AC38" s="436">
        <v>24</v>
      </c>
      <c r="AD38" s="436">
        <v>0.5</v>
      </c>
      <c r="AE38" s="436">
        <v>6</v>
      </c>
      <c r="AF38" s="436">
        <v>0</v>
      </c>
      <c r="AG38" s="436">
        <v>10</v>
      </c>
      <c r="AH38" s="436">
        <v>0.5</v>
      </c>
      <c r="AI38" s="436">
        <v>9</v>
      </c>
      <c r="AJ38" s="436">
        <v>0</v>
      </c>
      <c r="AK38" s="436">
        <v>8</v>
      </c>
      <c r="AL38" s="436">
        <v>4</v>
      </c>
      <c r="AM38" s="436">
        <v>5</v>
      </c>
    </row>
    <row r="39" spans="1:39" ht="15" customHeight="1" x14ac:dyDescent="0.2">
      <c r="A39" s="436" t="s">
        <v>462</v>
      </c>
      <c r="B39" s="437">
        <v>43811</v>
      </c>
      <c r="C39" s="436" t="s">
        <v>438</v>
      </c>
      <c r="D39" s="436" t="s">
        <v>342</v>
      </c>
      <c r="E39" s="436" t="s">
        <v>459</v>
      </c>
      <c r="F39" s="436">
        <v>25.6</v>
      </c>
      <c r="G39" s="437">
        <v>43459</v>
      </c>
      <c r="H39" s="436" t="s">
        <v>463</v>
      </c>
      <c r="I39" s="436">
        <v>33</v>
      </c>
      <c r="J39" s="436">
        <v>32</v>
      </c>
      <c r="K39" s="436">
        <v>31</v>
      </c>
      <c r="L39" s="436">
        <v>25.6</v>
      </c>
      <c r="M39" s="436" t="s">
        <v>464</v>
      </c>
      <c r="N39" s="436"/>
      <c r="O39" s="436"/>
      <c r="P39" s="436"/>
      <c r="Q39" s="436"/>
      <c r="R39" s="436"/>
      <c r="S39" s="436"/>
      <c r="T39" s="436"/>
      <c r="U39" s="436"/>
      <c r="V39" s="436"/>
      <c r="W39" s="436"/>
      <c r="X39" s="436" t="s">
        <v>465</v>
      </c>
      <c r="Y39" s="436"/>
      <c r="Z39" s="436"/>
      <c r="AA39" s="436"/>
      <c r="AB39" s="436"/>
      <c r="AC39" s="436">
        <v>29</v>
      </c>
      <c r="AD39" s="436">
        <v>0.5</v>
      </c>
      <c r="AE39" s="436">
        <v>28</v>
      </c>
      <c r="AF39" s="436">
        <v>0</v>
      </c>
      <c r="AG39" s="436">
        <v>32</v>
      </c>
      <c r="AH39" s="436">
        <v>0.5</v>
      </c>
      <c r="AI39" s="436">
        <v>31</v>
      </c>
      <c r="AJ39" s="436">
        <v>0</v>
      </c>
      <c r="AK39" s="436">
        <v>30</v>
      </c>
      <c r="AL39" s="436">
        <v>26</v>
      </c>
      <c r="AM39" s="436">
        <v>27</v>
      </c>
    </row>
    <row r="40" spans="1:39" ht="15" customHeight="1" x14ac:dyDescent="0.2">
      <c r="A40" s="436" t="s">
        <v>466</v>
      </c>
      <c r="B40" s="437">
        <v>43811</v>
      </c>
      <c r="C40" s="436" t="s">
        <v>438</v>
      </c>
      <c r="D40" s="436" t="s">
        <v>342</v>
      </c>
      <c r="E40" s="436" t="s">
        <v>459</v>
      </c>
      <c r="F40" s="436">
        <v>25.8</v>
      </c>
      <c r="G40" s="437">
        <v>43459</v>
      </c>
      <c r="H40" s="436" t="s">
        <v>467</v>
      </c>
      <c r="I40" s="436">
        <v>50</v>
      </c>
      <c r="J40" s="436">
        <v>46</v>
      </c>
      <c r="K40" s="436">
        <v>45</v>
      </c>
      <c r="L40" s="436">
        <v>25.8</v>
      </c>
      <c r="M40" s="436" t="s">
        <v>468</v>
      </c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 t="s">
        <v>465</v>
      </c>
      <c r="Y40" s="436"/>
      <c r="Z40" s="436"/>
      <c r="AA40" s="436"/>
      <c r="AB40" s="436"/>
      <c r="AC40" s="436">
        <v>47</v>
      </c>
      <c r="AD40" s="436">
        <v>0.5</v>
      </c>
      <c r="AE40" s="436">
        <v>48</v>
      </c>
      <c r="AF40" s="436">
        <v>0</v>
      </c>
      <c r="AG40" s="436">
        <v>46</v>
      </c>
      <c r="AH40" s="436">
        <v>0.5</v>
      </c>
      <c r="AI40" s="436">
        <v>45</v>
      </c>
      <c r="AJ40" s="436">
        <v>0</v>
      </c>
      <c r="AK40" s="436">
        <v>49</v>
      </c>
      <c r="AL40" s="436">
        <v>60</v>
      </c>
      <c r="AM40" s="436">
        <v>61</v>
      </c>
    </row>
    <row r="41" spans="1:39" ht="15" customHeight="1" x14ac:dyDescent="0.2">
      <c r="A41" s="436" t="s">
        <v>469</v>
      </c>
      <c r="B41" s="437">
        <v>43811</v>
      </c>
      <c r="C41" s="436" t="s">
        <v>438</v>
      </c>
      <c r="D41" s="436" t="s">
        <v>342</v>
      </c>
      <c r="E41" s="436" t="s">
        <v>459</v>
      </c>
      <c r="F41" s="436">
        <v>28.9</v>
      </c>
      <c r="G41" s="437">
        <v>43459</v>
      </c>
      <c r="H41" s="436" t="s">
        <v>470</v>
      </c>
      <c r="I41" s="436">
        <v>63</v>
      </c>
      <c r="J41" s="436">
        <v>70</v>
      </c>
      <c r="K41" s="436">
        <v>69</v>
      </c>
      <c r="L41" s="436">
        <v>28.9</v>
      </c>
      <c r="M41" s="436" t="s">
        <v>471</v>
      </c>
      <c r="N41" s="436"/>
      <c r="O41" s="436"/>
      <c r="P41" s="436"/>
      <c r="Q41" s="436"/>
      <c r="R41" s="436"/>
      <c r="S41" s="436"/>
      <c r="T41" s="436"/>
      <c r="U41" s="436"/>
      <c r="V41" s="436"/>
      <c r="W41" s="436"/>
      <c r="X41" s="436" t="s">
        <v>465</v>
      </c>
      <c r="Y41" s="436"/>
      <c r="Z41" s="436"/>
      <c r="AA41" s="436"/>
      <c r="AB41" s="436"/>
      <c r="AC41" s="436">
        <v>67</v>
      </c>
      <c r="AD41" s="436">
        <v>1.5</v>
      </c>
      <c r="AE41" s="436">
        <v>68</v>
      </c>
      <c r="AF41" s="436">
        <v>1</v>
      </c>
      <c r="AG41" s="436">
        <v>70</v>
      </c>
      <c r="AH41" s="436">
        <v>1.5</v>
      </c>
      <c r="AI41" s="436">
        <v>69</v>
      </c>
      <c r="AJ41" s="436">
        <v>1</v>
      </c>
      <c r="AK41" s="436">
        <v>66</v>
      </c>
      <c r="AL41" s="436">
        <v>64</v>
      </c>
      <c r="AM41" s="436">
        <v>65</v>
      </c>
    </row>
    <row r="42" spans="1:39" ht="15" customHeight="1" x14ac:dyDescent="0.2">
      <c r="A42" s="436" t="s">
        <v>472</v>
      </c>
      <c r="B42" s="437">
        <v>43817</v>
      </c>
      <c r="C42" s="436" t="s">
        <v>438</v>
      </c>
      <c r="D42" s="436" t="s">
        <v>342</v>
      </c>
      <c r="E42" s="436" t="s">
        <v>439</v>
      </c>
      <c r="F42" s="436">
        <v>20.6</v>
      </c>
      <c r="G42" s="437">
        <v>43458</v>
      </c>
      <c r="H42" s="436" t="s">
        <v>473</v>
      </c>
      <c r="I42" s="436">
        <v>21</v>
      </c>
      <c r="J42" s="436">
        <v>11</v>
      </c>
      <c r="K42" s="436">
        <v>12</v>
      </c>
      <c r="L42" s="436">
        <v>20.6</v>
      </c>
      <c r="M42" s="436" t="s">
        <v>474</v>
      </c>
      <c r="N42" s="436"/>
      <c r="O42" s="436"/>
      <c r="P42" s="436"/>
      <c r="Q42" s="436"/>
      <c r="R42" s="436"/>
      <c r="S42" s="436"/>
      <c r="T42" s="436"/>
      <c r="U42" s="436"/>
      <c r="V42" s="436"/>
      <c r="W42" s="436" t="s">
        <v>475</v>
      </c>
      <c r="X42" s="436" t="s">
        <v>465</v>
      </c>
      <c r="Y42" s="436"/>
      <c r="Z42" s="436"/>
      <c r="AA42" s="436"/>
      <c r="AB42" s="436"/>
      <c r="AC42" s="436">
        <v>8</v>
      </c>
      <c r="AD42" s="436">
        <v>-0.5</v>
      </c>
      <c r="AE42" s="436">
        <v>9</v>
      </c>
      <c r="AF42" s="436">
        <v>-1</v>
      </c>
      <c r="AG42" s="436">
        <v>11</v>
      </c>
      <c r="AH42" s="436">
        <v>-0.5</v>
      </c>
      <c r="AI42" s="436">
        <v>12</v>
      </c>
      <c r="AJ42" s="436">
        <v>-1</v>
      </c>
      <c r="AK42" s="436">
        <v>10</v>
      </c>
      <c r="AL42" s="436">
        <v>6</v>
      </c>
      <c r="AM42" s="436">
        <v>7</v>
      </c>
    </row>
    <row r="43" spans="1:39" ht="15" customHeight="1" x14ac:dyDescent="0.2">
      <c r="A43" s="436" t="s">
        <v>476</v>
      </c>
      <c r="B43" s="437">
        <v>43817</v>
      </c>
      <c r="C43" s="436" t="s">
        <v>438</v>
      </c>
      <c r="D43" s="436" t="s">
        <v>342</v>
      </c>
      <c r="E43" s="436" t="s">
        <v>439</v>
      </c>
      <c r="F43" s="436">
        <v>22.8</v>
      </c>
      <c r="G43" s="437">
        <v>43458</v>
      </c>
      <c r="H43" s="436" t="s">
        <v>477</v>
      </c>
      <c r="I43" s="436">
        <v>34</v>
      </c>
      <c r="J43" s="436">
        <v>48</v>
      </c>
      <c r="K43" s="436">
        <v>49</v>
      </c>
      <c r="L43" s="436">
        <v>22.8</v>
      </c>
      <c r="M43" s="436" t="s">
        <v>478</v>
      </c>
      <c r="N43" s="436"/>
      <c r="O43" s="436"/>
      <c r="P43" s="436"/>
      <c r="Q43" s="436"/>
      <c r="R43" s="436"/>
      <c r="S43" s="436"/>
      <c r="T43" s="436"/>
      <c r="U43" s="436"/>
      <c r="V43" s="436"/>
      <c r="W43" s="436"/>
      <c r="X43" s="436" t="s">
        <v>479</v>
      </c>
      <c r="Y43" s="436"/>
      <c r="Z43" s="436"/>
      <c r="AA43" s="436"/>
      <c r="AB43" s="436"/>
      <c r="AC43" s="436">
        <v>47</v>
      </c>
      <c r="AD43" s="436">
        <v>-0.5</v>
      </c>
      <c r="AE43" s="436">
        <v>46</v>
      </c>
      <c r="AF43" s="436">
        <v>-1</v>
      </c>
      <c r="AG43" s="436">
        <v>48</v>
      </c>
      <c r="AH43" s="436">
        <v>-0.5</v>
      </c>
      <c r="AI43" s="436">
        <v>49</v>
      </c>
      <c r="AJ43" s="436">
        <v>-1</v>
      </c>
      <c r="AK43" s="436">
        <v>45</v>
      </c>
      <c r="AL43" s="436">
        <v>38</v>
      </c>
      <c r="AM43" s="436">
        <v>39</v>
      </c>
    </row>
    <row r="44" spans="1:39" ht="15" customHeight="1" x14ac:dyDescent="0.2">
      <c r="A44" s="436" t="s">
        <v>480</v>
      </c>
      <c r="B44" s="437">
        <v>43817</v>
      </c>
      <c r="C44" s="436" t="s">
        <v>438</v>
      </c>
      <c r="D44" s="436" t="s">
        <v>342</v>
      </c>
      <c r="E44" s="436" t="s">
        <v>439</v>
      </c>
      <c r="F44" s="436">
        <v>26.6</v>
      </c>
      <c r="G44" s="437">
        <v>43458</v>
      </c>
      <c r="H44" s="436" t="s">
        <v>481</v>
      </c>
      <c r="I44" s="436">
        <v>58</v>
      </c>
      <c r="J44" s="436">
        <v>62</v>
      </c>
      <c r="K44" s="436">
        <v>63</v>
      </c>
      <c r="L44" s="436">
        <v>26.6</v>
      </c>
      <c r="M44" s="436" t="s">
        <v>482</v>
      </c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 t="s">
        <v>479</v>
      </c>
      <c r="Y44" s="436"/>
      <c r="Z44" s="436"/>
      <c r="AA44" s="436"/>
      <c r="AB44" s="436"/>
      <c r="AC44" s="436">
        <v>60</v>
      </c>
      <c r="AD44" s="436">
        <v>-0.5</v>
      </c>
      <c r="AE44" s="436">
        <v>61</v>
      </c>
      <c r="AF44" s="436">
        <v>-1</v>
      </c>
      <c r="AG44" s="436">
        <v>62</v>
      </c>
      <c r="AH44" s="436">
        <v>-0.5</v>
      </c>
      <c r="AI44" s="436">
        <v>63</v>
      </c>
      <c r="AJ44" s="436">
        <v>-1</v>
      </c>
      <c r="AK44" s="436">
        <v>51</v>
      </c>
      <c r="AL44" s="436">
        <v>52</v>
      </c>
      <c r="AM44" s="436">
        <v>53</v>
      </c>
    </row>
    <row r="45" spans="1:39" ht="15" customHeight="1" x14ac:dyDescent="0.2">
      <c r="A45" s="436" t="s">
        <v>483</v>
      </c>
      <c r="B45" s="437">
        <v>43817</v>
      </c>
      <c r="C45" s="436" t="s">
        <v>438</v>
      </c>
      <c r="D45" s="436" t="s">
        <v>342</v>
      </c>
      <c r="E45" s="436" t="s">
        <v>439</v>
      </c>
      <c r="F45" s="436">
        <v>25.5</v>
      </c>
      <c r="G45" s="437">
        <v>43458</v>
      </c>
      <c r="H45" s="436" t="s">
        <v>484</v>
      </c>
      <c r="I45" s="436">
        <v>74</v>
      </c>
      <c r="J45" s="436">
        <v>78</v>
      </c>
      <c r="K45" s="436">
        <v>79</v>
      </c>
      <c r="L45" s="436">
        <v>25.5</v>
      </c>
      <c r="M45" s="436" t="s">
        <v>485</v>
      </c>
      <c r="N45" s="436"/>
      <c r="O45" s="436"/>
      <c r="P45" s="436"/>
      <c r="Q45" s="436"/>
      <c r="R45" s="436"/>
      <c r="S45" s="436"/>
      <c r="T45" s="436"/>
      <c r="U45" s="436"/>
      <c r="V45" s="436"/>
      <c r="W45" s="436"/>
      <c r="X45" s="436" t="s">
        <v>479</v>
      </c>
      <c r="Y45" s="436"/>
      <c r="Z45" s="436"/>
      <c r="AA45" s="436"/>
      <c r="AB45" s="436"/>
      <c r="AC45" s="436">
        <v>77</v>
      </c>
      <c r="AD45" s="436">
        <v>0.5</v>
      </c>
      <c r="AE45" s="436">
        <v>76</v>
      </c>
      <c r="AF45" s="436">
        <v>0</v>
      </c>
      <c r="AG45" s="436">
        <v>78</v>
      </c>
      <c r="AH45" s="436">
        <v>0.5</v>
      </c>
      <c r="AI45" s="436">
        <v>79</v>
      </c>
      <c r="AJ45" s="436">
        <v>0</v>
      </c>
      <c r="AK45" s="436">
        <v>68</v>
      </c>
      <c r="AL45" s="436">
        <v>69</v>
      </c>
      <c r="AM45" s="436">
        <v>75</v>
      </c>
    </row>
    <row r="46" spans="1:39" ht="15" customHeight="1" x14ac:dyDescent="0.2">
      <c r="A46" s="436" t="s">
        <v>486</v>
      </c>
      <c r="B46" s="437">
        <v>43817</v>
      </c>
      <c r="C46" s="436" t="s">
        <v>438</v>
      </c>
      <c r="D46" s="436" t="s">
        <v>342</v>
      </c>
      <c r="E46" s="436" t="s">
        <v>459</v>
      </c>
      <c r="F46" s="436">
        <v>24.1</v>
      </c>
      <c r="G46" s="437">
        <v>43465</v>
      </c>
      <c r="H46" s="436" t="s">
        <v>487</v>
      </c>
      <c r="I46" s="436">
        <v>90</v>
      </c>
      <c r="J46" s="436">
        <v>93</v>
      </c>
      <c r="K46" s="436">
        <v>94</v>
      </c>
      <c r="L46" s="436">
        <v>24.1</v>
      </c>
      <c r="M46" s="436" t="s">
        <v>488</v>
      </c>
      <c r="N46" s="436"/>
      <c r="O46" s="436"/>
      <c r="P46" s="436"/>
      <c r="Q46" s="436"/>
      <c r="R46" s="436"/>
      <c r="S46" s="436"/>
      <c r="T46" s="436"/>
      <c r="U46" s="436"/>
      <c r="V46" s="436"/>
      <c r="W46" s="436"/>
      <c r="X46" s="436" t="s">
        <v>479</v>
      </c>
      <c r="Y46" s="436"/>
      <c r="Z46" s="436"/>
      <c r="AA46" s="436"/>
      <c r="AB46" s="436"/>
      <c r="AC46" s="436">
        <v>91</v>
      </c>
      <c r="AD46" s="436">
        <v>-1</v>
      </c>
      <c r="AE46" s="436">
        <v>92</v>
      </c>
      <c r="AF46" s="436">
        <v>-1.5</v>
      </c>
      <c r="AG46" s="436">
        <v>93</v>
      </c>
      <c r="AH46" s="436">
        <v>-1</v>
      </c>
      <c r="AI46" s="436">
        <v>94</v>
      </c>
      <c r="AJ46" s="436">
        <v>-1.5</v>
      </c>
      <c r="AK46" s="436">
        <v>82</v>
      </c>
      <c r="AL46" s="436">
        <v>83</v>
      </c>
      <c r="AM46" s="436">
        <v>85</v>
      </c>
    </row>
    <row r="47" spans="1:39" ht="15" customHeight="1" x14ac:dyDescent="0.2">
      <c r="A47" s="436" t="s">
        <v>489</v>
      </c>
      <c r="B47" s="437">
        <v>43817</v>
      </c>
      <c r="C47" s="436" t="s">
        <v>438</v>
      </c>
      <c r="D47" s="436" t="s">
        <v>342</v>
      </c>
      <c r="E47" s="436" t="s">
        <v>459</v>
      </c>
      <c r="F47" s="436">
        <v>26</v>
      </c>
      <c r="G47" s="437">
        <v>43465</v>
      </c>
      <c r="H47" s="436" t="s">
        <v>490</v>
      </c>
      <c r="I47" s="436">
        <v>99</v>
      </c>
      <c r="J47" s="436">
        <v>106</v>
      </c>
      <c r="K47" s="436">
        <v>105</v>
      </c>
      <c r="L47" s="436">
        <v>26</v>
      </c>
      <c r="M47" s="436" t="s">
        <v>491</v>
      </c>
      <c r="N47" s="436"/>
      <c r="O47" s="436"/>
      <c r="P47" s="436"/>
      <c r="Q47" s="436"/>
      <c r="R47" s="436"/>
      <c r="S47" s="436"/>
      <c r="T47" s="436"/>
      <c r="U47" s="436"/>
      <c r="V47" s="436"/>
      <c r="W47" s="436"/>
      <c r="X47" s="436" t="s">
        <v>479</v>
      </c>
      <c r="Y47" s="436"/>
      <c r="Z47" s="436"/>
      <c r="AA47" s="436"/>
      <c r="AB47" s="436"/>
      <c r="AC47" s="436">
        <v>103</v>
      </c>
      <c r="AD47" s="436">
        <v>-0.5</v>
      </c>
      <c r="AE47" s="436">
        <v>104</v>
      </c>
      <c r="AF47" s="436">
        <v>-1</v>
      </c>
      <c r="AG47" s="436">
        <v>106</v>
      </c>
      <c r="AH47" s="436">
        <v>-0.5</v>
      </c>
      <c r="AI47" s="436">
        <v>105</v>
      </c>
      <c r="AJ47" s="436">
        <v>-1</v>
      </c>
      <c r="AK47" s="436">
        <v>97</v>
      </c>
      <c r="AL47" s="436">
        <v>98</v>
      </c>
      <c r="AM47" s="436">
        <v>102</v>
      </c>
    </row>
    <row r="48" spans="1:39" ht="15" customHeight="1" x14ac:dyDescent="0.2">
      <c r="A48" s="436" t="s">
        <v>492</v>
      </c>
      <c r="B48" s="437">
        <v>43817</v>
      </c>
      <c r="C48" s="436" t="s">
        <v>438</v>
      </c>
      <c r="D48" s="436" t="s">
        <v>342</v>
      </c>
      <c r="E48" s="436" t="s">
        <v>459</v>
      </c>
      <c r="F48" s="436">
        <v>26.3</v>
      </c>
      <c r="G48" s="437">
        <v>43465</v>
      </c>
      <c r="H48" s="436" t="s">
        <v>493</v>
      </c>
      <c r="I48" s="436">
        <v>115</v>
      </c>
      <c r="J48" s="436">
        <v>117</v>
      </c>
      <c r="K48" s="436">
        <v>118</v>
      </c>
      <c r="L48" s="436">
        <v>26.3</v>
      </c>
      <c r="M48" s="436" t="s">
        <v>494</v>
      </c>
      <c r="N48" s="436"/>
      <c r="O48" s="436"/>
      <c r="P48" s="436"/>
      <c r="Q48" s="436"/>
      <c r="R48" s="436"/>
      <c r="S48" s="436"/>
      <c r="T48" s="436"/>
      <c r="U48" s="436"/>
      <c r="V48" s="436"/>
      <c r="W48" s="436"/>
      <c r="X48" s="436" t="s">
        <v>479</v>
      </c>
      <c r="Y48" s="436"/>
      <c r="Z48" s="436"/>
      <c r="AA48" s="436"/>
      <c r="AB48" s="436"/>
      <c r="AC48" s="436">
        <v>120</v>
      </c>
      <c r="AD48" s="436">
        <v>-0.5</v>
      </c>
      <c r="AE48" s="436">
        <v>119</v>
      </c>
      <c r="AF48" s="436">
        <v>-1</v>
      </c>
      <c r="AG48" s="436">
        <v>117</v>
      </c>
      <c r="AH48" s="436">
        <v>-1</v>
      </c>
      <c r="AI48" s="436">
        <v>118</v>
      </c>
      <c r="AJ48" s="436">
        <v>-0.5</v>
      </c>
      <c r="AK48" s="436">
        <v>110</v>
      </c>
      <c r="AL48" s="436">
        <v>111</v>
      </c>
      <c r="AM48" s="436">
        <v>116</v>
      </c>
    </row>
    <row r="49" spans="1:39" ht="15" customHeight="1" x14ac:dyDescent="0.2">
      <c r="A49" s="436" t="s">
        <v>495</v>
      </c>
      <c r="B49" s="437">
        <v>43817</v>
      </c>
      <c r="C49" s="436" t="s">
        <v>438</v>
      </c>
      <c r="D49" s="436" t="s">
        <v>342</v>
      </c>
      <c r="E49" s="436" t="s">
        <v>459</v>
      </c>
      <c r="F49" s="436">
        <v>22.7</v>
      </c>
      <c r="G49" s="437">
        <v>43465</v>
      </c>
      <c r="H49" s="436" t="s">
        <v>496</v>
      </c>
      <c r="I49" s="436">
        <v>127</v>
      </c>
      <c r="J49" s="436">
        <v>129</v>
      </c>
      <c r="K49" s="436">
        <v>130</v>
      </c>
      <c r="L49" s="436">
        <v>22.7</v>
      </c>
      <c r="M49" s="436" t="s">
        <v>497</v>
      </c>
      <c r="N49" s="436"/>
      <c r="O49" s="436"/>
      <c r="P49" s="436"/>
      <c r="Q49" s="436"/>
      <c r="R49" s="436"/>
      <c r="S49" s="436"/>
      <c r="T49" s="436"/>
      <c r="U49" s="436"/>
      <c r="V49" s="436"/>
      <c r="W49" s="436"/>
      <c r="X49" s="436" t="s">
        <v>479</v>
      </c>
      <c r="Y49" s="436"/>
      <c r="Z49" s="436"/>
      <c r="AA49" s="436"/>
      <c r="AB49" s="436"/>
      <c r="AC49" s="436">
        <v>131</v>
      </c>
      <c r="AD49" s="436">
        <v>0</v>
      </c>
      <c r="AE49" s="436">
        <v>132</v>
      </c>
      <c r="AF49" s="436">
        <v>-0.5</v>
      </c>
      <c r="AG49" s="436">
        <v>129</v>
      </c>
      <c r="AH49" s="436">
        <v>0</v>
      </c>
      <c r="AI49" s="436">
        <v>12</v>
      </c>
      <c r="AJ49" s="436">
        <v>-0.5</v>
      </c>
      <c r="AK49" s="436">
        <v>124</v>
      </c>
      <c r="AL49" s="436">
        <v>125</v>
      </c>
      <c r="AM49" s="436">
        <v>128</v>
      </c>
    </row>
    <row r="50" spans="1:39" ht="15" customHeight="1" x14ac:dyDescent="0.2">
      <c r="A50" s="436" t="s">
        <v>437</v>
      </c>
      <c r="B50" s="436"/>
      <c r="C50" s="436"/>
      <c r="D50" s="436"/>
      <c r="E50" s="436"/>
      <c r="F50" s="436"/>
      <c r="G50" s="436"/>
      <c r="H50" s="436" t="s">
        <v>498</v>
      </c>
      <c r="I50" s="436">
        <v>52</v>
      </c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 t="s">
        <v>456</v>
      </c>
      <c r="Y50" s="436"/>
      <c r="Z50" s="436"/>
      <c r="AA50" s="436"/>
      <c r="AB50" s="436"/>
      <c r="AC50" s="436"/>
      <c r="AD50" s="436"/>
      <c r="AE50" s="436"/>
      <c r="AF50" s="436"/>
      <c r="AG50" s="436"/>
      <c r="AH50" s="436"/>
      <c r="AI50" s="436"/>
      <c r="AJ50" s="436"/>
      <c r="AK50" s="436"/>
      <c r="AL50" s="436"/>
      <c r="AM50" s="436"/>
    </row>
    <row r="51" spans="1:39" ht="15" customHeight="1" x14ac:dyDescent="0.2">
      <c r="A51" s="436" t="s">
        <v>442</v>
      </c>
      <c r="B51" s="436"/>
      <c r="C51" s="436"/>
      <c r="D51" s="436"/>
      <c r="E51" s="436"/>
      <c r="F51" s="436"/>
      <c r="G51" s="436"/>
      <c r="H51" s="436" t="s">
        <v>499</v>
      </c>
      <c r="I51" s="436">
        <v>45</v>
      </c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 t="s">
        <v>448</v>
      </c>
      <c r="Y51" s="436"/>
      <c r="Z51" s="436"/>
      <c r="AA51" s="436"/>
      <c r="AB51" s="436"/>
      <c r="AC51" s="436"/>
      <c r="AD51" s="436"/>
      <c r="AE51" s="436"/>
      <c r="AF51" s="436"/>
      <c r="AG51" s="436"/>
      <c r="AH51" s="436"/>
      <c r="AI51" s="436"/>
      <c r="AJ51" s="436"/>
      <c r="AK51" s="436"/>
      <c r="AL51" s="436"/>
      <c r="AM51" s="436"/>
    </row>
    <row r="52" spans="1:39" ht="15" customHeight="1" x14ac:dyDescent="0.2">
      <c r="A52" s="436" t="s">
        <v>442</v>
      </c>
      <c r="B52" s="436"/>
      <c r="C52" s="436"/>
      <c r="D52" s="436"/>
      <c r="E52" s="436"/>
      <c r="F52" s="436"/>
      <c r="G52" s="436"/>
      <c r="H52" s="436" t="s">
        <v>500</v>
      </c>
      <c r="I52" s="436">
        <v>53</v>
      </c>
      <c r="J52" s="436"/>
      <c r="K52" s="436"/>
      <c r="L52" s="436"/>
      <c r="M52" s="436"/>
      <c r="N52" s="436"/>
      <c r="O52" s="436"/>
      <c r="P52" s="436"/>
      <c r="Q52" s="436"/>
      <c r="R52" s="436"/>
      <c r="S52" s="436"/>
      <c r="T52" s="436"/>
      <c r="U52" s="436"/>
      <c r="V52" s="436"/>
      <c r="W52" s="436"/>
      <c r="X52" s="436" t="s">
        <v>456</v>
      </c>
      <c r="Y52" s="436"/>
      <c r="Z52" s="436"/>
      <c r="AA52" s="436"/>
      <c r="AB52" s="436"/>
      <c r="AC52" s="436"/>
      <c r="AD52" s="436"/>
      <c r="AE52" s="436"/>
      <c r="AF52" s="436"/>
      <c r="AG52" s="436"/>
      <c r="AH52" s="436"/>
      <c r="AI52" s="436"/>
      <c r="AJ52" s="436"/>
      <c r="AK52" s="436"/>
      <c r="AL52" s="436"/>
      <c r="AM52" s="436"/>
    </row>
    <row r="53" spans="1:39" ht="15" customHeight="1" x14ac:dyDescent="0.2">
      <c r="A53" s="436" t="s">
        <v>446</v>
      </c>
      <c r="B53" s="436"/>
      <c r="C53" s="436"/>
      <c r="D53" s="436"/>
      <c r="E53" s="436"/>
      <c r="F53" s="436"/>
      <c r="G53" s="436"/>
      <c r="H53" s="436" t="s">
        <v>501</v>
      </c>
      <c r="I53" s="436">
        <v>62</v>
      </c>
      <c r="J53" s="436"/>
      <c r="K53" s="436"/>
      <c r="L53" s="436"/>
      <c r="M53" s="436"/>
      <c r="N53" s="436"/>
      <c r="O53" s="436"/>
      <c r="P53" s="436"/>
      <c r="Q53" s="436"/>
      <c r="R53" s="436"/>
      <c r="S53" s="436"/>
      <c r="T53" s="436"/>
      <c r="U53" s="436"/>
      <c r="V53" s="436"/>
      <c r="W53" s="436"/>
      <c r="X53" s="436" t="s">
        <v>456</v>
      </c>
      <c r="Y53" s="436"/>
      <c r="Z53" s="436"/>
      <c r="AA53" s="436"/>
      <c r="AB53" s="436"/>
      <c r="AC53" s="436"/>
      <c r="AD53" s="436"/>
      <c r="AE53" s="436"/>
      <c r="AF53" s="436"/>
      <c r="AG53" s="436"/>
      <c r="AH53" s="436"/>
      <c r="AI53" s="436"/>
      <c r="AJ53" s="436"/>
      <c r="AK53" s="436"/>
      <c r="AL53" s="436"/>
      <c r="AM53" s="436"/>
    </row>
    <row r="54" spans="1:39" ht="15" customHeight="1" x14ac:dyDescent="0.2">
      <c r="A54" s="436" t="s">
        <v>502</v>
      </c>
      <c r="B54" s="437">
        <v>44048</v>
      </c>
      <c r="C54" s="436" t="s">
        <v>438</v>
      </c>
      <c r="D54" s="436" t="s">
        <v>342</v>
      </c>
      <c r="E54" s="436" t="s">
        <v>503</v>
      </c>
      <c r="F54" s="436">
        <v>25.8</v>
      </c>
      <c r="G54" s="437">
        <v>43656</v>
      </c>
      <c r="H54" s="436" t="s">
        <v>504</v>
      </c>
      <c r="I54" s="436">
        <v>10</v>
      </c>
      <c r="J54" s="436">
        <v>8</v>
      </c>
      <c r="K54" s="436">
        <v>9</v>
      </c>
      <c r="L54" s="436">
        <v>25.8</v>
      </c>
      <c r="M54" s="436" t="s">
        <v>505</v>
      </c>
      <c r="N54" s="436"/>
      <c r="O54" s="436"/>
      <c r="P54" s="436"/>
      <c r="Q54" s="436"/>
      <c r="R54" s="436"/>
      <c r="S54" s="436"/>
      <c r="T54" s="436"/>
      <c r="U54" s="436"/>
      <c r="V54" s="436"/>
      <c r="W54" s="436"/>
      <c r="X54" s="436" t="s">
        <v>506</v>
      </c>
      <c r="Y54" s="436"/>
      <c r="Z54" s="436"/>
      <c r="AA54" s="436"/>
      <c r="AB54" s="436"/>
      <c r="AC54" s="436">
        <v>4</v>
      </c>
      <c r="AD54" s="436">
        <v>2</v>
      </c>
      <c r="AE54" s="436">
        <v>5</v>
      </c>
      <c r="AF54" s="436">
        <v>1.5</v>
      </c>
      <c r="AG54" s="436">
        <v>8</v>
      </c>
      <c r="AH54" s="436">
        <v>2</v>
      </c>
      <c r="AI54" s="436">
        <v>9</v>
      </c>
      <c r="AJ54" s="436">
        <v>1.5</v>
      </c>
      <c r="AK54" s="436">
        <v>2</v>
      </c>
      <c r="AL54" s="436">
        <v>1</v>
      </c>
      <c r="AM54" s="436">
        <v>7</v>
      </c>
    </row>
    <row r="55" spans="1:39" ht="15" customHeight="1" x14ac:dyDescent="0.2">
      <c r="A55" s="436" t="s">
        <v>507</v>
      </c>
      <c r="B55" s="437">
        <v>44048</v>
      </c>
      <c r="C55" s="436" t="s">
        <v>438</v>
      </c>
      <c r="D55" s="436" t="s">
        <v>342</v>
      </c>
      <c r="E55" s="436" t="s">
        <v>503</v>
      </c>
      <c r="F55" s="436">
        <v>26.4</v>
      </c>
      <c r="G55" s="437">
        <v>43656</v>
      </c>
      <c r="H55" s="436" t="s">
        <v>508</v>
      </c>
      <c r="I55" s="436">
        <v>33</v>
      </c>
      <c r="J55" s="436">
        <v>45</v>
      </c>
      <c r="K55" s="436">
        <v>44</v>
      </c>
      <c r="L55" s="436">
        <v>26.4</v>
      </c>
      <c r="M55" s="436" t="s">
        <v>509</v>
      </c>
      <c r="N55" s="436"/>
      <c r="O55" s="436"/>
      <c r="P55" s="436"/>
      <c r="Q55" s="436"/>
      <c r="R55" s="436"/>
      <c r="S55" s="436"/>
      <c r="T55" s="436"/>
      <c r="U55" s="436"/>
      <c r="V55" s="436"/>
      <c r="W55" s="436"/>
      <c r="X55" s="436" t="s">
        <v>506</v>
      </c>
      <c r="Y55" s="436"/>
      <c r="Z55" s="436"/>
      <c r="AA55" s="436"/>
      <c r="AB55" s="436"/>
      <c r="AC55" s="436">
        <v>43</v>
      </c>
      <c r="AD55" s="436">
        <v>-1</v>
      </c>
      <c r="AE55" s="436">
        <v>42</v>
      </c>
      <c r="AF55" s="436">
        <v>-1.5</v>
      </c>
      <c r="AG55" s="436">
        <v>45</v>
      </c>
      <c r="AH55" s="436">
        <v>-1</v>
      </c>
      <c r="AI55" s="436">
        <v>44</v>
      </c>
      <c r="AJ55" s="436">
        <v>-1.5</v>
      </c>
      <c r="AK55" s="436">
        <v>46</v>
      </c>
      <c r="AL55" s="436">
        <v>39</v>
      </c>
      <c r="AM55" s="436">
        <v>40</v>
      </c>
    </row>
    <row r="56" spans="1:39" ht="15" customHeight="1" x14ac:dyDescent="0.2">
      <c r="A56" s="436" t="s">
        <v>510</v>
      </c>
      <c r="B56" s="437">
        <v>44048</v>
      </c>
      <c r="C56" s="436" t="s">
        <v>438</v>
      </c>
      <c r="D56" s="436" t="s">
        <v>342</v>
      </c>
      <c r="E56" s="436" t="s">
        <v>503</v>
      </c>
      <c r="F56" s="436" t="s">
        <v>511</v>
      </c>
      <c r="G56" s="437">
        <v>43656</v>
      </c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 t="s">
        <v>511</v>
      </c>
      <c r="Y56" s="436"/>
      <c r="Z56" s="436"/>
      <c r="AA56" s="436"/>
      <c r="AB56" s="436"/>
      <c r="AC56" s="436"/>
      <c r="AD56" s="436"/>
      <c r="AE56" s="436"/>
      <c r="AF56" s="436"/>
      <c r="AG56" s="436"/>
      <c r="AH56" s="436"/>
      <c r="AI56" s="436"/>
      <c r="AJ56" s="436"/>
      <c r="AK56" s="436"/>
      <c r="AL56" s="436"/>
      <c r="AM56" s="436"/>
    </row>
    <row r="57" spans="1:39" ht="15" customHeight="1" x14ac:dyDescent="0.2">
      <c r="A57" s="436" t="s">
        <v>512</v>
      </c>
      <c r="B57" s="437">
        <v>44048</v>
      </c>
      <c r="C57" s="436" t="s">
        <v>438</v>
      </c>
      <c r="D57" s="436" t="s">
        <v>342</v>
      </c>
      <c r="E57" s="436" t="s">
        <v>503</v>
      </c>
      <c r="F57" s="436">
        <v>26</v>
      </c>
      <c r="G57" s="437">
        <v>43656</v>
      </c>
      <c r="H57" s="436" t="s">
        <v>513</v>
      </c>
      <c r="I57" s="436">
        <v>53</v>
      </c>
      <c r="J57" s="436">
        <v>56</v>
      </c>
      <c r="K57" s="436">
        <v>57</v>
      </c>
      <c r="L57" s="436">
        <v>26</v>
      </c>
      <c r="M57" s="436" t="s">
        <v>514</v>
      </c>
      <c r="N57" s="436"/>
      <c r="O57" s="436"/>
      <c r="P57" s="436"/>
      <c r="Q57" s="436"/>
      <c r="R57" s="436"/>
      <c r="S57" s="436"/>
      <c r="T57" s="436"/>
      <c r="U57" s="436"/>
      <c r="V57" s="436"/>
      <c r="W57" s="436"/>
      <c r="X57" s="436" t="s">
        <v>506</v>
      </c>
      <c r="Y57" s="436"/>
      <c r="Z57" s="436"/>
      <c r="AA57" s="436"/>
      <c r="AB57" s="436"/>
      <c r="AC57" s="436">
        <v>54</v>
      </c>
      <c r="AD57" s="436">
        <v>-1</v>
      </c>
      <c r="AE57" s="436">
        <v>55</v>
      </c>
      <c r="AF57" s="436">
        <v>-1.5</v>
      </c>
      <c r="AG57" s="436">
        <v>56</v>
      </c>
      <c r="AH57" s="436">
        <v>-1</v>
      </c>
      <c r="AI57" s="436">
        <v>57</v>
      </c>
      <c r="AJ57" s="436">
        <v>-1.5</v>
      </c>
      <c r="AK57" s="436">
        <v>50</v>
      </c>
      <c r="AL57" s="436">
        <v>59</v>
      </c>
      <c r="AM57" s="436">
        <v>58</v>
      </c>
    </row>
    <row r="58" spans="1:39" ht="15" customHeight="1" x14ac:dyDescent="0.2">
      <c r="A58" s="436" t="s">
        <v>515</v>
      </c>
      <c r="B58" s="437">
        <v>44048</v>
      </c>
      <c r="C58" s="436" t="s">
        <v>438</v>
      </c>
      <c r="D58" s="436" t="s">
        <v>342</v>
      </c>
      <c r="E58" s="436" t="s">
        <v>503</v>
      </c>
      <c r="F58" s="436">
        <v>26.2</v>
      </c>
      <c r="G58" s="437">
        <v>43656</v>
      </c>
      <c r="H58" s="436" t="s">
        <v>516</v>
      </c>
      <c r="I58" s="436">
        <v>10</v>
      </c>
      <c r="J58" s="436">
        <v>8</v>
      </c>
      <c r="K58" s="436">
        <v>9</v>
      </c>
      <c r="L58" s="436">
        <v>26.2</v>
      </c>
      <c r="M58" s="436" t="s">
        <v>517</v>
      </c>
      <c r="N58" s="436"/>
      <c r="O58" s="436"/>
      <c r="P58" s="436"/>
      <c r="Q58" s="436"/>
      <c r="R58" s="436"/>
      <c r="S58" s="436"/>
      <c r="T58" s="436"/>
      <c r="U58" s="436"/>
      <c r="V58" s="436"/>
      <c r="W58" s="436"/>
      <c r="X58" s="436" t="s">
        <v>518</v>
      </c>
      <c r="Y58" s="436"/>
      <c r="Z58" s="436"/>
      <c r="AA58" s="436"/>
      <c r="AB58" s="436"/>
      <c r="AC58" s="436">
        <v>4</v>
      </c>
      <c r="AD58" s="436">
        <v>0.5</v>
      </c>
      <c r="AE58" s="436">
        <v>5</v>
      </c>
      <c r="AF58" s="436">
        <v>0</v>
      </c>
      <c r="AG58" s="436">
        <v>8</v>
      </c>
      <c r="AH58" s="436">
        <v>0.5</v>
      </c>
      <c r="AI58" s="436">
        <v>9</v>
      </c>
      <c r="AJ58" s="436">
        <v>0</v>
      </c>
      <c r="AK58" s="436">
        <v>3</v>
      </c>
      <c r="AL58" s="436">
        <v>6</v>
      </c>
      <c r="AM58" s="436">
        <v>7</v>
      </c>
    </row>
    <row r="59" spans="1:39" ht="15" customHeight="1" x14ac:dyDescent="0.2">
      <c r="A59" s="436" t="s">
        <v>519</v>
      </c>
      <c r="B59" s="437">
        <v>44118</v>
      </c>
      <c r="C59" s="436" t="s">
        <v>438</v>
      </c>
      <c r="D59" s="436" t="s">
        <v>342</v>
      </c>
      <c r="E59" s="436" t="s">
        <v>503</v>
      </c>
      <c r="F59" s="436">
        <v>23.6</v>
      </c>
      <c r="G59" s="437">
        <v>43744</v>
      </c>
      <c r="H59" s="436" t="s">
        <v>520</v>
      </c>
      <c r="I59" s="436">
        <v>2</v>
      </c>
      <c r="J59" s="436">
        <v>5</v>
      </c>
      <c r="K59" s="436">
        <v>6</v>
      </c>
      <c r="L59" s="436">
        <v>23.6</v>
      </c>
      <c r="M59" s="436" t="s">
        <v>521</v>
      </c>
      <c r="N59" s="436"/>
      <c r="O59" s="436"/>
      <c r="P59" s="436"/>
      <c r="Q59" s="436"/>
      <c r="R59" s="436"/>
      <c r="S59" s="436"/>
      <c r="T59" s="436"/>
      <c r="U59" s="436"/>
      <c r="V59" s="436"/>
      <c r="W59" s="436"/>
      <c r="X59" s="436" t="s">
        <v>522</v>
      </c>
      <c r="Y59" s="436"/>
      <c r="Z59" s="436"/>
      <c r="AA59" s="436"/>
      <c r="AB59" s="436"/>
      <c r="AC59" s="436">
        <v>3</v>
      </c>
      <c r="AD59" s="436">
        <v>0</v>
      </c>
      <c r="AE59" s="436">
        <v>4</v>
      </c>
      <c r="AF59" s="436">
        <v>-0.5</v>
      </c>
      <c r="AG59" s="436">
        <v>5</v>
      </c>
      <c r="AH59" s="436">
        <v>0</v>
      </c>
      <c r="AI59" s="436">
        <v>6</v>
      </c>
      <c r="AJ59" s="436">
        <v>-0.5</v>
      </c>
      <c r="AK59" s="436">
        <v>10</v>
      </c>
      <c r="AL59" s="436">
        <v>7</v>
      </c>
      <c r="AM59" s="436">
        <v>8</v>
      </c>
    </row>
    <row r="60" spans="1:39" ht="15" customHeight="1" x14ac:dyDescent="0.2">
      <c r="A60" s="436" t="s">
        <v>523</v>
      </c>
      <c r="B60" s="437">
        <v>44118</v>
      </c>
      <c r="C60" s="436" t="s">
        <v>438</v>
      </c>
      <c r="D60" s="436" t="s">
        <v>342</v>
      </c>
      <c r="E60" s="436" t="s">
        <v>503</v>
      </c>
      <c r="F60" s="436">
        <v>23.3</v>
      </c>
      <c r="G60" s="437">
        <v>43744</v>
      </c>
      <c r="H60" s="436" t="s">
        <v>524</v>
      </c>
      <c r="I60" s="436">
        <v>32</v>
      </c>
      <c r="J60" s="436">
        <v>33</v>
      </c>
      <c r="K60" s="436">
        <v>34</v>
      </c>
      <c r="L60" s="436">
        <v>23.3</v>
      </c>
      <c r="M60" s="436" t="s">
        <v>525</v>
      </c>
      <c r="N60" s="436"/>
      <c r="O60" s="436"/>
      <c r="P60" s="436"/>
      <c r="Q60" s="436"/>
      <c r="R60" s="436"/>
      <c r="S60" s="436"/>
      <c r="T60" s="436"/>
      <c r="U60" s="436"/>
      <c r="V60" s="436"/>
      <c r="W60" s="436"/>
      <c r="X60" s="436" t="s">
        <v>522</v>
      </c>
      <c r="Y60" s="436"/>
      <c r="Z60" s="436"/>
      <c r="AA60" s="436"/>
      <c r="AB60" s="436"/>
      <c r="AC60" s="436">
        <v>26</v>
      </c>
      <c r="AD60" s="436">
        <v>0</v>
      </c>
      <c r="AE60" s="436">
        <v>27</v>
      </c>
      <c r="AF60" s="436">
        <v>-0.5</v>
      </c>
      <c r="AG60" s="436">
        <v>33</v>
      </c>
      <c r="AH60" s="436">
        <v>0</v>
      </c>
      <c r="AI60" s="436">
        <v>34</v>
      </c>
      <c r="AJ60" s="436">
        <v>-0.5</v>
      </c>
      <c r="AK60" s="436">
        <v>29</v>
      </c>
      <c r="AL60" s="436">
        <v>25</v>
      </c>
      <c r="AM60" s="436">
        <v>30</v>
      </c>
    </row>
    <row r="61" spans="1:39" ht="15" customHeight="1" x14ac:dyDescent="0.2">
      <c r="A61" s="436" t="s">
        <v>526</v>
      </c>
      <c r="B61" s="437">
        <v>44118</v>
      </c>
      <c r="C61" s="436" t="s">
        <v>438</v>
      </c>
      <c r="D61" s="436" t="s">
        <v>342</v>
      </c>
      <c r="E61" s="436" t="s">
        <v>503</v>
      </c>
      <c r="F61" s="436">
        <v>24.9</v>
      </c>
      <c r="G61" s="437">
        <v>43744</v>
      </c>
      <c r="H61" s="436" t="s">
        <v>527</v>
      </c>
      <c r="I61" s="436">
        <v>43</v>
      </c>
      <c r="J61" s="436">
        <v>48</v>
      </c>
      <c r="K61" s="436">
        <v>49</v>
      </c>
      <c r="L61" s="436">
        <v>24.9</v>
      </c>
      <c r="M61" s="436" t="s">
        <v>528</v>
      </c>
      <c r="N61" s="436"/>
      <c r="O61" s="436"/>
      <c r="P61" s="436"/>
      <c r="Q61" s="436"/>
      <c r="R61" s="436"/>
      <c r="S61" s="436"/>
      <c r="T61" s="436"/>
      <c r="U61" s="436"/>
      <c r="V61" s="436"/>
      <c r="W61" s="436"/>
      <c r="X61" s="436" t="s">
        <v>522</v>
      </c>
      <c r="Y61" s="436"/>
      <c r="Z61" s="436"/>
      <c r="AA61" s="436"/>
      <c r="AB61" s="436"/>
      <c r="AC61" s="436">
        <v>46</v>
      </c>
      <c r="AD61" s="436">
        <v>0</v>
      </c>
      <c r="AE61" s="436">
        <v>47</v>
      </c>
      <c r="AF61" s="436">
        <v>-0.5</v>
      </c>
      <c r="AG61" s="436">
        <v>48</v>
      </c>
      <c r="AH61" s="436">
        <v>0</v>
      </c>
      <c r="AI61" s="436">
        <v>49</v>
      </c>
      <c r="AJ61" s="436">
        <v>-0.5</v>
      </c>
      <c r="AK61" s="436">
        <v>37</v>
      </c>
      <c r="AL61" s="436">
        <v>44</v>
      </c>
      <c r="AM61" s="436">
        <v>51</v>
      </c>
    </row>
    <row r="62" spans="1:39" ht="15" customHeight="1" x14ac:dyDescent="0.2">
      <c r="A62" s="436" t="s">
        <v>529</v>
      </c>
      <c r="B62" s="437">
        <v>44118</v>
      </c>
      <c r="C62" s="436" t="s">
        <v>438</v>
      </c>
      <c r="D62" s="436" t="s">
        <v>342</v>
      </c>
      <c r="E62" s="436" t="s">
        <v>503</v>
      </c>
      <c r="F62" s="436">
        <v>25.6</v>
      </c>
      <c r="G62" s="437">
        <v>43744</v>
      </c>
      <c r="H62" s="436" t="s">
        <v>530</v>
      </c>
      <c r="I62" s="436">
        <v>57</v>
      </c>
      <c r="J62" s="436">
        <v>62</v>
      </c>
      <c r="K62" s="436">
        <v>63</v>
      </c>
      <c r="L62" s="436">
        <v>25.6</v>
      </c>
      <c r="M62" s="436" t="s">
        <v>531</v>
      </c>
      <c r="N62" s="436"/>
      <c r="O62" s="436"/>
      <c r="P62" s="436"/>
      <c r="Q62" s="436"/>
      <c r="R62" s="436"/>
      <c r="S62" s="436"/>
      <c r="T62" s="436"/>
      <c r="U62" s="436"/>
      <c r="V62" s="436"/>
      <c r="W62" s="436"/>
      <c r="X62" s="436" t="s">
        <v>522</v>
      </c>
      <c r="Y62" s="436"/>
      <c r="Z62" s="436"/>
      <c r="AA62" s="436"/>
      <c r="AB62" s="436"/>
      <c r="AC62" s="436">
        <v>60</v>
      </c>
      <c r="AD62" s="436">
        <v>0</v>
      </c>
      <c r="AE62" s="436">
        <v>61</v>
      </c>
      <c r="AF62" s="436">
        <v>-0.5</v>
      </c>
      <c r="AG62" s="436">
        <v>62</v>
      </c>
      <c r="AH62" s="436">
        <v>0</v>
      </c>
      <c r="AI62" s="436">
        <v>63</v>
      </c>
      <c r="AJ62" s="436">
        <v>-0.5</v>
      </c>
      <c r="AK62" s="436">
        <v>55</v>
      </c>
      <c r="AL62" s="436">
        <v>58</v>
      </c>
      <c r="AM62" s="436">
        <v>59</v>
      </c>
    </row>
    <row r="63" spans="1:39" ht="15" customHeight="1" x14ac:dyDescent="0.2">
      <c r="A63" s="436" t="s">
        <v>532</v>
      </c>
      <c r="B63" s="437">
        <v>44118</v>
      </c>
      <c r="C63" s="436" t="s">
        <v>438</v>
      </c>
      <c r="D63" s="436" t="s">
        <v>342</v>
      </c>
      <c r="E63" s="436" t="s">
        <v>503</v>
      </c>
      <c r="F63" s="436">
        <v>26</v>
      </c>
      <c r="G63" s="437">
        <v>43744</v>
      </c>
      <c r="H63" s="436" t="s">
        <v>533</v>
      </c>
      <c r="I63" s="436">
        <v>68</v>
      </c>
      <c r="J63" s="436">
        <v>74</v>
      </c>
      <c r="K63" s="436">
        <v>75</v>
      </c>
      <c r="L63" s="436">
        <v>26</v>
      </c>
      <c r="M63" s="436" t="s">
        <v>534</v>
      </c>
      <c r="N63" s="436"/>
      <c r="O63" s="436"/>
      <c r="P63" s="436"/>
      <c r="Q63" s="436"/>
      <c r="R63" s="436"/>
      <c r="S63" s="436"/>
      <c r="T63" s="436"/>
      <c r="U63" s="436"/>
      <c r="V63" s="436"/>
      <c r="W63" s="436"/>
      <c r="X63" s="436" t="s">
        <v>522</v>
      </c>
      <c r="Y63" s="436"/>
      <c r="Z63" s="436"/>
      <c r="AA63" s="436"/>
      <c r="AB63" s="436"/>
      <c r="AC63" s="436">
        <v>72</v>
      </c>
      <c r="AD63" s="436">
        <v>0</v>
      </c>
      <c r="AE63" s="436">
        <v>73</v>
      </c>
      <c r="AF63" s="436">
        <v>-0.5</v>
      </c>
      <c r="AG63" s="436">
        <v>74</v>
      </c>
      <c r="AH63" s="436">
        <v>0</v>
      </c>
      <c r="AI63" s="436">
        <v>75</v>
      </c>
      <c r="AJ63" s="436">
        <v>-0.5</v>
      </c>
      <c r="AK63" s="436">
        <v>66</v>
      </c>
      <c r="AL63" s="436">
        <v>70</v>
      </c>
      <c r="AM63" s="436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53D9-F4AD-4364-921E-87D7F6639C8D}">
  <sheetPr codeName="Sheet4">
    <tabColor rgb="FF548235"/>
    <pageSetUpPr fitToPage="1"/>
  </sheetPr>
  <dimension ref="A1:O7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8" customWidth="1"/>
    <col min="3" max="3" width="17.6640625" customWidth="1"/>
    <col min="4" max="4" width="18" customWidth="1"/>
    <col min="8" max="8" width="12.83203125" customWidth="1"/>
    <col min="11" max="11" width="13.5" customWidth="1"/>
    <col min="12" max="12" width="21.6640625" customWidth="1"/>
    <col min="13" max="13" width="21.83203125" customWidth="1"/>
    <col min="14" max="14" width="11.6640625" customWidth="1"/>
  </cols>
  <sheetData>
    <row r="1" spans="1:15" x14ac:dyDescent="0.2">
      <c r="A1" s="183" t="s">
        <v>0</v>
      </c>
      <c r="B1" s="183" t="s">
        <v>535</v>
      </c>
      <c r="C1" s="338" t="s">
        <v>536</v>
      </c>
      <c r="D1" s="183" t="s">
        <v>537</v>
      </c>
      <c r="E1" s="183" t="s">
        <v>52</v>
      </c>
      <c r="F1" s="183" t="s">
        <v>53</v>
      </c>
      <c r="G1" s="183" t="s">
        <v>538</v>
      </c>
      <c r="H1" s="183" t="s">
        <v>54</v>
      </c>
      <c r="I1" s="183" t="s">
        <v>539</v>
      </c>
      <c r="J1" s="183" t="s">
        <v>540</v>
      </c>
      <c r="K1" s="183" t="s">
        <v>541</v>
      </c>
      <c r="L1" s="344" t="s">
        <v>542</v>
      </c>
      <c r="M1" s="183" t="s">
        <v>543</v>
      </c>
      <c r="N1" s="183" t="s">
        <v>544</v>
      </c>
      <c r="O1" t="s">
        <v>545</v>
      </c>
    </row>
    <row r="2" spans="1:15" ht="16" x14ac:dyDescent="0.2">
      <c r="A2" s="1">
        <v>1</v>
      </c>
      <c r="B2" s="1" t="s">
        <v>137</v>
      </c>
      <c r="C2" s="1">
        <v>1</v>
      </c>
      <c r="D2" s="152">
        <v>1253168</v>
      </c>
      <c r="E2" s="137" t="s">
        <v>17</v>
      </c>
      <c r="F2" s="141" t="s">
        <v>22</v>
      </c>
      <c r="G2" s="141" t="s">
        <v>546</v>
      </c>
      <c r="H2" s="148">
        <v>43584</v>
      </c>
      <c r="I2" s="145">
        <f t="shared" ref="I2:I7" ca="1" si="0">YEARFRAC(H2,TODAY())</f>
        <v>2.1916666666666669</v>
      </c>
      <c r="J2" s="141">
        <f t="shared" ref="J2:J7" ca="1" si="1">_xlfn.DAYS(TODAY(),H2)</f>
        <v>801</v>
      </c>
      <c r="K2" s="565">
        <f>_xlfn.DAYS(M2,H2)/30</f>
        <v>18.2</v>
      </c>
      <c r="L2" s="340" t="s">
        <v>547</v>
      </c>
      <c r="M2" s="13">
        <v>44130</v>
      </c>
      <c r="N2" s="1">
        <v>30</v>
      </c>
    </row>
    <row r="3" spans="1:15" ht="16" x14ac:dyDescent="0.2">
      <c r="A3" s="1">
        <v>2</v>
      </c>
      <c r="B3" s="1" t="s">
        <v>139</v>
      </c>
      <c r="C3" s="1">
        <v>1</v>
      </c>
      <c r="D3" s="153">
        <v>1253168</v>
      </c>
      <c r="E3" s="29" t="s">
        <v>17</v>
      </c>
      <c r="F3" s="142" t="s">
        <v>22</v>
      </c>
      <c r="G3" s="142" t="s">
        <v>548</v>
      </c>
      <c r="H3" s="149">
        <v>43689</v>
      </c>
      <c r="I3" s="146">
        <f t="shared" ca="1" si="0"/>
        <v>1.9055555555555554</v>
      </c>
      <c r="J3" s="142">
        <f t="shared" ca="1" si="1"/>
        <v>696</v>
      </c>
      <c r="K3" s="565">
        <f t="shared" ref="K3:K7" si="2">_xlfn.DAYS(M3,H3)/30</f>
        <v>14.7</v>
      </c>
      <c r="L3" s="340" t="s">
        <v>547</v>
      </c>
      <c r="M3" s="13">
        <v>44130</v>
      </c>
      <c r="N3" s="1">
        <v>28</v>
      </c>
    </row>
    <row r="4" spans="1:15" ht="16" x14ac:dyDescent="0.2">
      <c r="A4" s="1">
        <v>3</v>
      </c>
      <c r="B4" s="1" t="s">
        <v>140</v>
      </c>
      <c r="C4" s="1">
        <v>2</v>
      </c>
      <c r="D4" s="144">
        <v>1299775</v>
      </c>
      <c r="E4" s="34" t="s">
        <v>15</v>
      </c>
      <c r="F4" s="139" t="s">
        <v>22</v>
      </c>
      <c r="G4" s="139" t="s">
        <v>549</v>
      </c>
      <c r="H4" s="150">
        <v>43799</v>
      </c>
      <c r="I4" s="140">
        <f t="shared" ca="1" si="0"/>
        <v>1.6055555555555556</v>
      </c>
      <c r="J4" s="140">
        <f t="shared" ca="1" si="1"/>
        <v>586</v>
      </c>
      <c r="K4" s="565">
        <f t="shared" si="2"/>
        <v>11.033333333333333</v>
      </c>
      <c r="L4" s="340" t="s">
        <v>547</v>
      </c>
      <c r="M4" s="13">
        <v>44130</v>
      </c>
      <c r="N4" s="1">
        <v>32</v>
      </c>
    </row>
    <row r="5" spans="1:15" ht="16" x14ac:dyDescent="0.2">
      <c r="A5" s="1">
        <v>4</v>
      </c>
      <c r="B5" s="1" t="s">
        <v>141</v>
      </c>
      <c r="C5" s="1">
        <v>2</v>
      </c>
      <c r="D5" s="153">
        <v>1299775</v>
      </c>
      <c r="E5" s="29" t="s">
        <v>15</v>
      </c>
      <c r="F5" s="142" t="s">
        <v>22</v>
      </c>
      <c r="G5" s="142" t="s">
        <v>550</v>
      </c>
      <c r="H5" s="149">
        <v>43584</v>
      </c>
      <c r="I5" s="146">
        <f t="shared" ca="1" si="0"/>
        <v>2.1916666666666669</v>
      </c>
      <c r="J5" s="142">
        <f t="shared" ca="1" si="1"/>
        <v>801</v>
      </c>
      <c r="K5" s="565">
        <f t="shared" si="2"/>
        <v>18.2</v>
      </c>
      <c r="L5" s="340" t="s">
        <v>547</v>
      </c>
      <c r="M5" s="13">
        <v>44130</v>
      </c>
      <c r="N5" s="1">
        <v>28</v>
      </c>
    </row>
    <row r="6" spans="1:15" ht="16" x14ac:dyDescent="0.2">
      <c r="A6" s="1">
        <v>5</v>
      </c>
      <c r="B6" s="1" t="s">
        <v>142</v>
      </c>
      <c r="C6" s="1">
        <v>3</v>
      </c>
      <c r="D6" s="153">
        <v>1299782</v>
      </c>
      <c r="E6" s="29" t="s">
        <v>17</v>
      </c>
      <c r="F6" s="142" t="s">
        <v>143</v>
      </c>
      <c r="G6" s="142" t="s">
        <v>551</v>
      </c>
      <c r="H6" s="149">
        <v>43838</v>
      </c>
      <c r="I6" s="146">
        <f t="shared" ca="1" si="0"/>
        <v>1.5</v>
      </c>
      <c r="J6" s="142">
        <f t="shared" ca="1" si="1"/>
        <v>547</v>
      </c>
      <c r="K6" s="565">
        <f t="shared" si="2"/>
        <v>9.7333333333333325</v>
      </c>
      <c r="L6" s="340" t="s">
        <v>547</v>
      </c>
      <c r="M6" s="79">
        <v>44130</v>
      </c>
      <c r="N6" s="1">
        <v>26</v>
      </c>
    </row>
    <row r="7" spans="1:15" ht="16" x14ac:dyDescent="0.2">
      <c r="A7" s="1">
        <v>6</v>
      </c>
      <c r="B7" s="1" t="s">
        <v>144</v>
      </c>
      <c r="C7" s="1">
        <v>3</v>
      </c>
      <c r="D7" s="154">
        <v>1299782</v>
      </c>
      <c r="E7" s="138" t="s">
        <v>17</v>
      </c>
      <c r="F7" s="143" t="s">
        <v>143</v>
      </c>
      <c r="G7" s="143" t="s">
        <v>552</v>
      </c>
      <c r="H7" s="151">
        <v>43838</v>
      </c>
      <c r="I7" s="147">
        <f t="shared" ca="1" si="0"/>
        <v>1.5</v>
      </c>
      <c r="J7" s="143">
        <f t="shared" ca="1" si="1"/>
        <v>547</v>
      </c>
      <c r="K7" s="565">
        <f t="shared" si="2"/>
        <v>9.7333333333333325</v>
      </c>
      <c r="L7" s="340" t="s">
        <v>547</v>
      </c>
      <c r="M7" s="79">
        <v>44130</v>
      </c>
      <c r="N7" s="1">
        <v>28</v>
      </c>
    </row>
  </sheetData>
  <pageMargins left="0.7" right="0.7" top="0.75" bottom="0.75" header="0.3" footer="0.3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4876-8161-471D-B085-32DA71FC5701}">
  <sheetPr codeName="Sheet5">
    <tabColor rgb="FF548235"/>
    <pageSetUpPr fitToPage="1"/>
  </sheetPr>
  <dimension ref="A1:AW89"/>
  <sheetViews>
    <sheetView tabSelected="1" topLeftCell="A6" workbookViewId="0">
      <selection activeCell="F2" sqref="F2:F28"/>
    </sheetView>
  </sheetViews>
  <sheetFormatPr baseColWidth="10" defaultColWidth="8.83203125" defaultRowHeight="15" x14ac:dyDescent="0.2"/>
  <cols>
    <col min="2" max="2" width="11.83203125" customWidth="1"/>
    <col min="3" max="3" width="11.5" customWidth="1"/>
    <col min="4" max="4" width="20.83203125" customWidth="1"/>
    <col min="5" max="5" width="12.1640625" customWidth="1"/>
    <col min="8" max="8" width="9.1640625" customWidth="1"/>
    <col min="9" max="9" width="14.5" customWidth="1"/>
    <col min="11" max="11" width="11.33203125" customWidth="1"/>
    <col min="12" max="12" width="28.6640625" customWidth="1"/>
    <col min="13" max="13" width="14.33203125" customWidth="1"/>
    <col min="14" max="14" width="20.83203125" customWidth="1"/>
    <col min="15" max="17" width="20.5" customWidth="1"/>
    <col min="18" max="18" width="14.6640625" customWidth="1"/>
    <col min="30" max="30" width="9.33203125" customWidth="1"/>
    <col min="31" max="31" width="7.6640625" customWidth="1"/>
    <col min="32" max="32" width="10.6640625" customWidth="1"/>
    <col min="33" max="33" width="8.1640625" customWidth="1"/>
    <col min="34" max="34" width="8" customWidth="1"/>
    <col min="35" max="35" width="7.5" customWidth="1"/>
    <col min="36" max="36" width="11.5" customWidth="1"/>
    <col min="37" max="40" width="20.33203125" customWidth="1"/>
    <col min="41" max="41" width="15.6640625" customWidth="1"/>
    <col min="42" max="42" width="13" customWidth="1"/>
    <col min="43" max="43" width="12.5" customWidth="1"/>
    <col min="44" max="44" width="17" customWidth="1"/>
    <col min="45" max="45" width="17.33203125" customWidth="1"/>
    <col min="46" max="47" width="14.83203125" customWidth="1"/>
    <col min="48" max="48" width="16" customWidth="1"/>
  </cols>
  <sheetData>
    <row r="1" spans="1:49" ht="16" x14ac:dyDescent="0.2">
      <c r="A1" s="183" t="s">
        <v>0</v>
      </c>
      <c r="B1" s="184" t="s">
        <v>535</v>
      </c>
      <c r="C1" s="343" t="s">
        <v>535</v>
      </c>
      <c r="D1" s="338" t="s">
        <v>553</v>
      </c>
      <c r="E1" s="341" t="s">
        <v>51</v>
      </c>
      <c r="F1" s="344" t="s">
        <v>52</v>
      </c>
      <c r="G1" s="341" t="s">
        <v>53</v>
      </c>
      <c r="H1" s="344" t="s">
        <v>538</v>
      </c>
      <c r="I1" s="344" t="s">
        <v>54</v>
      </c>
      <c r="J1" s="341" t="s">
        <v>539</v>
      </c>
      <c r="K1" s="344" t="s">
        <v>540</v>
      </c>
      <c r="L1" s="344" t="s">
        <v>541</v>
      </c>
      <c r="M1" s="341" t="s">
        <v>554</v>
      </c>
      <c r="N1" s="341" t="s">
        <v>542</v>
      </c>
      <c r="O1" s="84" t="s">
        <v>555</v>
      </c>
      <c r="P1" s="89" t="s">
        <v>556</v>
      </c>
      <c r="Q1" s="89" t="s">
        <v>557</v>
      </c>
      <c r="R1" s="18" t="s">
        <v>558</v>
      </c>
      <c r="S1" s="18" t="s">
        <v>559</v>
      </c>
      <c r="T1" s="18" t="s">
        <v>560</v>
      </c>
      <c r="U1" s="18" t="s">
        <v>561</v>
      </c>
      <c r="V1" s="18" t="s">
        <v>562</v>
      </c>
      <c r="W1" s="18" t="s">
        <v>563</v>
      </c>
      <c r="X1" s="18" t="s">
        <v>564</v>
      </c>
      <c r="Y1" s="18" t="s">
        <v>565</v>
      </c>
      <c r="Z1" s="18" t="s">
        <v>566</v>
      </c>
      <c r="AA1" s="19" t="s">
        <v>567</v>
      </c>
      <c r="AB1" t="s">
        <v>568</v>
      </c>
      <c r="AC1" t="s">
        <v>569</v>
      </c>
      <c r="AD1" t="s">
        <v>570</v>
      </c>
      <c r="AE1" t="s">
        <v>571</v>
      </c>
      <c r="AF1" t="s">
        <v>572</v>
      </c>
      <c r="AG1" t="s">
        <v>573</v>
      </c>
      <c r="AH1" t="s">
        <v>574</v>
      </c>
      <c r="AI1" t="s">
        <v>574</v>
      </c>
      <c r="AJ1" s="19" t="s">
        <v>575</v>
      </c>
      <c r="AK1" s="19" t="s">
        <v>576</v>
      </c>
      <c r="AL1" s="19" t="s">
        <v>577</v>
      </c>
      <c r="AN1" s="19" t="s">
        <v>578</v>
      </c>
      <c r="AO1" s="1" t="s">
        <v>543</v>
      </c>
      <c r="AP1" s="1" t="s">
        <v>579</v>
      </c>
      <c r="AQ1" s="1" t="s">
        <v>580</v>
      </c>
      <c r="AR1" s="1" t="s">
        <v>581</v>
      </c>
      <c r="AS1" s="80" t="s">
        <v>582</v>
      </c>
      <c r="AT1" s="81" t="s">
        <v>583</v>
      </c>
      <c r="AU1" s="128" t="s">
        <v>584</v>
      </c>
      <c r="AV1" s="1" t="s">
        <v>585</v>
      </c>
      <c r="AW1" t="s">
        <v>586</v>
      </c>
    </row>
    <row r="2" spans="1:49" ht="16" x14ac:dyDescent="0.2">
      <c r="A2" s="1">
        <v>1</v>
      </c>
      <c r="B2" s="559" t="s">
        <v>145</v>
      </c>
      <c r="C2" s="343" t="s">
        <v>587</v>
      </c>
      <c r="D2" s="182">
        <v>1</v>
      </c>
      <c r="E2" s="21">
        <v>1275958</v>
      </c>
      <c r="F2" s="21" t="s">
        <v>15</v>
      </c>
      <c r="G2" s="21" t="s">
        <v>22</v>
      </c>
      <c r="H2" s="21" t="s">
        <v>549</v>
      </c>
      <c r="I2" s="22">
        <v>43845</v>
      </c>
      <c r="J2" s="23">
        <f ca="1">YEARFRAC(I2,TODAY())</f>
        <v>1.4805555555555556</v>
      </c>
      <c r="K2" s="23">
        <f ca="1">_xlfn.DAYS(TODAY(),I2)</f>
        <v>540</v>
      </c>
      <c r="L2" s="23">
        <f ca="1">K2/30</f>
        <v>18</v>
      </c>
      <c r="M2" s="24">
        <v>25</v>
      </c>
      <c r="N2" s="328" t="s">
        <v>14</v>
      </c>
      <c r="O2" s="25">
        <v>142</v>
      </c>
      <c r="P2" s="25">
        <v>173</v>
      </c>
      <c r="Q2" s="25"/>
      <c r="R2" s="25">
        <v>26</v>
      </c>
      <c r="S2" s="25">
        <v>27</v>
      </c>
      <c r="T2" s="25">
        <v>27</v>
      </c>
      <c r="U2" s="25">
        <v>32</v>
      </c>
      <c r="V2" s="25">
        <v>32</v>
      </c>
      <c r="W2" s="26">
        <v>33</v>
      </c>
      <c r="X2" s="26">
        <v>34</v>
      </c>
      <c r="Y2" s="26">
        <v>35</v>
      </c>
      <c r="Z2" s="26">
        <v>36</v>
      </c>
      <c r="AA2" s="27">
        <v>37</v>
      </c>
      <c r="AB2" s="27">
        <v>37</v>
      </c>
      <c r="AC2" s="27">
        <v>38</v>
      </c>
      <c r="AD2" s="118">
        <v>38</v>
      </c>
      <c r="AE2" s="32">
        <v>39</v>
      </c>
      <c r="AF2" s="32">
        <v>41</v>
      </c>
      <c r="AG2" s="118">
        <v>40</v>
      </c>
      <c r="AH2" s="118">
        <v>40</v>
      </c>
      <c r="AI2" s="85">
        <v>40</v>
      </c>
      <c r="AJ2" s="172">
        <v>40</v>
      </c>
      <c r="AK2" s="170">
        <v>40</v>
      </c>
      <c r="AL2" s="85">
        <v>40</v>
      </c>
      <c r="AM2" s="85"/>
      <c r="AN2" s="85"/>
      <c r="AO2" s="13">
        <v>44109</v>
      </c>
      <c r="AP2" s="13">
        <v>44116</v>
      </c>
      <c r="AQ2" s="13">
        <v>44123</v>
      </c>
      <c r="AR2" s="28">
        <f t="shared" ref="AR2:AR28" si="0">_xlfn.DAYS(AQ2,I2)/30</f>
        <v>9.2666666666666675</v>
      </c>
      <c r="AS2" s="86">
        <f>(AQ2+AT2)/2</f>
        <v>44165</v>
      </c>
      <c r="AT2" s="88">
        <v>44207</v>
      </c>
      <c r="AU2" s="13">
        <v>44207</v>
      </c>
      <c r="AV2" s="28">
        <f t="shared" ref="AV2:AV28" si="1">_xlfn.DAYS(AT2,I2)/30</f>
        <v>12.066666666666666</v>
      </c>
      <c r="AW2" s="28"/>
    </row>
    <row r="3" spans="1:49" ht="16" x14ac:dyDescent="0.2">
      <c r="A3" s="1">
        <f>A2+1</f>
        <v>2</v>
      </c>
      <c r="B3" s="559" t="s">
        <v>146</v>
      </c>
      <c r="C3" s="343" t="s">
        <v>588</v>
      </c>
      <c r="D3" s="182">
        <v>1</v>
      </c>
      <c r="E3" s="29">
        <v>1275958</v>
      </c>
      <c r="F3" s="29" t="s">
        <v>15</v>
      </c>
      <c r="G3" s="29" t="s">
        <v>22</v>
      </c>
      <c r="H3" s="29" t="s">
        <v>546</v>
      </c>
      <c r="I3" s="30">
        <v>43845</v>
      </c>
      <c r="J3" s="25">
        <f t="shared" ref="J3:J28" ca="1" si="2">YEARFRAC(I3,TODAY())</f>
        <v>1.4805555555555556</v>
      </c>
      <c r="K3" s="25">
        <f t="shared" ref="K3:K28" ca="1" si="3">_xlfn.DAYS(TODAY(),I3)</f>
        <v>540</v>
      </c>
      <c r="L3" s="25">
        <f t="shared" ref="L3:L28" ca="1" si="4">K3/30</f>
        <v>18</v>
      </c>
      <c r="M3" s="31">
        <v>25</v>
      </c>
      <c r="N3" s="328" t="s">
        <v>14</v>
      </c>
      <c r="O3" s="25">
        <v>123</v>
      </c>
      <c r="P3" s="25">
        <v>191</v>
      </c>
      <c r="Q3" s="25"/>
      <c r="R3" s="25">
        <v>29</v>
      </c>
      <c r="S3" s="25">
        <v>28</v>
      </c>
      <c r="T3" s="25">
        <v>28</v>
      </c>
      <c r="U3" s="25">
        <v>32</v>
      </c>
      <c r="V3" s="25">
        <v>32</v>
      </c>
      <c r="W3" s="32">
        <v>33</v>
      </c>
      <c r="X3" s="32">
        <v>34</v>
      </c>
      <c r="Y3" s="32">
        <v>36</v>
      </c>
      <c r="Z3" s="32">
        <v>37</v>
      </c>
      <c r="AA3" s="33">
        <v>37</v>
      </c>
      <c r="AB3" s="33">
        <v>36</v>
      </c>
      <c r="AC3" s="33">
        <v>36</v>
      </c>
      <c r="AD3" s="118">
        <v>37</v>
      </c>
      <c r="AE3" s="32">
        <v>37</v>
      </c>
      <c r="AF3" s="32">
        <v>37</v>
      </c>
      <c r="AG3" s="118">
        <v>37</v>
      </c>
      <c r="AH3" s="118">
        <v>37</v>
      </c>
      <c r="AI3" s="85">
        <v>36</v>
      </c>
      <c r="AJ3" s="33">
        <v>36</v>
      </c>
      <c r="AK3" s="32">
        <v>36</v>
      </c>
      <c r="AL3" s="85">
        <v>36</v>
      </c>
      <c r="AM3" s="85"/>
      <c r="AN3" s="85"/>
      <c r="AO3" s="13">
        <v>44109</v>
      </c>
      <c r="AP3" s="13">
        <v>44116</v>
      </c>
      <c r="AQ3" s="13">
        <v>44123</v>
      </c>
      <c r="AR3" s="28">
        <f t="shared" si="0"/>
        <v>9.2666666666666675</v>
      </c>
      <c r="AS3" s="82">
        <f>(AQ2+AT2)/2</f>
        <v>44165</v>
      </c>
      <c r="AT3" s="88">
        <v>44207</v>
      </c>
      <c r="AU3" s="13">
        <v>44207</v>
      </c>
      <c r="AV3" s="28">
        <f t="shared" si="1"/>
        <v>12.066666666666666</v>
      </c>
    </row>
    <row r="4" spans="1:49" ht="16" x14ac:dyDescent="0.2">
      <c r="A4" s="1">
        <f t="shared" ref="A4:A27" si="5">A3+1</f>
        <v>3</v>
      </c>
      <c r="B4" s="559" t="s">
        <v>147</v>
      </c>
      <c r="C4" s="343" t="s">
        <v>589</v>
      </c>
      <c r="D4" s="182">
        <v>1</v>
      </c>
      <c r="E4" s="29">
        <v>1275958</v>
      </c>
      <c r="F4" s="29" t="s">
        <v>15</v>
      </c>
      <c r="G4" s="29" t="s">
        <v>22</v>
      </c>
      <c r="H4" s="29" t="s">
        <v>548</v>
      </c>
      <c r="I4" s="30">
        <v>43851</v>
      </c>
      <c r="J4" s="25">
        <f t="shared" ca="1" si="2"/>
        <v>1.4638888888888888</v>
      </c>
      <c r="K4" s="25">
        <f t="shared" ca="1" si="3"/>
        <v>534</v>
      </c>
      <c r="L4" s="25">
        <f t="shared" ca="1" si="4"/>
        <v>17.8</v>
      </c>
      <c r="M4" s="31">
        <v>28</v>
      </c>
      <c r="N4" s="328" t="s">
        <v>14</v>
      </c>
      <c r="O4" s="25">
        <v>145</v>
      </c>
      <c r="P4" s="25">
        <v>198</v>
      </c>
      <c r="Q4" s="25"/>
      <c r="R4" s="25">
        <v>31</v>
      </c>
      <c r="S4" s="25">
        <v>33</v>
      </c>
      <c r="T4" s="25">
        <v>34</v>
      </c>
      <c r="U4" s="25">
        <v>37</v>
      </c>
      <c r="V4" s="25">
        <v>37</v>
      </c>
      <c r="W4" s="32">
        <v>39</v>
      </c>
      <c r="X4" s="32">
        <v>42</v>
      </c>
      <c r="Y4" s="32">
        <v>45</v>
      </c>
      <c r="Z4" s="32">
        <v>48</v>
      </c>
      <c r="AA4" s="33">
        <v>49</v>
      </c>
      <c r="AB4" s="33">
        <v>50</v>
      </c>
      <c r="AC4" s="33">
        <v>50</v>
      </c>
      <c r="AD4" s="118">
        <v>50</v>
      </c>
      <c r="AE4" s="32">
        <v>51</v>
      </c>
      <c r="AF4" s="32">
        <v>52</v>
      </c>
      <c r="AG4" s="118">
        <v>52</v>
      </c>
      <c r="AH4" s="118">
        <v>51</v>
      </c>
      <c r="AI4" s="85">
        <v>50</v>
      </c>
      <c r="AJ4" s="33">
        <v>49</v>
      </c>
      <c r="AK4" s="32">
        <v>48</v>
      </c>
      <c r="AL4" s="85">
        <v>48</v>
      </c>
      <c r="AM4" s="85"/>
      <c r="AN4" s="85"/>
      <c r="AO4" s="13">
        <v>44109</v>
      </c>
      <c r="AP4" s="13">
        <v>44116</v>
      </c>
      <c r="AQ4" s="13">
        <v>44123</v>
      </c>
      <c r="AR4" s="28">
        <f t="shared" si="0"/>
        <v>9.0666666666666664</v>
      </c>
      <c r="AS4" s="86">
        <f>(AQ4+AT4)/2</f>
        <v>44165</v>
      </c>
      <c r="AT4" s="88">
        <v>44207</v>
      </c>
      <c r="AU4" s="13">
        <v>44207</v>
      </c>
      <c r="AV4" s="28">
        <f t="shared" si="1"/>
        <v>11.866666666666667</v>
      </c>
    </row>
    <row r="5" spans="1:49" ht="16" x14ac:dyDescent="0.2">
      <c r="A5" s="1">
        <f t="shared" si="5"/>
        <v>4</v>
      </c>
      <c r="B5" s="559" t="s">
        <v>148</v>
      </c>
      <c r="C5" s="343" t="s">
        <v>590</v>
      </c>
      <c r="D5" s="20">
        <v>2</v>
      </c>
      <c r="E5" s="29">
        <v>1275948</v>
      </c>
      <c r="F5" s="29" t="s">
        <v>17</v>
      </c>
      <c r="G5" s="29" t="s">
        <v>22</v>
      </c>
      <c r="H5" s="29" t="s">
        <v>551</v>
      </c>
      <c r="I5" s="30">
        <v>43845</v>
      </c>
      <c r="J5" s="25">
        <f t="shared" ca="1" si="2"/>
        <v>1.4805555555555556</v>
      </c>
      <c r="K5" s="25">
        <f t="shared" ca="1" si="3"/>
        <v>540</v>
      </c>
      <c r="L5" s="25">
        <f t="shared" ca="1" si="4"/>
        <v>18</v>
      </c>
      <c r="M5" s="31">
        <v>21</v>
      </c>
      <c r="N5" s="328" t="s">
        <v>14</v>
      </c>
      <c r="O5" s="25">
        <v>116</v>
      </c>
      <c r="P5" s="25">
        <v>241</v>
      </c>
      <c r="Q5" s="25">
        <v>237</v>
      </c>
      <c r="R5" s="25">
        <v>23</v>
      </c>
      <c r="S5" s="25">
        <v>23</v>
      </c>
      <c r="T5" s="25">
        <v>23</v>
      </c>
      <c r="U5" s="25">
        <v>28</v>
      </c>
      <c r="V5" s="25">
        <v>32</v>
      </c>
      <c r="W5" s="32">
        <v>32</v>
      </c>
      <c r="X5" s="32">
        <v>33</v>
      </c>
      <c r="Y5" s="32">
        <v>36</v>
      </c>
      <c r="Z5" s="32">
        <v>38</v>
      </c>
      <c r="AA5" s="33">
        <v>37</v>
      </c>
      <c r="AB5" s="33">
        <v>36</v>
      </c>
      <c r="AC5" s="33">
        <v>36</v>
      </c>
      <c r="AD5" s="118">
        <v>36</v>
      </c>
      <c r="AE5" s="32">
        <v>38</v>
      </c>
      <c r="AF5" s="32">
        <v>40</v>
      </c>
      <c r="AG5" s="118">
        <v>40</v>
      </c>
      <c r="AH5" s="118">
        <v>39</v>
      </c>
      <c r="AI5" s="85">
        <v>39</v>
      </c>
      <c r="AJ5" s="33">
        <v>42</v>
      </c>
      <c r="AK5" s="32">
        <v>44</v>
      </c>
      <c r="AL5" s="85">
        <v>44</v>
      </c>
      <c r="AM5" s="85"/>
      <c r="AN5" s="85">
        <v>46</v>
      </c>
      <c r="AO5" s="13">
        <v>44109</v>
      </c>
      <c r="AP5" s="13">
        <v>44116</v>
      </c>
      <c r="AQ5" s="13">
        <v>44123</v>
      </c>
      <c r="AR5" s="28">
        <f t="shared" si="0"/>
        <v>9.2666666666666675</v>
      </c>
      <c r="AS5" s="82">
        <f>(AQ4+AT4)/2</f>
        <v>44165</v>
      </c>
      <c r="AT5" s="88">
        <v>44207</v>
      </c>
      <c r="AU5" s="13">
        <v>44207</v>
      </c>
      <c r="AV5" s="28">
        <f t="shared" si="1"/>
        <v>12.066666666666666</v>
      </c>
    </row>
    <row r="6" spans="1:49" ht="16" x14ac:dyDescent="0.2">
      <c r="A6" s="1">
        <f t="shared" si="5"/>
        <v>5</v>
      </c>
      <c r="B6" s="559" t="s">
        <v>149</v>
      </c>
      <c r="C6" s="343" t="s">
        <v>591</v>
      </c>
      <c r="D6" s="20">
        <v>2</v>
      </c>
      <c r="E6" s="29">
        <v>1275948</v>
      </c>
      <c r="F6" s="29" t="s">
        <v>17</v>
      </c>
      <c r="G6" s="29" t="s">
        <v>22</v>
      </c>
      <c r="H6" s="29" t="s">
        <v>592</v>
      </c>
      <c r="I6" s="30">
        <v>43845</v>
      </c>
      <c r="J6" s="25">
        <f t="shared" ca="1" si="2"/>
        <v>1.4805555555555556</v>
      </c>
      <c r="K6" s="25">
        <f t="shared" ca="1" si="3"/>
        <v>540</v>
      </c>
      <c r="L6" s="25">
        <f t="shared" ca="1" si="4"/>
        <v>18</v>
      </c>
      <c r="M6" s="31">
        <v>23</v>
      </c>
      <c r="N6" s="328" t="s">
        <v>14</v>
      </c>
      <c r="O6" s="25">
        <v>185</v>
      </c>
      <c r="P6" s="25">
        <v>241</v>
      </c>
      <c r="Q6" s="25">
        <v>264</v>
      </c>
      <c r="R6" s="25">
        <v>26</v>
      </c>
      <c r="S6" s="25">
        <v>25</v>
      </c>
      <c r="T6" s="25">
        <v>26</v>
      </c>
      <c r="U6" s="25">
        <v>27</v>
      </c>
      <c r="V6" s="25">
        <v>34</v>
      </c>
      <c r="W6" s="32">
        <v>34</v>
      </c>
      <c r="X6" s="32">
        <v>36</v>
      </c>
      <c r="Y6" s="32">
        <v>37</v>
      </c>
      <c r="Z6" s="32">
        <v>39</v>
      </c>
      <c r="AA6" s="33">
        <v>39</v>
      </c>
      <c r="AB6" s="33">
        <v>39</v>
      </c>
      <c r="AC6" s="33">
        <v>39</v>
      </c>
      <c r="AD6" s="118">
        <v>39</v>
      </c>
      <c r="AE6" s="32">
        <v>41</v>
      </c>
      <c r="AF6" s="32">
        <v>43</v>
      </c>
      <c r="AG6" s="118">
        <v>42</v>
      </c>
      <c r="AH6" s="118">
        <v>40</v>
      </c>
      <c r="AI6" s="85">
        <v>40</v>
      </c>
      <c r="AJ6" s="33">
        <v>40</v>
      </c>
      <c r="AK6" s="32">
        <v>44</v>
      </c>
      <c r="AL6" s="85">
        <v>44</v>
      </c>
      <c r="AM6" s="85"/>
      <c r="AN6" s="85">
        <v>44</v>
      </c>
      <c r="AO6" s="13">
        <v>44109</v>
      </c>
      <c r="AP6" s="13">
        <v>44116</v>
      </c>
      <c r="AQ6" s="13">
        <v>44123</v>
      </c>
      <c r="AR6" s="28">
        <f t="shared" si="0"/>
        <v>9.2666666666666675</v>
      </c>
      <c r="AS6" s="86">
        <f>(AQ6+AT6)/2</f>
        <v>44165</v>
      </c>
      <c r="AT6" s="88">
        <v>44207</v>
      </c>
      <c r="AU6" s="13">
        <v>44207</v>
      </c>
      <c r="AV6" s="28">
        <f t="shared" si="1"/>
        <v>12.066666666666666</v>
      </c>
    </row>
    <row r="7" spans="1:49" ht="16" x14ac:dyDescent="0.2">
      <c r="A7" s="1">
        <f t="shared" si="5"/>
        <v>6</v>
      </c>
      <c r="B7" s="559" t="s">
        <v>150</v>
      </c>
      <c r="C7" s="343" t="s">
        <v>593</v>
      </c>
      <c r="D7" s="20">
        <v>2</v>
      </c>
      <c r="E7" s="29">
        <v>1275948</v>
      </c>
      <c r="F7" s="29" t="s">
        <v>17</v>
      </c>
      <c r="G7" s="29" t="s">
        <v>22</v>
      </c>
      <c r="H7" s="29" t="s">
        <v>548</v>
      </c>
      <c r="I7" s="30">
        <v>43845</v>
      </c>
      <c r="J7" s="25">
        <f t="shared" ca="1" si="2"/>
        <v>1.4805555555555556</v>
      </c>
      <c r="K7" s="25">
        <f t="shared" ca="1" si="3"/>
        <v>540</v>
      </c>
      <c r="L7" s="25">
        <f t="shared" ca="1" si="4"/>
        <v>18</v>
      </c>
      <c r="M7" s="31">
        <v>23</v>
      </c>
      <c r="N7" s="328" t="s">
        <v>14</v>
      </c>
      <c r="O7" s="25">
        <v>128</v>
      </c>
      <c r="P7" s="25">
        <v>206</v>
      </c>
      <c r="Q7" s="25">
        <v>236</v>
      </c>
      <c r="R7" s="25">
        <v>26</v>
      </c>
      <c r="S7" s="25">
        <v>28</v>
      </c>
      <c r="T7" s="25">
        <v>29</v>
      </c>
      <c r="U7" s="25">
        <v>32</v>
      </c>
      <c r="V7" s="25">
        <v>32</v>
      </c>
      <c r="W7" s="32">
        <v>34</v>
      </c>
      <c r="X7" s="32">
        <v>35</v>
      </c>
      <c r="Y7" s="32">
        <v>37</v>
      </c>
      <c r="Z7" s="32">
        <v>38</v>
      </c>
      <c r="AA7" s="33">
        <v>39</v>
      </c>
      <c r="AB7" s="33">
        <v>40</v>
      </c>
      <c r="AC7" s="33">
        <v>41</v>
      </c>
      <c r="AD7" s="118">
        <v>41</v>
      </c>
      <c r="AE7" s="32">
        <v>42</v>
      </c>
      <c r="AF7" s="32">
        <v>44</v>
      </c>
      <c r="AG7" s="118">
        <v>43</v>
      </c>
      <c r="AH7" s="118">
        <v>42</v>
      </c>
      <c r="AI7" s="85">
        <v>42</v>
      </c>
      <c r="AJ7" s="33">
        <v>43</v>
      </c>
      <c r="AK7" s="32">
        <v>45</v>
      </c>
      <c r="AL7" s="85">
        <v>45</v>
      </c>
      <c r="AM7" s="85"/>
      <c r="AN7" s="85">
        <v>47</v>
      </c>
      <c r="AO7" s="13">
        <v>44109</v>
      </c>
      <c r="AP7" s="13">
        <v>44116</v>
      </c>
      <c r="AQ7" s="13">
        <v>44123</v>
      </c>
      <c r="AR7" s="28">
        <f t="shared" si="0"/>
        <v>9.2666666666666675</v>
      </c>
      <c r="AS7" s="82">
        <f>(AQ6+AT6)/2</f>
        <v>44165</v>
      </c>
      <c r="AT7" s="88">
        <v>44207</v>
      </c>
      <c r="AU7" s="13">
        <v>44207</v>
      </c>
      <c r="AV7" s="28">
        <f t="shared" si="1"/>
        <v>12.066666666666666</v>
      </c>
    </row>
    <row r="8" spans="1:49" ht="16" x14ac:dyDescent="0.2">
      <c r="A8" s="1">
        <f t="shared" si="5"/>
        <v>7</v>
      </c>
      <c r="B8" s="559" t="s">
        <v>151</v>
      </c>
      <c r="C8" s="343" t="s">
        <v>594</v>
      </c>
      <c r="D8" s="20">
        <v>8</v>
      </c>
      <c r="E8" s="34">
        <v>1299774</v>
      </c>
      <c r="F8" s="34" t="s">
        <v>17</v>
      </c>
      <c r="G8" s="34" t="s">
        <v>22</v>
      </c>
      <c r="H8" s="34" t="s">
        <v>592</v>
      </c>
      <c r="I8" s="35">
        <v>43824</v>
      </c>
      <c r="J8" s="36">
        <f t="shared" ca="1" si="2"/>
        <v>1.5361111111111112</v>
      </c>
      <c r="K8" s="36">
        <f t="shared" ca="1" si="3"/>
        <v>561</v>
      </c>
      <c r="L8" s="36">
        <f t="shared" ca="1" si="4"/>
        <v>18.7</v>
      </c>
      <c r="M8" s="37">
        <v>25</v>
      </c>
      <c r="N8" s="328" t="s">
        <v>14</v>
      </c>
      <c r="O8" s="38">
        <v>161</v>
      </c>
      <c r="P8" s="38">
        <v>193</v>
      </c>
      <c r="Q8" s="38">
        <v>137</v>
      </c>
      <c r="R8" s="38">
        <v>27</v>
      </c>
      <c r="S8" s="25">
        <v>28</v>
      </c>
      <c r="T8" s="25">
        <v>29</v>
      </c>
      <c r="U8" s="25">
        <v>29</v>
      </c>
      <c r="V8" s="25">
        <v>29</v>
      </c>
      <c r="W8" s="32">
        <v>31</v>
      </c>
      <c r="X8" s="32">
        <v>33</v>
      </c>
      <c r="Y8" s="32">
        <v>34</v>
      </c>
      <c r="Z8" s="32">
        <v>36</v>
      </c>
      <c r="AA8" s="33">
        <v>36</v>
      </c>
      <c r="AB8" s="33">
        <v>36</v>
      </c>
      <c r="AC8" s="33">
        <v>36</v>
      </c>
      <c r="AD8" s="118">
        <v>37</v>
      </c>
      <c r="AE8" s="32">
        <v>37</v>
      </c>
      <c r="AF8" s="32">
        <v>38</v>
      </c>
      <c r="AG8" s="118">
        <v>37</v>
      </c>
      <c r="AH8" s="118">
        <v>36</v>
      </c>
      <c r="AI8" s="85">
        <v>36</v>
      </c>
      <c r="AJ8" s="33">
        <v>36</v>
      </c>
      <c r="AK8" s="32">
        <v>37</v>
      </c>
      <c r="AL8" s="85">
        <v>36</v>
      </c>
      <c r="AM8" s="85"/>
      <c r="AN8" s="85">
        <v>35</v>
      </c>
      <c r="AO8" s="13">
        <v>44109</v>
      </c>
      <c r="AP8" s="13">
        <v>44116</v>
      </c>
      <c r="AQ8" s="13">
        <v>44123</v>
      </c>
      <c r="AR8" s="28">
        <f t="shared" si="0"/>
        <v>9.9666666666666668</v>
      </c>
      <c r="AS8" s="86">
        <f>(AQ8+AT8)/2</f>
        <v>44165</v>
      </c>
      <c r="AT8" s="88">
        <v>44207</v>
      </c>
      <c r="AU8" s="13">
        <v>44207</v>
      </c>
      <c r="AV8" s="28">
        <f t="shared" si="1"/>
        <v>12.766666666666667</v>
      </c>
    </row>
    <row r="9" spans="1:49" ht="16" x14ac:dyDescent="0.2">
      <c r="A9" s="1">
        <f t="shared" si="5"/>
        <v>8</v>
      </c>
      <c r="B9" s="559" t="s">
        <v>152</v>
      </c>
      <c r="C9" s="343" t="s">
        <v>595</v>
      </c>
      <c r="D9" s="182">
        <v>8</v>
      </c>
      <c r="E9" s="34">
        <v>1299774</v>
      </c>
      <c r="F9" s="34" t="s">
        <v>17</v>
      </c>
      <c r="G9" s="34" t="s">
        <v>22</v>
      </c>
      <c r="H9" s="34" t="s">
        <v>551</v>
      </c>
      <c r="I9" s="35">
        <v>43824</v>
      </c>
      <c r="J9" s="36">
        <f t="shared" ca="1" si="2"/>
        <v>1.5361111111111112</v>
      </c>
      <c r="K9" s="36">
        <f t="shared" ca="1" si="3"/>
        <v>561</v>
      </c>
      <c r="L9" s="36">
        <f t="shared" ca="1" si="4"/>
        <v>18.7</v>
      </c>
      <c r="M9" s="37">
        <v>26</v>
      </c>
      <c r="N9" s="328" t="s">
        <v>14</v>
      </c>
      <c r="O9" s="38">
        <v>98</v>
      </c>
      <c r="P9" s="38">
        <v>177</v>
      </c>
      <c r="Q9" s="38"/>
      <c r="R9" s="38">
        <v>30</v>
      </c>
      <c r="S9" s="38">
        <v>30</v>
      </c>
      <c r="T9" s="38">
        <v>30</v>
      </c>
      <c r="U9" s="38">
        <v>31</v>
      </c>
      <c r="V9" s="38">
        <v>34</v>
      </c>
      <c r="W9" s="38">
        <v>35</v>
      </c>
      <c r="X9" s="38">
        <v>38</v>
      </c>
      <c r="Y9" s="38">
        <v>40</v>
      </c>
      <c r="Z9" s="38">
        <v>43</v>
      </c>
      <c r="AA9" s="39">
        <v>44</v>
      </c>
      <c r="AB9" s="39">
        <v>44</v>
      </c>
      <c r="AC9" s="39">
        <v>44</v>
      </c>
      <c r="AD9" s="119">
        <v>44</v>
      </c>
      <c r="AE9" s="38">
        <v>45</v>
      </c>
      <c r="AF9" s="38">
        <v>46</v>
      </c>
      <c r="AG9" s="119">
        <v>47</v>
      </c>
      <c r="AH9" s="119">
        <v>48</v>
      </c>
      <c r="AI9" s="157">
        <v>48</v>
      </c>
      <c r="AJ9" s="39">
        <v>48</v>
      </c>
      <c r="AK9" s="38">
        <v>48</v>
      </c>
      <c r="AL9" s="157">
        <v>48</v>
      </c>
      <c r="AM9" s="157"/>
      <c r="AN9" s="157"/>
      <c r="AO9" s="13">
        <v>44109</v>
      </c>
      <c r="AP9" s="13">
        <v>44116</v>
      </c>
      <c r="AQ9" s="13">
        <v>44123</v>
      </c>
      <c r="AR9" s="28">
        <f t="shared" si="0"/>
        <v>9.9666666666666668</v>
      </c>
      <c r="AS9" s="82">
        <f>(AQ8+AT8)/2</f>
        <v>44165</v>
      </c>
      <c r="AT9" s="88">
        <v>44207</v>
      </c>
      <c r="AU9" s="13">
        <v>44207</v>
      </c>
      <c r="AV9" s="28">
        <f t="shared" si="1"/>
        <v>12.766666666666667</v>
      </c>
    </row>
    <row r="10" spans="1:49" ht="16" x14ac:dyDescent="0.2">
      <c r="A10" s="1">
        <f t="shared" si="5"/>
        <v>9</v>
      </c>
      <c r="B10" s="559" t="s">
        <v>153</v>
      </c>
      <c r="C10" s="343" t="s">
        <v>596</v>
      </c>
      <c r="D10" s="40">
        <v>8</v>
      </c>
      <c r="E10" s="34">
        <v>1299774</v>
      </c>
      <c r="F10" s="34" t="s">
        <v>17</v>
      </c>
      <c r="G10" s="34" t="s">
        <v>22</v>
      </c>
      <c r="H10" s="34" t="s">
        <v>548</v>
      </c>
      <c r="I10" s="35">
        <v>43824</v>
      </c>
      <c r="J10" s="36">
        <f t="shared" ca="1" si="2"/>
        <v>1.5361111111111112</v>
      </c>
      <c r="K10" s="36">
        <f t="shared" ca="1" si="3"/>
        <v>561</v>
      </c>
      <c r="L10" s="36">
        <f t="shared" ca="1" si="4"/>
        <v>18.7</v>
      </c>
      <c r="M10" s="37">
        <v>25</v>
      </c>
      <c r="N10" s="328" t="s">
        <v>14</v>
      </c>
      <c r="O10" s="38">
        <v>123</v>
      </c>
      <c r="P10" s="38">
        <v>202</v>
      </c>
      <c r="Q10" s="38">
        <v>140</v>
      </c>
      <c r="R10" s="38">
        <v>27</v>
      </c>
      <c r="S10" s="38">
        <v>29</v>
      </c>
      <c r="T10" s="38">
        <v>30</v>
      </c>
      <c r="U10" s="38">
        <v>30</v>
      </c>
      <c r="V10" s="38">
        <v>31</v>
      </c>
      <c r="W10" s="38">
        <v>31</v>
      </c>
      <c r="X10" s="38">
        <v>32</v>
      </c>
      <c r="Y10" s="38">
        <v>32</v>
      </c>
      <c r="Z10" s="38">
        <v>33</v>
      </c>
      <c r="AA10" s="39">
        <v>36</v>
      </c>
      <c r="AB10" s="39">
        <v>38</v>
      </c>
      <c r="AC10" s="39">
        <v>39</v>
      </c>
      <c r="AD10" s="119">
        <v>39</v>
      </c>
      <c r="AE10" s="38">
        <v>38</v>
      </c>
      <c r="AF10" s="38">
        <v>37</v>
      </c>
      <c r="AG10" s="119">
        <v>37</v>
      </c>
      <c r="AH10" s="119">
        <v>36</v>
      </c>
      <c r="AI10" s="157">
        <v>36</v>
      </c>
      <c r="AJ10" s="39">
        <v>36</v>
      </c>
      <c r="AK10" s="38">
        <v>37</v>
      </c>
      <c r="AL10" s="157">
        <v>37</v>
      </c>
      <c r="AM10" s="157"/>
      <c r="AN10" s="157">
        <v>34</v>
      </c>
      <c r="AO10" s="13">
        <v>44109</v>
      </c>
      <c r="AP10" s="13">
        <v>44116</v>
      </c>
      <c r="AQ10" s="13">
        <v>44123</v>
      </c>
      <c r="AR10" s="28">
        <f t="shared" si="0"/>
        <v>9.9666666666666668</v>
      </c>
      <c r="AS10" s="86">
        <f>(AQ10+AT10)/2</f>
        <v>44165</v>
      </c>
      <c r="AT10" s="88">
        <v>44207</v>
      </c>
      <c r="AU10" s="13">
        <v>44207</v>
      </c>
      <c r="AV10" s="28">
        <f t="shared" si="1"/>
        <v>12.766666666666667</v>
      </c>
    </row>
    <row r="11" spans="1:49" ht="16" x14ac:dyDescent="0.2">
      <c r="A11" s="1">
        <f>A10+1</f>
        <v>10</v>
      </c>
      <c r="B11" s="559" t="s">
        <v>154</v>
      </c>
      <c r="C11" s="343" t="s">
        <v>597</v>
      </c>
      <c r="D11" s="184">
        <v>8</v>
      </c>
      <c r="E11" s="34">
        <v>1299774</v>
      </c>
      <c r="F11" s="34" t="s">
        <v>17</v>
      </c>
      <c r="G11" s="34" t="s">
        <v>22</v>
      </c>
      <c r="H11" s="34" t="s">
        <v>549</v>
      </c>
      <c r="I11" s="35">
        <v>43824</v>
      </c>
      <c r="J11" s="36">
        <f t="shared" ca="1" si="2"/>
        <v>1.5361111111111112</v>
      </c>
      <c r="K11" s="36">
        <f t="shared" ca="1" si="3"/>
        <v>561</v>
      </c>
      <c r="L11" s="36">
        <f t="shared" ca="1" si="4"/>
        <v>18.7</v>
      </c>
      <c r="M11" s="37">
        <v>28</v>
      </c>
      <c r="N11" s="328" t="s">
        <v>14</v>
      </c>
      <c r="O11" s="38">
        <v>147</v>
      </c>
      <c r="P11" s="38">
        <v>186</v>
      </c>
      <c r="Q11" s="38"/>
      <c r="R11" s="38">
        <v>29</v>
      </c>
      <c r="S11" s="38">
        <v>31</v>
      </c>
      <c r="T11" s="38">
        <v>31</v>
      </c>
      <c r="U11" s="38">
        <v>31</v>
      </c>
      <c r="V11" s="38">
        <v>32</v>
      </c>
      <c r="W11" s="38">
        <v>32</v>
      </c>
      <c r="X11" s="38">
        <v>32</v>
      </c>
      <c r="Y11" s="38">
        <v>33</v>
      </c>
      <c r="Z11" s="38">
        <v>34</v>
      </c>
      <c r="AA11" s="39">
        <v>35</v>
      </c>
      <c r="AB11" s="39">
        <v>35</v>
      </c>
      <c r="AC11" s="39">
        <v>36</v>
      </c>
      <c r="AD11" s="119">
        <v>36</v>
      </c>
      <c r="AE11" s="38">
        <v>36</v>
      </c>
      <c r="AF11" s="38">
        <v>36</v>
      </c>
      <c r="AG11" s="119">
        <v>37</v>
      </c>
      <c r="AH11" s="119">
        <v>38</v>
      </c>
      <c r="AI11" s="157">
        <v>38</v>
      </c>
      <c r="AJ11" s="39">
        <v>38</v>
      </c>
      <c r="AK11" s="38">
        <v>39</v>
      </c>
      <c r="AL11" s="157">
        <v>39</v>
      </c>
      <c r="AM11" s="157"/>
      <c r="AN11" s="157"/>
      <c r="AO11" s="13">
        <v>44109</v>
      </c>
      <c r="AP11" s="13">
        <v>44116</v>
      </c>
      <c r="AQ11" s="13">
        <v>44123</v>
      </c>
      <c r="AR11" s="28">
        <f t="shared" si="0"/>
        <v>9.9666666666666668</v>
      </c>
      <c r="AS11" s="82">
        <f>(AQ10+AT10)/2</f>
        <v>44165</v>
      </c>
      <c r="AT11" s="88">
        <v>44207</v>
      </c>
      <c r="AU11" s="13">
        <v>44207</v>
      </c>
      <c r="AV11" s="28">
        <f t="shared" si="1"/>
        <v>12.766666666666667</v>
      </c>
    </row>
    <row r="12" spans="1:49" ht="16" x14ac:dyDescent="0.2">
      <c r="A12" s="1">
        <f>A11+1</f>
        <v>11</v>
      </c>
      <c r="B12" s="559" t="s">
        <v>155</v>
      </c>
      <c r="C12" s="343" t="s">
        <v>598</v>
      </c>
      <c r="D12" s="40">
        <v>10</v>
      </c>
      <c r="E12" s="41">
        <v>1312798</v>
      </c>
      <c r="F12" s="42" t="s">
        <v>17</v>
      </c>
      <c r="G12" s="175" t="s">
        <v>37</v>
      </c>
      <c r="H12" s="42" t="s">
        <v>546</v>
      </c>
      <c r="I12" s="43">
        <v>43789</v>
      </c>
      <c r="J12" s="44">
        <f t="shared" ca="1" si="2"/>
        <v>1.6333333333333333</v>
      </c>
      <c r="K12" s="44">
        <f t="shared" ca="1" si="3"/>
        <v>596</v>
      </c>
      <c r="L12" s="45">
        <f t="shared" ca="1" si="4"/>
        <v>19.866666666666667</v>
      </c>
      <c r="M12" s="46">
        <v>32</v>
      </c>
      <c r="N12" s="328" t="s">
        <v>14</v>
      </c>
      <c r="O12" s="48">
        <v>105</v>
      </c>
      <c r="P12" s="47">
        <v>186</v>
      </c>
      <c r="Q12" s="47"/>
      <c r="R12" s="47">
        <v>37</v>
      </c>
      <c r="S12" s="47">
        <v>34</v>
      </c>
      <c r="T12" s="48">
        <v>30</v>
      </c>
      <c r="U12" s="48">
        <v>40</v>
      </c>
      <c r="V12" s="48">
        <v>39</v>
      </c>
      <c r="W12" s="49">
        <v>39</v>
      </c>
      <c r="X12" s="49">
        <v>41</v>
      </c>
      <c r="Y12" s="49">
        <v>43</v>
      </c>
      <c r="Z12" s="49">
        <v>45</v>
      </c>
      <c r="AA12" s="91">
        <v>46</v>
      </c>
      <c r="AB12" s="91">
        <v>46</v>
      </c>
      <c r="AC12" s="51">
        <v>46</v>
      </c>
      <c r="AD12" s="120">
        <v>46</v>
      </c>
      <c r="AE12" s="121">
        <v>46</v>
      </c>
      <c r="AF12" s="121">
        <v>46</v>
      </c>
      <c r="AG12" s="120">
        <v>47</v>
      </c>
      <c r="AH12" s="120">
        <v>48</v>
      </c>
      <c r="AI12" s="112">
        <v>47</v>
      </c>
      <c r="AJ12" s="159">
        <v>46</v>
      </c>
      <c r="AK12" s="121">
        <v>45</v>
      </c>
      <c r="AL12" s="112">
        <v>46</v>
      </c>
      <c r="AM12" s="112"/>
      <c r="AN12" s="112"/>
      <c r="AO12" s="13">
        <v>44109</v>
      </c>
      <c r="AP12" s="13">
        <v>44116</v>
      </c>
      <c r="AQ12" s="13">
        <v>44123</v>
      </c>
      <c r="AR12" s="28">
        <f t="shared" si="0"/>
        <v>11.133333333333333</v>
      </c>
      <c r="AS12" s="86">
        <f>(AQ12+AT12)/2</f>
        <v>44165</v>
      </c>
      <c r="AT12" s="88">
        <v>44207</v>
      </c>
      <c r="AU12" s="13">
        <v>44207</v>
      </c>
      <c r="AV12" s="28">
        <f t="shared" si="1"/>
        <v>13.933333333333334</v>
      </c>
    </row>
    <row r="13" spans="1:49" ht="16" x14ac:dyDescent="0.2">
      <c r="A13" s="1">
        <f t="shared" si="5"/>
        <v>12</v>
      </c>
      <c r="B13" s="559" t="s">
        <v>156</v>
      </c>
      <c r="C13" s="343" t="s">
        <v>599</v>
      </c>
      <c r="D13" s="40">
        <v>10</v>
      </c>
      <c r="E13" s="41">
        <v>1312798</v>
      </c>
      <c r="F13" s="42" t="s">
        <v>17</v>
      </c>
      <c r="G13" s="175" t="s">
        <v>37</v>
      </c>
      <c r="H13" s="42" t="s">
        <v>551</v>
      </c>
      <c r="I13" s="43">
        <v>43808</v>
      </c>
      <c r="J13" s="46">
        <f t="shared" ca="1" si="2"/>
        <v>1.5805555555555555</v>
      </c>
      <c r="K13" s="46">
        <f t="shared" ca="1" si="3"/>
        <v>577</v>
      </c>
      <c r="L13" s="52">
        <f t="shared" ca="1" si="4"/>
        <v>19.233333333333334</v>
      </c>
      <c r="M13" s="46">
        <v>30</v>
      </c>
      <c r="N13" s="328" t="s">
        <v>14</v>
      </c>
      <c r="O13" s="48">
        <v>171</v>
      </c>
      <c r="P13" s="47">
        <v>167</v>
      </c>
      <c r="Q13" s="47"/>
      <c r="R13" s="47">
        <v>34</v>
      </c>
      <c r="S13" s="47">
        <v>34</v>
      </c>
      <c r="T13" s="48">
        <v>34</v>
      </c>
      <c r="U13" s="48">
        <v>40</v>
      </c>
      <c r="V13" s="48">
        <v>38</v>
      </c>
      <c r="W13" s="49">
        <v>38</v>
      </c>
      <c r="X13" s="49">
        <v>40</v>
      </c>
      <c r="Y13" s="49">
        <v>43</v>
      </c>
      <c r="Z13" s="49">
        <v>44</v>
      </c>
      <c r="AA13" s="91">
        <v>44</v>
      </c>
      <c r="AB13" s="91">
        <v>44</v>
      </c>
      <c r="AC13" s="51">
        <v>44</v>
      </c>
      <c r="AD13" s="120">
        <v>44</v>
      </c>
      <c r="AE13" s="121">
        <v>44</v>
      </c>
      <c r="AF13" s="121">
        <v>44</v>
      </c>
      <c r="AG13" s="120">
        <v>44</v>
      </c>
      <c r="AH13" s="120">
        <v>43</v>
      </c>
      <c r="AI13" s="112">
        <v>42</v>
      </c>
      <c r="AJ13" s="159">
        <v>41</v>
      </c>
      <c r="AK13" s="121">
        <v>39</v>
      </c>
      <c r="AL13" s="112">
        <v>39</v>
      </c>
      <c r="AM13" s="112"/>
      <c r="AN13" s="112"/>
      <c r="AO13" s="13">
        <v>44109</v>
      </c>
      <c r="AP13" s="13">
        <v>44116</v>
      </c>
      <c r="AQ13" s="13">
        <v>44123</v>
      </c>
      <c r="AR13" s="28">
        <f t="shared" si="0"/>
        <v>10.5</v>
      </c>
      <c r="AS13" s="82">
        <f>(AQ12+AT12)/2</f>
        <v>44165</v>
      </c>
      <c r="AT13" s="88">
        <v>44207</v>
      </c>
      <c r="AU13" s="13">
        <v>44207</v>
      </c>
      <c r="AV13" s="28">
        <f t="shared" si="1"/>
        <v>13.3</v>
      </c>
    </row>
    <row r="14" spans="1:49" ht="16" x14ac:dyDescent="0.2">
      <c r="A14" s="1">
        <f t="shared" si="5"/>
        <v>13</v>
      </c>
      <c r="B14" s="559" t="s">
        <v>157</v>
      </c>
      <c r="C14" s="343" t="s">
        <v>600</v>
      </c>
      <c r="D14" s="184">
        <v>11</v>
      </c>
      <c r="E14" s="53">
        <v>1343433</v>
      </c>
      <c r="F14" s="42" t="s">
        <v>15</v>
      </c>
      <c r="G14" s="175" t="s">
        <v>37</v>
      </c>
      <c r="H14" s="42" t="s">
        <v>549</v>
      </c>
      <c r="I14" s="54">
        <v>43871</v>
      </c>
      <c r="J14" s="46">
        <f t="shared" ca="1" si="2"/>
        <v>1.4111111111111112</v>
      </c>
      <c r="K14" s="46">
        <f t="shared" ca="1" si="3"/>
        <v>514</v>
      </c>
      <c r="L14" s="52">
        <f t="shared" ca="1" si="4"/>
        <v>17.133333333333333</v>
      </c>
      <c r="M14" s="46">
        <v>25</v>
      </c>
      <c r="N14" s="328" t="s">
        <v>14</v>
      </c>
      <c r="O14" s="48">
        <v>151</v>
      </c>
      <c r="P14" s="47">
        <v>221</v>
      </c>
      <c r="Q14" s="47"/>
      <c r="R14" s="47">
        <v>27</v>
      </c>
      <c r="S14" s="47">
        <v>27</v>
      </c>
      <c r="T14" s="48">
        <v>28</v>
      </c>
      <c r="U14" s="48">
        <v>28</v>
      </c>
      <c r="V14" s="48">
        <v>31</v>
      </c>
      <c r="W14" s="49">
        <v>30</v>
      </c>
      <c r="X14" s="49">
        <v>30</v>
      </c>
      <c r="Y14" s="49">
        <v>30</v>
      </c>
      <c r="Z14" s="49">
        <v>30</v>
      </c>
      <c r="AA14" s="50">
        <v>30</v>
      </c>
      <c r="AB14" s="51">
        <v>30</v>
      </c>
      <c r="AC14" s="51">
        <v>33</v>
      </c>
      <c r="AD14" s="120">
        <v>33</v>
      </c>
      <c r="AE14" s="121">
        <v>34</v>
      </c>
      <c r="AF14" s="121">
        <v>34</v>
      </c>
      <c r="AG14" s="120">
        <v>33</v>
      </c>
      <c r="AH14" s="120">
        <v>32</v>
      </c>
      <c r="AI14" s="112">
        <v>32</v>
      </c>
      <c r="AJ14" s="159">
        <v>32</v>
      </c>
      <c r="AK14" s="121">
        <v>32</v>
      </c>
      <c r="AL14" s="112">
        <v>32</v>
      </c>
      <c r="AM14" s="112"/>
      <c r="AN14" s="112"/>
      <c r="AO14" s="13">
        <v>44109</v>
      </c>
      <c r="AP14" s="13">
        <v>44116</v>
      </c>
      <c r="AQ14" s="13">
        <v>44123</v>
      </c>
      <c r="AR14" s="28">
        <f t="shared" si="0"/>
        <v>8.4</v>
      </c>
      <c r="AS14" s="86">
        <f>(AQ14+AT14)/2</f>
        <v>44165</v>
      </c>
      <c r="AT14" s="88">
        <v>44207</v>
      </c>
      <c r="AU14" s="13">
        <v>44207</v>
      </c>
      <c r="AV14" s="28">
        <f t="shared" si="1"/>
        <v>11.2</v>
      </c>
    </row>
    <row r="15" spans="1:49" ht="16" x14ac:dyDescent="0.2">
      <c r="A15" s="1">
        <f t="shared" si="5"/>
        <v>14</v>
      </c>
      <c r="B15" s="560" t="s">
        <v>158</v>
      </c>
      <c r="C15" s="343" t="s">
        <v>601</v>
      </c>
      <c r="D15" s="561">
        <v>11</v>
      </c>
      <c r="E15" s="56">
        <v>1343433</v>
      </c>
      <c r="F15" s="57" t="s">
        <v>15</v>
      </c>
      <c r="G15" s="176" t="s">
        <v>37</v>
      </c>
      <c r="H15" s="57" t="s">
        <v>592</v>
      </c>
      <c r="I15" s="58">
        <v>43811</v>
      </c>
      <c r="J15" s="59">
        <f t="shared" ca="1" si="2"/>
        <v>1.5722222222222222</v>
      </c>
      <c r="K15" s="59">
        <f t="shared" ca="1" si="3"/>
        <v>574</v>
      </c>
      <c r="L15" s="60">
        <f t="shared" ca="1" si="4"/>
        <v>19.133333333333333</v>
      </c>
      <c r="M15" s="61">
        <v>28</v>
      </c>
      <c r="N15" s="328" t="s">
        <v>14</v>
      </c>
      <c r="O15" s="62"/>
      <c r="P15" s="62"/>
      <c r="Q15" s="62"/>
      <c r="R15" s="62"/>
      <c r="S15" s="62"/>
      <c r="T15" s="63"/>
      <c r="U15" s="63"/>
      <c r="V15" s="63"/>
      <c r="W15" s="64"/>
      <c r="X15" s="64"/>
      <c r="Y15" s="64"/>
      <c r="Z15" s="64"/>
      <c r="AA15" s="65"/>
      <c r="AB15" s="66"/>
      <c r="AC15" s="66"/>
      <c r="AD15" s="122"/>
      <c r="AE15" s="123"/>
      <c r="AF15" s="123"/>
      <c r="AG15" s="122"/>
      <c r="AH15" s="122"/>
      <c r="AI15" s="66"/>
      <c r="AJ15" s="65"/>
      <c r="AK15" s="123"/>
      <c r="AL15" s="66"/>
      <c r="AM15" s="66"/>
      <c r="AN15" s="66"/>
      <c r="AO15" s="67">
        <v>44112</v>
      </c>
      <c r="AP15" s="67">
        <v>44116</v>
      </c>
      <c r="AQ15" s="67">
        <v>44123</v>
      </c>
      <c r="AR15" s="68">
        <f t="shared" si="0"/>
        <v>10.4</v>
      </c>
      <c r="AS15" s="83">
        <f>(AQ14+AT14)/2</f>
        <v>44165</v>
      </c>
      <c r="AT15" s="88">
        <v>44207</v>
      </c>
      <c r="AU15" s="13">
        <v>44207</v>
      </c>
      <c r="AV15" s="68">
        <f t="shared" si="1"/>
        <v>13.2</v>
      </c>
      <c r="AW15" t="s">
        <v>602</v>
      </c>
    </row>
    <row r="16" spans="1:49" ht="16" x14ac:dyDescent="0.2">
      <c r="A16" s="1">
        <f>A15+1</f>
        <v>15</v>
      </c>
      <c r="B16" s="559" t="s">
        <v>159</v>
      </c>
      <c r="C16" s="343" t="s">
        <v>603</v>
      </c>
      <c r="D16" s="40">
        <v>3</v>
      </c>
      <c r="E16" s="69">
        <v>1198647</v>
      </c>
      <c r="F16" s="69" t="s">
        <v>17</v>
      </c>
      <c r="G16" s="69" t="s">
        <v>41</v>
      </c>
      <c r="H16" s="69" t="s">
        <v>592</v>
      </c>
      <c r="I16" s="70">
        <v>43831</v>
      </c>
      <c r="J16" s="71">
        <f t="shared" ca="1" si="2"/>
        <v>1.5194444444444444</v>
      </c>
      <c r="K16" s="71">
        <f t="shared" ca="1" si="3"/>
        <v>554</v>
      </c>
      <c r="L16" s="71">
        <f t="shared" ca="1" si="4"/>
        <v>18.466666666666665</v>
      </c>
      <c r="M16" s="72">
        <v>26</v>
      </c>
      <c r="N16" s="328" t="s">
        <v>14</v>
      </c>
      <c r="O16" s="73">
        <v>150</v>
      </c>
      <c r="P16" s="73">
        <v>195</v>
      </c>
      <c r="Q16" s="73"/>
      <c r="R16" s="73">
        <v>29</v>
      </c>
      <c r="S16" s="73">
        <v>28</v>
      </c>
      <c r="T16" s="73">
        <v>29</v>
      </c>
      <c r="U16" s="73">
        <v>36</v>
      </c>
      <c r="V16" s="73">
        <v>36</v>
      </c>
      <c r="W16" s="73">
        <v>36</v>
      </c>
      <c r="X16" s="73">
        <v>36</v>
      </c>
      <c r="Y16" s="73">
        <v>36</v>
      </c>
      <c r="Z16" s="73">
        <v>36</v>
      </c>
      <c r="AA16" s="74">
        <v>38</v>
      </c>
      <c r="AB16" s="74">
        <v>40</v>
      </c>
      <c r="AC16" s="74">
        <v>42</v>
      </c>
      <c r="AD16" s="124">
        <v>43</v>
      </c>
      <c r="AE16" s="73">
        <v>44</v>
      </c>
      <c r="AF16" s="73">
        <v>44</v>
      </c>
      <c r="AG16" s="124">
        <v>43</v>
      </c>
      <c r="AH16" s="124">
        <v>42</v>
      </c>
      <c r="AI16" s="158">
        <v>42</v>
      </c>
      <c r="AJ16" s="74">
        <v>42</v>
      </c>
      <c r="AK16" s="73">
        <v>47</v>
      </c>
      <c r="AL16" s="158">
        <v>46</v>
      </c>
      <c r="AM16" s="158"/>
      <c r="AN16" s="158"/>
      <c r="AO16" s="13">
        <v>44109</v>
      </c>
      <c r="AP16" s="13">
        <v>44116</v>
      </c>
      <c r="AQ16" s="13">
        <v>44123</v>
      </c>
      <c r="AR16" s="28">
        <f t="shared" si="0"/>
        <v>9.7333333333333325</v>
      </c>
      <c r="AS16" s="86">
        <f>(AQ16+AT16)/2</f>
        <v>44165</v>
      </c>
      <c r="AT16" s="88">
        <v>44207</v>
      </c>
      <c r="AU16" s="13">
        <v>44207</v>
      </c>
      <c r="AV16" s="28">
        <f t="shared" si="1"/>
        <v>12.533333333333333</v>
      </c>
    </row>
    <row r="17" spans="1:48" ht="16" x14ac:dyDescent="0.2">
      <c r="A17" s="1">
        <f t="shared" si="5"/>
        <v>16</v>
      </c>
      <c r="B17" s="559" t="s">
        <v>160</v>
      </c>
      <c r="C17" s="343" t="s">
        <v>604</v>
      </c>
      <c r="D17" s="40">
        <v>3</v>
      </c>
      <c r="E17" s="69">
        <v>1198647</v>
      </c>
      <c r="F17" s="69" t="s">
        <v>17</v>
      </c>
      <c r="G17" s="69" t="s">
        <v>41</v>
      </c>
      <c r="H17" s="69" t="s">
        <v>546</v>
      </c>
      <c r="I17" s="70">
        <v>43831</v>
      </c>
      <c r="J17" s="71">
        <f t="shared" ca="1" si="2"/>
        <v>1.5194444444444444</v>
      </c>
      <c r="K17" s="71">
        <f t="shared" ca="1" si="3"/>
        <v>554</v>
      </c>
      <c r="L17" s="71">
        <f t="shared" ca="1" si="4"/>
        <v>18.466666666666665</v>
      </c>
      <c r="M17" s="72">
        <v>27</v>
      </c>
      <c r="N17" s="328" t="s">
        <v>14</v>
      </c>
      <c r="O17" s="73">
        <v>138</v>
      </c>
      <c r="P17" s="73">
        <v>151</v>
      </c>
      <c r="Q17" s="73"/>
      <c r="R17" s="73">
        <v>29</v>
      </c>
      <c r="S17" s="73">
        <v>31</v>
      </c>
      <c r="T17" s="73">
        <v>32</v>
      </c>
      <c r="U17" s="73">
        <v>40</v>
      </c>
      <c r="V17" s="73">
        <v>40</v>
      </c>
      <c r="W17" s="73">
        <v>39</v>
      </c>
      <c r="X17" s="73">
        <v>38</v>
      </c>
      <c r="Y17" s="73">
        <v>38</v>
      </c>
      <c r="Z17" s="73">
        <v>37</v>
      </c>
      <c r="AA17" s="74">
        <v>38</v>
      </c>
      <c r="AB17" s="74">
        <v>39</v>
      </c>
      <c r="AC17" s="74">
        <v>39</v>
      </c>
      <c r="AD17" s="124">
        <v>39</v>
      </c>
      <c r="AE17" s="73">
        <v>39</v>
      </c>
      <c r="AF17" s="73">
        <v>40</v>
      </c>
      <c r="AG17" s="124">
        <v>40</v>
      </c>
      <c r="AH17" s="124">
        <v>40</v>
      </c>
      <c r="AI17" s="158">
        <v>40</v>
      </c>
      <c r="AJ17" s="74">
        <v>40</v>
      </c>
      <c r="AK17" s="73">
        <v>43</v>
      </c>
      <c r="AL17" s="158">
        <v>43</v>
      </c>
      <c r="AM17" s="158"/>
      <c r="AN17" s="158"/>
      <c r="AO17" s="13">
        <v>44109</v>
      </c>
      <c r="AP17" s="13">
        <v>44116</v>
      </c>
      <c r="AQ17" s="13">
        <v>44123</v>
      </c>
      <c r="AR17" s="28">
        <f t="shared" si="0"/>
        <v>9.7333333333333325</v>
      </c>
      <c r="AS17" s="82">
        <f>(AQ16+AT16)/2</f>
        <v>44165</v>
      </c>
      <c r="AT17" s="88">
        <v>44207</v>
      </c>
      <c r="AU17" s="13">
        <v>44207</v>
      </c>
      <c r="AV17" s="28">
        <f t="shared" si="1"/>
        <v>12.533333333333333</v>
      </c>
    </row>
    <row r="18" spans="1:48" ht="16" x14ac:dyDescent="0.2">
      <c r="A18" s="1">
        <f t="shared" si="5"/>
        <v>17</v>
      </c>
      <c r="B18" s="559" t="s">
        <v>161</v>
      </c>
      <c r="C18" s="343" t="s">
        <v>605</v>
      </c>
      <c r="D18" s="40">
        <v>5</v>
      </c>
      <c r="E18" s="69">
        <v>1275960</v>
      </c>
      <c r="F18" s="69" t="s">
        <v>17</v>
      </c>
      <c r="G18" s="69" t="s">
        <v>41</v>
      </c>
      <c r="H18" s="69" t="s">
        <v>592</v>
      </c>
      <c r="I18" s="70">
        <v>43831</v>
      </c>
      <c r="J18" s="71">
        <f t="shared" ca="1" si="2"/>
        <v>1.5194444444444444</v>
      </c>
      <c r="K18" s="71">
        <f t="shared" ca="1" si="3"/>
        <v>554</v>
      </c>
      <c r="L18" s="71">
        <f t="shared" ca="1" si="4"/>
        <v>18.466666666666665</v>
      </c>
      <c r="M18" s="72">
        <v>26</v>
      </c>
      <c r="N18" s="328" t="s">
        <v>14</v>
      </c>
      <c r="O18" s="73">
        <v>109</v>
      </c>
      <c r="P18" s="73">
        <v>155</v>
      </c>
      <c r="Q18" s="73">
        <v>208</v>
      </c>
      <c r="R18" s="73">
        <v>27</v>
      </c>
      <c r="S18" s="73">
        <v>27</v>
      </c>
      <c r="T18" s="73">
        <v>28</v>
      </c>
      <c r="U18" s="73">
        <v>31</v>
      </c>
      <c r="V18" s="73">
        <v>32</v>
      </c>
      <c r="W18" s="73">
        <v>34</v>
      </c>
      <c r="X18" s="73">
        <v>38</v>
      </c>
      <c r="Y18" s="73">
        <v>43</v>
      </c>
      <c r="Z18" s="73">
        <v>47</v>
      </c>
      <c r="AA18" s="74">
        <v>48</v>
      </c>
      <c r="AB18" s="74">
        <v>48</v>
      </c>
      <c r="AC18" s="74">
        <v>49</v>
      </c>
      <c r="AD18" s="124">
        <v>49</v>
      </c>
      <c r="AE18" s="73">
        <v>50</v>
      </c>
      <c r="AF18" s="73">
        <v>52</v>
      </c>
      <c r="AG18" s="124">
        <v>50</v>
      </c>
      <c r="AH18" s="124">
        <v>49</v>
      </c>
      <c r="AI18" s="158">
        <v>50</v>
      </c>
      <c r="AJ18" s="74">
        <v>50</v>
      </c>
      <c r="AK18" s="73">
        <v>43</v>
      </c>
      <c r="AL18" s="158">
        <v>43</v>
      </c>
      <c r="AM18" s="158"/>
      <c r="AN18" s="158">
        <v>43</v>
      </c>
      <c r="AO18" s="13">
        <v>44109</v>
      </c>
      <c r="AP18" s="13">
        <v>44116</v>
      </c>
      <c r="AQ18" s="13">
        <v>44123</v>
      </c>
      <c r="AR18" s="28">
        <f t="shared" si="0"/>
        <v>9.7333333333333325</v>
      </c>
      <c r="AS18" s="86">
        <f>(AQ18+AT18)/2</f>
        <v>44165</v>
      </c>
      <c r="AT18" s="88">
        <v>44207</v>
      </c>
      <c r="AU18" s="13">
        <v>44207</v>
      </c>
      <c r="AV18" s="28">
        <f t="shared" si="1"/>
        <v>12.533333333333333</v>
      </c>
    </row>
    <row r="19" spans="1:48" ht="16" x14ac:dyDescent="0.2">
      <c r="A19" s="1">
        <f t="shared" si="5"/>
        <v>18</v>
      </c>
      <c r="B19" s="559" t="s">
        <v>162</v>
      </c>
      <c r="C19" s="343" t="s">
        <v>606</v>
      </c>
      <c r="D19" s="40">
        <v>5</v>
      </c>
      <c r="E19" s="69">
        <v>1275960</v>
      </c>
      <c r="F19" s="69" t="s">
        <v>17</v>
      </c>
      <c r="G19" s="69" t="s">
        <v>41</v>
      </c>
      <c r="H19" s="69" t="s">
        <v>551</v>
      </c>
      <c r="I19" s="70">
        <v>43831</v>
      </c>
      <c r="J19" s="71">
        <f t="shared" ca="1" si="2"/>
        <v>1.5194444444444444</v>
      </c>
      <c r="K19" s="71">
        <f t="shared" ca="1" si="3"/>
        <v>554</v>
      </c>
      <c r="L19" s="71">
        <f t="shared" ca="1" si="4"/>
        <v>18.466666666666665</v>
      </c>
      <c r="M19" s="72">
        <v>29</v>
      </c>
      <c r="N19" s="328" t="s">
        <v>14</v>
      </c>
      <c r="O19" s="73">
        <v>150</v>
      </c>
      <c r="P19" s="73">
        <v>173</v>
      </c>
      <c r="Q19" s="73">
        <v>210</v>
      </c>
      <c r="R19" s="73">
        <v>29</v>
      </c>
      <c r="S19" s="73">
        <v>30</v>
      </c>
      <c r="T19" s="73">
        <v>31</v>
      </c>
      <c r="U19" s="73">
        <v>33</v>
      </c>
      <c r="V19" s="73">
        <v>34</v>
      </c>
      <c r="W19" s="73">
        <v>34</v>
      </c>
      <c r="X19" s="73">
        <v>35</v>
      </c>
      <c r="Y19" s="73">
        <v>35</v>
      </c>
      <c r="Z19" s="73">
        <v>37</v>
      </c>
      <c r="AA19" s="74">
        <v>38</v>
      </c>
      <c r="AB19" s="74">
        <v>38</v>
      </c>
      <c r="AC19" s="74">
        <v>38</v>
      </c>
      <c r="AD19" s="124">
        <v>38</v>
      </c>
      <c r="AE19" s="73">
        <v>38</v>
      </c>
      <c r="AF19" s="73">
        <v>38</v>
      </c>
      <c r="AG19" s="124">
        <v>36</v>
      </c>
      <c r="AH19" s="124">
        <v>34</v>
      </c>
      <c r="AI19" s="158">
        <v>35</v>
      </c>
      <c r="AJ19" s="74">
        <v>36</v>
      </c>
      <c r="AK19" s="73">
        <v>54</v>
      </c>
      <c r="AL19" s="158">
        <v>54</v>
      </c>
      <c r="AM19" s="158"/>
      <c r="AN19" s="158">
        <v>49</v>
      </c>
      <c r="AO19" s="13">
        <v>44109</v>
      </c>
      <c r="AP19" s="13">
        <v>44116</v>
      </c>
      <c r="AQ19" s="13">
        <v>44123</v>
      </c>
      <c r="AR19" s="28">
        <f t="shared" si="0"/>
        <v>9.7333333333333325</v>
      </c>
      <c r="AS19" s="82">
        <f>(AQ18+AT18)/2</f>
        <v>44165</v>
      </c>
      <c r="AT19" s="88">
        <v>44207</v>
      </c>
      <c r="AU19" s="13">
        <v>44207</v>
      </c>
      <c r="AV19" s="28">
        <f t="shared" si="1"/>
        <v>12.533333333333333</v>
      </c>
    </row>
    <row r="20" spans="1:48" ht="16" x14ac:dyDescent="0.2">
      <c r="A20" s="1">
        <f t="shared" si="5"/>
        <v>19</v>
      </c>
      <c r="B20" s="559" t="s">
        <v>163</v>
      </c>
      <c r="C20" s="343" t="s">
        <v>607</v>
      </c>
      <c r="D20" s="40">
        <v>5</v>
      </c>
      <c r="E20" s="69">
        <v>1275960</v>
      </c>
      <c r="F20" s="69" t="s">
        <v>17</v>
      </c>
      <c r="G20" s="69" t="s">
        <v>41</v>
      </c>
      <c r="H20" s="69" t="s">
        <v>549</v>
      </c>
      <c r="I20" s="70">
        <v>43832</v>
      </c>
      <c r="J20" s="71">
        <f t="shared" ca="1" si="2"/>
        <v>1.5166666666666666</v>
      </c>
      <c r="K20" s="71">
        <f t="shared" ca="1" si="3"/>
        <v>553</v>
      </c>
      <c r="L20" s="71">
        <f t="shared" ca="1" si="4"/>
        <v>18.433333333333334</v>
      </c>
      <c r="M20" s="72">
        <v>27</v>
      </c>
      <c r="N20" s="328" t="s">
        <v>14</v>
      </c>
      <c r="O20" s="73">
        <v>138</v>
      </c>
      <c r="P20" s="73">
        <v>183</v>
      </c>
      <c r="Q20" s="73">
        <v>193</v>
      </c>
      <c r="R20" s="73">
        <v>29</v>
      </c>
      <c r="S20" s="73">
        <v>29</v>
      </c>
      <c r="T20" s="73">
        <v>29</v>
      </c>
      <c r="U20" s="73">
        <v>31</v>
      </c>
      <c r="V20" s="73">
        <v>31</v>
      </c>
      <c r="W20" s="73">
        <v>32</v>
      </c>
      <c r="X20" s="73">
        <v>33</v>
      </c>
      <c r="Y20" s="73">
        <v>35</v>
      </c>
      <c r="Z20" s="73">
        <v>36</v>
      </c>
      <c r="AA20" s="74">
        <v>37</v>
      </c>
      <c r="AB20" s="74">
        <v>38</v>
      </c>
      <c r="AC20" s="74">
        <v>38</v>
      </c>
      <c r="AD20" s="124">
        <v>38</v>
      </c>
      <c r="AE20" s="73">
        <v>39</v>
      </c>
      <c r="AF20" s="73">
        <v>41</v>
      </c>
      <c r="AG20" s="124">
        <v>41</v>
      </c>
      <c r="AH20" s="124">
        <v>42</v>
      </c>
      <c r="AI20" s="158">
        <v>43</v>
      </c>
      <c r="AJ20" s="74">
        <v>43</v>
      </c>
      <c r="AK20" s="73">
        <v>43</v>
      </c>
      <c r="AL20" s="158">
        <v>43</v>
      </c>
      <c r="AM20" s="158"/>
      <c r="AN20" s="158">
        <v>41</v>
      </c>
      <c r="AO20" s="13">
        <v>44109</v>
      </c>
      <c r="AP20" s="13">
        <v>44116</v>
      </c>
      <c r="AQ20" s="13">
        <v>44123</v>
      </c>
      <c r="AR20" s="28">
        <f t="shared" si="0"/>
        <v>9.6999999999999993</v>
      </c>
      <c r="AS20" s="86">
        <f>(AQ20+AT20)/2</f>
        <v>44165</v>
      </c>
      <c r="AT20" s="88">
        <v>44207</v>
      </c>
      <c r="AU20" s="13">
        <v>44207</v>
      </c>
      <c r="AV20" s="28">
        <f t="shared" si="1"/>
        <v>12.5</v>
      </c>
    </row>
    <row r="21" spans="1:48" ht="16" x14ac:dyDescent="0.2">
      <c r="A21" s="1">
        <f t="shared" si="5"/>
        <v>20</v>
      </c>
      <c r="B21" s="559" t="s">
        <v>164</v>
      </c>
      <c r="C21" s="343" t="s">
        <v>608</v>
      </c>
      <c r="D21" s="40">
        <v>5</v>
      </c>
      <c r="E21" s="69">
        <v>1275960</v>
      </c>
      <c r="F21" s="69" t="s">
        <v>17</v>
      </c>
      <c r="G21" s="69" t="s">
        <v>41</v>
      </c>
      <c r="H21" s="69" t="s">
        <v>548</v>
      </c>
      <c r="I21" s="70">
        <v>43832</v>
      </c>
      <c r="J21" s="71">
        <f t="shared" ca="1" si="2"/>
        <v>1.5166666666666666</v>
      </c>
      <c r="K21" s="71">
        <f t="shared" ca="1" si="3"/>
        <v>553</v>
      </c>
      <c r="L21" s="71">
        <f t="shared" ca="1" si="4"/>
        <v>18.433333333333334</v>
      </c>
      <c r="M21" s="72">
        <v>28</v>
      </c>
      <c r="N21" s="328" t="s">
        <v>14</v>
      </c>
      <c r="O21" s="73">
        <v>160</v>
      </c>
      <c r="P21" s="73">
        <v>189</v>
      </c>
      <c r="Q21" s="73">
        <v>202</v>
      </c>
      <c r="R21" s="73">
        <v>33</v>
      </c>
      <c r="S21" s="73">
        <v>33</v>
      </c>
      <c r="T21" s="73">
        <v>34</v>
      </c>
      <c r="U21" s="73">
        <v>40</v>
      </c>
      <c r="V21" s="73">
        <v>40</v>
      </c>
      <c r="W21" s="73">
        <v>41</v>
      </c>
      <c r="X21" s="73">
        <v>41</v>
      </c>
      <c r="Y21" s="73">
        <v>42</v>
      </c>
      <c r="Z21" s="73">
        <v>44</v>
      </c>
      <c r="AA21" s="74">
        <v>46</v>
      </c>
      <c r="AB21" s="74">
        <v>48</v>
      </c>
      <c r="AC21" s="74">
        <v>50</v>
      </c>
      <c r="AD21" s="124">
        <v>50</v>
      </c>
      <c r="AE21" s="73">
        <v>51</v>
      </c>
      <c r="AF21" s="73">
        <v>52</v>
      </c>
      <c r="AG21" s="124">
        <v>53</v>
      </c>
      <c r="AH21" s="124">
        <v>54</v>
      </c>
      <c r="AI21" s="158">
        <v>54</v>
      </c>
      <c r="AJ21" s="74">
        <v>55</v>
      </c>
      <c r="AK21" s="73">
        <v>57</v>
      </c>
      <c r="AL21" s="158">
        <v>57</v>
      </c>
      <c r="AM21" s="158"/>
      <c r="AN21" s="158">
        <v>53</v>
      </c>
      <c r="AO21" s="13">
        <v>44109</v>
      </c>
      <c r="AP21" s="13">
        <v>44116</v>
      </c>
      <c r="AQ21" s="13">
        <v>44123</v>
      </c>
      <c r="AR21" s="28">
        <f t="shared" si="0"/>
        <v>9.6999999999999993</v>
      </c>
      <c r="AS21" s="82">
        <f>(AQ20+AT20)/2</f>
        <v>44165</v>
      </c>
      <c r="AT21" s="88">
        <v>44207</v>
      </c>
      <c r="AU21" s="13">
        <v>44207</v>
      </c>
      <c r="AV21" s="28">
        <f t="shared" si="1"/>
        <v>12.5</v>
      </c>
    </row>
    <row r="22" spans="1:48" ht="16" x14ac:dyDescent="0.2">
      <c r="A22" s="1">
        <f t="shared" si="5"/>
        <v>21</v>
      </c>
      <c r="B22" s="559" t="s">
        <v>165</v>
      </c>
      <c r="C22" s="343" t="s">
        <v>609</v>
      </c>
      <c r="D22" s="40">
        <v>5</v>
      </c>
      <c r="E22" s="69">
        <v>1275960</v>
      </c>
      <c r="F22" s="69" t="s">
        <v>17</v>
      </c>
      <c r="G22" s="69" t="s">
        <v>41</v>
      </c>
      <c r="H22" s="69" t="s">
        <v>546</v>
      </c>
      <c r="I22" s="70">
        <v>43832</v>
      </c>
      <c r="J22" s="71">
        <f t="shared" ca="1" si="2"/>
        <v>1.5166666666666666</v>
      </c>
      <c r="K22" s="71">
        <f t="shared" ca="1" si="3"/>
        <v>553</v>
      </c>
      <c r="L22" s="71">
        <f t="shared" ca="1" si="4"/>
        <v>18.433333333333334</v>
      </c>
      <c r="M22" s="72">
        <v>29</v>
      </c>
      <c r="N22" s="328" t="s">
        <v>14</v>
      </c>
      <c r="O22" s="73">
        <v>141</v>
      </c>
      <c r="P22" s="73">
        <v>192</v>
      </c>
      <c r="Q22" s="73">
        <v>137</v>
      </c>
      <c r="R22" s="73">
        <v>31</v>
      </c>
      <c r="S22" s="73">
        <v>31</v>
      </c>
      <c r="T22" s="73">
        <v>31</v>
      </c>
      <c r="U22" s="73">
        <v>36</v>
      </c>
      <c r="V22" s="73">
        <v>37</v>
      </c>
      <c r="W22" s="73">
        <v>38</v>
      </c>
      <c r="X22" s="73">
        <v>39</v>
      </c>
      <c r="Y22" s="73">
        <v>40</v>
      </c>
      <c r="Z22" s="73">
        <v>44</v>
      </c>
      <c r="AA22" s="74">
        <v>45</v>
      </c>
      <c r="AB22" s="74">
        <v>47</v>
      </c>
      <c r="AC22" s="74">
        <v>47</v>
      </c>
      <c r="AD22" s="124">
        <v>47</v>
      </c>
      <c r="AE22" s="73">
        <v>47</v>
      </c>
      <c r="AF22" s="73">
        <v>48</v>
      </c>
      <c r="AG22" s="124">
        <v>48</v>
      </c>
      <c r="AH22" s="124">
        <v>49</v>
      </c>
      <c r="AI22" s="158">
        <v>50</v>
      </c>
      <c r="AJ22" s="74">
        <v>50</v>
      </c>
      <c r="AK22" s="73">
        <v>50</v>
      </c>
      <c r="AL22" s="158">
        <v>50</v>
      </c>
      <c r="AM22" s="158"/>
      <c r="AN22" s="158">
        <v>33</v>
      </c>
      <c r="AO22" s="13">
        <v>44109</v>
      </c>
      <c r="AP22" s="13">
        <v>44116</v>
      </c>
      <c r="AQ22" s="13">
        <v>44123</v>
      </c>
      <c r="AR22" s="28">
        <f t="shared" si="0"/>
        <v>9.6999999999999993</v>
      </c>
      <c r="AS22" s="86">
        <f>(AQ22+AT22)/2</f>
        <v>44165</v>
      </c>
      <c r="AT22" s="88">
        <v>44207</v>
      </c>
      <c r="AU22" s="13">
        <v>44207</v>
      </c>
      <c r="AV22" s="28">
        <f t="shared" si="1"/>
        <v>12.5</v>
      </c>
    </row>
    <row r="23" spans="1:48" ht="16" x14ac:dyDescent="0.2">
      <c r="A23" s="1">
        <f t="shared" si="5"/>
        <v>22</v>
      </c>
      <c r="B23" s="559" t="s">
        <v>166</v>
      </c>
      <c r="C23" s="343" t="s">
        <v>610</v>
      </c>
      <c r="D23" s="40">
        <v>7</v>
      </c>
      <c r="E23" s="69">
        <v>1253158</v>
      </c>
      <c r="F23" s="69" t="s">
        <v>15</v>
      </c>
      <c r="G23" s="69" t="s">
        <v>41</v>
      </c>
      <c r="H23" s="69" t="s">
        <v>592</v>
      </c>
      <c r="I23" s="70">
        <v>43832</v>
      </c>
      <c r="J23" s="71">
        <f t="shared" ca="1" si="2"/>
        <v>1.5166666666666666</v>
      </c>
      <c r="K23" s="71">
        <f t="shared" ca="1" si="3"/>
        <v>553</v>
      </c>
      <c r="L23" s="71">
        <f t="shared" ca="1" si="4"/>
        <v>18.433333333333334</v>
      </c>
      <c r="M23" s="72">
        <v>29</v>
      </c>
      <c r="N23" s="328" t="s">
        <v>14</v>
      </c>
      <c r="O23" s="73">
        <v>244</v>
      </c>
      <c r="P23" s="73">
        <v>183</v>
      </c>
      <c r="Q23" s="73">
        <v>131</v>
      </c>
      <c r="R23" s="73">
        <v>42</v>
      </c>
      <c r="S23" s="73">
        <v>43</v>
      </c>
      <c r="T23" s="73">
        <v>44</v>
      </c>
      <c r="U23" s="73">
        <v>44</v>
      </c>
      <c r="V23" s="73">
        <v>50</v>
      </c>
      <c r="W23" s="73">
        <v>50</v>
      </c>
      <c r="X23" s="73">
        <v>50</v>
      </c>
      <c r="Y23" s="73">
        <v>51</v>
      </c>
      <c r="Z23" s="73">
        <v>51</v>
      </c>
      <c r="AA23" s="74">
        <v>52</v>
      </c>
      <c r="AB23" s="74">
        <v>53</v>
      </c>
      <c r="AC23" s="74">
        <v>53</v>
      </c>
      <c r="AD23" s="124">
        <v>53</v>
      </c>
      <c r="AE23" s="73">
        <v>53</v>
      </c>
      <c r="AF23" s="73">
        <v>53</v>
      </c>
      <c r="AG23" s="124">
        <v>53</v>
      </c>
      <c r="AH23" s="124">
        <v>53</v>
      </c>
      <c r="AI23" s="158">
        <v>53</v>
      </c>
      <c r="AJ23" s="74">
        <v>53</v>
      </c>
      <c r="AK23" s="73">
        <v>55</v>
      </c>
      <c r="AL23" s="158">
        <v>55</v>
      </c>
      <c r="AM23" s="158"/>
      <c r="AN23" s="158">
        <v>53</v>
      </c>
      <c r="AO23" s="13">
        <v>44109</v>
      </c>
      <c r="AP23" s="13">
        <v>44116</v>
      </c>
      <c r="AQ23" s="13">
        <v>44123</v>
      </c>
      <c r="AR23" s="28">
        <f t="shared" si="0"/>
        <v>9.6999999999999993</v>
      </c>
      <c r="AS23" s="82">
        <f>(AQ22+AT22)/2</f>
        <v>44165</v>
      </c>
      <c r="AT23" s="88">
        <v>44207</v>
      </c>
      <c r="AU23" s="13">
        <v>44207</v>
      </c>
      <c r="AV23" s="28">
        <f t="shared" si="1"/>
        <v>12.5</v>
      </c>
    </row>
    <row r="24" spans="1:48" ht="16" x14ac:dyDescent="0.2">
      <c r="A24" s="1">
        <f t="shared" si="5"/>
        <v>23</v>
      </c>
      <c r="B24" s="559" t="s">
        <v>167</v>
      </c>
      <c r="C24" s="343" t="s">
        <v>611</v>
      </c>
      <c r="D24" s="40">
        <v>7</v>
      </c>
      <c r="E24" s="69">
        <v>1253158</v>
      </c>
      <c r="F24" s="69" t="s">
        <v>15</v>
      </c>
      <c r="G24" s="69" t="s">
        <v>41</v>
      </c>
      <c r="H24" s="69" t="s">
        <v>551</v>
      </c>
      <c r="I24" s="70">
        <v>43832</v>
      </c>
      <c r="J24" s="71">
        <f t="shared" ca="1" si="2"/>
        <v>1.5166666666666666</v>
      </c>
      <c r="K24" s="71">
        <f t="shared" ca="1" si="3"/>
        <v>553</v>
      </c>
      <c r="L24" s="71">
        <f t="shared" ca="1" si="4"/>
        <v>18.433333333333334</v>
      </c>
      <c r="M24" s="72">
        <v>37</v>
      </c>
      <c r="N24" s="328" t="s">
        <v>14</v>
      </c>
      <c r="O24" s="73">
        <v>195</v>
      </c>
      <c r="P24" s="73">
        <v>214</v>
      </c>
      <c r="Q24" s="73">
        <v>143</v>
      </c>
      <c r="R24" s="73">
        <v>33</v>
      </c>
      <c r="S24" s="73">
        <v>34</v>
      </c>
      <c r="T24" s="73">
        <v>35</v>
      </c>
      <c r="U24" s="73">
        <v>40</v>
      </c>
      <c r="V24" s="73">
        <v>40</v>
      </c>
      <c r="W24" s="73">
        <v>41</v>
      </c>
      <c r="X24" s="73">
        <v>42</v>
      </c>
      <c r="Y24" s="73">
        <v>43</v>
      </c>
      <c r="Z24" s="73">
        <v>46</v>
      </c>
      <c r="AA24" s="74">
        <v>47</v>
      </c>
      <c r="AB24" s="74">
        <v>47</v>
      </c>
      <c r="AC24" s="74">
        <v>48</v>
      </c>
      <c r="AD24" s="124">
        <v>48</v>
      </c>
      <c r="AE24" s="73">
        <v>47</v>
      </c>
      <c r="AF24" s="73">
        <v>47</v>
      </c>
      <c r="AG24" s="124">
        <v>48</v>
      </c>
      <c r="AH24" s="124">
        <v>50</v>
      </c>
      <c r="AI24" s="158">
        <v>50</v>
      </c>
      <c r="AJ24" s="74">
        <v>50</v>
      </c>
      <c r="AK24" s="73">
        <v>52</v>
      </c>
      <c r="AL24" s="158">
        <v>52</v>
      </c>
      <c r="AM24" s="158"/>
      <c r="AN24" s="158">
        <v>46</v>
      </c>
      <c r="AO24" s="13">
        <v>44109</v>
      </c>
      <c r="AP24" s="13">
        <v>44116</v>
      </c>
      <c r="AQ24" s="13">
        <v>44123</v>
      </c>
      <c r="AR24" s="28">
        <f t="shared" si="0"/>
        <v>9.6999999999999993</v>
      </c>
      <c r="AS24" s="86">
        <f>(AQ24+AT24)/2</f>
        <v>44165</v>
      </c>
      <c r="AT24" s="88">
        <v>44207</v>
      </c>
      <c r="AU24" s="13">
        <v>44207</v>
      </c>
      <c r="AV24" s="28">
        <f t="shared" si="1"/>
        <v>12.5</v>
      </c>
    </row>
    <row r="25" spans="1:48" ht="16" x14ac:dyDescent="0.2">
      <c r="A25" s="1">
        <f t="shared" si="5"/>
        <v>24</v>
      </c>
      <c r="B25" s="559" t="s">
        <v>168</v>
      </c>
      <c r="C25" s="343" t="s">
        <v>612</v>
      </c>
      <c r="D25" s="40">
        <v>9</v>
      </c>
      <c r="E25" s="69">
        <v>1253152</v>
      </c>
      <c r="F25" s="69" t="s">
        <v>15</v>
      </c>
      <c r="G25" s="69" t="s">
        <v>41</v>
      </c>
      <c r="H25" s="69" t="s">
        <v>592</v>
      </c>
      <c r="I25" s="70">
        <v>43831</v>
      </c>
      <c r="J25" s="71">
        <f t="shared" ca="1" si="2"/>
        <v>1.5194444444444444</v>
      </c>
      <c r="K25" s="71">
        <f t="shared" ca="1" si="3"/>
        <v>554</v>
      </c>
      <c r="L25" s="71">
        <f t="shared" ca="1" si="4"/>
        <v>18.466666666666665</v>
      </c>
      <c r="M25" s="72">
        <v>28</v>
      </c>
      <c r="N25" s="328" t="s">
        <v>14</v>
      </c>
      <c r="O25" s="73">
        <v>134</v>
      </c>
      <c r="P25" s="73">
        <v>247</v>
      </c>
      <c r="Q25" s="73">
        <v>149</v>
      </c>
      <c r="R25" s="73">
        <v>35</v>
      </c>
      <c r="S25" s="73">
        <v>33</v>
      </c>
      <c r="T25" s="73">
        <v>33</v>
      </c>
      <c r="U25" s="73">
        <v>38</v>
      </c>
      <c r="V25" s="73">
        <v>38</v>
      </c>
      <c r="W25" s="73">
        <v>41</v>
      </c>
      <c r="X25" s="73">
        <v>43</v>
      </c>
      <c r="Y25" s="73">
        <v>44</v>
      </c>
      <c r="Z25" s="73">
        <v>47</v>
      </c>
      <c r="AA25" s="74">
        <v>47</v>
      </c>
      <c r="AB25" s="74">
        <v>47</v>
      </c>
      <c r="AC25" s="74">
        <v>47</v>
      </c>
      <c r="AD25" s="124">
        <v>47</v>
      </c>
      <c r="AE25" s="73">
        <v>48</v>
      </c>
      <c r="AF25" s="73">
        <v>48</v>
      </c>
      <c r="AG25" s="124">
        <v>47</v>
      </c>
      <c r="AH25" s="124">
        <v>47</v>
      </c>
      <c r="AI25" s="158">
        <v>47</v>
      </c>
      <c r="AJ25" s="74">
        <v>48</v>
      </c>
      <c r="AK25" s="73">
        <v>46</v>
      </c>
      <c r="AL25" s="158">
        <v>46</v>
      </c>
      <c r="AM25" s="158"/>
      <c r="AN25" s="158">
        <v>48</v>
      </c>
      <c r="AO25" s="13">
        <v>44109</v>
      </c>
      <c r="AP25" s="13">
        <v>44116</v>
      </c>
      <c r="AQ25" s="13">
        <v>44123</v>
      </c>
      <c r="AR25" s="28">
        <f t="shared" si="0"/>
        <v>9.7333333333333325</v>
      </c>
      <c r="AS25" s="82">
        <f>(AQ24+AT24)/2</f>
        <v>44165</v>
      </c>
      <c r="AT25" s="88">
        <v>44207</v>
      </c>
      <c r="AU25" s="13">
        <v>44207</v>
      </c>
      <c r="AV25" s="28">
        <f t="shared" si="1"/>
        <v>12.533333333333333</v>
      </c>
    </row>
    <row r="26" spans="1:48" ht="16" x14ac:dyDescent="0.2">
      <c r="A26" s="1">
        <f t="shared" si="5"/>
        <v>25</v>
      </c>
      <c r="B26" s="559" t="s">
        <v>169</v>
      </c>
      <c r="C26" s="343" t="s">
        <v>613</v>
      </c>
      <c r="D26" s="40">
        <v>9</v>
      </c>
      <c r="E26" s="69">
        <v>1253152</v>
      </c>
      <c r="F26" s="69" t="s">
        <v>15</v>
      </c>
      <c r="G26" s="69" t="s">
        <v>41</v>
      </c>
      <c r="H26" s="69" t="s">
        <v>551</v>
      </c>
      <c r="I26" s="70">
        <v>43831</v>
      </c>
      <c r="J26" s="71">
        <f t="shared" ca="1" si="2"/>
        <v>1.5194444444444444</v>
      </c>
      <c r="K26" s="71">
        <f t="shared" ca="1" si="3"/>
        <v>554</v>
      </c>
      <c r="L26" s="71">
        <f t="shared" ca="1" si="4"/>
        <v>18.466666666666665</v>
      </c>
      <c r="M26" s="72">
        <v>27</v>
      </c>
      <c r="N26" s="328" t="s">
        <v>14</v>
      </c>
      <c r="O26" s="73">
        <v>160</v>
      </c>
      <c r="P26" s="73">
        <v>198</v>
      </c>
      <c r="Q26" s="73">
        <v>223</v>
      </c>
      <c r="R26" s="73">
        <v>32</v>
      </c>
      <c r="S26" s="73">
        <v>31</v>
      </c>
      <c r="T26" s="73">
        <v>32</v>
      </c>
      <c r="U26" s="73">
        <v>37</v>
      </c>
      <c r="V26" s="73">
        <v>37</v>
      </c>
      <c r="W26" s="73">
        <v>37</v>
      </c>
      <c r="X26" s="73">
        <v>37</v>
      </c>
      <c r="Y26" s="73">
        <v>38</v>
      </c>
      <c r="Z26" s="73">
        <v>38</v>
      </c>
      <c r="AA26" s="74">
        <v>39</v>
      </c>
      <c r="AB26" s="74">
        <v>38</v>
      </c>
      <c r="AC26" s="74">
        <v>39</v>
      </c>
      <c r="AD26" s="124">
        <v>39</v>
      </c>
      <c r="AE26" s="73">
        <v>41</v>
      </c>
      <c r="AF26" s="73">
        <v>42</v>
      </c>
      <c r="AG26" s="124">
        <v>43</v>
      </c>
      <c r="AH26" s="124">
        <v>43</v>
      </c>
      <c r="AI26" s="158">
        <v>43</v>
      </c>
      <c r="AJ26" s="74">
        <v>43</v>
      </c>
      <c r="AK26" s="73">
        <v>48</v>
      </c>
      <c r="AL26" s="158">
        <v>47</v>
      </c>
      <c r="AM26" s="158"/>
      <c r="AN26" s="158">
        <v>47</v>
      </c>
      <c r="AO26" s="13">
        <v>44109</v>
      </c>
      <c r="AP26" s="13">
        <v>44116</v>
      </c>
      <c r="AQ26" s="13">
        <v>44123</v>
      </c>
      <c r="AR26" s="28">
        <f t="shared" si="0"/>
        <v>9.7333333333333325</v>
      </c>
      <c r="AS26" s="82">
        <f>(AQ25+AT25)/2</f>
        <v>44165</v>
      </c>
      <c r="AT26" s="88">
        <v>44207</v>
      </c>
      <c r="AU26" s="13">
        <v>44207</v>
      </c>
      <c r="AV26" s="28">
        <f t="shared" si="1"/>
        <v>12.533333333333333</v>
      </c>
    </row>
    <row r="27" spans="1:48" ht="16" x14ac:dyDescent="0.2">
      <c r="A27" s="1">
        <f t="shared" si="5"/>
        <v>26</v>
      </c>
      <c r="B27" s="559" t="s">
        <v>170</v>
      </c>
      <c r="C27" s="343" t="s">
        <v>614</v>
      </c>
      <c r="D27" s="40">
        <v>9</v>
      </c>
      <c r="E27" s="69">
        <v>1253152</v>
      </c>
      <c r="F27" s="69" t="s">
        <v>15</v>
      </c>
      <c r="G27" s="69" t="s">
        <v>41</v>
      </c>
      <c r="H27" s="69" t="s">
        <v>549</v>
      </c>
      <c r="I27" s="70">
        <v>43831</v>
      </c>
      <c r="J27" s="71">
        <f t="shared" ca="1" si="2"/>
        <v>1.5194444444444444</v>
      </c>
      <c r="K27" s="71">
        <f t="shared" ca="1" si="3"/>
        <v>554</v>
      </c>
      <c r="L27" s="71">
        <f t="shared" ca="1" si="4"/>
        <v>18.466666666666665</v>
      </c>
      <c r="M27" s="72">
        <v>26</v>
      </c>
      <c r="N27" s="328" t="s">
        <v>14</v>
      </c>
      <c r="O27" s="73">
        <v>187</v>
      </c>
      <c r="P27" s="73">
        <v>267</v>
      </c>
      <c r="Q27" s="73">
        <v>180</v>
      </c>
      <c r="R27" s="73">
        <v>38</v>
      </c>
      <c r="S27" s="73">
        <v>38</v>
      </c>
      <c r="T27" s="73">
        <v>38</v>
      </c>
      <c r="U27" s="73">
        <v>47</v>
      </c>
      <c r="V27" s="73">
        <v>50</v>
      </c>
      <c r="W27" s="73">
        <v>50</v>
      </c>
      <c r="X27" s="73">
        <v>50</v>
      </c>
      <c r="Y27" s="73">
        <v>50</v>
      </c>
      <c r="Z27" s="73">
        <v>50</v>
      </c>
      <c r="AA27" s="74">
        <v>51</v>
      </c>
      <c r="AB27" s="74">
        <v>52</v>
      </c>
      <c r="AC27" s="74">
        <v>53</v>
      </c>
      <c r="AD27" s="124">
        <v>53</v>
      </c>
      <c r="AE27" s="73">
        <v>53</v>
      </c>
      <c r="AF27" s="73">
        <v>54</v>
      </c>
      <c r="AG27" s="124">
        <v>54</v>
      </c>
      <c r="AH27" s="124">
        <v>53</v>
      </c>
      <c r="AI27" s="158">
        <v>54</v>
      </c>
      <c r="AJ27" s="74">
        <v>56</v>
      </c>
      <c r="AK27" s="73">
        <v>57</v>
      </c>
      <c r="AL27" s="158">
        <v>57</v>
      </c>
      <c r="AM27" s="158"/>
      <c r="AN27" s="158">
        <v>57</v>
      </c>
      <c r="AO27" s="13">
        <v>44109</v>
      </c>
      <c r="AP27" s="13">
        <v>44116</v>
      </c>
      <c r="AQ27" s="13">
        <v>44123</v>
      </c>
      <c r="AR27" s="28">
        <f t="shared" si="0"/>
        <v>9.7333333333333325</v>
      </c>
      <c r="AS27" s="86">
        <f>(AQ27+AT27)/2</f>
        <v>44165</v>
      </c>
      <c r="AT27" s="88">
        <v>44207</v>
      </c>
      <c r="AU27" s="13">
        <v>44207</v>
      </c>
      <c r="AV27" s="28">
        <f t="shared" si="1"/>
        <v>12.533333333333333</v>
      </c>
    </row>
    <row r="28" spans="1:48" ht="16" x14ac:dyDescent="0.2">
      <c r="A28" s="1">
        <f>A27+1</f>
        <v>27</v>
      </c>
      <c r="B28" s="559" t="s">
        <v>171</v>
      </c>
      <c r="C28" s="343" t="s">
        <v>615</v>
      </c>
      <c r="D28" s="40">
        <v>9</v>
      </c>
      <c r="E28" s="75">
        <v>1253152</v>
      </c>
      <c r="F28" s="75" t="s">
        <v>15</v>
      </c>
      <c r="G28" s="75" t="s">
        <v>41</v>
      </c>
      <c r="H28" s="75" t="s">
        <v>548</v>
      </c>
      <c r="I28" s="76">
        <v>43831</v>
      </c>
      <c r="J28" s="77">
        <f t="shared" ca="1" si="2"/>
        <v>1.5194444444444444</v>
      </c>
      <c r="K28" s="77">
        <f t="shared" ca="1" si="3"/>
        <v>554</v>
      </c>
      <c r="L28" s="77">
        <f t="shared" ca="1" si="4"/>
        <v>18.466666666666665</v>
      </c>
      <c r="M28" s="72">
        <v>28</v>
      </c>
      <c r="N28" s="328" t="s">
        <v>14</v>
      </c>
      <c r="O28" s="73">
        <v>145</v>
      </c>
      <c r="P28" s="73">
        <v>190</v>
      </c>
      <c r="Q28" s="73">
        <v>238</v>
      </c>
      <c r="R28" s="73">
        <v>31</v>
      </c>
      <c r="S28" s="78">
        <v>30</v>
      </c>
      <c r="T28" s="78">
        <v>31</v>
      </c>
      <c r="U28" s="78">
        <v>36</v>
      </c>
      <c r="V28" s="78">
        <v>36</v>
      </c>
      <c r="W28" s="78">
        <v>36</v>
      </c>
      <c r="X28" s="78">
        <v>36</v>
      </c>
      <c r="Y28" s="78">
        <v>37</v>
      </c>
      <c r="Z28" s="78">
        <v>37</v>
      </c>
      <c r="AA28" s="74">
        <v>36</v>
      </c>
      <c r="AB28" s="74">
        <v>35</v>
      </c>
      <c r="AC28" s="74">
        <v>35</v>
      </c>
      <c r="AD28" s="124">
        <v>35</v>
      </c>
      <c r="AE28" s="73">
        <v>37</v>
      </c>
      <c r="AF28" s="73">
        <v>38</v>
      </c>
      <c r="AG28" s="124">
        <v>39</v>
      </c>
      <c r="AH28" s="124">
        <v>39</v>
      </c>
      <c r="AI28" s="158">
        <v>44</v>
      </c>
      <c r="AJ28" s="173">
        <v>47</v>
      </c>
      <c r="AK28" s="171">
        <v>51</v>
      </c>
      <c r="AL28" s="158">
        <v>51</v>
      </c>
      <c r="AM28" s="158"/>
      <c r="AN28" s="158">
        <v>46</v>
      </c>
      <c r="AO28" s="13">
        <v>44109</v>
      </c>
      <c r="AP28" s="13">
        <v>44116</v>
      </c>
      <c r="AQ28" s="13">
        <v>44123</v>
      </c>
      <c r="AR28" s="28">
        <f t="shared" si="0"/>
        <v>9.7333333333333325</v>
      </c>
      <c r="AS28" s="82">
        <f>(AQ27+AT27)/2</f>
        <v>44165</v>
      </c>
      <c r="AT28" s="88">
        <v>44207</v>
      </c>
      <c r="AU28" s="13">
        <v>44207</v>
      </c>
      <c r="AV28" s="28">
        <f t="shared" si="1"/>
        <v>12.533333333333333</v>
      </c>
    </row>
    <row r="29" spans="1:48" ht="16" x14ac:dyDescent="0.2">
      <c r="A29" s="177" t="s">
        <v>39</v>
      </c>
      <c r="O29" s="106"/>
      <c r="P29" s="106"/>
    </row>
    <row r="30" spans="1:48" ht="16" x14ac:dyDescent="0.2">
      <c r="A30" s="178" t="s">
        <v>22</v>
      </c>
      <c r="O30" s="106"/>
    </row>
    <row r="31" spans="1:48" x14ac:dyDescent="0.2">
      <c r="A31" s="179" t="s">
        <v>37</v>
      </c>
    </row>
    <row r="32" spans="1:48" ht="16" x14ac:dyDescent="0.2">
      <c r="A32" s="180" t="s">
        <v>40</v>
      </c>
    </row>
    <row r="33" spans="1:48" ht="16" x14ac:dyDescent="0.2">
      <c r="A33" s="181" t="s">
        <v>41</v>
      </c>
      <c r="O33" s="6"/>
      <c r="P33" s="6"/>
    </row>
    <row r="34" spans="1:48" ht="16" x14ac:dyDescent="0.2">
      <c r="A34" s="203" t="s">
        <v>42</v>
      </c>
      <c r="P34" s="6"/>
      <c r="AJ34" t="s">
        <v>616</v>
      </c>
    </row>
    <row r="35" spans="1:48" x14ac:dyDescent="0.2">
      <c r="A35" s="202" t="s">
        <v>43</v>
      </c>
    </row>
    <row r="36" spans="1:48" ht="17" x14ac:dyDescent="0.2">
      <c r="A36" s="399" t="s">
        <v>44</v>
      </c>
    </row>
    <row r="37" spans="1:48" ht="17" x14ac:dyDescent="0.2">
      <c r="A37" s="418" t="s">
        <v>45</v>
      </c>
    </row>
    <row r="38" spans="1:48" x14ac:dyDescent="0.2">
      <c r="A38" s="345"/>
      <c r="B38" s="345"/>
      <c r="C38" s="345"/>
      <c r="D38" s="345"/>
      <c r="E38" s="345"/>
      <c r="F38" s="345"/>
      <c r="G38" s="345"/>
      <c r="H38" s="345"/>
      <c r="I38" s="345"/>
      <c r="J38" s="345"/>
      <c r="K38" s="345"/>
      <c r="L38" s="345"/>
      <c r="M38" s="345"/>
      <c r="N38" s="345"/>
      <c r="O38" s="345"/>
      <c r="P38" s="345"/>
      <c r="Q38" s="345"/>
      <c r="R38" s="345"/>
      <c r="S38" s="345"/>
      <c r="T38" s="345"/>
      <c r="U38" s="345"/>
      <c r="V38" s="345"/>
      <c r="W38" s="345"/>
      <c r="X38" s="345"/>
      <c r="Y38" s="345"/>
      <c r="Z38" s="345"/>
      <c r="AA38" s="345"/>
      <c r="AB38" s="345"/>
      <c r="AC38" s="345"/>
      <c r="AD38" s="345"/>
      <c r="AE38" s="345"/>
      <c r="AF38" s="345"/>
      <c r="AG38" s="345"/>
      <c r="AH38" s="345"/>
      <c r="AI38" s="345"/>
      <c r="AJ38" s="345"/>
      <c r="AK38" s="345"/>
      <c r="AL38" s="345"/>
      <c r="AM38" s="345"/>
      <c r="AN38" s="345"/>
      <c r="AO38" s="345"/>
      <c r="AP38" s="345"/>
      <c r="AQ38" s="345"/>
      <c r="AR38" s="345"/>
      <c r="AS38" s="345"/>
      <c r="AT38" s="345"/>
      <c r="AU38" s="345"/>
      <c r="AV38" s="345"/>
    </row>
    <row r="39" spans="1:48" x14ac:dyDescent="0.2">
      <c r="A39" s="493" t="s">
        <v>617</v>
      </c>
    </row>
    <row r="40" spans="1:48" x14ac:dyDescent="0.2">
      <c r="A40" s="1" t="s">
        <v>618</v>
      </c>
      <c r="B40" s="40" t="s">
        <v>535</v>
      </c>
      <c r="C40" s="342" t="s">
        <v>535</v>
      </c>
      <c r="D40" s="40" t="s">
        <v>553</v>
      </c>
      <c r="E40" s="90" t="s">
        <v>537</v>
      </c>
      <c r="F40" s="90" t="s">
        <v>52</v>
      </c>
      <c r="G40" s="90" t="s">
        <v>53</v>
      </c>
      <c r="H40" s="90" t="s">
        <v>538</v>
      </c>
      <c r="I40" s="90" t="s">
        <v>54</v>
      </c>
      <c r="J40" s="90" t="s">
        <v>539</v>
      </c>
      <c r="K40" s="90" t="s">
        <v>540</v>
      </c>
      <c r="L40" s="90" t="s">
        <v>541</v>
      </c>
      <c r="M40" s="1" t="s">
        <v>619</v>
      </c>
      <c r="N40" s="519" t="s">
        <v>620</v>
      </c>
      <c r="O40" s="481" t="s">
        <v>621</v>
      </c>
      <c r="P40" s="1" t="s">
        <v>622</v>
      </c>
      <c r="Q40" s="481" t="s">
        <v>623</v>
      </c>
      <c r="R40" s="1" t="s">
        <v>624</v>
      </c>
      <c r="S40" s="481" t="s">
        <v>625</v>
      </c>
      <c r="T40" s="1" t="s">
        <v>626</v>
      </c>
      <c r="U40" s="481" t="s">
        <v>627</v>
      </c>
      <c r="V40" s="1" t="s">
        <v>628</v>
      </c>
      <c r="W40" s="481" t="s">
        <v>629</v>
      </c>
      <c r="X40" s="1" t="s">
        <v>630</v>
      </c>
      <c r="Y40" s="481" t="s">
        <v>631</v>
      </c>
      <c r="Z40" s="1" t="s">
        <v>632</v>
      </c>
      <c r="AA40" s="481" t="s">
        <v>633</v>
      </c>
      <c r="AB40" s="1" t="s">
        <v>634</v>
      </c>
      <c r="AC40" s="481" t="s">
        <v>635</v>
      </c>
      <c r="AD40" s="1" t="s">
        <v>636</v>
      </c>
      <c r="AE40" s="481" t="s">
        <v>637</v>
      </c>
      <c r="AF40" s="1" t="s">
        <v>638</v>
      </c>
      <c r="AG40" s="481" t="s">
        <v>639</v>
      </c>
      <c r="AH40" s="1" t="s">
        <v>640</v>
      </c>
      <c r="AI40" s="1" t="s">
        <v>641</v>
      </c>
      <c r="AJ40" s="1" t="s">
        <v>642</v>
      </c>
      <c r="AK40" s="520" t="s">
        <v>643</v>
      </c>
      <c r="AL40" s="521" t="s">
        <v>644</v>
      </c>
      <c r="AM40" s="520" t="s">
        <v>645</v>
      </c>
      <c r="AN40" s="521" t="s">
        <v>646</v>
      </c>
      <c r="AO40" s="522" t="s">
        <v>647</v>
      </c>
      <c r="AP40" s="1" t="s">
        <v>648</v>
      </c>
      <c r="AQ40" s="481" t="s">
        <v>649</v>
      </c>
      <c r="AR40" s="1" t="s">
        <v>650</v>
      </c>
      <c r="AS40" s="481" t="s">
        <v>649</v>
      </c>
    </row>
    <row r="41" spans="1:48" ht="16" x14ac:dyDescent="0.2">
      <c r="A41" s="1">
        <v>1</v>
      </c>
      <c r="B41" s="559" t="s">
        <v>145</v>
      </c>
      <c r="C41" s="343" t="s">
        <v>587</v>
      </c>
      <c r="D41" s="1">
        <v>1</v>
      </c>
      <c r="E41" s="523">
        <v>1275958</v>
      </c>
      <c r="F41" s="21" t="s">
        <v>15</v>
      </c>
      <c r="G41" s="21" t="s">
        <v>22</v>
      </c>
      <c r="H41" s="21" t="s">
        <v>549</v>
      </c>
      <c r="I41" s="22">
        <v>43845</v>
      </c>
      <c r="J41" s="23">
        <f ca="1">YEARFRAC(I41,TODAY())</f>
        <v>1.4805555555555556</v>
      </c>
      <c r="K41" s="23">
        <f ca="1">_xlfn.DAYS(TODAY(),I41)</f>
        <v>540</v>
      </c>
      <c r="L41" s="524">
        <f ca="1">K41/30</f>
        <v>18</v>
      </c>
      <c r="M41" s="525">
        <v>400</v>
      </c>
      <c r="N41" s="526">
        <v>85</v>
      </c>
      <c r="O41" s="31">
        <v>38</v>
      </c>
      <c r="P41" s="31">
        <v>338</v>
      </c>
      <c r="Q41" s="31">
        <v>110</v>
      </c>
      <c r="R41" s="31">
        <v>391</v>
      </c>
      <c r="S41" s="31">
        <v>0</v>
      </c>
      <c r="T41" s="31">
        <v>347</v>
      </c>
      <c r="U41" s="31">
        <v>0</v>
      </c>
      <c r="V41" s="31">
        <v>309</v>
      </c>
      <c r="W41" s="527">
        <v>92</v>
      </c>
      <c r="X41" s="527">
        <v>309</v>
      </c>
      <c r="Y41" s="31">
        <v>0</v>
      </c>
      <c r="Z41" s="31">
        <v>274</v>
      </c>
      <c r="AA41" s="31">
        <v>0</v>
      </c>
      <c r="AB41" s="31">
        <v>250</v>
      </c>
      <c r="AC41" s="31">
        <v>150</v>
      </c>
      <c r="AD41" s="31">
        <v>323</v>
      </c>
      <c r="AE41" s="31">
        <v>0</v>
      </c>
      <c r="AF41" s="31">
        <v>274</v>
      </c>
      <c r="AG41" s="527">
        <v>126</v>
      </c>
      <c r="AH41" s="527">
        <v>318</v>
      </c>
      <c r="AI41" s="527">
        <v>299</v>
      </c>
      <c r="AJ41" s="527">
        <v>273</v>
      </c>
      <c r="AK41" s="31">
        <f>400-AJ41</f>
        <v>127</v>
      </c>
      <c r="AL41" s="31">
        <v>352</v>
      </c>
      <c r="AM41" s="31">
        <v>48</v>
      </c>
      <c r="AN41" s="31">
        <v>326</v>
      </c>
      <c r="AO41" s="527">
        <v>74</v>
      </c>
      <c r="AP41" s="31">
        <v>320</v>
      </c>
      <c r="AQ41" s="31">
        <v>80</v>
      </c>
      <c r="AR41" s="526">
        <v>318</v>
      </c>
      <c r="AS41" s="31">
        <v>82</v>
      </c>
    </row>
    <row r="42" spans="1:48" ht="16" x14ac:dyDescent="0.2">
      <c r="A42" s="1">
        <f>A41+1</f>
        <v>2</v>
      </c>
      <c r="B42" s="559" t="s">
        <v>146</v>
      </c>
      <c r="C42" s="343" t="s">
        <v>588</v>
      </c>
      <c r="D42" s="1">
        <v>1</v>
      </c>
      <c r="E42" s="142">
        <v>1275958</v>
      </c>
      <c r="F42" s="29" t="s">
        <v>15</v>
      </c>
      <c r="G42" s="29" t="s">
        <v>22</v>
      </c>
      <c r="H42" s="29" t="s">
        <v>546</v>
      </c>
      <c r="I42" s="30">
        <v>43845</v>
      </c>
      <c r="J42" s="25">
        <f t="shared" ref="J42:J67" ca="1" si="6">YEARFRAC(I42,TODAY())</f>
        <v>1.4805555555555556</v>
      </c>
      <c r="K42" s="25">
        <f t="shared" ref="K42:K67" ca="1" si="7">_xlfn.DAYS(TODAY(),I42)</f>
        <v>540</v>
      </c>
      <c r="L42" s="25">
        <f t="shared" ref="L42:L67" ca="1" si="8">K42/30</f>
        <v>18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528"/>
      <c r="Y42" s="528"/>
      <c r="Z42" s="528"/>
      <c r="AA42" s="528"/>
      <c r="AB42" s="528"/>
      <c r="AC42" s="528"/>
      <c r="AD42" s="528"/>
      <c r="AE42" s="528"/>
      <c r="AF42" s="528"/>
      <c r="AG42" s="528"/>
      <c r="AH42" s="528"/>
      <c r="AI42" s="528"/>
      <c r="AJ42" s="528"/>
      <c r="AK42" s="528"/>
      <c r="AL42" s="528" t="s">
        <v>651</v>
      </c>
      <c r="AM42" s="528"/>
      <c r="AN42" s="528"/>
      <c r="AO42" s="528"/>
      <c r="AP42" s="528"/>
      <c r="AQ42" s="528"/>
      <c r="AR42" s="528"/>
      <c r="AS42" s="528"/>
      <c r="AT42" t="s">
        <v>651</v>
      </c>
    </row>
    <row r="43" spans="1:48" ht="16" x14ac:dyDescent="0.2">
      <c r="A43" s="1">
        <f t="shared" ref="A43:A67" si="9">A42+1</f>
        <v>3</v>
      </c>
      <c r="B43" s="559" t="s">
        <v>147</v>
      </c>
      <c r="C43" s="343" t="s">
        <v>589</v>
      </c>
      <c r="D43" s="1">
        <v>1</v>
      </c>
      <c r="E43" s="142">
        <v>1275958</v>
      </c>
      <c r="F43" s="29" t="s">
        <v>15</v>
      </c>
      <c r="G43" s="29" t="s">
        <v>22</v>
      </c>
      <c r="H43" s="29" t="s">
        <v>548</v>
      </c>
      <c r="I43" s="30">
        <v>43851</v>
      </c>
      <c r="J43" s="25">
        <f t="shared" ca="1" si="6"/>
        <v>1.4638888888888888</v>
      </c>
      <c r="K43" s="25">
        <f t="shared" ca="1" si="7"/>
        <v>534</v>
      </c>
      <c r="L43" s="25">
        <f t="shared" ca="1" si="8"/>
        <v>17.8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528"/>
      <c r="Y43" s="528"/>
      <c r="Z43" s="528"/>
      <c r="AA43" s="528"/>
      <c r="AB43" s="528"/>
      <c r="AC43" s="528"/>
      <c r="AD43" s="528"/>
      <c r="AE43" s="528"/>
      <c r="AF43" s="528"/>
      <c r="AG43" s="528"/>
      <c r="AH43" s="528"/>
      <c r="AI43" s="528"/>
      <c r="AJ43" s="528"/>
      <c r="AK43" s="528"/>
      <c r="AL43" s="528"/>
      <c r="AM43" s="528"/>
      <c r="AN43" s="528"/>
      <c r="AO43" s="528"/>
      <c r="AP43" s="528"/>
      <c r="AQ43" s="528"/>
      <c r="AR43" s="528"/>
      <c r="AS43" s="528"/>
    </row>
    <row r="44" spans="1:48" ht="16" x14ac:dyDescent="0.2">
      <c r="A44" s="1">
        <f t="shared" si="9"/>
        <v>4</v>
      </c>
      <c r="B44" s="559" t="s">
        <v>148</v>
      </c>
      <c r="C44" s="343" t="s">
        <v>590</v>
      </c>
      <c r="D44" s="1">
        <v>2</v>
      </c>
      <c r="E44" s="142">
        <v>1275948</v>
      </c>
      <c r="F44" s="29" t="s">
        <v>17</v>
      </c>
      <c r="G44" s="29" t="s">
        <v>22</v>
      </c>
      <c r="H44" s="29" t="s">
        <v>551</v>
      </c>
      <c r="I44" s="30">
        <v>43845</v>
      </c>
      <c r="J44" s="25">
        <f t="shared" ca="1" si="6"/>
        <v>1.4805555555555556</v>
      </c>
      <c r="K44" s="25">
        <f t="shared" ca="1" si="7"/>
        <v>540</v>
      </c>
      <c r="L44" s="529">
        <f t="shared" ca="1" si="8"/>
        <v>18</v>
      </c>
      <c r="M44" s="525">
        <v>400</v>
      </c>
      <c r="N44" s="526">
        <v>184</v>
      </c>
      <c r="O44" s="31">
        <v>21</v>
      </c>
      <c r="P44" s="31">
        <v>285</v>
      </c>
      <c r="Q44" s="31">
        <v>130</v>
      </c>
      <c r="R44" s="31">
        <v>398</v>
      </c>
      <c r="S44" s="31">
        <v>0</v>
      </c>
      <c r="T44" s="31">
        <v>355</v>
      </c>
      <c r="U44" s="31">
        <v>0</v>
      </c>
      <c r="V44" s="31">
        <v>307</v>
      </c>
      <c r="W44" s="527">
        <v>93</v>
      </c>
      <c r="X44" s="527">
        <v>301</v>
      </c>
      <c r="Y44" s="31">
        <v>0</v>
      </c>
      <c r="Z44" s="31">
        <v>273</v>
      </c>
      <c r="AA44" s="31">
        <v>0</v>
      </c>
      <c r="AB44" s="31">
        <v>241</v>
      </c>
      <c r="AC44" s="31">
        <v>159</v>
      </c>
      <c r="AD44" s="31">
        <v>334</v>
      </c>
      <c r="AE44" s="31">
        <v>0</v>
      </c>
      <c r="AF44" s="31">
        <v>282</v>
      </c>
      <c r="AG44" s="527">
        <v>118</v>
      </c>
      <c r="AH44" s="527">
        <v>315</v>
      </c>
      <c r="AI44" s="527">
        <v>271</v>
      </c>
      <c r="AJ44" s="527">
        <v>245</v>
      </c>
      <c r="AK44" s="31">
        <f>400-AJ44</f>
        <v>155</v>
      </c>
      <c r="AL44" s="31">
        <v>346</v>
      </c>
      <c r="AM44" s="31">
        <v>54</v>
      </c>
      <c r="AN44" s="31">
        <v>352</v>
      </c>
      <c r="AO44" s="527">
        <v>48</v>
      </c>
      <c r="AP44" s="31">
        <v>333</v>
      </c>
      <c r="AQ44" s="31">
        <v>64</v>
      </c>
      <c r="AR44" s="526">
        <v>255</v>
      </c>
      <c r="AS44" s="31">
        <v>145</v>
      </c>
    </row>
    <row r="45" spans="1:48" ht="16" x14ac:dyDescent="0.2">
      <c r="A45" s="1">
        <f t="shared" si="9"/>
        <v>5</v>
      </c>
      <c r="B45" s="559" t="s">
        <v>149</v>
      </c>
      <c r="C45" s="343" t="s">
        <v>591</v>
      </c>
      <c r="D45" s="1">
        <v>2</v>
      </c>
      <c r="E45" s="142">
        <v>1275948</v>
      </c>
      <c r="F45" s="29" t="s">
        <v>17</v>
      </c>
      <c r="G45" s="29" t="s">
        <v>22</v>
      </c>
      <c r="H45" s="29" t="s">
        <v>592</v>
      </c>
      <c r="I45" s="30">
        <v>43845</v>
      </c>
      <c r="J45" s="25">
        <f t="shared" ca="1" si="6"/>
        <v>1.4805555555555556</v>
      </c>
      <c r="K45" s="25">
        <f t="shared" ca="1" si="7"/>
        <v>540</v>
      </c>
      <c r="L45" s="25">
        <f t="shared" ca="1" si="8"/>
        <v>18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528"/>
      <c r="Y45" s="528"/>
      <c r="Z45" s="528"/>
      <c r="AA45" s="528"/>
      <c r="AB45" s="528"/>
      <c r="AC45" s="528"/>
      <c r="AD45" s="528"/>
      <c r="AE45" s="528"/>
      <c r="AF45" s="528"/>
      <c r="AG45" s="528"/>
      <c r="AH45" s="528"/>
      <c r="AI45" s="528"/>
      <c r="AJ45" s="528"/>
      <c r="AK45" s="528"/>
      <c r="AL45" s="528"/>
      <c r="AM45" s="528"/>
      <c r="AN45" s="528"/>
      <c r="AO45" s="528"/>
      <c r="AP45" s="528"/>
      <c r="AQ45" s="528"/>
      <c r="AR45" s="528"/>
      <c r="AS45" s="528"/>
    </row>
    <row r="46" spans="1:48" ht="16" x14ac:dyDescent="0.2">
      <c r="A46" s="1">
        <f t="shared" si="9"/>
        <v>6</v>
      </c>
      <c r="B46" s="559" t="s">
        <v>150</v>
      </c>
      <c r="C46" s="343" t="s">
        <v>593</v>
      </c>
      <c r="D46" s="1">
        <v>2</v>
      </c>
      <c r="E46" s="142">
        <v>1275948</v>
      </c>
      <c r="F46" s="29" t="s">
        <v>17</v>
      </c>
      <c r="G46" s="29" t="s">
        <v>22</v>
      </c>
      <c r="H46" s="29" t="s">
        <v>548</v>
      </c>
      <c r="I46" s="30">
        <v>43845</v>
      </c>
      <c r="J46" s="25">
        <f t="shared" ca="1" si="6"/>
        <v>1.4805555555555556</v>
      </c>
      <c r="K46" s="25">
        <f t="shared" ca="1" si="7"/>
        <v>540</v>
      </c>
      <c r="L46" s="25">
        <f t="shared" ca="1" si="8"/>
        <v>18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528"/>
      <c r="Y46" s="528"/>
      <c r="Z46" s="528"/>
      <c r="AA46" s="528"/>
      <c r="AB46" s="528"/>
      <c r="AC46" s="528"/>
      <c r="AD46" s="528"/>
      <c r="AE46" s="528"/>
      <c r="AF46" s="528"/>
      <c r="AG46" s="528"/>
      <c r="AH46" s="528"/>
      <c r="AI46" s="528"/>
      <c r="AJ46" s="528"/>
      <c r="AK46" s="528"/>
      <c r="AL46" s="528"/>
      <c r="AM46" s="528"/>
      <c r="AN46" s="528"/>
      <c r="AO46" s="528"/>
      <c r="AP46" s="528"/>
      <c r="AQ46" s="528"/>
      <c r="AR46" s="528"/>
      <c r="AS46" s="528"/>
    </row>
    <row r="47" spans="1:48" ht="16" x14ac:dyDescent="0.2">
      <c r="A47" s="1">
        <f t="shared" si="9"/>
        <v>7</v>
      </c>
      <c r="B47" s="559" t="s">
        <v>151</v>
      </c>
      <c r="C47" s="343" t="s">
        <v>594</v>
      </c>
      <c r="D47" s="1">
        <v>8</v>
      </c>
      <c r="E47" s="139">
        <v>1299774</v>
      </c>
      <c r="F47" s="34" t="s">
        <v>17</v>
      </c>
      <c r="G47" s="34" t="s">
        <v>22</v>
      </c>
      <c r="H47" s="34" t="s">
        <v>592</v>
      </c>
      <c r="I47" s="35">
        <v>43824</v>
      </c>
      <c r="J47" s="36">
        <f t="shared" ca="1" si="6"/>
        <v>1.5361111111111112</v>
      </c>
      <c r="K47" s="36">
        <f t="shared" ca="1" si="7"/>
        <v>561</v>
      </c>
      <c r="L47" s="530">
        <f t="shared" ca="1" si="8"/>
        <v>18.7</v>
      </c>
      <c r="M47" s="531">
        <v>400</v>
      </c>
      <c r="N47" s="532">
        <v>225</v>
      </c>
      <c r="O47" s="37">
        <v>110</v>
      </c>
      <c r="P47" s="37">
        <v>302</v>
      </c>
      <c r="Q47" s="37">
        <v>163</v>
      </c>
      <c r="R47" s="37">
        <v>385</v>
      </c>
      <c r="S47" s="37">
        <v>0</v>
      </c>
      <c r="T47" s="37">
        <v>333</v>
      </c>
      <c r="U47" s="37">
        <v>0</v>
      </c>
      <c r="V47" s="37">
        <v>267</v>
      </c>
      <c r="W47" s="533">
        <v>163</v>
      </c>
      <c r="X47" s="533">
        <v>298</v>
      </c>
      <c r="Y47" s="37">
        <v>0</v>
      </c>
      <c r="Z47" s="37">
        <v>244</v>
      </c>
      <c r="AA47" s="37">
        <v>0</v>
      </c>
      <c r="AB47" s="37">
        <v>218</v>
      </c>
      <c r="AC47" s="37">
        <v>182</v>
      </c>
      <c r="AD47" s="31">
        <v>310</v>
      </c>
      <c r="AE47" s="37">
        <v>0</v>
      </c>
      <c r="AF47" s="37">
        <v>237</v>
      </c>
      <c r="AG47" s="533">
        <v>163</v>
      </c>
      <c r="AH47" s="533">
        <v>289</v>
      </c>
      <c r="AI47" s="533">
        <v>242</v>
      </c>
      <c r="AJ47" s="533">
        <v>214</v>
      </c>
      <c r="AK47" s="533">
        <f>400-AJ47</f>
        <v>186</v>
      </c>
      <c r="AL47" s="37">
        <v>320</v>
      </c>
      <c r="AM47" s="37">
        <v>80</v>
      </c>
      <c r="AN47" s="37">
        <v>345</v>
      </c>
      <c r="AO47" s="533">
        <v>55</v>
      </c>
      <c r="AP47" s="37">
        <v>324</v>
      </c>
      <c r="AQ47" s="37">
        <v>76</v>
      </c>
      <c r="AR47" s="532">
        <v>295</v>
      </c>
      <c r="AS47" s="37">
        <v>105</v>
      </c>
    </row>
    <row r="48" spans="1:48" ht="16" x14ac:dyDescent="0.2">
      <c r="A48" s="1">
        <f t="shared" si="9"/>
        <v>8</v>
      </c>
      <c r="B48" s="559" t="s">
        <v>152</v>
      </c>
      <c r="C48" s="343" t="s">
        <v>595</v>
      </c>
      <c r="D48" s="1">
        <v>8</v>
      </c>
      <c r="E48" s="139">
        <v>1299774</v>
      </c>
      <c r="F48" s="34" t="s">
        <v>17</v>
      </c>
      <c r="G48" s="34" t="s">
        <v>22</v>
      </c>
      <c r="H48" s="34" t="s">
        <v>551</v>
      </c>
      <c r="I48" s="35">
        <v>43824</v>
      </c>
      <c r="J48" s="36">
        <f t="shared" ca="1" si="6"/>
        <v>1.5361111111111112</v>
      </c>
      <c r="K48" s="36">
        <f t="shared" ca="1" si="7"/>
        <v>561</v>
      </c>
      <c r="L48" s="36">
        <f t="shared" ca="1" si="8"/>
        <v>18.7</v>
      </c>
      <c r="M48" s="36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</row>
    <row r="49" spans="1:45" ht="16" x14ac:dyDescent="0.2">
      <c r="A49" s="1">
        <f t="shared" si="9"/>
        <v>9</v>
      </c>
      <c r="B49" s="559" t="s">
        <v>153</v>
      </c>
      <c r="C49" s="343" t="s">
        <v>596</v>
      </c>
      <c r="D49" s="40">
        <v>8</v>
      </c>
      <c r="E49" s="34">
        <v>1299774</v>
      </c>
      <c r="F49" s="34" t="s">
        <v>17</v>
      </c>
      <c r="G49" s="34" t="s">
        <v>22</v>
      </c>
      <c r="H49" s="34" t="s">
        <v>548</v>
      </c>
      <c r="I49" s="35">
        <v>43824</v>
      </c>
      <c r="J49" s="36">
        <f t="shared" ca="1" si="6"/>
        <v>1.5361111111111112</v>
      </c>
      <c r="K49" s="36">
        <f t="shared" ca="1" si="7"/>
        <v>561</v>
      </c>
      <c r="L49" s="36">
        <f t="shared" ca="1" si="8"/>
        <v>18.7</v>
      </c>
      <c r="M49" s="36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</row>
    <row r="50" spans="1:45" ht="16" x14ac:dyDescent="0.2">
      <c r="A50" s="1">
        <f t="shared" si="9"/>
        <v>10</v>
      </c>
      <c r="B50" s="559" t="s">
        <v>154</v>
      </c>
      <c r="C50" s="343" t="s">
        <v>597</v>
      </c>
      <c r="D50" s="40">
        <v>8</v>
      </c>
      <c r="E50" s="34">
        <v>1299774</v>
      </c>
      <c r="F50" s="34" t="s">
        <v>17</v>
      </c>
      <c r="G50" s="34" t="s">
        <v>22</v>
      </c>
      <c r="H50" s="34" t="s">
        <v>549</v>
      </c>
      <c r="I50" s="35">
        <v>43824</v>
      </c>
      <c r="J50" s="36">
        <f t="shared" ca="1" si="6"/>
        <v>1.5361111111111112</v>
      </c>
      <c r="K50" s="36">
        <f t="shared" ca="1" si="7"/>
        <v>561</v>
      </c>
      <c r="L50" s="36">
        <f t="shared" ca="1" si="8"/>
        <v>18.7</v>
      </c>
      <c r="M50" s="36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</row>
    <row r="51" spans="1:45" ht="16" x14ac:dyDescent="0.2">
      <c r="A51" s="1">
        <f t="shared" si="9"/>
        <v>11</v>
      </c>
      <c r="B51" s="559" t="s">
        <v>155</v>
      </c>
      <c r="C51" s="343" t="s">
        <v>598</v>
      </c>
      <c r="D51" s="40">
        <v>10</v>
      </c>
      <c r="E51" s="41">
        <v>1312798</v>
      </c>
      <c r="F51" s="42" t="s">
        <v>17</v>
      </c>
      <c r="G51" s="42" t="s">
        <v>37</v>
      </c>
      <c r="H51" s="42" t="s">
        <v>546</v>
      </c>
      <c r="I51" s="43">
        <v>43789</v>
      </c>
      <c r="J51" s="44">
        <f t="shared" ca="1" si="6"/>
        <v>1.6333333333333333</v>
      </c>
      <c r="K51" s="44">
        <f t="shared" ca="1" si="7"/>
        <v>596</v>
      </c>
      <c r="L51" s="45">
        <f t="shared" ca="1" si="8"/>
        <v>19.866666666666667</v>
      </c>
      <c r="M51" s="534">
        <v>400</v>
      </c>
      <c r="N51" s="535">
        <v>165</v>
      </c>
      <c r="O51" s="46">
        <v>31</v>
      </c>
      <c r="P51" s="46">
        <v>385</v>
      </c>
      <c r="Q51" s="46">
        <v>94</v>
      </c>
      <c r="R51" s="46">
        <v>438</v>
      </c>
      <c r="S51" s="46">
        <v>0</v>
      </c>
      <c r="T51" s="46">
        <v>390</v>
      </c>
      <c r="U51" s="46">
        <v>0</v>
      </c>
      <c r="V51" s="46">
        <v>368</v>
      </c>
      <c r="W51" s="52">
        <v>32</v>
      </c>
      <c r="X51" s="52">
        <v>327</v>
      </c>
      <c r="Y51" s="46">
        <v>0</v>
      </c>
      <c r="Z51" s="46">
        <v>303</v>
      </c>
      <c r="AA51" s="46">
        <v>0</v>
      </c>
      <c r="AB51" s="46">
        <v>282</v>
      </c>
      <c r="AC51" s="46">
        <v>118</v>
      </c>
      <c r="AD51" s="46">
        <v>352</v>
      </c>
      <c r="AE51" s="46">
        <v>0</v>
      </c>
      <c r="AF51" s="46">
        <v>313</v>
      </c>
      <c r="AG51" s="52">
        <v>87</v>
      </c>
      <c r="AH51" s="52">
        <v>342</v>
      </c>
      <c r="AI51" s="52">
        <v>326</v>
      </c>
      <c r="AJ51" s="52">
        <v>308</v>
      </c>
      <c r="AK51" s="52">
        <f>400-AJ51</f>
        <v>92</v>
      </c>
      <c r="AL51" s="46">
        <v>348</v>
      </c>
      <c r="AM51" s="46">
        <v>52</v>
      </c>
      <c r="AN51" s="46">
        <v>366</v>
      </c>
      <c r="AO51" s="52">
        <v>34</v>
      </c>
      <c r="AP51" s="46">
        <v>355</v>
      </c>
      <c r="AQ51" s="46">
        <v>45</v>
      </c>
      <c r="AR51" s="535">
        <v>342</v>
      </c>
      <c r="AS51" s="46">
        <v>56</v>
      </c>
    </row>
    <row r="52" spans="1:45" ht="16" x14ac:dyDescent="0.2">
      <c r="A52" s="1">
        <f t="shared" si="9"/>
        <v>12</v>
      </c>
      <c r="B52" s="559" t="s">
        <v>156</v>
      </c>
      <c r="C52" s="343" t="s">
        <v>599</v>
      </c>
      <c r="D52" s="40">
        <v>10</v>
      </c>
      <c r="E52" s="41">
        <v>1312798</v>
      </c>
      <c r="F52" s="42" t="s">
        <v>17</v>
      </c>
      <c r="G52" s="42" t="s">
        <v>37</v>
      </c>
      <c r="H52" s="42" t="s">
        <v>551</v>
      </c>
      <c r="I52" s="43">
        <v>43808</v>
      </c>
      <c r="J52" s="46">
        <f t="shared" ca="1" si="6"/>
        <v>1.5805555555555555</v>
      </c>
      <c r="K52" s="46">
        <f t="shared" ca="1" si="7"/>
        <v>577</v>
      </c>
      <c r="L52" s="52">
        <f t="shared" ca="1" si="8"/>
        <v>19.233333333333334</v>
      </c>
      <c r="M52" s="323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323"/>
      <c r="Y52" s="323"/>
      <c r="Z52" s="323"/>
      <c r="AA52" s="323"/>
      <c r="AB52" s="323"/>
      <c r="AC52" s="323"/>
      <c r="AD52" s="323"/>
      <c r="AE52" s="323"/>
      <c r="AF52" s="323"/>
      <c r="AG52" s="323"/>
      <c r="AH52" s="323"/>
      <c r="AI52" s="323"/>
      <c r="AJ52" s="323"/>
      <c r="AK52" s="323"/>
      <c r="AL52" s="323"/>
      <c r="AM52" s="323"/>
      <c r="AN52" s="323"/>
      <c r="AO52" s="323"/>
      <c r="AP52" s="323"/>
      <c r="AQ52" s="323"/>
      <c r="AR52" s="323"/>
      <c r="AS52" s="323"/>
    </row>
    <row r="53" spans="1:45" ht="16" x14ac:dyDescent="0.2">
      <c r="A53" s="1">
        <f t="shared" si="9"/>
        <v>13</v>
      </c>
      <c r="B53" s="559" t="s">
        <v>157</v>
      </c>
      <c r="C53" s="343" t="s">
        <v>600</v>
      </c>
      <c r="D53" s="40">
        <v>11</v>
      </c>
      <c r="E53" s="53">
        <v>1343433</v>
      </c>
      <c r="F53" s="42" t="s">
        <v>15</v>
      </c>
      <c r="G53" s="42" t="s">
        <v>37</v>
      </c>
      <c r="H53" s="42" t="s">
        <v>549</v>
      </c>
      <c r="I53" s="54">
        <v>43871</v>
      </c>
      <c r="J53" s="46">
        <f t="shared" ca="1" si="6"/>
        <v>1.4111111111111112</v>
      </c>
      <c r="K53" s="46">
        <f t="shared" ca="1" si="7"/>
        <v>514</v>
      </c>
      <c r="L53" s="52">
        <f t="shared" ca="1" si="8"/>
        <v>17.133333333333333</v>
      </c>
      <c r="M53" s="534">
        <v>400</v>
      </c>
      <c r="N53" s="535">
        <v>44</v>
      </c>
      <c r="O53" s="46">
        <v>88</v>
      </c>
      <c r="P53" s="46">
        <v>387</v>
      </c>
      <c r="Q53" s="46">
        <v>64</v>
      </c>
      <c r="R53" s="46">
        <v>416</v>
      </c>
      <c r="S53" s="46">
        <v>0</v>
      </c>
      <c r="T53" s="46">
        <v>399</v>
      </c>
      <c r="U53" s="46">
        <v>0</v>
      </c>
      <c r="V53" s="46">
        <v>382</v>
      </c>
      <c r="W53" s="52">
        <v>64</v>
      </c>
      <c r="X53" s="52">
        <v>370</v>
      </c>
      <c r="Y53" s="46">
        <v>0</v>
      </c>
      <c r="Z53" s="46">
        <v>355</v>
      </c>
      <c r="AA53" s="46">
        <v>0</v>
      </c>
      <c r="AB53" s="46">
        <v>347</v>
      </c>
      <c r="AC53" s="46">
        <v>53</v>
      </c>
      <c r="AD53" s="46">
        <v>367</v>
      </c>
      <c r="AE53" s="46">
        <v>0</v>
      </c>
      <c r="AF53" s="46">
        <v>347</v>
      </c>
      <c r="AG53" s="52">
        <v>53</v>
      </c>
      <c r="AH53" s="52">
        <v>378</v>
      </c>
      <c r="AI53" s="52">
        <v>366</v>
      </c>
      <c r="AJ53" s="52">
        <v>354</v>
      </c>
      <c r="AK53" s="52">
        <f>400-AJ53</f>
        <v>46</v>
      </c>
      <c r="AL53" s="46">
        <v>374</v>
      </c>
      <c r="AM53" s="46">
        <v>26</v>
      </c>
      <c r="AN53" s="46">
        <v>385</v>
      </c>
      <c r="AO53" s="52">
        <v>15</v>
      </c>
      <c r="AP53" s="46">
        <v>375</v>
      </c>
      <c r="AQ53" s="46">
        <v>25</v>
      </c>
      <c r="AR53" s="535">
        <v>370</v>
      </c>
      <c r="AS53" s="46">
        <v>30</v>
      </c>
    </row>
    <row r="54" spans="1:45" ht="16" x14ac:dyDescent="0.2">
      <c r="A54" s="1">
        <f t="shared" si="9"/>
        <v>14</v>
      </c>
      <c r="B54" s="560" t="s">
        <v>158</v>
      </c>
      <c r="C54" s="343" t="s">
        <v>601</v>
      </c>
      <c r="D54" s="55">
        <v>11</v>
      </c>
      <c r="E54" s="56">
        <v>1343433</v>
      </c>
      <c r="F54" s="57" t="s">
        <v>15</v>
      </c>
      <c r="G54" s="57" t="s">
        <v>37</v>
      </c>
      <c r="H54" s="57" t="s">
        <v>592</v>
      </c>
      <c r="I54" s="58">
        <v>43811</v>
      </c>
      <c r="J54" s="59">
        <f t="shared" ca="1" si="6"/>
        <v>1.5722222222222222</v>
      </c>
      <c r="K54" s="59">
        <f t="shared" ca="1" si="7"/>
        <v>574</v>
      </c>
      <c r="L54" s="60">
        <f t="shared" ca="1" si="8"/>
        <v>19.133333333333333</v>
      </c>
      <c r="M54" s="536"/>
      <c r="N54" s="537"/>
      <c r="O54" s="537"/>
      <c r="P54" s="537"/>
      <c r="Q54" s="537"/>
      <c r="R54" s="537"/>
      <c r="S54" s="537"/>
      <c r="T54" s="537"/>
      <c r="U54" s="537"/>
      <c r="V54" s="537"/>
      <c r="W54" s="537"/>
      <c r="X54" s="536"/>
      <c r="Y54" s="536"/>
      <c r="Z54" s="536"/>
      <c r="AA54" s="536"/>
      <c r="AB54" s="536"/>
      <c r="AC54" s="536"/>
      <c r="AD54" s="536"/>
      <c r="AE54" s="536"/>
      <c r="AF54" s="536"/>
      <c r="AG54" s="536"/>
      <c r="AH54" s="536"/>
      <c r="AI54" s="536"/>
      <c r="AJ54" s="536"/>
      <c r="AK54" s="536"/>
      <c r="AL54" s="536"/>
      <c r="AM54" s="536"/>
      <c r="AN54" s="536"/>
      <c r="AO54" s="536"/>
      <c r="AP54" s="536"/>
      <c r="AQ54" s="536"/>
      <c r="AR54" s="536"/>
      <c r="AS54" s="536"/>
    </row>
    <row r="55" spans="1:45" ht="16" x14ac:dyDescent="0.2">
      <c r="A55" s="1">
        <f t="shared" si="9"/>
        <v>15</v>
      </c>
      <c r="B55" s="559" t="s">
        <v>159</v>
      </c>
      <c r="C55" s="343" t="s">
        <v>603</v>
      </c>
      <c r="D55" s="40">
        <v>3</v>
      </c>
      <c r="E55" s="69">
        <v>1198647</v>
      </c>
      <c r="F55" s="69" t="s">
        <v>17</v>
      </c>
      <c r="G55" s="69" t="s">
        <v>41</v>
      </c>
      <c r="H55" s="69" t="s">
        <v>592</v>
      </c>
      <c r="I55" s="70">
        <v>43831</v>
      </c>
      <c r="J55" s="71">
        <f t="shared" ca="1" si="6"/>
        <v>1.5194444444444444</v>
      </c>
      <c r="K55" s="71">
        <f t="shared" ca="1" si="7"/>
        <v>554</v>
      </c>
      <c r="L55" s="538">
        <f t="shared" ca="1" si="8"/>
        <v>18.466666666666665</v>
      </c>
      <c r="M55" s="539">
        <v>400</v>
      </c>
      <c r="N55" s="540">
        <v>174</v>
      </c>
      <c r="O55" s="72">
        <v>72</v>
      </c>
      <c r="P55" s="72">
        <v>401</v>
      </c>
      <c r="Q55" s="72">
        <v>104</v>
      </c>
      <c r="R55" s="72">
        <v>488</v>
      </c>
      <c r="S55" s="72">
        <v>0</v>
      </c>
      <c r="T55" s="72">
        <v>445</v>
      </c>
      <c r="U55" s="72">
        <v>0</v>
      </c>
      <c r="V55" s="72">
        <v>401</v>
      </c>
      <c r="W55" s="541">
        <v>0</v>
      </c>
      <c r="X55" s="541">
        <v>334</v>
      </c>
      <c r="Y55" s="72">
        <v>0</v>
      </c>
      <c r="Z55" s="72">
        <v>312</v>
      </c>
      <c r="AA55" s="72">
        <v>0</v>
      </c>
      <c r="AB55" s="72">
        <v>301</v>
      </c>
      <c r="AC55" s="72">
        <v>99</v>
      </c>
      <c r="AD55" s="72">
        <v>378</v>
      </c>
      <c r="AE55" s="72">
        <v>0</v>
      </c>
      <c r="AF55" s="72">
        <v>344</v>
      </c>
      <c r="AG55" s="541">
        <v>56</v>
      </c>
      <c r="AH55" s="541">
        <v>335</v>
      </c>
      <c r="AI55" s="541">
        <v>319</v>
      </c>
      <c r="AJ55" s="541">
        <v>300</v>
      </c>
      <c r="AK55" s="541">
        <f>400-AJ55</f>
        <v>100</v>
      </c>
      <c r="AL55" s="72">
        <v>350</v>
      </c>
      <c r="AM55" s="72">
        <v>50</v>
      </c>
      <c r="AN55" s="72">
        <v>368</v>
      </c>
      <c r="AO55" s="541">
        <v>32</v>
      </c>
      <c r="AP55" s="72">
        <v>333</v>
      </c>
      <c r="AQ55" s="72">
        <v>67</v>
      </c>
      <c r="AR55" s="540">
        <v>297</v>
      </c>
      <c r="AS55" s="72">
        <v>103</v>
      </c>
    </row>
    <row r="56" spans="1:45" ht="16" x14ac:dyDescent="0.2">
      <c r="A56" s="1">
        <f t="shared" si="9"/>
        <v>16</v>
      </c>
      <c r="B56" s="559" t="s">
        <v>160</v>
      </c>
      <c r="C56" s="343" t="s">
        <v>604</v>
      </c>
      <c r="D56" s="40">
        <v>3</v>
      </c>
      <c r="E56" s="69">
        <v>1198647</v>
      </c>
      <c r="F56" s="69" t="s">
        <v>17</v>
      </c>
      <c r="G56" s="69" t="s">
        <v>41</v>
      </c>
      <c r="H56" s="69" t="s">
        <v>546</v>
      </c>
      <c r="I56" s="70">
        <v>43831</v>
      </c>
      <c r="J56" s="71">
        <f t="shared" ca="1" si="6"/>
        <v>1.5194444444444444</v>
      </c>
      <c r="K56" s="71">
        <f t="shared" ca="1" si="7"/>
        <v>554</v>
      </c>
      <c r="L56" s="71">
        <f t="shared" ca="1" si="8"/>
        <v>18.466666666666665</v>
      </c>
      <c r="M56" s="71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</row>
    <row r="57" spans="1:45" ht="16" x14ac:dyDescent="0.2">
      <c r="A57" s="1">
        <f t="shared" si="9"/>
        <v>17</v>
      </c>
      <c r="B57" s="559" t="s">
        <v>161</v>
      </c>
      <c r="C57" s="343" t="s">
        <v>605</v>
      </c>
      <c r="D57" s="40">
        <v>5</v>
      </c>
      <c r="E57" s="69">
        <v>1275960</v>
      </c>
      <c r="F57" s="69" t="s">
        <v>17</v>
      </c>
      <c r="G57" s="69" t="s">
        <v>41</v>
      </c>
      <c r="H57" s="69" t="s">
        <v>592</v>
      </c>
      <c r="I57" s="70">
        <v>43831</v>
      </c>
      <c r="J57" s="71">
        <f t="shared" ca="1" si="6"/>
        <v>1.5194444444444444</v>
      </c>
      <c r="K57" s="71">
        <f t="shared" ca="1" si="7"/>
        <v>554</v>
      </c>
      <c r="L57" s="538">
        <f t="shared" ca="1" si="8"/>
        <v>18.466666666666665</v>
      </c>
      <c r="M57" s="539">
        <v>400</v>
      </c>
      <c r="N57" s="540">
        <v>247</v>
      </c>
      <c r="O57" s="72">
        <v>85</v>
      </c>
      <c r="P57" s="72">
        <v>307</v>
      </c>
      <c r="Q57" s="72">
        <v>148</v>
      </c>
      <c r="R57" s="72">
        <v>360</v>
      </c>
      <c r="S57" s="72">
        <v>0</v>
      </c>
      <c r="T57" s="72">
        <v>298</v>
      </c>
      <c r="U57" s="72">
        <v>0</v>
      </c>
      <c r="V57" s="72">
        <v>227</v>
      </c>
      <c r="W57" s="541">
        <v>148</v>
      </c>
      <c r="X57" s="541">
        <v>239</v>
      </c>
      <c r="Y57" s="72">
        <v>0</v>
      </c>
      <c r="Z57" s="72">
        <v>278</v>
      </c>
      <c r="AA57" s="72">
        <v>0</v>
      </c>
      <c r="AB57" s="72">
        <v>136</v>
      </c>
      <c r="AC57" s="72">
        <v>264</v>
      </c>
      <c r="AD57" s="72">
        <v>273</v>
      </c>
      <c r="AE57" s="72">
        <v>0</v>
      </c>
      <c r="AF57" s="72">
        <v>186</v>
      </c>
      <c r="AG57" s="541">
        <v>214</v>
      </c>
      <c r="AH57" s="541">
        <v>257</v>
      </c>
      <c r="AI57" s="541">
        <v>178</v>
      </c>
      <c r="AJ57" s="541">
        <v>100</v>
      </c>
      <c r="AK57" s="541">
        <v>300</v>
      </c>
      <c r="AL57" s="72">
        <v>271</v>
      </c>
      <c r="AM57" s="72">
        <v>129</v>
      </c>
      <c r="AN57" s="72">
        <v>311</v>
      </c>
      <c r="AO57" s="541">
        <v>89</v>
      </c>
      <c r="AP57" s="72">
        <v>285</v>
      </c>
      <c r="AQ57" s="72">
        <v>115</v>
      </c>
      <c r="AR57" s="540">
        <v>265</v>
      </c>
      <c r="AS57" s="72">
        <v>135</v>
      </c>
    </row>
    <row r="58" spans="1:45" ht="16" x14ac:dyDescent="0.2">
      <c r="A58" s="1">
        <f t="shared" si="9"/>
        <v>18</v>
      </c>
      <c r="B58" s="559" t="s">
        <v>162</v>
      </c>
      <c r="C58" s="343" t="s">
        <v>606</v>
      </c>
      <c r="D58" s="40">
        <v>5</v>
      </c>
      <c r="E58" s="69">
        <v>1275960</v>
      </c>
      <c r="F58" s="69" t="s">
        <v>17</v>
      </c>
      <c r="G58" s="69" t="s">
        <v>41</v>
      </c>
      <c r="H58" s="69" t="s">
        <v>551</v>
      </c>
      <c r="I58" s="70">
        <v>43831</v>
      </c>
      <c r="J58" s="71">
        <f t="shared" ca="1" si="6"/>
        <v>1.5194444444444444</v>
      </c>
      <c r="K58" s="71">
        <f t="shared" ca="1" si="7"/>
        <v>554</v>
      </c>
      <c r="L58" s="71">
        <f t="shared" ca="1" si="8"/>
        <v>18.466666666666665</v>
      </c>
      <c r="M58" s="71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</row>
    <row r="59" spans="1:45" ht="16" x14ac:dyDescent="0.2">
      <c r="A59" s="1">
        <f t="shared" si="9"/>
        <v>19</v>
      </c>
      <c r="B59" s="559" t="s">
        <v>163</v>
      </c>
      <c r="C59" s="343" t="s">
        <v>607</v>
      </c>
      <c r="D59" s="40">
        <v>5</v>
      </c>
      <c r="E59" s="69">
        <v>1275960</v>
      </c>
      <c r="F59" s="69" t="s">
        <v>17</v>
      </c>
      <c r="G59" s="69" t="s">
        <v>41</v>
      </c>
      <c r="H59" s="69" t="s">
        <v>549</v>
      </c>
      <c r="I59" s="70">
        <v>43832</v>
      </c>
      <c r="J59" s="71">
        <f t="shared" ca="1" si="6"/>
        <v>1.5166666666666666</v>
      </c>
      <c r="K59" s="71">
        <f t="shared" ca="1" si="7"/>
        <v>553</v>
      </c>
      <c r="L59" s="71">
        <f t="shared" ca="1" si="8"/>
        <v>18.433333333333334</v>
      </c>
      <c r="M59" s="71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</row>
    <row r="60" spans="1:45" ht="16" x14ac:dyDescent="0.2">
      <c r="A60" s="1">
        <f t="shared" si="9"/>
        <v>20</v>
      </c>
      <c r="B60" s="559" t="s">
        <v>164</v>
      </c>
      <c r="C60" s="343" t="s">
        <v>608</v>
      </c>
      <c r="D60" s="40">
        <v>5</v>
      </c>
      <c r="E60" s="69">
        <v>1275960</v>
      </c>
      <c r="F60" s="69" t="s">
        <v>17</v>
      </c>
      <c r="G60" s="69" t="s">
        <v>41</v>
      </c>
      <c r="H60" s="69" t="s">
        <v>548</v>
      </c>
      <c r="I60" s="70">
        <v>43832</v>
      </c>
      <c r="J60" s="71">
        <f t="shared" ca="1" si="6"/>
        <v>1.5166666666666666</v>
      </c>
      <c r="K60" s="71">
        <f t="shared" ca="1" si="7"/>
        <v>553</v>
      </c>
      <c r="L60" s="71">
        <f t="shared" ca="1" si="8"/>
        <v>18.433333333333334</v>
      </c>
      <c r="M60" s="71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</row>
    <row r="61" spans="1:45" ht="16" x14ac:dyDescent="0.2">
      <c r="A61" s="1">
        <f t="shared" si="9"/>
        <v>21</v>
      </c>
      <c r="B61" s="559" t="s">
        <v>165</v>
      </c>
      <c r="C61" s="343" t="s">
        <v>609</v>
      </c>
      <c r="D61" s="40">
        <v>5</v>
      </c>
      <c r="E61" s="69">
        <v>1275960</v>
      </c>
      <c r="F61" s="69" t="s">
        <v>17</v>
      </c>
      <c r="G61" s="69" t="s">
        <v>41</v>
      </c>
      <c r="H61" s="69" t="s">
        <v>546</v>
      </c>
      <c r="I61" s="70">
        <v>43832</v>
      </c>
      <c r="J61" s="71">
        <f t="shared" ca="1" si="6"/>
        <v>1.5166666666666666</v>
      </c>
      <c r="K61" s="71">
        <f t="shared" ca="1" si="7"/>
        <v>553</v>
      </c>
      <c r="L61" s="71">
        <f t="shared" ca="1" si="8"/>
        <v>18.433333333333334</v>
      </c>
      <c r="M61" s="71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</row>
    <row r="62" spans="1:45" ht="16" x14ac:dyDescent="0.2">
      <c r="A62" s="1">
        <f t="shared" si="9"/>
        <v>22</v>
      </c>
      <c r="B62" s="559" t="s">
        <v>166</v>
      </c>
      <c r="C62" s="343" t="s">
        <v>610</v>
      </c>
      <c r="D62" s="40">
        <v>7</v>
      </c>
      <c r="E62" s="69">
        <v>1253158</v>
      </c>
      <c r="F62" s="69" t="s">
        <v>15</v>
      </c>
      <c r="G62" s="69" t="s">
        <v>41</v>
      </c>
      <c r="H62" s="69" t="s">
        <v>592</v>
      </c>
      <c r="I62" s="70">
        <v>43832</v>
      </c>
      <c r="J62" s="71">
        <f t="shared" ca="1" si="6"/>
        <v>1.5166666666666666</v>
      </c>
      <c r="K62" s="71">
        <f t="shared" ca="1" si="7"/>
        <v>553</v>
      </c>
      <c r="L62" s="538">
        <f t="shared" ca="1" si="8"/>
        <v>18.433333333333334</v>
      </c>
      <c r="M62" s="539">
        <v>400</v>
      </c>
      <c r="N62" s="540">
        <v>84</v>
      </c>
      <c r="O62" s="72">
        <v>110</v>
      </c>
      <c r="P62" s="72">
        <v>384</v>
      </c>
      <c r="Q62" s="72">
        <v>37</v>
      </c>
      <c r="R62" s="72">
        <v>388</v>
      </c>
      <c r="S62" s="72">
        <v>0</v>
      </c>
      <c r="T62" s="72">
        <v>354</v>
      </c>
      <c r="U62" s="72">
        <v>0</v>
      </c>
      <c r="V62" s="72">
        <v>328</v>
      </c>
      <c r="W62" s="541">
        <v>72</v>
      </c>
      <c r="X62" s="541">
        <v>330</v>
      </c>
      <c r="Y62" s="72">
        <v>0</v>
      </c>
      <c r="Z62" s="72">
        <v>300</v>
      </c>
      <c r="AA62" s="72">
        <v>0</v>
      </c>
      <c r="AB62" s="72">
        <v>289</v>
      </c>
      <c r="AC62" s="72">
        <v>111</v>
      </c>
      <c r="AD62" s="72">
        <v>346</v>
      </c>
      <c r="AE62" s="72">
        <v>0</v>
      </c>
      <c r="AF62" s="72">
        <v>306</v>
      </c>
      <c r="AG62" s="541">
        <v>94</v>
      </c>
      <c r="AH62" s="541">
        <v>350</v>
      </c>
      <c r="AI62" s="541">
        <v>331</v>
      </c>
      <c r="AJ62" s="541">
        <v>301</v>
      </c>
      <c r="AK62" s="541">
        <v>99</v>
      </c>
      <c r="AL62" s="72">
        <v>363</v>
      </c>
      <c r="AM62" s="72">
        <v>37</v>
      </c>
      <c r="AN62" s="72">
        <v>364</v>
      </c>
      <c r="AO62" s="541">
        <v>36</v>
      </c>
      <c r="AP62" s="72">
        <v>354</v>
      </c>
      <c r="AQ62" s="72">
        <v>56</v>
      </c>
      <c r="AR62" s="540">
        <v>339</v>
      </c>
      <c r="AS62" s="72">
        <v>61</v>
      </c>
    </row>
    <row r="63" spans="1:45" ht="16" x14ac:dyDescent="0.2">
      <c r="A63" s="1">
        <f t="shared" si="9"/>
        <v>23</v>
      </c>
      <c r="B63" s="559" t="s">
        <v>167</v>
      </c>
      <c r="C63" s="343" t="s">
        <v>611</v>
      </c>
      <c r="D63" s="40">
        <v>7</v>
      </c>
      <c r="E63" s="69">
        <v>1253158</v>
      </c>
      <c r="F63" s="69" t="s">
        <v>15</v>
      </c>
      <c r="G63" s="69" t="s">
        <v>41</v>
      </c>
      <c r="H63" s="69" t="s">
        <v>551</v>
      </c>
      <c r="I63" s="70">
        <v>43832</v>
      </c>
      <c r="J63" s="71">
        <f t="shared" ca="1" si="6"/>
        <v>1.5166666666666666</v>
      </c>
      <c r="K63" s="71">
        <f t="shared" ca="1" si="7"/>
        <v>553</v>
      </c>
      <c r="L63" s="71">
        <f t="shared" ca="1" si="8"/>
        <v>18.433333333333334</v>
      </c>
      <c r="M63" s="71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542" t="s">
        <v>652</v>
      </c>
      <c r="AI63" s="542"/>
      <c r="AJ63" s="542"/>
      <c r="AK63" s="542"/>
      <c r="AL63" s="542"/>
      <c r="AM63" s="542"/>
      <c r="AN63" s="542"/>
      <c r="AO63" s="542"/>
      <c r="AP63" s="542"/>
      <c r="AQ63" s="542"/>
      <c r="AR63" s="542"/>
      <c r="AS63" s="542"/>
    </row>
    <row r="64" spans="1:45" ht="16" x14ac:dyDescent="0.2">
      <c r="A64" s="1">
        <f t="shared" si="9"/>
        <v>24</v>
      </c>
      <c r="B64" s="559" t="s">
        <v>168</v>
      </c>
      <c r="C64" s="343" t="s">
        <v>612</v>
      </c>
      <c r="D64" s="40">
        <v>9</v>
      </c>
      <c r="E64" s="69">
        <v>1253152</v>
      </c>
      <c r="F64" s="69" t="s">
        <v>15</v>
      </c>
      <c r="G64" s="69" t="s">
        <v>41</v>
      </c>
      <c r="H64" s="69" t="s">
        <v>592</v>
      </c>
      <c r="I64" s="70">
        <v>43831</v>
      </c>
      <c r="J64" s="71">
        <f t="shared" ca="1" si="6"/>
        <v>1.5194444444444444</v>
      </c>
      <c r="K64" s="71">
        <f t="shared" ca="1" si="7"/>
        <v>554</v>
      </c>
      <c r="L64" s="538">
        <f t="shared" ca="1" si="8"/>
        <v>18.466666666666665</v>
      </c>
      <c r="M64" s="539">
        <v>400</v>
      </c>
      <c r="N64" s="540">
        <v>236</v>
      </c>
      <c r="O64" s="72">
        <v>78</v>
      </c>
      <c r="P64" s="72">
        <v>329</v>
      </c>
      <c r="Q64" s="72">
        <v>162</v>
      </c>
      <c r="R64" s="72">
        <v>411</v>
      </c>
      <c r="S64" s="72">
        <v>0</v>
      </c>
      <c r="T64" s="72">
        <v>317</v>
      </c>
      <c r="U64" s="72">
        <v>0</v>
      </c>
      <c r="V64" s="72">
        <v>260</v>
      </c>
      <c r="W64" s="541">
        <v>140</v>
      </c>
      <c r="X64" s="541">
        <v>237</v>
      </c>
      <c r="Y64" s="72">
        <v>0</v>
      </c>
      <c r="Z64" s="72">
        <v>202</v>
      </c>
      <c r="AA64" s="72">
        <v>0</v>
      </c>
      <c r="AB64" s="72">
        <v>160</v>
      </c>
      <c r="AC64" s="72">
        <v>240</v>
      </c>
      <c r="AD64" s="72">
        <v>280</v>
      </c>
      <c r="AE64" s="72">
        <v>0</v>
      </c>
      <c r="AF64" s="72">
        <v>197</v>
      </c>
      <c r="AG64" s="541">
        <v>203</v>
      </c>
      <c r="AH64" s="541">
        <v>258</v>
      </c>
      <c r="AI64" s="541">
        <v>222</v>
      </c>
      <c r="AJ64" s="541">
        <v>159</v>
      </c>
      <c r="AK64" s="541">
        <f>400-AJ64</f>
        <v>241</v>
      </c>
      <c r="AL64" s="72">
        <v>284</v>
      </c>
      <c r="AM64" s="72">
        <v>116</v>
      </c>
      <c r="AN64" s="72">
        <v>317</v>
      </c>
      <c r="AO64" s="541">
        <v>83</v>
      </c>
      <c r="AP64" s="72">
        <v>278</v>
      </c>
      <c r="AQ64" s="72">
        <v>122</v>
      </c>
      <c r="AR64" s="540">
        <v>246</v>
      </c>
      <c r="AS64" s="72">
        <v>154</v>
      </c>
    </row>
    <row r="65" spans="1:45" ht="16" x14ac:dyDescent="0.2">
      <c r="A65" s="1">
        <f t="shared" si="9"/>
        <v>25</v>
      </c>
      <c r="B65" s="559" t="s">
        <v>169</v>
      </c>
      <c r="C65" s="343" t="s">
        <v>613</v>
      </c>
      <c r="D65" s="40">
        <v>9</v>
      </c>
      <c r="E65" s="69">
        <v>1253152</v>
      </c>
      <c r="F65" s="69" t="s">
        <v>15</v>
      </c>
      <c r="G65" s="69" t="s">
        <v>41</v>
      </c>
      <c r="H65" s="69" t="s">
        <v>551</v>
      </c>
      <c r="I65" s="70">
        <v>43831</v>
      </c>
      <c r="J65" s="71">
        <f t="shared" ca="1" si="6"/>
        <v>1.5194444444444444</v>
      </c>
      <c r="K65" s="71">
        <f t="shared" ca="1" si="7"/>
        <v>554</v>
      </c>
      <c r="L65" s="71">
        <f t="shared" ca="1" si="8"/>
        <v>18.466666666666665</v>
      </c>
      <c r="M65" s="71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</row>
    <row r="66" spans="1:45" ht="16" x14ac:dyDescent="0.2">
      <c r="A66" s="1">
        <f t="shared" si="9"/>
        <v>26</v>
      </c>
      <c r="B66" s="559" t="s">
        <v>170</v>
      </c>
      <c r="C66" s="343" t="s">
        <v>614</v>
      </c>
      <c r="D66" s="40">
        <v>9</v>
      </c>
      <c r="E66" s="69">
        <v>1253152</v>
      </c>
      <c r="F66" s="69" t="s">
        <v>15</v>
      </c>
      <c r="G66" s="69" t="s">
        <v>41</v>
      </c>
      <c r="H66" s="69" t="s">
        <v>549</v>
      </c>
      <c r="I66" s="70">
        <v>43831</v>
      </c>
      <c r="J66" s="71">
        <f t="shared" ca="1" si="6"/>
        <v>1.5194444444444444</v>
      </c>
      <c r="K66" s="71">
        <f t="shared" ca="1" si="7"/>
        <v>554</v>
      </c>
      <c r="L66" s="71">
        <f t="shared" ca="1" si="8"/>
        <v>18.466666666666665</v>
      </c>
      <c r="M66" s="71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</row>
    <row r="67" spans="1:45" ht="16" x14ac:dyDescent="0.2">
      <c r="A67" s="1">
        <f t="shared" si="9"/>
        <v>27</v>
      </c>
      <c r="B67" s="559" t="s">
        <v>171</v>
      </c>
      <c r="C67" s="343" t="s">
        <v>615</v>
      </c>
      <c r="D67" s="40">
        <v>9</v>
      </c>
      <c r="E67" s="75">
        <v>1253152</v>
      </c>
      <c r="F67" s="75" t="s">
        <v>15</v>
      </c>
      <c r="G67" s="75" t="s">
        <v>41</v>
      </c>
      <c r="H67" s="75" t="s">
        <v>548</v>
      </c>
      <c r="I67" s="76">
        <v>43831</v>
      </c>
      <c r="J67" s="77">
        <f t="shared" ca="1" si="6"/>
        <v>1.5194444444444444</v>
      </c>
      <c r="K67" s="77">
        <f t="shared" ca="1" si="7"/>
        <v>554</v>
      </c>
      <c r="L67" s="71">
        <f t="shared" ca="1" si="8"/>
        <v>18.466666666666665</v>
      </c>
      <c r="M67" s="71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</row>
    <row r="68" spans="1:45" x14ac:dyDescent="0.2">
      <c r="K68" s="544" t="s">
        <v>653</v>
      </c>
      <c r="L68" s="545">
        <f>SUM(M41:M67)</f>
        <v>3600</v>
      </c>
      <c r="M68" s="545">
        <f t="shared" ref="M68:AQ68" si="10">SUM(N41:N67)</f>
        <v>1444</v>
      </c>
      <c r="N68" s="545">
        <f t="shared" si="10"/>
        <v>633</v>
      </c>
      <c r="O68" s="545">
        <f t="shared" si="10"/>
        <v>3118</v>
      </c>
      <c r="P68" s="545">
        <f t="shared" si="10"/>
        <v>1012</v>
      </c>
      <c r="Q68" s="545">
        <f t="shared" si="10"/>
        <v>3675</v>
      </c>
      <c r="R68" s="545">
        <f t="shared" si="10"/>
        <v>0</v>
      </c>
      <c r="S68" s="545">
        <f t="shared" si="10"/>
        <v>3238</v>
      </c>
      <c r="T68" s="545">
        <f t="shared" si="10"/>
        <v>0</v>
      </c>
      <c r="U68" s="545">
        <f t="shared" si="10"/>
        <v>2849</v>
      </c>
      <c r="V68" s="545">
        <f t="shared" si="10"/>
        <v>804</v>
      </c>
      <c r="W68" s="545">
        <f t="shared" si="10"/>
        <v>2745</v>
      </c>
      <c r="X68" s="545">
        <f t="shared" si="10"/>
        <v>0</v>
      </c>
      <c r="Y68" s="545">
        <f t="shared" si="10"/>
        <v>2541</v>
      </c>
      <c r="Z68" s="545">
        <f t="shared" si="10"/>
        <v>0</v>
      </c>
      <c r="AA68" s="545">
        <f t="shared" si="10"/>
        <v>2224</v>
      </c>
      <c r="AB68" s="545">
        <f t="shared" si="10"/>
        <v>1376</v>
      </c>
      <c r="AC68" s="545">
        <f t="shared" si="10"/>
        <v>2963</v>
      </c>
      <c r="AD68" s="545">
        <f t="shared" si="10"/>
        <v>0</v>
      </c>
      <c r="AE68" s="545">
        <f t="shared" si="10"/>
        <v>2486</v>
      </c>
      <c r="AF68" s="545">
        <f t="shared" si="10"/>
        <v>1114</v>
      </c>
      <c r="AG68" s="545">
        <f t="shared" si="10"/>
        <v>2842</v>
      </c>
      <c r="AH68" s="545">
        <f t="shared" si="10"/>
        <v>2554</v>
      </c>
      <c r="AI68" s="545">
        <f t="shared" si="10"/>
        <v>2254</v>
      </c>
      <c r="AJ68" s="545">
        <f t="shared" si="10"/>
        <v>1346</v>
      </c>
      <c r="AK68" s="545">
        <f t="shared" si="10"/>
        <v>3008</v>
      </c>
      <c r="AL68" s="545">
        <f t="shared" si="10"/>
        <v>592</v>
      </c>
      <c r="AM68" s="545">
        <f t="shared" si="10"/>
        <v>3134</v>
      </c>
      <c r="AN68" s="545">
        <f t="shared" si="10"/>
        <v>466</v>
      </c>
      <c r="AO68" s="545">
        <f t="shared" si="10"/>
        <v>2957</v>
      </c>
      <c r="AP68" s="545">
        <f t="shared" si="10"/>
        <v>650</v>
      </c>
      <c r="AQ68" s="545">
        <f t="shared" si="10"/>
        <v>2727</v>
      </c>
      <c r="AR68" s="562">
        <f>SUM(AR41:AR67)</f>
        <v>2727</v>
      </c>
      <c r="AS68" s="543">
        <f>SUM(AS41:AS67)</f>
        <v>871</v>
      </c>
    </row>
    <row r="69" spans="1:45" x14ac:dyDescent="0.2">
      <c r="A69" s="1"/>
      <c r="B69" s="1"/>
      <c r="C69" s="1"/>
      <c r="D69" s="1"/>
    </row>
    <row r="73" spans="1:45" ht="16" x14ac:dyDescent="0.2">
      <c r="L73" s="494" t="s">
        <v>654</v>
      </c>
    </row>
    <row r="74" spans="1:45" ht="16" x14ac:dyDescent="0.2">
      <c r="L74" s="495" t="s">
        <v>655</v>
      </c>
      <c r="M74" s="515" t="s">
        <v>656</v>
      </c>
      <c r="N74" s="515" t="s">
        <v>657</v>
      </c>
      <c r="O74" s="515" t="s">
        <v>658</v>
      </c>
      <c r="P74" s="515" t="s">
        <v>659</v>
      </c>
      <c r="Q74" s="515" t="s">
        <v>660</v>
      </c>
      <c r="R74" s="515" t="s">
        <v>661</v>
      </c>
      <c r="S74" s="515" t="s">
        <v>662</v>
      </c>
      <c r="T74" s="515" t="s">
        <v>663</v>
      </c>
      <c r="U74" s="515" t="s">
        <v>664</v>
      </c>
      <c r="V74" s="515" t="s">
        <v>665</v>
      </c>
      <c r="W74" s="515" t="s">
        <v>666</v>
      </c>
      <c r="X74" s="515" t="s">
        <v>667</v>
      </c>
      <c r="Y74" s="515" t="s">
        <v>668</v>
      </c>
      <c r="Z74" s="515" t="s">
        <v>669</v>
      </c>
      <c r="AA74" s="515" t="s">
        <v>670</v>
      </c>
      <c r="AB74" s="515" t="s">
        <v>671</v>
      </c>
      <c r="AC74" s="515" t="s">
        <v>672</v>
      </c>
      <c r="AD74" s="515" t="s">
        <v>673</v>
      </c>
      <c r="AE74" s="515" t="s">
        <v>674</v>
      </c>
      <c r="AF74" s="515" t="s">
        <v>675</v>
      </c>
      <c r="AG74" s="515" t="s">
        <v>676</v>
      </c>
      <c r="AH74" s="515" t="s">
        <v>677</v>
      </c>
      <c r="AI74" s="515" t="s">
        <v>678</v>
      </c>
      <c r="AJ74" s="515" t="s">
        <v>679</v>
      </c>
      <c r="AK74" s="516" t="s">
        <v>680</v>
      </c>
    </row>
    <row r="75" spans="1:45" ht="16" x14ac:dyDescent="0.2">
      <c r="L75" s="547">
        <v>1275958</v>
      </c>
      <c r="M75" s="1">
        <f>85/3</f>
        <v>28.333333333333332</v>
      </c>
      <c r="N75">
        <f>38/3</f>
        <v>12.666666666666666</v>
      </c>
      <c r="O75">
        <f>(400-338)/3</f>
        <v>20.666666666666668</v>
      </c>
      <c r="P75">
        <f>(448-391)/3</f>
        <v>19</v>
      </c>
      <c r="AK75" s="557"/>
    </row>
    <row r="76" spans="1:45" ht="16" x14ac:dyDescent="0.2">
      <c r="L76" s="548">
        <v>1275948</v>
      </c>
      <c r="M76" s="1">
        <f>184/3</f>
        <v>61.333333333333336</v>
      </c>
      <c r="N76">
        <f>21/3</f>
        <v>7</v>
      </c>
      <c r="O76">
        <f>(400-285)/3</f>
        <v>38.333333333333336</v>
      </c>
      <c r="P76">
        <f>(415-398)/3</f>
        <v>5.666666666666667</v>
      </c>
      <c r="AK76" s="557"/>
    </row>
    <row r="77" spans="1:45" ht="16" x14ac:dyDescent="0.2">
      <c r="L77" s="549">
        <v>1299774</v>
      </c>
      <c r="M77" s="1">
        <f>225/4</f>
        <v>56.25</v>
      </c>
      <c r="N77">
        <f>88/2</f>
        <v>44</v>
      </c>
      <c r="O77">
        <f>(400-302)/4</f>
        <v>24.5</v>
      </c>
      <c r="P77">
        <f>(465-385)/4</f>
        <v>20</v>
      </c>
      <c r="AK77" s="557"/>
    </row>
    <row r="78" spans="1:45" ht="16" x14ac:dyDescent="0.2">
      <c r="L78" s="550">
        <v>1312798</v>
      </c>
      <c r="M78" s="1">
        <f>165/2</f>
        <v>82.5</v>
      </c>
      <c r="N78">
        <f>32/2</f>
        <v>16</v>
      </c>
      <c r="O78">
        <f>(400-385)/2</f>
        <v>7.5</v>
      </c>
      <c r="AK78" s="557"/>
    </row>
    <row r="79" spans="1:45" ht="16" x14ac:dyDescent="0.2">
      <c r="L79" s="551">
        <v>1343433</v>
      </c>
      <c r="M79" s="1">
        <f>44/2</f>
        <v>22</v>
      </c>
      <c r="N79">
        <f>88/2</f>
        <v>44</v>
      </c>
      <c r="O79">
        <f>(400-387)/2</f>
        <v>6.5</v>
      </c>
      <c r="AK79" s="557"/>
    </row>
    <row r="80" spans="1:45" ht="16" x14ac:dyDescent="0.2">
      <c r="L80" s="552">
        <v>1198647</v>
      </c>
      <c r="M80" s="1">
        <f>174/2</f>
        <v>87</v>
      </c>
      <c r="N80">
        <f>74/2</f>
        <v>37</v>
      </c>
      <c r="AK80" s="557"/>
    </row>
    <row r="81" spans="12:37" ht="16" x14ac:dyDescent="0.2">
      <c r="L81" s="552">
        <v>1275960</v>
      </c>
      <c r="M81" s="1">
        <f>247/5</f>
        <v>49.4</v>
      </c>
      <c r="N81">
        <f>85/5</f>
        <v>17</v>
      </c>
      <c r="AK81" s="557"/>
    </row>
    <row r="82" spans="12:37" ht="16" x14ac:dyDescent="0.2">
      <c r="L82" s="552">
        <v>1253158</v>
      </c>
      <c r="M82" s="1">
        <f>84/2</f>
        <v>42</v>
      </c>
      <c r="N82">
        <f>110/2</f>
        <v>55</v>
      </c>
      <c r="AK82" s="557"/>
    </row>
    <row r="83" spans="12:37" ht="16" x14ac:dyDescent="0.2">
      <c r="L83" s="553">
        <v>1253152</v>
      </c>
      <c r="M83" s="554">
        <f>236/4</f>
        <v>59</v>
      </c>
      <c r="N83" s="555">
        <f>78/4</f>
        <v>19.5</v>
      </c>
      <c r="O83" s="555"/>
      <c r="P83" s="555"/>
      <c r="Q83" s="555"/>
      <c r="R83" s="555"/>
      <c r="S83" s="555"/>
      <c r="T83" s="555"/>
      <c r="U83" s="555"/>
      <c r="V83" s="555"/>
      <c r="W83" s="555"/>
      <c r="X83" s="555"/>
      <c r="Y83" s="555"/>
      <c r="Z83" s="555"/>
      <c r="AA83" s="555"/>
      <c r="AB83" s="555"/>
      <c r="AC83" s="555"/>
      <c r="AD83" s="555"/>
      <c r="AE83" s="555"/>
      <c r="AF83" s="555"/>
      <c r="AG83" s="555"/>
      <c r="AH83" s="555"/>
      <c r="AI83" s="555"/>
      <c r="AJ83" s="555"/>
      <c r="AK83" s="558"/>
    </row>
    <row r="85" spans="12:37" ht="16" x14ac:dyDescent="0.2">
      <c r="L85" s="494" t="s">
        <v>681</v>
      </c>
    </row>
    <row r="86" spans="12:37" ht="16" x14ac:dyDescent="0.2">
      <c r="L86" s="556" t="s">
        <v>53</v>
      </c>
      <c r="M86" s="515" t="s">
        <v>656</v>
      </c>
      <c r="N86" s="515" t="s">
        <v>657</v>
      </c>
      <c r="O86" s="515" t="s">
        <v>658</v>
      </c>
      <c r="P86" s="515" t="s">
        <v>659</v>
      </c>
      <c r="Q86" s="515" t="s">
        <v>660</v>
      </c>
      <c r="R86" s="515" t="s">
        <v>661</v>
      </c>
      <c r="S86" s="515" t="s">
        <v>662</v>
      </c>
      <c r="T86" s="515" t="s">
        <v>663</v>
      </c>
      <c r="U86" s="515" t="s">
        <v>664</v>
      </c>
      <c r="V86" s="515" t="s">
        <v>665</v>
      </c>
      <c r="W86" s="515" t="s">
        <v>666</v>
      </c>
      <c r="X86" s="515" t="s">
        <v>667</v>
      </c>
      <c r="Y86" s="515" t="s">
        <v>668</v>
      </c>
      <c r="Z86" s="515" t="s">
        <v>669</v>
      </c>
      <c r="AA86" s="515" t="s">
        <v>670</v>
      </c>
      <c r="AB86" s="515" t="s">
        <v>671</v>
      </c>
      <c r="AC86" s="515" t="s">
        <v>672</v>
      </c>
      <c r="AD86" s="515" t="s">
        <v>673</v>
      </c>
      <c r="AE86" s="515" t="s">
        <v>674</v>
      </c>
      <c r="AF86" s="515" t="s">
        <v>675</v>
      </c>
      <c r="AG86" s="515" t="s">
        <v>676</v>
      </c>
      <c r="AH86" s="515" t="s">
        <v>677</v>
      </c>
      <c r="AI86" s="515" t="s">
        <v>678</v>
      </c>
      <c r="AJ86" s="515" t="s">
        <v>679</v>
      </c>
      <c r="AK86" s="516" t="s">
        <v>680</v>
      </c>
    </row>
    <row r="87" spans="12:37" ht="16" x14ac:dyDescent="0.2">
      <c r="L87" s="548" t="s">
        <v>22</v>
      </c>
      <c r="AK87" s="557"/>
    </row>
    <row r="88" spans="12:37" x14ac:dyDescent="0.2">
      <c r="L88" s="563" t="s">
        <v>37</v>
      </c>
      <c r="AK88" s="557"/>
    </row>
    <row r="89" spans="12:37" ht="16" x14ac:dyDescent="0.2">
      <c r="L89" s="553" t="s">
        <v>41</v>
      </c>
      <c r="M89" s="555"/>
      <c r="N89" s="555"/>
      <c r="O89" s="555"/>
      <c r="P89" s="555"/>
      <c r="Q89" s="555"/>
      <c r="R89" s="555"/>
      <c r="S89" s="555"/>
      <c r="T89" s="555"/>
      <c r="U89" s="555"/>
      <c r="V89" s="555"/>
      <c r="W89" s="555"/>
      <c r="X89" s="555"/>
      <c r="Y89" s="555"/>
      <c r="Z89" s="555"/>
      <c r="AA89" s="555"/>
      <c r="AB89" s="555"/>
      <c r="AC89" s="555"/>
      <c r="AD89" s="555"/>
      <c r="AE89" s="555"/>
      <c r="AF89" s="555"/>
      <c r="AG89" s="555"/>
      <c r="AH89" s="555"/>
      <c r="AI89" s="555"/>
      <c r="AJ89" s="555"/>
      <c r="AK89" s="558"/>
    </row>
  </sheetData>
  <pageMargins left="0.7" right="0.7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C5A0-186A-46E6-A8E2-735EDAC87237}">
  <sheetPr codeName="Sheet6">
    <tabColor rgb="FFFFC000"/>
    <pageSetUpPr fitToPage="1"/>
  </sheetPr>
  <dimension ref="A1:BA90"/>
  <sheetViews>
    <sheetView topLeftCell="D3" workbookViewId="0">
      <selection activeCell="K26" sqref="K26"/>
    </sheetView>
  </sheetViews>
  <sheetFormatPr baseColWidth="10" defaultColWidth="8.83203125" defaultRowHeight="15" x14ac:dyDescent="0.2"/>
  <cols>
    <col min="1" max="1" width="22.5" customWidth="1"/>
    <col min="2" max="2" width="18" customWidth="1"/>
    <col min="3" max="3" width="17.1640625" customWidth="1"/>
    <col min="4" max="5" width="12.1640625" customWidth="1"/>
    <col min="7" max="7" width="28.5" customWidth="1"/>
    <col min="8" max="8" width="22.6640625" customWidth="1"/>
    <col min="9" max="9" width="11.6640625" customWidth="1"/>
    <col min="11" max="11" width="24.33203125" customWidth="1"/>
    <col min="12" max="12" width="18" customWidth="1"/>
    <col min="13" max="13" width="26.1640625" customWidth="1"/>
    <col min="14" max="14" width="28.33203125" customWidth="1"/>
    <col min="15" max="36" width="20.5" customWidth="1"/>
    <col min="37" max="37" width="31" customWidth="1"/>
    <col min="38" max="38" width="9.83203125" bestFit="1" customWidth="1"/>
    <col min="39" max="39" width="11.1640625" customWidth="1"/>
  </cols>
  <sheetData>
    <row r="1" spans="1:37" ht="16" x14ac:dyDescent="0.2">
      <c r="A1" s="14" t="s">
        <v>0</v>
      </c>
      <c r="B1" s="125" t="s">
        <v>50</v>
      </c>
      <c r="C1" s="338" t="s">
        <v>682</v>
      </c>
      <c r="D1" s="573" t="s">
        <v>52</v>
      </c>
      <c r="E1" s="573" t="s">
        <v>53</v>
      </c>
      <c r="F1" s="573" t="s">
        <v>538</v>
      </c>
      <c r="G1" s="573" t="s">
        <v>683</v>
      </c>
      <c r="H1" s="573" t="s">
        <v>54</v>
      </c>
      <c r="I1" s="341" t="s">
        <v>539</v>
      </c>
      <c r="J1" s="341" t="s">
        <v>540</v>
      </c>
      <c r="K1" s="341" t="s">
        <v>541</v>
      </c>
      <c r="L1" s="574" t="s">
        <v>542</v>
      </c>
      <c r="M1" s="174" t="s">
        <v>684</v>
      </c>
      <c r="N1" s="174" t="s">
        <v>685</v>
      </c>
      <c r="O1" s="14" t="s">
        <v>686</v>
      </c>
      <c r="P1" s="14" t="s">
        <v>687</v>
      </c>
      <c r="Q1" s="14" t="s">
        <v>688</v>
      </c>
      <c r="R1" s="14" t="s">
        <v>689</v>
      </c>
      <c r="S1" s="14" t="s">
        <v>690</v>
      </c>
      <c r="T1" s="14" t="s">
        <v>691</v>
      </c>
      <c r="U1" s="14" t="s">
        <v>692</v>
      </c>
      <c r="V1" s="14" t="s">
        <v>693</v>
      </c>
      <c r="W1" s="14" t="s">
        <v>694</v>
      </c>
      <c r="X1" s="14" t="s">
        <v>695</v>
      </c>
      <c r="Y1" s="14" t="s">
        <v>696</v>
      </c>
      <c r="Z1" s="14" t="s">
        <v>697</v>
      </c>
      <c r="AA1" s="14" t="s">
        <v>698</v>
      </c>
      <c r="AB1" s="14" t="s">
        <v>699</v>
      </c>
      <c r="AC1" s="14" t="s">
        <v>700</v>
      </c>
      <c r="AD1" s="14" t="s">
        <v>701</v>
      </c>
      <c r="AE1" s="14" t="s">
        <v>702</v>
      </c>
      <c r="AF1" s="14" t="s">
        <v>703</v>
      </c>
      <c r="AG1" s="14" t="s">
        <v>704</v>
      </c>
      <c r="AH1" s="14" t="s">
        <v>705</v>
      </c>
      <c r="AI1" s="368" t="s">
        <v>706</v>
      </c>
    </row>
    <row r="2" spans="1:37" ht="16" x14ac:dyDescent="0.2">
      <c r="A2" s="87">
        <v>1</v>
      </c>
      <c r="B2" s="1" t="s">
        <v>172</v>
      </c>
      <c r="C2" s="14" t="s">
        <v>707</v>
      </c>
      <c r="D2" s="16" t="s">
        <v>17</v>
      </c>
      <c r="E2" s="16" t="s">
        <v>173</v>
      </c>
      <c r="F2" s="16" t="s">
        <v>551</v>
      </c>
      <c r="G2" s="16">
        <v>1362659</v>
      </c>
      <c r="H2" s="94">
        <v>43927</v>
      </c>
      <c r="I2" s="85">
        <f t="shared" ref="I2:I18" ca="1" si="0">YEARFRAC(H2,TODAY())</f>
        <v>1.2555555555555555</v>
      </c>
      <c r="J2" s="16">
        <f t="shared" ref="J2:J18" ca="1" si="1">_xlfn.DAYS(TODAY(),H2)</f>
        <v>458</v>
      </c>
      <c r="K2" s="16">
        <f t="shared" ref="K2:K18" ca="1" si="2">J2/30</f>
        <v>15.266666666666667</v>
      </c>
      <c r="L2" s="102" t="s">
        <v>708</v>
      </c>
      <c r="M2" s="129">
        <v>204</v>
      </c>
      <c r="N2" s="334"/>
      <c r="O2" s="132">
        <v>28</v>
      </c>
      <c r="P2" s="129">
        <v>29</v>
      </c>
      <c r="Q2" s="132">
        <v>29</v>
      </c>
      <c r="R2" s="129">
        <v>30</v>
      </c>
      <c r="S2" s="132">
        <v>34</v>
      </c>
      <c r="T2" s="132">
        <v>38</v>
      </c>
      <c r="U2" s="129">
        <v>37</v>
      </c>
      <c r="V2" s="167">
        <v>38</v>
      </c>
      <c r="W2" s="129">
        <v>38</v>
      </c>
      <c r="X2" s="132">
        <v>38</v>
      </c>
      <c r="Y2" s="132">
        <v>38</v>
      </c>
      <c r="Z2" s="129">
        <v>38</v>
      </c>
      <c r="AA2" s="129">
        <v>39</v>
      </c>
      <c r="AB2" s="129">
        <v>39</v>
      </c>
      <c r="AC2" s="129">
        <v>41</v>
      </c>
      <c r="AD2" s="129">
        <v>41</v>
      </c>
      <c r="AE2" s="129">
        <v>42</v>
      </c>
      <c r="AF2" s="129">
        <v>43</v>
      </c>
      <c r="AG2" s="129">
        <v>43</v>
      </c>
      <c r="AH2" s="129" t="s">
        <v>651</v>
      </c>
      <c r="AI2" s="369">
        <v>44298</v>
      </c>
      <c r="AJ2" s="6"/>
      <c r="AK2" s="6"/>
    </row>
    <row r="3" spans="1:37" ht="16" x14ac:dyDescent="0.2">
      <c r="A3" s="87">
        <f>1+A2</f>
        <v>2</v>
      </c>
      <c r="B3" s="1" t="s">
        <v>174</v>
      </c>
      <c r="C3" s="14" t="s">
        <v>707</v>
      </c>
      <c r="D3" s="16" t="s">
        <v>17</v>
      </c>
      <c r="E3" s="16" t="s">
        <v>173</v>
      </c>
      <c r="F3" s="16" t="s">
        <v>549</v>
      </c>
      <c r="G3" s="16">
        <v>1362659</v>
      </c>
      <c r="H3" s="94">
        <v>43927</v>
      </c>
      <c r="I3" s="85">
        <f t="shared" ca="1" si="0"/>
        <v>1.2555555555555555</v>
      </c>
      <c r="J3" s="16">
        <f t="shared" ca="1" si="1"/>
        <v>458</v>
      </c>
      <c r="K3" s="16">
        <f t="shared" ca="1" si="2"/>
        <v>15.266666666666667</v>
      </c>
      <c r="L3" s="102" t="s">
        <v>708</v>
      </c>
      <c r="M3" s="129">
        <v>183</v>
      </c>
      <c r="N3" s="334"/>
      <c r="O3" s="132">
        <v>26</v>
      </c>
      <c r="P3" s="129">
        <v>27</v>
      </c>
      <c r="Q3" s="132">
        <v>30</v>
      </c>
      <c r="R3" s="129">
        <v>32</v>
      </c>
      <c r="S3" s="132">
        <v>33</v>
      </c>
      <c r="T3" s="132">
        <v>35</v>
      </c>
      <c r="U3" s="129">
        <v>35</v>
      </c>
      <c r="V3" s="167">
        <v>37</v>
      </c>
      <c r="W3" s="129">
        <v>38</v>
      </c>
      <c r="X3" s="132">
        <v>40</v>
      </c>
      <c r="Y3" s="132">
        <v>41</v>
      </c>
      <c r="Z3" s="129">
        <v>43</v>
      </c>
      <c r="AA3" s="129">
        <v>43</v>
      </c>
      <c r="AB3" s="129">
        <v>45</v>
      </c>
      <c r="AC3" s="129">
        <v>45</v>
      </c>
      <c r="AD3" s="129">
        <v>46</v>
      </c>
      <c r="AE3" s="129">
        <v>48</v>
      </c>
      <c r="AF3" s="129">
        <v>49</v>
      </c>
      <c r="AG3" s="129">
        <v>50</v>
      </c>
      <c r="AH3" s="129"/>
      <c r="AI3" s="369">
        <v>44298</v>
      </c>
    </row>
    <row r="4" spans="1:37" ht="16" x14ac:dyDescent="0.2">
      <c r="A4" s="87">
        <f t="shared" ref="A4:A30" si="3">1+A3</f>
        <v>3</v>
      </c>
      <c r="B4" s="492" t="s">
        <v>175</v>
      </c>
      <c r="C4" s="14" t="s">
        <v>707</v>
      </c>
      <c r="D4" s="16" t="s">
        <v>17</v>
      </c>
      <c r="E4" s="16" t="s">
        <v>173</v>
      </c>
      <c r="F4" s="16" t="s">
        <v>592</v>
      </c>
      <c r="G4" s="16" t="s">
        <v>176</v>
      </c>
      <c r="H4" s="94">
        <v>43950</v>
      </c>
      <c r="I4" s="85">
        <f t="shared" ref="I4" ca="1" si="4">YEARFRAC(H4,TODAY())</f>
        <v>1.1916666666666667</v>
      </c>
      <c r="J4" s="16">
        <f t="shared" ref="J4" ca="1" si="5">_xlfn.DAYS(TODAY(),H4)</f>
        <v>435</v>
      </c>
      <c r="K4" s="16">
        <f t="shared" ref="K4" ca="1" si="6">J4/30</f>
        <v>14.5</v>
      </c>
      <c r="L4" s="102" t="s">
        <v>708</v>
      </c>
      <c r="M4" s="129">
        <v>168</v>
      </c>
      <c r="N4" s="132">
        <v>142</v>
      </c>
      <c r="O4" s="132">
        <v>27</v>
      </c>
      <c r="P4" s="129">
        <v>29</v>
      </c>
      <c r="Q4" s="132">
        <v>31</v>
      </c>
      <c r="R4" s="129">
        <v>33</v>
      </c>
      <c r="S4" s="132">
        <v>34</v>
      </c>
      <c r="T4" s="132">
        <v>34</v>
      </c>
      <c r="U4" s="129">
        <v>39</v>
      </c>
      <c r="V4" s="167">
        <v>37</v>
      </c>
      <c r="W4" s="129">
        <v>38</v>
      </c>
      <c r="X4" s="132">
        <v>39</v>
      </c>
      <c r="Y4" s="132" t="s">
        <v>709</v>
      </c>
      <c r="Z4" s="129" t="s">
        <v>709</v>
      </c>
      <c r="AA4" s="129" t="s">
        <v>709</v>
      </c>
      <c r="AB4" s="129" t="s">
        <v>709</v>
      </c>
      <c r="AC4" s="129" t="s">
        <v>709</v>
      </c>
      <c r="AD4" s="129" t="s">
        <v>709</v>
      </c>
      <c r="AE4" s="129" t="s">
        <v>709</v>
      </c>
      <c r="AF4" s="129" t="s">
        <v>709</v>
      </c>
      <c r="AG4" s="129" t="s">
        <v>709</v>
      </c>
      <c r="AH4" s="129"/>
      <c r="AI4" s="369">
        <v>44298</v>
      </c>
    </row>
    <row r="5" spans="1:37" ht="16" x14ac:dyDescent="0.2">
      <c r="A5" s="87">
        <f t="shared" si="3"/>
        <v>4</v>
      </c>
      <c r="B5" s="1" t="s">
        <v>177</v>
      </c>
      <c r="C5" s="14" t="s">
        <v>707</v>
      </c>
      <c r="D5" s="16" t="s">
        <v>17</v>
      </c>
      <c r="E5" s="16" t="s">
        <v>173</v>
      </c>
      <c r="F5" s="16" t="s">
        <v>548</v>
      </c>
      <c r="G5" s="16" t="s">
        <v>176</v>
      </c>
      <c r="H5" s="94">
        <v>43927</v>
      </c>
      <c r="I5" s="85">
        <f t="shared" ca="1" si="0"/>
        <v>1.2555555555555555</v>
      </c>
      <c r="J5" s="16">
        <f t="shared" ca="1" si="1"/>
        <v>458</v>
      </c>
      <c r="K5" s="16">
        <f t="shared" ca="1" si="2"/>
        <v>15.266666666666667</v>
      </c>
      <c r="L5" s="102" t="s">
        <v>708</v>
      </c>
      <c r="M5" s="129">
        <v>183</v>
      </c>
      <c r="N5" s="334"/>
      <c r="O5" s="132">
        <v>26</v>
      </c>
      <c r="P5" s="129">
        <v>28</v>
      </c>
      <c r="Q5" s="132">
        <v>31</v>
      </c>
      <c r="R5" s="129">
        <v>34</v>
      </c>
      <c r="S5" s="132">
        <v>34</v>
      </c>
      <c r="T5" s="132">
        <v>35</v>
      </c>
      <c r="U5" s="129">
        <v>38</v>
      </c>
      <c r="V5" s="167">
        <v>36</v>
      </c>
      <c r="W5" s="129">
        <v>37</v>
      </c>
      <c r="X5" s="132">
        <v>39</v>
      </c>
      <c r="Y5" s="132">
        <v>39</v>
      </c>
      <c r="Z5" s="129">
        <v>39</v>
      </c>
      <c r="AA5" s="129">
        <v>41</v>
      </c>
      <c r="AB5" s="129">
        <v>41</v>
      </c>
      <c r="AC5" s="129">
        <v>41</v>
      </c>
      <c r="AD5" s="129">
        <v>43</v>
      </c>
      <c r="AE5" s="129">
        <v>43</v>
      </c>
      <c r="AF5" s="129">
        <v>44</v>
      </c>
      <c r="AG5" s="129">
        <v>44</v>
      </c>
      <c r="AH5" s="129"/>
      <c r="AI5" s="369">
        <v>44298</v>
      </c>
    </row>
    <row r="6" spans="1:37" ht="16" x14ac:dyDescent="0.2">
      <c r="A6" s="87">
        <f t="shared" si="3"/>
        <v>5</v>
      </c>
      <c r="B6" s="1" t="s">
        <v>178</v>
      </c>
      <c r="C6" s="14" t="s">
        <v>710</v>
      </c>
      <c r="D6" s="16" t="s">
        <v>15</v>
      </c>
      <c r="E6" s="16" t="s">
        <v>173</v>
      </c>
      <c r="F6" s="16" t="s">
        <v>592</v>
      </c>
      <c r="G6" s="16">
        <v>1324361</v>
      </c>
      <c r="H6" s="94">
        <v>43936</v>
      </c>
      <c r="I6" s="85">
        <f t="shared" ca="1" si="0"/>
        <v>1.2305555555555556</v>
      </c>
      <c r="J6" s="16">
        <f t="shared" ca="1" si="1"/>
        <v>449</v>
      </c>
      <c r="K6" s="16">
        <f t="shared" ca="1" si="2"/>
        <v>14.966666666666667</v>
      </c>
      <c r="L6" s="340" t="s">
        <v>547</v>
      </c>
      <c r="M6" s="129">
        <v>137</v>
      </c>
      <c r="N6" s="334"/>
      <c r="O6" s="132">
        <v>28</v>
      </c>
      <c r="P6" s="129">
        <v>29</v>
      </c>
      <c r="Q6" s="132">
        <v>29</v>
      </c>
      <c r="R6" s="129">
        <v>29</v>
      </c>
      <c r="S6" s="132" t="s">
        <v>709</v>
      </c>
      <c r="T6" s="132" t="s">
        <v>709</v>
      </c>
      <c r="U6" s="132" t="s">
        <v>709</v>
      </c>
      <c r="V6" s="132" t="s">
        <v>709</v>
      </c>
      <c r="W6" s="132" t="s">
        <v>709</v>
      </c>
      <c r="X6" s="132" t="s">
        <v>709</v>
      </c>
      <c r="Y6" s="132" t="s">
        <v>709</v>
      </c>
      <c r="Z6" s="132" t="s">
        <v>709</v>
      </c>
      <c r="AA6" s="132" t="s">
        <v>709</v>
      </c>
      <c r="AB6" s="132" t="s">
        <v>709</v>
      </c>
      <c r="AC6" s="132" t="s">
        <v>709</v>
      </c>
      <c r="AD6" s="132" t="s">
        <v>709</v>
      </c>
      <c r="AE6" s="132" t="s">
        <v>709</v>
      </c>
      <c r="AF6" s="129">
        <v>28</v>
      </c>
      <c r="AG6" s="129">
        <v>28</v>
      </c>
      <c r="AH6" s="129"/>
      <c r="AI6" s="369">
        <v>44298</v>
      </c>
    </row>
    <row r="7" spans="1:37" ht="16" x14ac:dyDescent="0.2">
      <c r="A7" s="87">
        <f t="shared" si="3"/>
        <v>6</v>
      </c>
      <c r="B7" s="1" t="s">
        <v>179</v>
      </c>
      <c r="C7" s="14" t="s">
        <v>710</v>
      </c>
      <c r="D7" s="16" t="s">
        <v>15</v>
      </c>
      <c r="E7" s="16" t="s">
        <v>173</v>
      </c>
      <c r="F7" s="16" t="s">
        <v>551</v>
      </c>
      <c r="G7" s="16">
        <v>1324361</v>
      </c>
      <c r="H7" s="94">
        <v>43936</v>
      </c>
      <c r="I7" s="85">
        <f t="shared" ca="1" si="0"/>
        <v>1.2305555555555556</v>
      </c>
      <c r="J7" s="16">
        <f t="shared" ca="1" si="1"/>
        <v>449</v>
      </c>
      <c r="K7" s="16">
        <f t="shared" ca="1" si="2"/>
        <v>14.966666666666667</v>
      </c>
      <c r="L7" s="340" t="s">
        <v>547</v>
      </c>
      <c r="M7" s="129">
        <v>207</v>
      </c>
      <c r="N7" s="334"/>
      <c r="O7" s="132">
        <v>30</v>
      </c>
      <c r="P7" s="129">
        <v>30</v>
      </c>
      <c r="Q7" s="132">
        <v>30</v>
      </c>
      <c r="R7" s="129">
        <v>30</v>
      </c>
      <c r="S7" s="132" t="s">
        <v>709</v>
      </c>
      <c r="T7" s="132" t="s">
        <v>709</v>
      </c>
      <c r="U7" s="132" t="s">
        <v>709</v>
      </c>
      <c r="V7" s="132" t="s">
        <v>709</v>
      </c>
      <c r="W7" s="132" t="s">
        <v>709</v>
      </c>
      <c r="X7" s="132" t="s">
        <v>709</v>
      </c>
      <c r="Y7" s="132" t="s">
        <v>709</v>
      </c>
      <c r="Z7" s="132" t="s">
        <v>709</v>
      </c>
      <c r="AA7" s="132" t="s">
        <v>709</v>
      </c>
      <c r="AB7" s="132" t="s">
        <v>709</v>
      </c>
      <c r="AC7" s="132" t="s">
        <v>709</v>
      </c>
      <c r="AD7" s="132" t="s">
        <v>709</v>
      </c>
      <c r="AE7" s="132" t="s">
        <v>709</v>
      </c>
      <c r="AF7" s="129">
        <v>29</v>
      </c>
      <c r="AG7" s="129">
        <v>29</v>
      </c>
      <c r="AH7" s="129"/>
      <c r="AI7" s="369">
        <v>44298</v>
      </c>
    </row>
    <row r="8" spans="1:37" ht="16" x14ac:dyDescent="0.2">
      <c r="A8" s="87">
        <f t="shared" si="3"/>
        <v>7</v>
      </c>
      <c r="B8" s="1" t="s">
        <v>180</v>
      </c>
      <c r="C8" s="14" t="s">
        <v>710</v>
      </c>
      <c r="D8" s="16" t="s">
        <v>15</v>
      </c>
      <c r="E8" s="16" t="s">
        <v>173</v>
      </c>
      <c r="F8" s="16" t="s">
        <v>549</v>
      </c>
      <c r="G8" s="16">
        <v>1324361</v>
      </c>
      <c r="H8" s="94">
        <v>43936</v>
      </c>
      <c r="I8" s="85">
        <f t="shared" ca="1" si="0"/>
        <v>1.2305555555555556</v>
      </c>
      <c r="J8" s="16">
        <f t="shared" ca="1" si="1"/>
        <v>449</v>
      </c>
      <c r="K8" s="16">
        <f t="shared" ca="1" si="2"/>
        <v>14.966666666666667</v>
      </c>
      <c r="L8" s="340" t="s">
        <v>547</v>
      </c>
      <c r="M8" s="129">
        <v>213</v>
      </c>
      <c r="N8" s="334"/>
      <c r="O8" s="132">
        <v>33</v>
      </c>
      <c r="P8" s="129">
        <v>31</v>
      </c>
      <c r="Q8" s="132">
        <v>31</v>
      </c>
      <c r="R8" s="129">
        <v>31</v>
      </c>
      <c r="S8" s="132" t="s">
        <v>709</v>
      </c>
      <c r="T8" s="132" t="s">
        <v>709</v>
      </c>
      <c r="U8" s="132" t="s">
        <v>709</v>
      </c>
      <c r="V8" s="132" t="s">
        <v>709</v>
      </c>
      <c r="W8" s="132" t="s">
        <v>709</v>
      </c>
      <c r="X8" s="132" t="s">
        <v>709</v>
      </c>
      <c r="Y8" s="132" t="s">
        <v>709</v>
      </c>
      <c r="Z8" s="132" t="s">
        <v>709</v>
      </c>
      <c r="AA8" s="132" t="s">
        <v>709</v>
      </c>
      <c r="AB8" s="132" t="s">
        <v>709</v>
      </c>
      <c r="AC8" s="132" t="s">
        <v>709</v>
      </c>
      <c r="AD8" s="132" t="s">
        <v>709</v>
      </c>
      <c r="AE8" s="132" t="s">
        <v>709</v>
      </c>
      <c r="AF8" s="129">
        <v>32</v>
      </c>
      <c r="AG8" s="129">
        <v>33</v>
      </c>
      <c r="AH8" s="129"/>
      <c r="AI8" s="369">
        <v>44298</v>
      </c>
    </row>
    <row r="9" spans="1:37" ht="16" x14ac:dyDescent="0.2">
      <c r="A9" s="87">
        <f t="shared" si="3"/>
        <v>8</v>
      </c>
      <c r="B9" s="1" t="s">
        <v>181</v>
      </c>
      <c r="C9" s="14" t="s">
        <v>710</v>
      </c>
      <c r="D9" s="16" t="s">
        <v>15</v>
      </c>
      <c r="E9" s="16" t="s">
        <v>173</v>
      </c>
      <c r="F9" s="16" t="s">
        <v>548</v>
      </c>
      <c r="G9" s="16">
        <v>1324361</v>
      </c>
      <c r="H9" s="94">
        <v>43936</v>
      </c>
      <c r="I9" s="85">
        <f t="shared" ca="1" si="0"/>
        <v>1.2305555555555556</v>
      </c>
      <c r="J9" s="16">
        <f t="shared" ca="1" si="1"/>
        <v>449</v>
      </c>
      <c r="K9" s="16">
        <f t="shared" ca="1" si="2"/>
        <v>14.966666666666667</v>
      </c>
      <c r="L9" s="340" t="s">
        <v>547</v>
      </c>
      <c r="M9" s="129">
        <v>161</v>
      </c>
      <c r="N9" s="334"/>
      <c r="O9" s="132">
        <v>25</v>
      </c>
      <c r="P9" s="129">
        <v>27</v>
      </c>
      <c r="Q9" s="132">
        <v>27</v>
      </c>
      <c r="R9" s="129">
        <v>27</v>
      </c>
      <c r="S9" s="132" t="s">
        <v>709</v>
      </c>
      <c r="T9" s="132" t="s">
        <v>709</v>
      </c>
      <c r="U9" s="132" t="s">
        <v>709</v>
      </c>
      <c r="V9" s="132" t="s">
        <v>709</v>
      </c>
      <c r="W9" s="132" t="s">
        <v>709</v>
      </c>
      <c r="X9" s="132" t="s">
        <v>709</v>
      </c>
      <c r="Y9" s="132" t="s">
        <v>709</v>
      </c>
      <c r="Z9" s="132" t="s">
        <v>709</v>
      </c>
      <c r="AA9" s="132" t="s">
        <v>709</v>
      </c>
      <c r="AB9" s="132" t="s">
        <v>709</v>
      </c>
      <c r="AC9" s="132" t="s">
        <v>709</v>
      </c>
      <c r="AD9" s="132" t="s">
        <v>709</v>
      </c>
      <c r="AE9" s="132" t="s">
        <v>709</v>
      </c>
      <c r="AF9" s="129">
        <v>26</v>
      </c>
      <c r="AG9" s="129">
        <v>26</v>
      </c>
      <c r="AH9" s="129"/>
      <c r="AI9" s="369">
        <v>44298</v>
      </c>
    </row>
    <row r="10" spans="1:37" ht="16" x14ac:dyDescent="0.2">
      <c r="A10" s="87">
        <f t="shared" si="3"/>
        <v>9</v>
      </c>
      <c r="B10" s="1" t="s">
        <v>182</v>
      </c>
      <c r="C10" s="14" t="s">
        <v>711</v>
      </c>
      <c r="D10" s="16" t="s">
        <v>15</v>
      </c>
      <c r="E10" s="16" t="s">
        <v>173</v>
      </c>
      <c r="F10" s="16" t="s">
        <v>592</v>
      </c>
      <c r="G10" s="16">
        <v>1324349</v>
      </c>
      <c r="H10" s="94">
        <v>43942</v>
      </c>
      <c r="I10" s="85">
        <f t="shared" ca="1" si="0"/>
        <v>1.2138888888888888</v>
      </c>
      <c r="J10" s="16">
        <f t="shared" ca="1" si="1"/>
        <v>443</v>
      </c>
      <c r="K10" s="16">
        <f t="shared" ca="1" si="2"/>
        <v>14.766666666666667</v>
      </c>
      <c r="L10" s="102" t="s">
        <v>708</v>
      </c>
      <c r="M10" s="129">
        <v>191</v>
      </c>
      <c r="N10" s="334"/>
      <c r="O10" s="132">
        <v>32</v>
      </c>
      <c r="P10" s="129">
        <v>33</v>
      </c>
      <c r="Q10" s="132">
        <v>33</v>
      </c>
      <c r="R10" s="129">
        <v>34</v>
      </c>
      <c r="S10" s="132">
        <v>38</v>
      </c>
      <c r="T10" s="132">
        <v>42</v>
      </c>
      <c r="U10" s="129">
        <v>37</v>
      </c>
      <c r="V10" s="167">
        <v>38</v>
      </c>
      <c r="W10" s="129">
        <v>39</v>
      </c>
      <c r="X10" s="132">
        <v>40</v>
      </c>
      <c r="Y10" s="132">
        <v>41</v>
      </c>
      <c r="Z10" s="129">
        <v>41</v>
      </c>
      <c r="AA10" s="129">
        <v>43</v>
      </c>
      <c r="AB10" s="129">
        <v>44</v>
      </c>
      <c r="AC10" s="129">
        <v>44</v>
      </c>
      <c r="AD10" s="129">
        <v>46</v>
      </c>
      <c r="AE10" s="129">
        <v>47</v>
      </c>
      <c r="AF10" s="129">
        <v>48</v>
      </c>
      <c r="AG10" s="129">
        <v>50</v>
      </c>
      <c r="AH10" s="129"/>
      <c r="AI10" s="369">
        <v>44298</v>
      </c>
    </row>
    <row r="11" spans="1:37" ht="16" x14ac:dyDescent="0.2">
      <c r="A11" s="87">
        <f t="shared" si="3"/>
        <v>10</v>
      </c>
      <c r="B11" s="1" t="s">
        <v>183</v>
      </c>
      <c r="C11" s="14" t="s">
        <v>711</v>
      </c>
      <c r="D11" s="16" t="s">
        <v>15</v>
      </c>
      <c r="E11" s="16" t="s">
        <v>173</v>
      </c>
      <c r="F11" s="16" t="s">
        <v>551</v>
      </c>
      <c r="G11" s="16">
        <v>1324349</v>
      </c>
      <c r="H11" s="94">
        <v>43942</v>
      </c>
      <c r="I11" s="85">
        <f t="shared" ca="1" si="0"/>
        <v>1.2138888888888888</v>
      </c>
      <c r="J11" s="16">
        <f t="shared" ca="1" si="1"/>
        <v>443</v>
      </c>
      <c r="K11" s="16">
        <f t="shared" ca="1" si="2"/>
        <v>14.766666666666667</v>
      </c>
      <c r="L11" s="102" t="s">
        <v>708</v>
      </c>
      <c r="M11" s="129">
        <v>152</v>
      </c>
      <c r="N11" s="334"/>
      <c r="O11" s="132">
        <v>29</v>
      </c>
      <c r="P11" s="129">
        <v>30</v>
      </c>
      <c r="Q11" s="132">
        <v>31</v>
      </c>
      <c r="R11" s="129">
        <v>32</v>
      </c>
      <c r="S11" s="132">
        <v>34</v>
      </c>
      <c r="T11" s="132">
        <v>35</v>
      </c>
      <c r="U11" s="129">
        <v>40</v>
      </c>
      <c r="V11" s="167">
        <v>41</v>
      </c>
      <c r="W11" s="129">
        <v>42</v>
      </c>
      <c r="X11" s="132">
        <v>43</v>
      </c>
      <c r="Y11" s="132">
        <v>44</v>
      </c>
      <c r="Z11" s="129">
        <v>45</v>
      </c>
      <c r="AA11" s="129">
        <v>46</v>
      </c>
      <c r="AB11" s="129">
        <v>46</v>
      </c>
      <c r="AC11" s="129">
        <v>47</v>
      </c>
      <c r="AD11" s="129">
        <v>48</v>
      </c>
      <c r="AE11" s="129">
        <v>49</v>
      </c>
      <c r="AF11" s="129">
        <v>49</v>
      </c>
      <c r="AG11" s="129">
        <v>49</v>
      </c>
      <c r="AH11" s="129"/>
      <c r="AI11" s="369">
        <v>44298</v>
      </c>
    </row>
    <row r="12" spans="1:37" ht="16" x14ac:dyDescent="0.2">
      <c r="A12" s="87">
        <f t="shared" si="3"/>
        <v>11</v>
      </c>
      <c r="B12" s="1" t="s">
        <v>184</v>
      </c>
      <c r="C12" s="14" t="s">
        <v>711</v>
      </c>
      <c r="D12" s="16" t="s">
        <v>15</v>
      </c>
      <c r="E12" s="16" t="s">
        <v>173</v>
      </c>
      <c r="F12" s="16" t="s">
        <v>549</v>
      </c>
      <c r="G12" s="16">
        <v>1324349</v>
      </c>
      <c r="H12" s="94">
        <v>43942</v>
      </c>
      <c r="I12" s="85">
        <f t="shared" ca="1" si="0"/>
        <v>1.2138888888888888</v>
      </c>
      <c r="J12" s="16">
        <f t="shared" ca="1" si="1"/>
        <v>443</v>
      </c>
      <c r="K12" s="16">
        <f t="shared" ca="1" si="2"/>
        <v>14.766666666666667</v>
      </c>
      <c r="L12" s="102" t="s">
        <v>708</v>
      </c>
      <c r="M12" s="129">
        <v>199</v>
      </c>
      <c r="N12" s="334"/>
      <c r="O12" s="132">
        <v>32</v>
      </c>
      <c r="P12" s="129">
        <v>33</v>
      </c>
      <c r="Q12" s="132">
        <v>35</v>
      </c>
      <c r="R12" s="129">
        <v>37</v>
      </c>
      <c r="S12" s="132">
        <v>39</v>
      </c>
      <c r="T12" s="132">
        <v>41</v>
      </c>
      <c r="U12" s="129">
        <v>44</v>
      </c>
      <c r="V12" s="167">
        <v>48</v>
      </c>
      <c r="W12" s="129">
        <v>49</v>
      </c>
      <c r="X12" s="132">
        <v>49</v>
      </c>
      <c r="Y12" s="132">
        <v>49</v>
      </c>
      <c r="Z12" s="129">
        <v>50</v>
      </c>
      <c r="AA12" s="129">
        <v>50</v>
      </c>
      <c r="AB12" s="129">
        <v>51</v>
      </c>
      <c r="AC12" s="129">
        <v>51</v>
      </c>
      <c r="AD12" s="129">
        <v>52</v>
      </c>
      <c r="AE12" s="129">
        <v>52</v>
      </c>
      <c r="AF12" s="129">
        <v>53</v>
      </c>
      <c r="AG12" s="129">
        <v>53</v>
      </c>
      <c r="AH12" s="129"/>
      <c r="AI12" s="369">
        <v>44298</v>
      </c>
    </row>
    <row r="13" spans="1:37" ht="16" x14ac:dyDescent="0.2">
      <c r="A13" s="87">
        <f t="shared" si="3"/>
        <v>12</v>
      </c>
      <c r="B13" s="1" t="s">
        <v>185</v>
      </c>
      <c r="C13" s="14" t="s">
        <v>711</v>
      </c>
      <c r="D13" s="16" t="s">
        <v>15</v>
      </c>
      <c r="E13" s="16" t="s">
        <v>173</v>
      </c>
      <c r="F13" s="16" t="s">
        <v>548</v>
      </c>
      <c r="G13" s="16">
        <v>1324349</v>
      </c>
      <c r="H13" s="94">
        <v>43942</v>
      </c>
      <c r="I13" s="85">
        <f t="shared" ca="1" si="0"/>
        <v>1.2138888888888888</v>
      </c>
      <c r="J13" s="16">
        <f t="shared" ca="1" si="1"/>
        <v>443</v>
      </c>
      <c r="K13" s="16">
        <f t="shared" ca="1" si="2"/>
        <v>14.766666666666667</v>
      </c>
      <c r="L13" s="102" t="s">
        <v>708</v>
      </c>
      <c r="M13" s="129">
        <v>219</v>
      </c>
      <c r="N13" s="334"/>
      <c r="O13" s="132">
        <v>28</v>
      </c>
      <c r="P13" s="129">
        <v>29</v>
      </c>
      <c r="Q13" s="132">
        <v>31</v>
      </c>
      <c r="R13" s="129">
        <v>33</v>
      </c>
      <c r="S13" s="132">
        <v>35</v>
      </c>
      <c r="T13" s="132">
        <v>36</v>
      </c>
      <c r="U13" s="129">
        <v>37</v>
      </c>
      <c r="V13" s="167">
        <v>40</v>
      </c>
      <c r="W13" s="129">
        <v>40</v>
      </c>
      <c r="X13" s="132">
        <v>41</v>
      </c>
      <c r="Y13" s="132">
        <v>43</v>
      </c>
      <c r="Z13" s="129">
        <v>43</v>
      </c>
      <c r="AA13" s="129">
        <v>44</v>
      </c>
      <c r="AB13" s="129">
        <v>45</v>
      </c>
      <c r="AC13" s="129">
        <v>45</v>
      </c>
      <c r="AD13" s="129">
        <v>46</v>
      </c>
      <c r="AE13" s="129">
        <v>47</v>
      </c>
      <c r="AF13" s="129">
        <v>48</v>
      </c>
      <c r="AG13" s="129">
        <v>48</v>
      </c>
      <c r="AH13" s="129"/>
      <c r="AI13" s="369">
        <v>44298</v>
      </c>
    </row>
    <row r="14" spans="1:37" ht="16" x14ac:dyDescent="0.2">
      <c r="A14" s="87">
        <f t="shared" si="3"/>
        <v>13</v>
      </c>
      <c r="B14" s="1" t="s">
        <v>186</v>
      </c>
      <c r="C14" s="14" t="s">
        <v>712</v>
      </c>
      <c r="D14" s="16" t="s">
        <v>17</v>
      </c>
      <c r="E14" s="16" t="s">
        <v>173</v>
      </c>
      <c r="F14" s="16" t="s">
        <v>592</v>
      </c>
      <c r="G14" s="16">
        <v>1324350</v>
      </c>
      <c r="H14" s="94">
        <v>43942</v>
      </c>
      <c r="I14" s="85">
        <f t="shared" ca="1" si="0"/>
        <v>1.2138888888888888</v>
      </c>
      <c r="J14" s="16">
        <f t="shared" ca="1" si="1"/>
        <v>443</v>
      </c>
      <c r="K14" s="16">
        <f t="shared" ca="1" si="2"/>
        <v>14.766666666666667</v>
      </c>
      <c r="L14" s="340" t="s">
        <v>547</v>
      </c>
      <c r="M14" s="129">
        <v>207</v>
      </c>
      <c r="N14" s="334"/>
      <c r="O14" s="132">
        <v>25</v>
      </c>
      <c r="P14" s="129">
        <v>25</v>
      </c>
      <c r="Q14" s="132">
        <v>25</v>
      </c>
      <c r="R14" s="129">
        <v>25</v>
      </c>
      <c r="S14" s="132" t="s">
        <v>709</v>
      </c>
      <c r="T14" s="132" t="s">
        <v>709</v>
      </c>
      <c r="U14" s="132" t="s">
        <v>709</v>
      </c>
      <c r="V14" s="132" t="s">
        <v>709</v>
      </c>
      <c r="W14" s="132" t="s">
        <v>709</v>
      </c>
      <c r="X14" s="132" t="s">
        <v>709</v>
      </c>
      <c r="Y14" s="132" t="s">
        <v>709</v>
      </c>
      <c r="Z14" s="132" t="s">
        <v>709</v>
      </c>
      <c r="AA14" s="132" t="s">
        <v>709</v>
      </c>
      <c r="AB14" s="132" t="s">
        <v>709</v>
      </c>
      <c r="AC14" s="132" t="s">
        <v>709</v>
      </c>
      <c r="AD14" s="132" t="s">
        <v>709</v>
      </c>
      <c r="AE14" s="132" t="s">
        <v>709</v>
      </c>
      <c r="AF14" s="129">
        <v>25</v>
      </c>
      <c r="AG14" s="129">
        <v>25</v>
      </c>
      <c r="AH14" s="129"/>
      <c r="AI14" s="369">
        <v>44298</v>
      </c>
    </row>
    <row r="15" spans="1:37" ht="16" x14ac:dyDescent="0.2">
      <c r="A15" s="87">
        <f t="shared" si="3"/>
        <v>14</v>
      </c>
      <c r="B15" s="1" t="s">
        <v>187</v>
      </c>
      <c r="C15" s="14" t="s">
        <v>712</v>
      </c>
      <c r="D15" s="16" t="s">
        <v>17</v>
      </c>
      <c r="E15" s="16" t="s">
        <v>173</v>
      </c>
      <c r="F15" s="16" t="s">
        <v>551</v>
      </c>
      <c r="G15" s="16">
        <v>1324350</v>
      </c>
      <c r="H15" s="94">
        <v>43942</v>
      </c>
      <c r="I15" s="85">
        <f t="shared" ca="1" si="0"/>
        <v>1.2138888888888888</v>
      </c>
      <c r="J15" s="16">
        <f t="shared" ca="1" si="1"/>
        <v>443</v>
      </c>
      <c r="K15" s="16">
        <f t="shared" ca="1" si="2"/>
        <v>14.766666666666667</v>
      </c>
      <c r="L15" s="340" t="s">
        <v>547</v>
      </c>
      <c r="M15" s="129">
        <v>216</v>
      </c>
      <c r="N15" s="334"/>
      <c r="O15" s="132">
        <v>27</v>
      </c>
      <c r="P15" s="129">
        <v>27</v>
      </c>
      <c r="Q15" s="132">
        <v>27</v>
      </c>
      <c r="R15" s="129">
        <v>27</v>
      </c>
      <c r="S15" s="132" t="s">
        <v>709</v>
      </c>
      <c r="T15" s="132" t="s">
        <v>709</v>
      </c>
      <c r="U15" s="132" t="s">
        <v>709</v>
      </c>
      <c r="V15" s="132" t="s">
        <v>709</v>
      </c>
      <c r="W15" s="132" t="s">
        <v>709</v>
      </c>
      <c r="X15" s="132" t="s">
        <v>709</v>
      </c>
      <c r="Y15" s="132" t="s">
        <v>709</v>
      </c>
      <c r="Z15" s="132" t="s">
        <v>709</v>
      </c>
      <c r="AA15" s="132" t="s">
        <v>709</v>
      </c>
      <c r="AB15" s="132" t="s">
        <v>709</v>
      </c>
      <c r="AC15" s="132" t="s">
        <v>709</v>
      </c>
      <c r="AD15" s="132" t="s">
        <v>709</v>
      </c>
      <c r="AE15" s="132" t="s">
        <v>709</v>
      </c>
      <c r="AF15" s="129">
        <v>28</v>
      </c>
      <c r="AG15" s="129">
        <v>28</v>
      </c>
      <c r="AH15" s="129"/>
      <c r="AI15" s="369">
        <v>44298</v>
      </c>
    </row>
    <row r="16" spans="1:37" ht="16" x14ac:dyDescent="0.2">
      <c r="A16" s="87">
        <f t="shared" si="3"/>
        <v>15</v>
      </c>
      <c r="B16" s="1" t="s">
        <v>188</v>
      </c>
      <c r="C16" s="14" t="s">
        <v>712</v>
      </c>
      <c r="D16" s="16" t="s">
        <v>17</v>
      </c>
      <c r="E16" s="16" t="s">
        <v>173</v>
      </c>
      <c r="F16" s="16" t="s">
        <v>549</v>
      </c>
      <c r="G16" s="16">
        <v>1324350</v>
      </c>
      <c r="H16" s="94">
        <v>43942</v>
      </c>
      <c r="I16" s="85">
        <f t="shared" ca="1" si="0"/>
        <v>1.2138888888888888</v>
      </c>
      <c r="J16" s="16">
        <f t="shared" ca="1" si="1"/>
        <v>443</v>
      </c>
      <c r="K16" s="16">
        <f t="shared" ca="1" si="2"/>
        <v>14.766666666666667</v>
      </c>
      <c r="L16" s="340" t="s">
        <v>547</v>
      </c>
      <c r="M16" s="129">
        <v>202</v>
      </c>
      <c r="N16" s="334"/>
      <c r="O16" s="132">
        <v>23</v>
      </c>
      <c r="P16" s="129">
        <v>24</v>
      </c>
      <c r="Q16" s="132">
        <v>24</v>
      </c>
      <c r="R16" s="129">
        <v>24</v>
      </c>
      <c r="S16" s="132" t="s">
        <v>709</v>
      </c>
      <c r="T16" s="132" t="s">
        <v>709</v>
      </c>
      <c r="U16" s="132" t="s">
        <v>709</v>
      </c>
      <c r="V16" s="132" t="s">
        <v>709</v>
      </c>
      <c r="W16" s="132" t="s">
        <v>709</v>
      </c>
      <c r="X16" s="132" t="s">
        <v>709</v>
      </c>
      <c r="Y16" s="132" t="s">
        <v>709</v>
      </c>
      <c r="Z16" s="132" t="s">
        <v>709</v>
      </c>
      <c r="AA16" s="132" t="s">
        <v>709</v>
      </c>
      <c r="AB16" s="132" t="s">
        <v>709</v>
      </c>
      <c r="AC16" s="132" t="s">
        <v>709</v>
      </c>
      <c r="AD16" s="132" t="s">
        <v>709</v>
      </c>
      <c r="AE16" s="132" t="s">
        <v>709</v>
      </c>
      <c r="AF16" s="129">
        <v>26</v>
      </c>
      <c r="AG16" s="129">
        <v>26</v>
      </c>
      <c r="AH16" s="129"/>
      <c r="AI16" s="369">
        <v>44298</v>
      </c>
    </row>
    <row r="17" spans="1:37" ht="16" x14ac:dyDescent="0.2">
      <c r="A17" s="87">
        <f t="shared" si="3"/>
        <v>16</v>
      </c>
      <c r="B17" s="1" t="s">
        <v>189</v>
      </c>
      <c r="C17" s="14" t="s">
        <v>712</v>
      </c>
      <c r="D17" s="16" t="s">
        <v>17</v>
      </c>
      <c r="E17" s="16" t="s">
        <v>173</v>
      </c>
      <c r="F17" s="16" t="s">
        <v>548</v>
      </c>
      <c r="G17" s="16">
        <v>1324350</v>
      </c>
      <c r="H17" s="94">
        <v>43942</v>
      </c>
      <c r="I17" s="85">
        <f t="shared" ca="1" si="0"/>
        <v>1.2138888888888888</v>
      </c>
      <c r="J17" s="16">
        <f t="shared" ca="1" si="1"/>
        <v>443</v>
      </c>
      <c r="K17" s="16">
        <f t="shared" ca="1" si="2"/>
        <v>14.766666666666667</v>
      </c>
      <c r="L17" s="340" t="s">
        <v>547</v>
      </c>
      <c r="M17" s="129">
        <v>173</v>
      </c>
      <c r="N17" s="334"/>
      <c r="O17" s="132">
        <v>23</v>
      </c>
      <c r="P17" s="129">
        <v>25</v>
      </c>
      <c r="Q17" s="132">
        <v>25</v>
      </c>
      <c r="R17" s="129">
        <v>25</v>
      </c>
      <c r="S17" s="132" t="s">
        <v>709</v>
      </c>
      <c r="T17" s="132" t="s">
        <v>709</v>
      </c>
      <c r="U17" s="132" t="s">
        <v>709</v>
      </c>
      <c r="V17" s="132" t="s">
        <v>709</v>
      </c>
      <c r="W17" s="132" t="s">
        <v>709</v>
      </c>
      <c r="X17" s="132" t="s">
        <v>709</v>
      </c>
      <c r="Y17" s="132" t="s">
        <v>709</v>
      </c>
      <c r="Z17" s="132" t="s">
        <v>709</v>
      </c>
      <c r="AA17" s="132" t="s">
        <v>709</v>
      </c>
      <c r="AB17" s="132" t="s">
        <v>709</v>
      </c>
      <c r="AC17" s="132" t="s">
        <v>709</v>
      </c>
      <c r="AD17" s="132" t="s">
        <v>709</v>
      </c>
      <c r="AE17" s="132" t="s">
        <v>709</v>
      </c>
      <c r="AF17" s="129">
        <v>27</v>
      </c>
      <c r="AG17" s="129">
        <v>27</v>
      </c>
      <c r="AH17" s="129"/>
      <c r="AI17" s="369">
        <v>44298</v>
      </c>
    </row>
    <row r="18" spans="1:37" ht="16" x14ac:dyDescent="0.2">
      <c r="A18" s="87">
        <f t="shared" si="3"/>
        <v>17</v>
      </c>
      <c r="B18" s="1" t="s">
        <v>190</v>
      </c>
      <c r="C18" s="14" t="s">
        <v>712</v>
      </c>
      <c r="D18" s="16" t="s">
        <v>17</v>
      </c>
      <c r="E18" s="16" t="s">
        <v>173</v>
      </c>
      <c r="F18" s="16" t="s">
        <v>550</v>
      </c>
      <c r="G18" s="16">
        <v>1324350</v>
      </c>
      <c r="H18" s="94">
        <v>43950</v>
      </c>
      <c r="I18" s="85">
        <f t="shared" ca="1" si="0"/>
        <v>1.1916666666666667</v>
      </c>
      <c r="J18" s="16">
        <f t="shared" ca="1" si="1"/>
        <v>435</v>
      </c>
      <c r="K18" s="16">
        <f t="shared" ca="1" si="2"/>
        <v>14.5</v>
      </c>
      <c r="L18" s="340" t="s">
        <v>547</v>
      </c>
      <c r="M18" s="129">
        <v>220</v>
      </c>
      <c r="N18" s="334"/>
      <c r="O18" s="132">
        <v>23</v>
      </c>
      <c r="P18" s="129">
        <v>24</v>
      </c>
      <c r="Q18" s="132">
        <v>24</v>
      </c>
      <c r="R18" s="129">
        <v>24</v>
      </c>
      <c r="S18" s="132" t="s">
        <v>709</v>
      </c>
      <c r="T18" s="132" t="s">
        <v>709</v>
      </c>
      <c r="U18" s="132" t="s">
        <v>709</v>
      </c>
      <c r="V18" s="132" t="s">
        <v>709</v>
      </c>
      <c r="W18" s="132" t="s">
        <v>709</v>
      </c>
      <c r="X18" s="132" t="s">
        <v>709</v>
      </c>
      <c r="Y18" s="132" t="s">
        <v>709</v>
      </c>
      <c r="Z18" s="132" t="s">
        <v>709</v>
      </c>
      <c r="AA18" s="132" t="s">
        <v>709</v>
      </c>
      <c r="AB18" s="132" t="s">
        <v>709</v>
      </c>
      <c r="AC18" s="132" t="s">
        <v>709</v>
      </c>
      <c r="AD18" s="132" t="s">
        <v>709</v>
      </c>
      <c r="AE18" s="132" t="s">
        <v>709</v>
      </c>
      <c r="AF18" s="129">
        <v>28</v>
      </c>
      <c r="AG18" s="129">
        <v>28</v>
      </c>
      <c r="AH18" s="129"/>
      <c r="AI18" s="369">
        <v>44298</v>
      </c>
    </row>
    <row r="19" spans="1:37" ht="16" x14ac:dyDescent="0.2">
      <c r="A19" s="87">
        <f t="shared" si="3"/>
        <v>18</v>
      </c>
      <c r="B19" s="1" t="s">
        <v>191</v>
      </c>
      <c r="C19" s="14" t="s">
        <v>713</v>
      </c>
      <c r="D19" s="95" t="s">
        <v>15</v>
      </c>
      <c r="E19" s="95" t="s">
        <v>37</v>
      </c>
      <c r="F19" s="95" t="s">
        <v>549</v>
      </c>
      <c r="G19" s="95">
        <v>1299771</v>
      </c>
      <c r="H19" s="100">
        <v>43949</v>
      </c>
      <c r="I19" s="101">
        <f ca="1">YEARFRAC(H19,TODAY())</f>
        <v>1.1944444444444444</v>
      </c>
      <c r="J19" s="95">
        <f ca="1">_xlfn.DAYS(TODAY(),H19)</f>
        <v>436</v>
      </c>
      <c r="K19" s="95">
        <f ca="1">J19/30</f>
        <v>14.533333333333333</v>
      </c>
      <c r="L19" s="102" t="s">
        <v>708</v>
      </c>
      <c r="M19" s="130" t="s">
        <v>714</v>
      </c>
      <c r="N19" s="335"/>
      <c r="O19" s="133">
        <v>24</v>
      </c>
      <c r="P19" s="130">
        <v>31</v>
      </c>
      <c r="Q19" s="133">
        <v>34</v>
      </c>
      <c r="R19" s="130">
        <v>38</v>
      </c>
      <c r="S19" s="133">
        <v>39</v>
      </c>
      <c r="T19" s="133">
        <v>40</v>
      </c>
      <c r="U19" s="130">
        <v>39</v>
      </c>
      <c r="V19" s="168">
        <v>41</v>
      </c>
      <c r="W19" s="130">
        <v>44</v>
      </c>
      <c r="X19" s="133">
        <v>47</v>
      </c>
      <c r="Y19" s="133">
        <v>48</v>
      </c>
      <c r="Z19" s="130">
        <v>48</v>
      </c>
      <c r="AA19" s="130">
        <v>49</v>
      </c>
      <c r="AB19" s="130">
        <v>49</v>
      </c>
      <c r="AC19" s="130">
        <v>49</v>
      </c>
      <c r="AD19" s="130">
        <v>49</v>
      </c>
      <c r="AE19" s="130">
        <v>50</v>
      </c>
      <c r="AF19" s="130">
        <v>50</v>
      </c>
      <c r="AG19" s="130">
        <v>50</v>
      </c>
      <c r="AH19" s="130"/>
      <c r="AI19" s="369">
        <v>44298</v>
      </c>
    </row>
    <row r="20" spans="1:37" ht="16" x14ac:dyDescent="0.2">
      <c r="A20" s="87">
        <f t="shared" si="3"/>
        <v>19</v>
      </c>
      <c r="B20" s="1" t="s">
        <v>192</v>
      </c>
      <c r="C20" s="14" t="s">
        <v>713</v>
      </c>
      <c r="D20" s="95" t="s">
        <v>15</v>
      </c>
      <c r="E20" s="95" t="s">
        <v>37</v>
      </c>
      <c r="F20" s="95" t="s">
        <v>548</v>
      </c>
      <c r="G20" s="95">
        <v>1299771</v>
      </c>
      <c r="H20" s="100">
        <v>43949</v>
      </c>
      <c r="I20" s="101">
        <f ca="1">YEARFRAC(H20,TODAY())</f>
        <v>1.1944444444444444</v>
      </c>
      <c r="J20" s="95">
        <f ca="1">_xlfn.DAYS(TODAY(),H20)</f>
        <v>436</v>
      </c>
      <c r="K20" s="95">
        <f ca="1">J20/30</f>
        <v>14.533333333333333</v>
      </c>
      <c r="L20" s="102" t="s">
        <v>708</v>
      </c>
      <c r="M20" s="130" t="s">
        <v>714</v>
      </c>
      <c r="N20" s="335"/>
      <c r="O20" s="133">
        <v>25</v>
      </c>
      <c r="P20" s="130">
        <v>33</v>
      </c>
      <c r="Q20" s="133">
        <v>35</v>
      </c>
      <c r="R20" s="130">
        <v>38</v>
      </c>
      <c r="S20" s="133">
        <v>38</v>
      </c>
      <c r="T20" s="133">
        <v>40</v>
      </c>
      <c r="U20" s="130">
        <v>40</v>
      </c>
      <c r="V20" s="168">
        <v>43</v>
      </c>
      <c r="W20" s="130">
        <v>45</v>
      </c>
      <c r="X20" s="133">
        <v>48</v>
      </c>
      <c r="Y20" s="133">
        <v>50</v>
      </c>
      <c r="Z20" s="130">
        <v>50</v>
      </c>
      <c r="AA20" s="130">
        <v>51</v>
      </c>
      <c r="AB20" s="130">
        <v>51</v>
      </c>
      <c r="AC20" s="130">
        <v>53</v>
      </c>
      <c r="AD20" s="130">
        <v>53</v>
      </c>
      <c r="AE20" s="130">
        <v>53</v>
      </c>
      <c r="AF20" s="130">
        <v>53</v>
      </c>
      <c r="AG20" s="130">
        <v>63</v>
      </c>
      <c r="AH20" s="130"/>
      <c r="AI20" s="369">
        <v>44298</v>
      </c>
      <c r="AK20" t="s">
        <v>651</v>
      </c>
    </row>
    <row r="21" spans="1:37" ht="16" x14ac:dyDescent="0.2">
      <c r="A21" s="87">
        <f t="shared" si="3"/>
        <v>20</v>
      </c>
      <c r="B21" s="1" t="s">
        <v>193</v>
      </c>
      <c r="C21" s="14" t="s">
        <v>713</v>
      </c>
      <c r="D21" s="95" t="s">
        <v>15</v>
      </c>
      <c r="E21" s="95" t="s">
        <v>37</v>
      </c>
      <c r="F21" s="95" t="s">
        <v>546</v>
      </c>
      <c r="G21" s="95">
        <v>1299771</v>
      </c>
      <c r="H21" s="100">
        <v>43949</v>
      </c>
      <c r="I21" s="101">
        <f ca="1">YEARFRAC(H21,TODAY())</f>
        <v>1.1944444444444444</v>
      </c>
      <c r="J21" s="95">
        <f ca="1">_xlfn.DAYS(TODAY(),H21)</f>
        <v>436</v>
      </c>
      <c r="K21" s="95">
        <f ca="1">J21/30</f>
        <v>14.533333333333333</v>
      </c>
      <c r="L21" s="102" t="s">
        <v>708</v>
      </c>
      <c r="M21" s="130" t="s">
        <v>714</v>
      </c>
      <c r="N21" s="335"/>
      <c r="O21" s="133">
        <v>26</v>
      </c>
      <c r="P21" s="130">
        <v>33</v>
      </c>
      <c r="Q21" s="133">
        <v>35</v>
      </c>
      <c r="R21" s="130">
        <v>39</v>
      </c>
      <c r="S21" s="133">
        <v>40</v>
      </c>
      <c r="T21" s="133">
        <v>41</v>
      </c>
      <c r="U21" s="130">
        <v>41</v>
      </c>
      <c r="V21" s="168">
        <v>42</v>
      </c>
      <c r="W21" s="130">
        <v>45</v>
      </c>
      <c r="X21" s="133">
        <v>47</v>
      </c>
      <c r="Y21" s="133">
        <v>47</v>
      </c>
      <c r="Z21" s="130">
        <v>47</v>
      </c>
      <c r="AA21" s="130">
        <v>47</v>
      </c>
      <c r="AB21" s="130">
        <v>48</v>
      </c>
      <c r="AC21" s="130">
        <v>48</v>
      </c>
      <c r="AD21" s="130">
        <v>48</v>
      </c>
      <c r="AE21" s="130">
        <v>48</v>
      </c>
      <c r="AF21" s="130">
        <v>48</v>
      </c>
      <c r="AG21" s="130">
        <v>48</v>
      </c>
      <c r="AH21" s="130"/>
      <c r="AI21" s="369">
        <v>44298</v>
      </c>
    </row>
    <row r="22" spans="1:37" ht="16" x14ac:dyDescent="0.2">
      <c r="A22" s="87">
        <f t="shared" si="3"/>
        <v>21</v>
      </c>
      <c r="B22" s="1" t="s">
        <v>194</v>
      </c>
      <c r="C22" s="14" t="s">
        <v>715</v>
      </c>
      <c r="D22" s="95" t="s">
        <v>17</v>
      </c>
      <c r="E22" s="95" t="s">
        <v>37</v>
      </c>
      <c r="F22" s="95" t="s">
        <v>549</v>
      </c>
      <c r="G22" s="95">
        <v>1343452</v>
      </c>
      <c r="H22" s="100">
        <v>43949</v>
      </c>
      <c r="I22" s="101">
        <f ca="1">YEARFRAC(H22,TODAY())</f>
        <v>1.1944444444444444</v>
      </c>
      <c r="J22" s="95">
        <f ca="1">_xlfn.DAYS(TODAY(),H22)</f>
        <v>436</v>
      </c>
      <c r="K22" s="95">
        <f ca="1">J22/30</f>
        <v>14.533333333333333</v>
      </c>
      <c r="L22" s="102" t="s">
        <v>708</v>
      </c>
      <c r="M22" s="130">
        <v>207</v>
      </c>
      <c r="N22" s="336"/>
      <c r="O22" s="133">
        <v>28</v>
      </c>
      <c r="P22" s="130">
        <v>31</v>
      </c>
      <c r="Q22" s="133">
        <v>33</v>
      </c>
      <c r="R22" s="130">
        <v>35</v>
      </c>
      <c r="S22" s="133">
        <v>42</v>
      </c>
      <c r="T22" s="133">
        <v>41</v>
      </c>
      <c r="U22" s="130">
        <v>41</v>
      </c>
      <c r="V22" s="168">
        <v>43</v>
      </c>
      <c r="W22" s="130">
        <v>37</v>
      </c>
      <c r="X22" s="133">
        <v>37</v>
      </c>
      <c r="Y22" s="133">
        <v>39</v>
      </c>
      <c r="Z22" s="130">
        <v>41</v>
      </c>
      <c r="AA22" s="130">
        <v>44</v>
      </c>
      <c r="AB22" s="130">
        <v>46</v>
      </c>
      <c r="AC22" s="130">
        <v>47</v>
      </c>
      <c r="AD22" s="130">
        <v>48</v>
      </c>
      <c r="AE22" s="130">
        <v>49</v>
      </c>
      <c r="AF22" s="130">
        <v>49</v>
      </c>
      <c r="AG22" s="133">
        <v>49</v>
      </c>
      <c r="AH22" s="130"/>
      <c r="AI22" s="369">
        <v>44298</v>
      </c>
    </row>
    <row r="23" spans="1:37" ht="16" x14ac:dyDescent="0.2">
      <c r="A23" s="87">
        <f t="shared" si="3"/>
        <v>22</v>
      </c>
      <c r="B23" s="492" t="s">
        <v>195</v>
      </c>
      <c r="C23" s="14" t="s">
        <v>715</v>
      </c>
      <c r="D23" s="95" t="s">
        <v>17</v>
      </c>
      <c r="E23" s="95" t="s">
        <v>37</v>
      </c>
      <c r="F23" s="95" t="s">
        <v>716</v>
      </c>
      <c r="G23" s="95">
        <v>1343452</v>
      </c>
      <c r="H23" s="100">
        <v>43900</v>
      </c>
      <c r="I23" s="101">
        <f t="shared" ref="I23:I24" ca="1" si="7">YEARFRAC(H23,TODAY())</f>
        <v>1.3277777777777777</v>
      </c>
      <c r="J23" s="95">
        <f t="shared" ref="J23:J24" ca="1" si="8">_xlfn.DAYS(TODAY(),H23)</f>
        <v>485</v>
      </c>
      <c r="K23" s="95">
        <f t="shared" ref="K23:K24" ca="1" si="9">J23/30</f>
        <v>16.166666666666668</v>
      </c>
      <c r="L23" s="102" t="s">
        <v>708</v>
      </c>
      <c r="M23" s="130" t="s">
        <v>717</v>
      </c>
      <c r="N23" s="133">
        <v>239</v>
      </c>
      <c r="O23" s="133" t="s">
        <v>709</v>
      </c>
      <c r="P23" s="133" t="s">
        <v>709</v>
      </c>
      <c r="Q23" s="133" t="s">
        <v>709</v>
      </c>
      <c r="R23" s="133" t="s">
        <v>709</v>
      </c>
      <c r="S23" s="133" t="s">
        <v>709</v>
      </c>
      <c r="T23" s="133">
        <v>41</v>
      </c>
      <c r="U23" s="130">
        <v>42</v>
      </c>
      <c r="V23" s="168">
        <v>43</v>
      </c>
      <c r="W23" s="130">
        <v>40</v>
      </c>
      <c r="X23" s="133">
        <v>40</v>
      </c>
      <c r="Y23" s="133" t="s">
        <v>709</v>
      </c>
      <c r="Z23" s="133" t="s">
        <v>709</v>
      </c>
      <c r="AA23" s="133" t="s">
        <v>709</v>
      </c>
      <c r="AB23" s="133" t="s">
        <v>709</v>
      </c>
      <c r="AC23" s="133" t="s">
        <v>709</v>
      </c>
      <c r="AD23" s="133" t="s">
        <v>709</v>
      </c>
      <c r="AE23" s="133" t="s">
        <v>709</v>
      </c>
      <c r="AF23" s="133" t="s">
        <v>709</v>
      </c>
      <c r="AG23" s="133" t="s">
        <v>709</v>
      </c>
      <c r="AH23" s="133" t="s">
        <v>709</v>
      </c>
      <c r="AI23" s="369">
        <v>44298</v>
      </c>
    </row>
    <row r="24" spans="1:37" ht="16" x14ac:dyDescent="0.2">
      <c r="A24" s="87">
        <f t="shared" si="3"/>
        <v>23</v>
      </c>
      <c r="B24" s="1" t="s">
        <v>196</v>
      </c>
      <c r="C24" s="14" t="s">
        <v>715</v>
      </c>
      <c r="D24" s="95" t="s">
        <v>17</v>
      </c>
      <c r="E24" s="95" t="s">
        <v>37</v>
      </c>
      <c r="F24" s="95" t="s">
        <v>592</v>
      </c>
      <c r="G24" s="95">
        <v>1343452</v>
      </c>
      <c r="H24" s="100">
        <v>43900</v>
      </c>
      <c r="I24" s="101">
        <f t="shared" ca="1" si="7"/>
        <v>1.3277777777777777</v>
      </c>
      <c r="J24" s="95">
        <f t="shared" ca="1" si="8"/>
        <v>485</v>
      </c>
      <c r="K24" s="95">
        <f t="shared" ca="1" si="9"/>
        <v>16.166666666666668</v>
      </c>
      <c r="L24" s="102" t="s">
        <v>708</v>
      </c>
      <c r="M24" s="130" t="s">
        <v>717</v>
      </c>
      <c r="N24" s="336"/>
      <c r="O24" s="133" t="s">
        <v>709</v>
      </c>
      <c r="P24" s="133" t="s">
        <v>709</v>
      </c>
      <c r="Q24" s="133" t="s">
        <v>709</v>
      </c>
      <c r="R24" s="133" t="s">
        <v>709</v>
      </c>
      <c r="S24" s="133" t="s">
        <v>709</v>
      </c>
      <c r="T24" s="133">
        <v>38</v>
      </c>
      <c r="U24" s="130">
        <v>38</v>
      </c>
      <c r="V24" s="168">
        <v>40</v>
      </c>
      <c r="W24" s="130">
        <v>40</v>
      </c>
      <c r="X24" s="133">
        <v>40</v>
      </c>
      <c r="Y24" s="133">
        <v>41</v>
      </c>
      <c r="Z24" s="130">
        <v>43</v>
      </c>
      <c r="AA24" s="130">
        <v>45</v>
      </c>
      <c r="AB24" s="130">
        <v>45</v>
      </c>
      <c r="AC24" s="130">
        <v>47</v>
      </c>
      <c r="AD24" s="130">
        <v>48</v>
      </c>
      <c r="AE24" s="130">
        <v>49</v>
      </c>
      <c r="AF24" s="130">
        <v>50</v>
      </c>
      <c r="AG24" s="130">
        <v>51</v>
      </c>
      <c r="AH24" s="130"/>
      <c r="AI24" s="369">
        <v>44298</v>
      </c>
    </row>
    <row r="25" spans="1:37" ht="16" x14ac:dyDescent="0.2">
      <c r="A25" s="87">
        <f t="shared" si="3"/>
        <v>24</v>
      </c>
      <c r="B25" s="1" t="s">
        <v>197</v>
      </c>
      <c r="C25" s="14" t="s">
        <v>715</v>
      </c>
      <c r="D25" s="95" t="s">
        <v>17</v>
      </c>
      <c r="E25" s="95" t="s">
        <v>37</v>
      </c>
      <c r="F25" s="95" t="s">
        <v>548</v>
      </c>
      <c r="G25" s="95">
        <v>1343452</v>
      </c>
      <c r="H25" s="100">
        <v>43949</v>
      </c>
      <c r="I25" s="101">
        <f ca="1">YEARFRAC(H25,TODAY())</f>
        <v>1.1944444444444444</v>
      </c>
      <c r="J25" s="95">
        <f ca="1">_xlfn.DAYS(TODAY(),H25)</f>
        <v>436</v>
      </c>
      <c r="K25" s="95">
        <f ca="1">J25/30</f>
        <v>14.533333333333333</v>
      </c>
      <c r="L25" s="102" t="s">
        <v>708</v>
      </c>
      <c r="M25" s="130">
        <v>178</v>
      </c>
      <c r="N25" s="336"/>
      <c r="O25" s="133">
        <v>26</v>
      </c>
      <c r="P25" s="130">
        <v>29</v>
      </c>
      <c r="Q25" s="133">
        <v>34</v>
      </c>
      <c r="R25" s="130">
        <v>36</v>
      </c>
      <c r="S25" s="133">
        <v>39</v>
      </c>
      <c r="T25" s="133">
        <v>40</v>
      </c>
      <c r="U25" s="130">
        <v>39</v>
      </c>
      <c r="V25" s="168">
        <v>44</v>
      </c>
      <c r="W25" s="130">
        <v>39</v>
      </c>
      <c r="X25" s="133">
        <v>39</v>
      </c>
      <c r="Y25" s="133">
        <v>40</v>
      </c>
      <c r="Z25" s="130">
        <v>40</v>
      </c>
      <c r="AA25" s="130">
        <v>42</v>
      </c>
      <c r="AB25" s="130">
        <v>44</v>
      </c>
      <c r="AC25" s="130">
        <v>46</v>
      </c>
      <c r="AD25" s="130">
        <v>47</v>
      </c>
      <c r="AE25" s="130">
        <v>48</v>
      </c>
      <c r="AF25" s="130">
        <v>48</v>
      </c>
      <c r="AG25" s="130">
        <v>48</v>
      </c>
      <c r="AH25" s="130"/>
      <c r="AI25" s="369">
        <v>44298</v>
      </c>
    </row>
    <row r="26" spans="1:37" ht="16" x14ac:dyDescent="0.2">
      <c r="A26" s="87">
        <f t="shared" si="3"/>
        <v>25</v>
      </c>
      <c r="B26" s="1" t="s">
        <v>198</v>
      </c>
      <c r="C26" s="14" t="s">
        <v>718</v>
      </c>
      <c r="D26" s="97" t="s">
        <v>15</v>
      </c>
      <c r="E26" s="97" t="s">
        <v>42</v>
      </c>
      <c r="F26" s="97" t="s">
        <v>592</v>
      </c>
      <c r="G26" s="97">
        <v>1324359</v>
      </c>
      <c r="H26" s="98">
        <v>43927</v>
      </c>
      <c r="I26" s="99">
        <f t="shared" ref="I26:I30" ca="1" si="10">YEARFRAC(H26,TODAY())</f>
        <v>1.2555555555555555</v>
      </c>
      <c r="J26" s="97">
        <f t="shared" ref="J26:J30" ca="1" si="11">_xlfn.DAYS(TODAY(),H26)</f>
        <v>458</v>
      </c>
      <c r="K26" s="97">
        <f t="shared" ref="K26:K30" ca="1" si="12">J26/30</f>
        <v>15.266666666666667</v>
      </c>
      <c r="L26" s="102" t="s">
        <v>708</v>
      </c>
      <c r="M26" s="131">
        <v>152</v>
      </c>
      <c r="N26" s="337"/>
      <c r="O26" s="134">
        <v>32</v>
      </c>
      <c r="P26" s="131">
        <v>32</v>
      </c>
      <c r="Q26" s="134">
        <v>33</v>
      </c>
      <c r="R26" s="131">
        <v>36</v>
      </c>
      <c r="S26" s="134">
        <v>37</v>
      </c>
      <c r="T26" s="134">
        <v>37</v>
      </c>
      <c r="U26" s="131">
        <v>38</v>
      </c>
      <c r="V26" s="169">
        <v>40</v>
      </c>
      <c r="W26" s="131">
        <v>40</v>
      </c>
      <c r="X26" s="134">
        <v>41</v>
      </c>
      <c r="Y26" s="134">
        <v>42</v>
      </c>
      <c r="Z26" s="131">
        <v>43</v>
      </c>
      <c r="AA26" s="131">
        <v>44</v>
      </c>
      <c r="AB26" s="131">
        <v>44</v>
      </c>
      <c r="AC26" s="131">
        <v>46</v>
      </c>
      <c r="AD26" s="131">
        <v>47</v>
      </c>
      <c r="AE26" s="131">
        <v>47</v>
      </c>
      <c r="AF26" s="131">
        <v>48</v>
      </c>
      <c r="AG26" s="131">
        <v>49</v>
      </c>
      <c r="AH26" s="131"/>
      <c r="AI26" s="369">
        <v>44298</v>
      </c>
    </row>
    <row r="27" spans="1:37" ht="16" x14ac:dyDescent="0.2">
      <c r="A27" s="87">
        <f t="shared" si="3"/>
        <v>26</v>
      </c>
      <c r="B27" s="1" t="s">
        <v>199</v>
      </c>
      <c r="C27" s="14" t="s">
        <v>718</v>
      </c>
      <c r="D27" s="97" t="s">
        <v>15</v>
      </c>
      <c r="E27" s="97" t="s">
        <v>42</v>
      </c>
      <c r="F27" s="97" t="s">
        <v>551</v>
      </c>
      <c r="G27" s="97">
        <v>1324359</v>
      </c>
      <c r="H27" s="98">
        <v>43927</v>
      </c>
      <c r="I27" s="99">
        <f t="shared" ca="1" si="10"/>
        <v>1.2555555555555555</v>
      </c>
      <c r="J27" s="97">
        <f t="shared" ca="1" si="11"/>
        <v>458</v>
      </c>
      <c r="K27" s="97">
        <f t="shared" ca="1" si="12"/>
        <v>15.266666666666667</v>
      </c>
      <c r="L27" s="102" t="s">
        <v>708</v>
      </c>
      <c r="M27" s="131">
        <v>242</v>
      </c>
      <c r="N27" s="337"/>
      <c r="O27" s="134">
        <v>29</v>
      </c>
      <c r="P27" s="131">
        <v>30</v>
      </c>
      <c r="Q27" s="134">
        <v>33</v>
      </c>
      <c r="R27" s="131">
        <v>36</v>
      </c>
      <c r="S27" s="134">
        <v>37</v>
      </c>
      <c r="T27" s="134">
        <v>38</v>
      </c>
      <c r="U27" s="131">
        <v>40</v>
      </c>
      <c r="V27" s="169">
        <v>42</v>
      </c>
      <c r="W27" s="131">
        <v>44</v>
      </c>
      <c r="X27" s="134">
        <v>45</v>
      </c>
      <c r="Y27" s="134">
        <v>45</v>
      </c>
      <c r="Z27" s="131">
        <v>46</v>
      </c>
      <c r="AA27" s="131">
        <v>46</v>
      </c>
      <c r="AB27" s="131">
        <v>46</v>
      </c>
      <c r="AC27" s="131">
        <v>46</v>
      </c>
      <c r="AD27" s="131">
        <v>47</v>
      </c>
      <c r="AE27" s="131">
        <v>47</v>
      </c>
      <c r="AF27" s="131">
        <v>47</v>
      </c>
      <c r="AG27" s="131">
        <v>48</v>
      </c>
      <c r="AH27" s="131"/>
      <c r="AI27" s="369">
        <v>44298</v>
      </c>
    </row>
    <row r="28" spans="1:37" ht="16" x14ac:dyDescent="0.2">
      <c r="A28" s="87">
        <f t="shared" si="3"/>
        <v>27</v>
      </c>
      <c r="B28" s="1" t="s">
        <v>200</v>
      </c>
      <c r="C28" s="14" t="s">
        <v>719</v>
      </c>
      <c r="D28" s="97" t="s">
        <v>17</v>
      </c>
      <c r="E28" s="97" t="s">
        <v>42</v>
      </c>
      <c r="F28" s="97" t="s">
        <v>592</v>
      </c>
      <c r="G28" s="97">
        <v>1324352</v>
      </c>
      <c r="H28" s="98">
        <v>43927</v>
      </c>
      <c r="I28" s="99">
        <f t="shared" ca="1" si="10"/>
        <v>1.2555555555555555</v>
      </c>
      <c r="J28" s="97">
        <f t="shared" ca="1" si="11"/>
        <v>458</v>
      </c>
      <c r="K28" s="97">
        <f t="shared" ca="1" si="12"/>
        <v>15.266666666666667</v>
      </c>
      <c r="L28" s="102" t="s">
        <v>708</v>
      </c>
      <c r="M28" s="131">
        <v>154</v>
      </c>
      <c r="N28" s="337"/>
      <c r="O28" s="134">
        <v>26</v>
      </c>
      <c r="P28" s="131">
        <v>28</v>
      </c>
      <c r="Q28" s="134">
        <v>30</v>
      </c>
      <c r="R28" s="131">
        <v>34</v>
      </c>
      <c r="S28" s="134">
        <v>30</v>
      </c>
      <c r="T28" s="134">
        <v>29</v>
      </c>
      <c r="U28" s="131">
        <v>40</v>
      </c>
      <c r="V28" s="169">
        <v>42</v>
      </c>
      <c r="W28" s="131">
        <v>41</v>
      </c>
      <c r="X28" s="134">
        <v>41</v>
      </c>
      <c r="Y28" s="134">
        <v>42</v>
      </c>
      <c r="Z28" s="131">
        <v>42</v>
      </c>
      <c r="AA28" s="131">
        <v>43</v>
      </c>
      <c r="AB28" s="131">
        <v>43</v>
      </c>
      <c r="AC28" s="131">
        <v>44</v>
      </c>
      <c r="AD28" s="131">
        <v>45</v>
      </c>
      <c r="AE28" s="131">
        <v>46</v>
      </c>
      <c r="AF28" s="131">
        <v>46</v>
      </c>
      <c r="AG28" s="131">
        <v>46</v>
      </c>
      <c r="AH28" s="131"/>
      <c r="AI28" s="369">
        <v>44298</v>
      </c>
    </row>
    <row r="29" spans="1:37" ht="16" x14ac:dyDescent="0.2">
      <c r="A29" s="87">
        <f t="shared" si="3"/>
        <v>28</v>
      </c>
      <c r="B29" s="1" t="s">
        <v>201</v>
      </c>
      <c r="C29" s="14" t="s">
        <v>719</v>
      </c>
      <c r="D29" s="97" t="s">
        <v>17</v>
      </c>
      <c r="E29" s="97" t="s">
        <v>42</v>
      </c>
      <c r="F29" s="97" t="s">
        <v>551</v>
      </c>
      <c r="G29" s="97">
        <v>1324352</v>
      </c>
      <c r="H29" s="98">
        <v>43927</v>
      </c>
      <c r="I29" s="99">
        <f t="shared" ca="1" si="10"/>
        <v>1.2555555555555555</v>
      </c>
      <c r="J29" s="97">
        <f t="shared" ca="1" si="11"/>
        <v>458</v>
      </c>
      <c r="K29" s="97">
        <f t="shared" ca="1" si="12"/>
        <v>15.266666666666667</v>
      </c>
      <c r="L29" s="102" t="s">
        <v>708</v>
      </c>
      <c r="M29" s="131">
        <v>179</v>
      </c>
      <c r="N29" s="337"/>
      <c r="O29" s="134">
        <v>27</v>
      </c>
      <c r="P29" s="131">
        <v>28</v>
      </c>
      <c r="Q29" s="134">
        <v>30</v>
      </c>
      <c r="R29" s="131">
        <v>33</v>
      </c>
      <c r="S29" s="134">
        <v>35</v>
      </c>
      <c r="T29" s="134">
        <v>37</v>
      </c>
      <c r="U29" s="131">
        <v>29</v>
      </c>
      <c r="V29" s="169">
        <v>33</v>
      </c>
      <c r="W29" s="131">
        <v>32</v>
      </c>
      <c r="X29" s="134">
        <v>32</v>
      </c>
      <c r="Y29" s="134">
        <v>32</v>
      </c>
      <c r="Z29" s="131">
        <v>33</v>
      </c>
      <c r="AA29" s="131">
        <v>33</v>
      </c>
      <c r="AB29" s="131">
        <v>34</v>
      </c>
      <c r="AC29" s="131">
        <v>35</v>
      </c>
      <c r="AD29" s="131">
        <v>36</v>
      </c>
      <c r="AE29" s="131">
        <v>37</v>
      </c>
      <c r="AF29" s="131">
        <v>37</v>
      </c>
      <c r="AG29" s="131">
        <v>38</v>
      </c>
      <c r="AH29" s="131"/>
      <c r="AI29" s="369">
        <v>44298</v>
      </c>
    </row>
    <row r="30" spans="1:37" ht="16" x14ac:dyDescent="0.2">
      <c r="A30" s="87">
        <f t="shared" si="3"/>
        <v>29</v>
      </c>
      <c r="B30" s="1" t="s">
        <v>202</v>
      </c>
      <c r="C30" s="14" t="s">
        <v>719</v>
      </c>
      <c r="D30" s="97" t="s">
        <v>17</v>
      </c>
      <c r="E30" s="97" t="s">
        <v>42</v>
      </c>
      <c r="F30" s="97" t="s">
        <v>549</v>
      </c>
      <c r="G30" s="97">
        <v>1324352</v>
      </c>
      <c r="H30" s="98">
        <v>43937</v>
      </c>
      <c r="I30" s="99">
        <f t="shared" ca="1" si="10"/>
        <v>1.2277777777777779</v>
      </c>
      <c r="J30" s="97">
        <f t="shared" ca="1" si="11"/>
        <v>448</v>
      </c>
      <c r="K30" s="97">
        <f t="shared" ca="1" si="12"/>
        <v>14.933333333333334</v>
      </c>
      <c r="L30" s="102" t="s">
        <v>708</v>
      </c>
      <c r="M30" s="131">
        <v>146</v>
      </c>
      <c r="N30" s="337"/>
      <c r="O30" s="134">
        <v>23</v>
      </c>
      <c r="P30" s="131">
        <v>25</v>
      </c>
      <c r="Q30" s="134">
        <v>26</v>
      </c>
      <c r="R30" s="131">
        <v>26</v>
      </c>
      <c r="S30" s="134">
        <v>26</v>
      </c>
      <c r="T30" s="134">
        <v>26</v>
      </c>
      <c r="U30" s="131">
        <v>29</v>
      </c>
      <c r="V30" s="169">
        <v>30</v>
      </c>
      <c r="W30" s="131">
        <v>30</v>
      </c>
      <c r="X30" s="134">
        <v>30</v>
      </c>
      <c r="Y30" s="134">
        <v>30</v>
      </c>
      <c r="Z30" s="131">
        <v>30</v>
      </c>
      <c r="AA30" s="131">
        <v>31</v>
      </c>
      <c r="AB30" s="131">
        <v>32</v>
      </c>
      <c r="AC30" s="131">
        <v>32</v>
      </c>
      <c r="AD30" s="131">
        <v>33</v>
      </c>
      <c r="AE30" s="131">
        <v>33</v>
      </c>
      <c r="AF30" s="131">
        <v>34</v>
      </c>
      <c r="AG30" s="131">
        <v>34</v>
      </c>
      <c r="AH30" s="131"/>
      <c r="AI30" s="370">
        <v>44298</v>
      </c>
    </row>
    <row r="31" spans="1:37" ht="16" x14ac:dyDescent="0.2">
      <c r="A31" s="177" t="s">
        <v>39</v>
      </c>
    </row>
    <row r="32" spans="1:37" ht="16" x14ac:dyDescent="0.2">
      <c r="A32" s="178" t="s">
        <v>22</v>
      </c>
    </row>
    <row r="33" spans="1:53" x14ac:dyDescent="0.2">
      <c r="A33" s="179" t="s">
        <v>37</v>
      </c>
    </row>
    <row r="34" spans="1:53" ht="16" x14ac:dyDescent="0.2">
      <c r="A34" s="180" t="s">
        <v>40</v>
      </c>
    </row>
    <row r="35" spans="1:53" ht="16" x14ac:dyDescent="0.2">
      <c r="A35" s="181" t="s">
        <v>41</v>
      </c>
    </row>
    <row r="36" spans="1:53" ht="16" x14ac:dyDescent="0.2">
      <c r="A36" s="203" t="s">
        <v>42</v>
      </c>
    </row>
    <row r="37" spans="1:53" x14ac:dyDescent="0.2">
      <c r="A37" s="202" t="s">
        <v>43</v>
      </c>
    </row>
    <row r="38" spans="1:53" ht="17" x14ac:dyDescent="0.2">
      <c r="A38" s="399" t="s">
        <v>44</v>
      </c>
    </row>
    <row r="39" spans="1:53" ht="17" x14ac:dyDescent="0.2">
      <c r="A39" s="546" t="s">
        <v>45</v>
      </c>
    </row>
    <row r="40" spans="1:53" x14ac:dyDescent="0.2">
      <c r="A40" s="345"/>
      <c r="B40" s="345"/>
      <c r="C40" s="345"/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45"/>
      <c r="P40" s="345"/>
      <c r="Q40" s="345"/>
      <c r="R40" s="345"/>
      <c r="S40" s="345"/>
      <c r="T40" s="345"/>
      <c r="U40" s="345"/>
      <c r="V40" s="345"/>
      <c r="W40" s="345"/>
      <c r="X40" s="345"/>
      <c r="Y40" s="345"/>
      <c r="Z40" s="345"/>
      <c r="AA40" s="345"/>
      <c r="AB40" s="345"/>
      <c r="AC40" s="345"/>
      <c r="AD40" s="345"/>
      <c r="AE40" s="345"/>
      <c r="AF40" s="345"/>
      <c r="AG40" s="345"/>
      <c r="AH40" s="345"/>
      <c r="AI40" s="345"/>
      <c r="AJ40" s="345"/>
      <c r="AK40" s="345"/>
      <c r="AL40" s="345"/>
      <c r="AM40" s="345"/>
      <c r="AN40" s="345"/>
      <c r="AO40" s="345"/>
      <c r="AP40" s="345"/>
      <c r="AQ40" s="345"/>
      <c r="AR40" s="345"/>
      <c r="AS40" s="345"/>
      <c r="AT40" s="345"/>
      <c r="AU40" s="345"/>
      <c r="AV40" s="345"/>
      <c r="AW40" s="345"/>
      <c r="AX40" s="345"/>
      <c r="AY40" s="345"/>
      <c r="AZ40" s="345"/>
      <c r="BA40" s="345"/>
    </row>
    <row r="41" spans="1:53" x14ac:dyDescent="0.2">
      <c r="A41" s="493" t="s">
        <v>617</v>
      </c>
    </row>
    <row r="42" spans="1:53" ht="16" x14ac:dyDescent="0.2">
      <c r="A42" s="87" t="s">
        <v>0</v>
      </c>
      <c r="B42" t="s">
        <v>50</v>
      </c>
      <c r="C42" s="2" t="s">
        <v>682</v>
      </c>
      <c r="D42" s="92" t="s">
        <v>53</v>
      </c>
      <c r="E42" s="92" t="s">
        <v>538</v>
      </c>
      <c r="F42" s="92" t="s">
        <v>52</v>
      </c>
      <c r="G42" s="92" t="s">
        <v>683</v>
      </c>
      <c r="H42" s="92" t="s">
        <v>54</v>
      </c>
      <c r="I42" s="18" t="s">
        <v>539</v>
      </c>
      <c r="J42" s="18" t="s">
        <v>540</v>
      </c>
      <c r="K42" s="18" t="s">
        <v>541</v>
      </c>
      <c r="L42" s="93" t="s">
        <v>542</v>
      </c>
      <c r="M42" s="481" t="s">
        <v>720</v>
      </c>
      <c r="N42" s="1" t="s">
        <v>721</v>
      </c>
      <c r="O42" s="481" t="s">
        <v>722</v>
      </c>
      <c r="P42" s="1" t="s">
        <v>723</v>
      </c>
      <c r="Q42" s="481" t="s">
        <v>724</v>
      </c>
      <c r="R42" s="1" t="s">
        <v>725</v>
      </c>
      <c r="S42" s="481" t="s">
        <v>726</v>
      </c>
      <c r="T42" s="1" t="s">
        <v>727</v>
      </c>
      <c r="U42" s="481" t="s">
        <v>728</v>
      </c>
      <c r="V42" s="1" t="s">
        <v>729</v>
      </c>
      <c r="W42" s="481" t="s">
        <v>730</v>
      </c>
      <c r="X42" s="1" t="s">
        <v>731</v>
      </c>
      <c r="Y42" s="481" t="s">
        <v>732</v>
      </c>
      <c r="Z42" s="1" t="s">
        <v>733</v>
      </c>
      <c r="AA42" s="481" t="s">
        <v>734</v>
      </c>
      <c r="AB42" s="1" t="s">
        <v>735</v>
      </c>
      <c r="AC42" s="481" t="s">
        <v>736</v>
      </c>
      <c r="AD42" s="1" t="s">
        <v>737</v>
      </c>
      <c r="AE42" s="481" t="s">
        <v>738</v>
      </c>
      <c r="AF42" s="1" t="s">
        <v>739</v>
      </c>
      <c r="AG42" s="481" t="s">
        <v>740</v>
      </c>
      <c r="AH42" s="1" t="s">
        <v>741</v>
      </c>
      <c r="AI42" s="481" t="s">
        <v>742</v>
      </c>
      <c r="AJ42" s="1" t="s">
        <v>743</v>
      </c>
      <c r="AK42" s="481" t="s">
        <v>744</v>
      </c>
      <c r="AL42" s="1" t="s">
        <v>745</v>
      </c>
      <c r="AM42" s="481" t="s">
        <v>746</v>
      </c>
      <c r="AN42" s="1" t="s">
        <v>747</v>
      </c>
      <c r="AO42" s="481" t="s">
        <v>748</v>
      </c>
      <c r="AP42" s="1" t="s">
        <v>749</v>
      </c>
      <c r="AQ42" s="481" t="s">
        <v>750</v>
      </c>
      <c r="AR42" s="1" t="s">
        <v>751</v>
      </c>
      <c r="AS42" s="481" t="s">
        <v>752</v>
      </c>
      <c r="AT42" s="1" t="s">
        <v>751</v>
      </c>
      <c r="AU42" s="481" t="s">
        <v>753</v>
      </c>
    </row>
    <row r="43" spans="1:53" ht="16" x14ac:dyDescent="0.2">
      <c r="A43" s="87">
        <v>1</v>
      </c>
      <c r="B43" s="1" t="s">
        <v>172</v>
      </c>
      <c r="C43" s="14" t="s">
        <v>707</v>
      </c>
      <c r="D43" s="16" t="s">
        <v>173</v>
      </c>
      <c r="E43" s="16" t="s">
        <v>551</v>
      </c>
      <c r="F43" s="16" t="s">
        <v>17</v>
      </c>
      <c r="G43" s="16">
        <v>1362659</v>
      </c>
      <c r="H43" s="94">
        <v>43927</v>
      </c>
      <c r="I43" s="85">
        <f t="shared" ref="I43:I71" ca="1" si="13">YEARFRAC(H43,TODAY())</f>
        <v>1.2555555555555555</v>
      </c>
      <c r="J43" s="16">
        <f t="shared" ref="J43:J71" ca="1" si="14">_xlfn.DAYS(TODAY(),H43)</f>
        <v>458</v>
      </c>
      <c r="K43" s="16">
        <f t="shared" ref="K43:K71" ca="1" si="15">J43/30</f>
        <v>15.266666666666667</v>
      </c>
      <c r="L43" s="102" t="s">
        <v>708</v>
      </c>
      <c r="M43" s="482">
        <v>400</v>
      </c>
      <c r="N43" s="482">
        <v>231</v>
      </c>
      <c r="O43" s="482">
        <v>169</v>
      </c>
      <c r="P43" s="482">
        <v>219</v>
      </c>
      <c r="Q43" s="482">
        <v>181</v>
      </c>
      <c r="R43" s="482">
        <v>276</v>
      </c>
      <c r="S43" s="482">
        <v>0</v>
      </c>
      <c r="T43" s="482">
        <v>141</v>
      </c>
      <c r="U43" s="483">
        <v>159</v>
      </c>
      <c r="V43" s="482">
        <v>277</v>
      </c>
      <c r="W43" s="482">
        <v>123</v>
      </c>
      <c r="X43" s="484">
        <v>259</v>
      </c>
      <c r="Y43" s="482">
        <v>141</v>
      </c>
      <c r="Z43" s="482">
        <v>270</v>
      </c>
      <c r="AA43" s="482">
        <v>130</v>
      </c>
      <c r="AB43" s="482">
        <v>265</v>
      </c>
      <c r="AC43" s="482">
        <v>145</v>
      </c>
      <c r="AD43" s="482">
        <v>290</v>
      </c>
      <c r="AE43" s="482">
        <v>110</v>
      </c>
      <c r="AF43" s="482">
        <v>287</v>
      </c>
      <c r="AG43" s="482">
        <v>113</v>
      </c>
      <c r="AH43" s="482">
        <v>288</v>
      </c>
      <c r="AI43" s="482">
        <v>0</v>
      </c>
      <c r="AJ43" s="482">
        <v>227</v>
      </c>
      <c r="AK43" s="482">
        <v>173</v>
      </c>
      <c r="AL43" s="482">
        <v>286</v>
      </c>
      <c r="AM43" s="482">
        <v>114</v>
      </c>
      <c r="AN43" s="482">
        <v>258</v>
      </c>
      <c r="AO43" s="482">
        <v>142</v>
      </c>
      <c r="AP43" s="482">
        <v>271</v>
      </c>
      <c r="AQ43" s="482">
        <v>129</v>
      </c>
      <c r="AR43" s="482">
        <v>266</v>
      </c>
      <c r="AS43" s="482">
        <v>134</v>
      </c>
      <c r="AT43" s="482"/>
      <c r="AU43" s="482"/>
    </row>
    <row r="44" spans="1:53" ht="16" x14ac:dyDescent="0.2">
      <c r="A44" s="87">
        <f t="shared" ref="A44:A71" si="16">1+A43</f>
        <v>2</v>
      </c>
      <c r="B44" s="1" t="s">
        <v>174</v>
      </c>
      <c r="C44" s="14" t="s">
        <v>707</v>
      </c>
      <c r="D44" s="16" t="s">
        <v>173</v>
      </c>
      <c r="E44" s="16" t="s">
        <v>549</v>
      </c>
      <c r="F44" s="16" t="s">
        <v>17</v>
      </c>
      <c r="G44" s="16" t="s">
        <v>176</v>
      </c>
      <c r="H44" s="94">
        <v>43927</v>
      </c>
      <c r="I44" s="85">
        <f t="shared" ca="1" si="13"/>
        <v>1.2555555555555555</v>
      </c>
      <c r="J44" s="16">
        <f t="shared" ca="1" si="14"/>
        <v>458</v>
      </c>
      <c r="K44" s="16">
        <f t="shared" ca="1" si="15"/>
        <v>15.266666666666667</v>
      </c>
      <c r="L44" s="102" t="s">
        <v>708</v>
      </c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</row>
    <row r="45" spans="1:53" ht="16" x14ac:dyDescent="0.2">
      <c r="A45" s="87">
        <f t="shared" si="16"/>
        <v>3</v>
      </c>
      <c r="B45" s="492" t="s">
        <v>175</v>
      </c>
      <c r="C45" s="14" t="s">
        <v>707</v>
      </c>
      <c r="D45" s="16" t="s">
        <v>173</v>
      </c>
      <c r="E45" s="16" t="s">
        <v>592</v>
      </c>
      <c r="F45" s="16" t="s">
        <v>17</v>
      </c>
      <c r="G45" s="16" t="s">
        <v>176</v>
      </c>
      <c r="H45" s="94">
        <v>43950</v>
      </c>
      <c r="I45" s="85">
        <f t="shared" ca="1" si="13"/>
        <v>1.1916666666666667</v>
      </c>
      <c r="J45" s="16">
        <f t="shared" ca="1" si="14"/>
        <v>435</v>
      </c>
      <c r="K45" s="16">
        <f t="shared" ca="1" si="15"/>
        <v>14.5</v>
      </c>
      <c r="L45" s="102" t="s">
        <v>708</v>
      </c>
      <c r="M45" s="482" t="s">
        <v>754</v>
      </c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</row>
    <row r="46" spans="1:53" ht="16" x14ac:dyDescent="0.2">
      <c r="A46" s="87">
        <f t="shared" si="16"/>
        <v>4</v>
      </c>
      <c r="B46" s="1" t="s">
        <v>177</v>
      </c>
      <c r="C46" s="14" t="s">
        <v>707</v>
      </c>
      <c r="D46" s="16" t="s">
        <v>173</v>
      </c>
      <c r="E46" s="16" t="s">
        <v>548</v>
      </c>
      <c r="F46" s="16" t="s">
        <v>17</v>
      </c>
      <c r="G46" s="16">
        <v>1299175</v>
      </c>
      <c r="H46" s="94">
        <v>43927</v>
      </c>
      <c r="I46" s="85">
        <f t="shared" ca="1" si="13"/>
        <v>1.2555555555555555</v>
      </c>
      <c r="J46" s="16">
        <f t="shared" ca="1" si="14"/>
        <v>458</v>
      </c>
      <c r="K46" s="16">
        <f t="shared" ca="1" si="15"/>
        <v>15.266666666666667</v>
      </c>
      <c r="L46" s="102" t="s">
        <v>708</v>
      </c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204"/>
      <c r="AT46" s="204"/>
      <c r="AU46" s="204"/>
    </row>
    <row r="47" spans="1:53" ht="16" x14ac:dyDescent="0.2">
      <c r="A47" s="87">
        <f t="shared" si="16"/>
        <v>5</v>
      </c>
      <c r="B47" s="1" t="s">
        <v>178</v>
      </c>
      <c r="C47" s="14" t="s">
        <v>710</v>
      </c>
      <c r="D47" s="16" t="s">
        <v>173</v>
      </c>
      <c r="E47" s="16" t="s">
        <v>592</v>
      </c>
      <c r="F47" s="16" t="s">
        <v>15</v>
      </c>
      <c r="G47" s="16">
        <v>1324361</v>
      </c>
      <c r="H47" s="94">
        <v>43936</v>
      </c>
      <c r="I47" s="85">
        <f t="shared" ca="1" si="13"/>
        <v>1.2305555555555556</v>
      </c>
      <c r="J47" s="16">
        <f t="shared" ca="1" si="14"/>
        <v>449</v>
      </c>
      <c r="K47" s="16">
        <f t="shared" ca="1" si="15"/>
        <v>14.966666666666667</v>
      </c>
      <c r="L47" s="87" t="s">
        <v>9</v>
      </c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4"/>
      <c r="AT47" s="204"/>
      <c r="AU47" s="204"/>
    </row>
    <row r="48" spans="1:53" ht="16" x14ac:dyDescent="0.2">
      <c r="A48" s="87">
        <f t="shared" si="16"/>
        <v>6</v>
      </c>
      <c r="B48" s="1" t="s">
        <v>179</v>
      </c>
      <c r="C48" s="14" t="s">
        <v>710</v>
      </c>
      <c r="D48" s="16" t="s">
        <v>173</v>
      </c>
      <c r="E48" s="16" t="s">
        <v>551</v>
      </c>
      <c r="F48" s="16" t="s">
        <v>15</v>
      </c>
      <c r="G48" s="16">
        <v>1324361</v>
      </c>
      <c r="H48" s="94">
        <v>43936</v>
      </c>
      <c r="I48" s="85">
        <f t="shared" ca="1" si="13"/>
        <v>1.2305555555555556</v>
      </c>
      <c r="J48" s="16">
        <f t="shared" ca="1" si="14"/>
        <v>449</v>
      </c>
      <c r="K48" s="16">
        <f t="shared" ca="1" si="15"/>
        <v>14.966666666666667</v>
      </c>
      <c r="L48" s="87" t="s">
        <v>9</v>
      </c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</row>
    <row r="49" spans="1:47" ht="16" x14ac:dyDescent="0.2">
      <c r="A49" s="87">
        <f t="shared" si="16"/>
        <v>7</v>
      </c>
      <c r="B49" s="1" t="s">
        <v>180</v>
      </c>
      <c r="C49" s="14" t="s">
        <v>710</v>
      </c>
      <c r="D49" s="16" t="s">
        <v>173</v>
      </c>
      <c r="E49" s="16" t="s">
        <v>549</v>
      </c>
      <c r="F49" s="16" t="s">
        <v>15</v>
      </c>
      <c r="G49" s="16">
        <v>1324361</v>
      </c>
      <c r="H49" s="94">
        <v>43936</v>
      </c>
      <c r="I49" s="85">
        <f t="shared" ca="1" si="13"/>
        <v>1.2305555555555556</v>
      </c>
      <c r="J49" s="16">
        <f t="shared" ca="1" si="14"/>
        <v>449</v>
      </c>
      <c r="K49" s="16">
        <f t="shared" ca="1" si="15"/>
        <v>14.966666666666667</v>
      </c>
      <c r="L49" s="87" t="s">
        <v>9</v>
      </c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 t="s">
        <v>651</v>
      </c>
      <c r="AS49" s="204"/>
      <c r="AT49" s="204"/>
      <c r="AU49" s="204"/>
    </row>
    <row r="50" spans="1:47" ht="16" x14ac:dyDescent="0.2">
      <c r="A50" s="87">
        <f t="shared" si="16"/>
        <v>8</v>
      </c>
      <c r="B50" s="1" t="s">
        <v>181</v>
      </c>
      <c r="C50" s="14" t="s">
        <v>710</v>
      </c>
      <c r="D50" s="16" t="s">
        <v>173</v>
      </c>
      <c r="E50" s="16" t="s">
        <v>548</v>
      </c>
      <c r="F50" s="16" t="s">
        <v>15</v>
      </c>
      <c r="G50" s="16">
        <v>1324361</v>
      </c>
      <c r="H50" s="94">
        <v>43936</v>
      </c>
      <c r="I50" s="85">
        <f t="shared" ca="1" si="13"/>
        <v>1.2305555555555556</v>
      </c>
      <c r="J50" s="16">
        <f t="shared" ca="1" si="14"/>
        <v>449</v>
      </c>
      <c r="K50" s="16">
        <f t="shared" ca="1" si="15"/>
        <v>14.966666666666667</v>
      </c>
      <c r="L50" s="87" t="s">
        <v>9</v>
      </c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</row>
    <row r="51" spans="1:47" ht="16" x14ac:dyDescent="0.2">
      <c r="A51" s="87">
        <f t="shared" si="16"/>
        <v>9</v>
      </c>
      <c r="B51" s="1" t="s">
        <v>182</v>
      </c>
      <c r="C51" s="14" t="s">
        <v>711</v>
      </c>
      <c r="D51" s="16" t="s">
        <v>173</v>
      </c>
      <c r="E51" s="16" t="s">
        <v>592</v>
      </c>
      <c r="F51" s="16" t="s">
        <v>15</v>
      </c>
      <c r="G51" s="16">
        <v>1324349</v>
      </c>
      <c r="H51" s="94">
        <v>43942</v>
      </c>
      <c r="I51" s="85">
        <f t="shared" ca="1" si="13"/>
        <v>1.2138888888888888</v>
      </c>
      <c r="J51" s="16">
        <f t="shared" ca="1" si="14"/>
        <v>443</v>
      </c>
      <c r="K51" s="16">
        <f t="shared" ca="1" si="15"/>
        <v>14.766666666666667</v>
      </c>
      <c r="L51" s="102" t="s">
        <v>708</v>
      </c>
      <c r="M51" s="482">
        <v>400</v>
      </c>
      <c r="N51" s="482">
        <v>234</v>
      </c>
      <c r="O51" s="482">
        <v>166</v>
      </c>
      <c r="P51" s="482">
        <v>211</v>
      </c>
      <c r="Q51" s="482">
        <v>189</v>
      </c>
      <c r="R51" s="482">
        <v>326</v>
      </c>
      <c r="S51" s="482">
        <v>0</v>
      </c>
      <c r="T51" s="482">
        <v>247</v>
      </c>
      <c r="U51" s="483">
        <v>153</v>
      </c>
      <c r="V51" s="482">
        <v>322</v>
      </c>
      <c r="W51" s="482">
        <v>78</v>
      </c>
      <c r="X51" s="484">
        <v>259</v>
      </c>
      <c r="Y51" s="482">
        <v>148</v>
      </c>
      <c r="Z51" s="482">
        <v>271</v>
      </c>
      <c r="AA51" s="482">
        <v>129</v>
      </c>
      <c r="AB51" s="482">
        <v>269</v>
      </c>
      <c r="AC51" s="482">
        <v>131</v>
      </c>
      <c r="AD51" s="482">
        <v>288</v>
      </c>
      <c r="AE51" s="482">
        <v>112</v>
      </c>
      <c r="AF51" s="482">
        <v>290</v>
      </c>
      <c r="AG51" s="482">
        <v>110</v>
      </c>
      <c r="AH51" s="482">
        <v>299</v>
      </c>
      <c r="AI51" s="482">
        <v>0</v>
      </c>
      <c r="AJ51" s="482">
        <v>220</v>
      </c>
      <c r="AK51" s="482">
        <v>180</v>
      </c>
      <c r="AL51" s="482">
        <v>277</v>
      </c>
      <c r="AM51" s="482">
        <v>123</v>
      </c>
      <c r="AN51" s="482">
        <v>278</v>
      </c>
      <c r="AO51" s="482">
        <v>122</v>
      </c>
      <c r="AP51" s="482">
        <v>267</v>
      </c>
      <c r="AQ51" s="482">
        <v>133</v>
      </c>
      <c r="AR51" s="482">
        <v>251</v>
      </c>
      <c r="AS51" s="482">
        <v>149</v>
      </c>
      <c r="AT51" s="482"/>
      <c r="AU51" s="482"/>
    </row>
    <row r="52" spans="1:47" ht="16" x14ac:dyDescent="0.2">
      <c r="A52" s="87">
        <f t="shared" si="16"/>
        <v>10</v>
      </c>
      <c r="B52" s="1" t="s">
        <v>183</v>
      </c>
      <c r="C52" s="14" t="s">
        <v>711</v>
      </c>
      <c r="D52" s="16" t="s">
        <v>173</v>
      </c>
      <c r="E52" s="16" t="s">
        <v>551</v>
      </c>
      <c r="F52" s="16" t="s">
        <v>15</v>
      </c>
      <c r="G52" s="16">
        <v>1324349</v>
      </c>
      <c r="H52" s="94">
        <v>43942</v>
      </c>
      <c r="I52" s="85">
        <f t="shared" ca="1" si="13"/>
        <v>1.2138888888888888</v>
      </c>
      <c r="J52" s="16">
        <f t="shared" ca="1" si="14"/>
        <v>443</v>
      </c>
      <c r="K52" s="16">
        <f t="shared" ca="1" si="15"/>
        <v>14.766666666666667</v>
      </c>
      <c r="L52" s="102" t="s">
        <v>708</v>
      </c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</row>
    <row r="53" spans="1:47" ht="16" x14ac:dyDescent="0.2">
      <c r="A53" s="87">
        <f t="shared" si="16"/>
        <v>11</v>
      </c>
      <c r="B53" s="1" t="s">
        <v>184</v>
      </c>
      <c r="C53" s="14" t="s">
        <v>711</v>
      </c>
      <c r="D53" s="16" t="s">
        <v>173</v>
      </c>
      <c r="E53" s="16" t="s">
        <v>549</v>
      </c>
      <c r="F53" s="16" t="s">
        <v>15</v>
      </c>
      <c r="G53" s="16">
        <v>1324349</v>
      </c>
      <c r="H53" s="94">
        <v>43942</v>
      </c>
      <c r="I53" s="85">
        <f t="shared" ca="1" si="13"/>
        <v>1.2138888888888888</v>
      </c>
      <c r="J53" s="16">
        <f t="shared" ca="1" si="14"/>
        <v>443</v>
      </c>
      <c r="K53" s="16">
        <f t="shared" ca="1" si="15"/>
        <v>14.766666666666667</v>
      </c>
      <c r="L53" s="102" t="s">
        <v>708</v>
      </c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04"/>
      <c r="AR53" s="204"/>
      <c r="AS53" s="204"/>
      <c r="AT53" s="204"/>
      <c r="AU53" s="204"/>
    </row>
    <row r="54" spans="1:47" ht="16" x14ac:dyDescent="0.2">
      <c r="A54" s="87">
        <f t="shared" si="16"/>
        <v>12</v>
      </c>
      <c r="B54" s="1" t="s">
        <v>185</v>
      </c>
      <c r="C54" s="14" t="s">
        <v>711</v>
      </c>
      <c r="D54" s="16" t="s">
        <v>173</v>
      </c>
      <c r="E54" s="16" t="s">
        <v>548</v>
      </c>
      <c r="F54" s="16" t="s">
        <v>15</v>
      </c>
      <c r="G54" s="16">
        <v>1324349</v>
      </c>
      <c r="H54" s="94">
        <v>43942</v>
      </c>
      <c r="I54" s="85">
        <f t="shared" ca="1" si="13"/>
        <v>1.2138888888888888</v>
      </c>
      <c r="J54" s="16">
        <f t="shared" ca="1" si="14"/>
        <v>443</v>
      </c>
      <c r="K54" s="16">
        <f t="shared" ca="1" si="15"/>
        <v>14.766666666666667</v>
      </c>
      <c r="L54" s="102" t="s">
        <v>708</v>
      </c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  <c r="AS54" s="204"/>
      <c r="AT54" s="204"/>
      <c r="AU54" s="204"/>
    </row>
    <row r="55" spans="1:47" ht="16" x14ac:dyDescent="0.2">
      <c r="A55" s="87">
        <f t="shared" si="16"/>
        <v>13</v>
      </c>
      <c r="B55" s="1" t="s">
        <v>186</v>
      </c>
      <c r="C55" s="14" t="s">
        <v>712</v>
      </c>
      <c r="D55" s="16" t="s">
        <v>173</v>
      </c>
      <c r="E55" s="16" t="s">
        <v>592</v>
      </c>
      <c r="F55" s="16" t="s">
        <v>17</v>
      </c>
      <c r="G55" s="16">
        <v>1324350</v>
      </c>
      <c r="H55" s="94">
        <v>43942</v>
      </c>
      <c r="I55" s="85">
        <f t="shared" ca="1" si="13"/>
        <v>1.2138888888888888</v>
      </c>
      <c r="J55" s="16">
        <f t="shared" ca="1" si="14"/>
        <v>443</v>
      </c>
      <c r="K55" s="16">
        <f t="shared" ca="1" si="15"/>
        <v>14.766666666666667</v>
      </c>
      <c r="L55" s="87" t="s">
        <v>9</v>
      </c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  <c r="AS55" s="204"/>
      <c r="AT55" s="204"/>
      <c r="AU55" s="204"/>
    </row>
    <row r="56" spans="1:47" ht="16" x14ac:dyDescent="0.2">
      <c r="A56" s="87">
        <f t="shared" si="16"/>
        <v>14</v>
      </c>
      <c r="B56" s="1" t="s">
        <v>187</v>
      </c>
      <c r="C56" s="14" t="s">
        <v>712</v>
      </c>
      <c r="D56" s="16" t="s">
        <v>173</v>
      </c>
      <c r="E56" s="16" t="s">
        <v>551</v>
      </c>
      <c r="F56" s="16" t="s">
        <v>17</v>
      </c>
      <c r="G56" s="16">
        <v>1324350</v>
      </c>
      <c r="H56" s="94">
        <v>43942</v>
      </c>
      <c r="I56" s="85">
        <f t="shared" ca="1" si="13"/>
        <v>1.2138888888888888</v>
      </c>
      <c r="J56" s="16">
        <f t="shared" ca="1" si="14"/>
        <v>443</v>
      </c>
      <c r="K56" s="16">
        <f t="shared" ca="1" si="15"/>
        <v>14.766666666666667</v>
      </c>
      <c r="L56" s="87" t="s">
        <v>9</v>
      </c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04"/>
      <c r="AR56" s="204"/>
      <c r="AS56" s="204"/>
      <c r="AT56" s="204"/>
      <c r="AU56" s="204"/>
    </row>
    <row r="57" spans="1:47" ht="16" x14ac:dyDescent="0.2">
      <c r="A57" s="87">
        <f t="shared" si="16"/>
        <v>15</v>
      </c>
      <c r="B57" s="1" t="s">
        <v>188</v>
      </c>
      <c r="C57" s="14" t="s">
        <v>712</v>
      </c>
      <c r="D57" s="16" t="s">
        <v>173</v>
      </c>
      <c r="E57" s="16" t="s">
        <v>549</v>
      </c>
      <c r="F57" s="16" t="s">
        <v>17</v>
      </c>
      <c r="G57" s="16">
        <v>1324350</v>
      </c>
      <c r="H57" s="94">
        <v>43942</v>
      </c>
      <c r="I57" s="85">
        <f t="shared" ca="1" si="13"/>
        <v>1.2138888888888888</v>
      </c>
      <c r="J57" s="16">
        <f t="shared" ca="1" si="14"/>
        <v>443</v>
      </c>
      <c r="K57" s="16">
        <f t="shared" ca="1" si="15"/>
        <v>14.766666666666667</v>
      </c>
      <c r="L57" s="87" t="s">
        <v>9</v>
      </c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4"/>
      <c r="AT57" s="204"/>
      <c r="AU57" s="204"/>
    </row>
    <row r="58" spans="1:47" ht="16" x14ac:dyDescent="0.2">
      <c r="A58" s="87">
        <f t="shared" si="16"/>
        <v>16</v>
      </c>
      <c r="B58" s="1" t="s">
        <v>189</v>
      </c>
      <c r="C58" s="14" t="s">
        <v>712</v>
      </c>
      <c r="D58" s="16" t="s">
        <v>173</v>
      </c>
      <c r="E58" s="16" t="s">
        <v>548</v>
      </c>
      <c r="F58" s="16" t="s">
        <v>17</v>
      </c>
      <c r="G58" s="16">
        <v>1324350</v>
      </c>
      <c r="H58" s="94">
        <v>43942</v>
      </c>
      <c r="I58" s="85">
        <f t="shared" ca="1" si="13"/>
        <v>1.2138888888888888</v>
      </c>
      <c r="J58" s="16">
        <f t="shared" ca="1" si="14"/>
        <v>443</v>
      </c>
      <c r="K58" s="16">
        <f t="shared" ca="1" si="15"/>
        <v>14.766666666666667</v>
      </c>
      <c r="L58" s="87" t="s">
        <v>9</v>
      </c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  <c r="AS58" s="204"/>
      <c r="AT58" s="204"/>
      <c r="AU58" s="204"/>
    </row>
    <row r="59" spans="1:47" ht="16" x14ac:dyDescent="0.2">
      <c r="A59" s="87">
        <f t="shared" si="16"/>
        <v>17</v>
      </c>
      <c r="B59" s="1" t="s">
        <v>190</v>
      </c>
      <c r="C59" s="14" t="s">
        <v>712</v>
      </c>
      <c r="D59" s="16" t="s">
        <v>173</v>
      </c>
      <c r="E59" s="16" t="s">
        <v>550</v>
      </c>
      <c r="F59" s="16" t="s">
        <v>17</v>
      </c>
      <c r="G59" s="16">
        <v>1324350</v>
      </c>
      <c r="H59" s="94">
        <v>43950</v>
      </c>
      <c r="I59" s="85">
        <f t="shared" ca="1" si="13"/>
        <v>1.1916666666666667</v>
      </c>
      <c r="J59" s="16">
        <f t="shared" ca="1" si="14"/>
        <v>435</v>
      </c>
      <c r="K59" s="16">
        <f t="shared" ca="1" si="15"/>
        <v>14.5</v>
      </c>
      <c r="L59" s="87" t="s">
        <v>9</v>
      </c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</row>
    <row r="60" spans="1:47" ht="16" x14ac:dyDescent="0.2">
      <c r="A60" s="87">
        <f t="shared" si="16"/>
        <v>18</v>
      </c>
      <c r="B60" s="1" t="s">
        <v>191</v>
      </c>
      <c r="C60" s="14" t="s">
        <v>713</v>
      </c>
      <c r="D60" s="95" t="s">
        <v>37</v>
      </c>
      <c r="E60" s="95" t="s">
        <v>549</v>
      </c>
      <c r="F60" s="95" t="s">
        <v>15</v>
      </c>
      <c r="G60" s="95">
        <v>1299771</v>
      </c>
      <c r="H60" s="100">
        <v>43949</v>
      </c>
      <c r="I60" s="101">
        <f t="shared" ca="1" si="13"/>
        <v>1.1944444444444444</v>
      </c>
      <c r="J60" s="95">
        <f t="shared" ca="1" si="14"/>
        <v>436</v>
      </c>
      <c r="K60" s="95">
        <f t="shared" ca="1" si="15"/>
        <v>14.533333333333333</v>
      </c>
      <c r="L60" s="102" t="s">
        <v>708</v>
      </c>
      <c r="M60" s="485">
        <v>400</v>
      </c>
      <c r="N60" s="485">
        <v>224</v>
      </c>
      <c r="O60" s="485">
        <v>176</v>
      </c>
      <c r="P60" s="485">
        <v>237</v>
      </c>
      <c r="Q60" s="485">
        <v>163</v>
      </c>
      <c r="R60" s="485">
        <v>366</v>
      </c>
      <c r="S60" s="485">
        <v>0</v>
      </c>
      <c r="T60" s="485">
        <v>265</v>
      </c>
      <c r="U60" s="486">
        <v>135</v>
      </c>
      <c r="V60" s="485">
        <v>355</v>
      </c>
      <c r="W60" s="485">
        <v>45</v>
      </c>
      <c r="X60" s="487">
        <v>261</v>
      </c>
      <c r="Y60" s="485">
        <v>139</v>
      </c>
      <c r="Z60" s="485">
        <v>288</v>
      </c>
      <c r="AA60" s="485">
        <v>112</v>
      </c>
      <c r="AB60" s="485">
        <v>290</v>
      </c>
      <c r="AC60" s="485">
        <v>110</v>
      </c>
      <c r="AD60" s="485">
        <v>310</v>
      </c>
      <c r="AE60" s="485">
        <v>90</v>
      </c>
      <c r="AF60" s="485">
        <v>298</v>
      </c>
      <c r="AG60" s="485">
        <v>102</v>
      </c>
      <c r="AH60" s="485">
        <v>301</v>
      </c>
      <c r="AI60" s="485">
        <v>0</v>
      </c>
      <c r="AJ60" s="485">
        <v>237</v>
      </c>
      <c r="AK60" s="485">
        <v>163</v>
      </c>
      <c r="AL60" s="485">
        <v>306</v>
      </c>
      <c r="AM60" s="485">
        <v>94</v>
      </c>
      <c r="AN60" s="485">
        <v>288</v>
      </c>
      <c r="AO60" s="485">
        <v>112</v>
      </c>
      <c r="AP60" s="485">
        <v>278</v>
      </c>
      <c r="AQ60" s="485">
        <v>122</v>
      </c>
      <c r="AR60" s="485">
        <v>292</v>
      </c>
      <c r="AS60" s="485">
        <v>108</v>
      </c>
      <c r="AT60" s="485"/>
      <c r="AU60" s="485"/>
    </row>
    <row r="61" spans="1:47" ht="16" x14ac:dyDescent="0.2">
      <c r="A61" s="87">
        <f t="shared" si="16"/>
        <v>19</v>
      </c>
      <c r="B61" s="1" t="s">
        <v>192</v>
      </c>
      <c r="C61" s="14" t="s">
        <v>713</v>
      </c>
      <c r="D61" s="95" t="s">
        <v>37</v>
      </c>
      <c r="E61" s="95" t="s">
        <v>548</v>
      </c>
      <c r="F61" s="95" t="s">
        <v>15</v>
      </c>
      <c r="G61" s="95">
        <v>1299771</v>
      </c>
      <c r="H61" s="100">
        <v>43949</v>
      </c>
      <c r="I61" s="101">
        <f t="shared" ca="1" si="13"/>
        <v>1.1944444444444444</v>
      </c>
      <c r="J61" s="95">
        <f t="shared" ca="1" si="14"/>
        <v>436</v>
      </c>
      <c r="K61" s="95">
        <f t="shared" ca="1" si="15"/>
        <v>14.533333333333333</v>
      </c>
      <c r="L61" s="102" t="s">
        <v>708</v>
      </c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</row>
    <row r="62" spans="1:47" ht="16" x14ac:dyDescent="0.2">
      <c r="A62" s="87">
        <f t="shared" si="16"/>
        <v>20</v>
      </c>
      <c r="B62" s="1" t="s">
        <v>193</v>
      </c>
      <c r="C62" s="14" t="s">
        <v>713</v>
      </c>
      <c r="D62" s="95" t="s">
        <v>37</v>
      </c>
      <c r="E62" s="95" t="s">
        <v>546</v>
      </c>
      <c r="F62" s="95" t="s">
        <v>15</v>
      </c>
      <c r="G62" s="95">
        <v>1299771</v>
      </c>
      <c r="H62" s="100">
        <v>43949</v>
      </c>
      <c r="I62" s="101">
        <f t="shared" ca="1" si="13"/>
        <v>1.1944444444444444</v>
      </c>
      <c r="J62" s="95">
        <f t="shared" ca="1" si="14"/>
        <v>436</v>
      </c>
      <c r="K62" s="95">
        <f t="shared" ca="1" si="15"/>
        <v>14.533333333333333</v>
      </c>
      <c r="L62" s="102" t="s">
        <v>708</v>
      </c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</row>
    <row r="63" spans="1:47" ht="16" x14ac:dyDescent="0.2">
      <c r="A63" s="87">
        <f t="shared" si="16"/>
        <v>21</v>
      </c>
      <c r="B63" s="1" t="s">
        <v>194</v>
      </c>
      <c r="C63" s="14" t="s">
        <v>715</v>
      </c>
      <c r="D63" s="95" t="s">
        <v>37</v>
      </c>
      <c r="E63" s="95" t="s">
        <v>549</v>
      </c>
      <c r="F63" s="95" t="s">
        <v>17</v>
      </c>
      <c r="G63" s="95">
        <v>1343452</v>
      </c>
      <c r="H63" s="100">
        <v>43949</v>
      </c>
      <c r="I63" s="101">
        <f t="shared" ca="1" si="13"/>
        <v>1.1944444444444444</v>
      </c>
      <c r="J63" s="95">
        <f t="shared" ca="1" si="14"/>
        <v>436</v>
      </c>
      <c r="K63" s="95">
        <f t="shared" ca="1" si="15"/>
        <v>14.533333333333333</v>
      </c>
      <c r="L63" s="102" t="s">
        <v>708</v>
      </c>
      <c r="M63" s="485">
        <v>400</v>
      </c>
      <c r="N63" s="485">
        <v>286</v>
      </c>
      <c r="O63" s="485">
        <v>114</v>
      </c>
      <c r="P63" s="485">
        <v>256</v>
      </c>
      <c r="Q63" s="485">
        <v>144</v>
      </c>
      <c r="R63" s="485">
        <v>278</v>
      </c>
      <c r="S63" s="485">
        <v>0</v>
      </c>
      <c r="T63" s="485">
        <v>112</v>
      </c>
      <c r="U63" s="486">
        <v>288</v>
      </c>
      <c r="V63" s="485">
        <v>290</v>
      </c>
      <c r="W63" s="485">
        <v>110</v>
      </c>
      <c r="X63" s="487">
        <v>251</v>
      </c>
      <c r="Y63" s="485">
        <v>149</v>
      </c>
      <c r="Z63" s="485">
        <v>276</v>
      </c>
      <c r="AA63" s="485">
        <v>124</v>
      </c>
      <c r="AB63" s="485">
        <v>303</v>
      </c>
      <c r="AC63" s="485">
        <v>97</v>
      </c>
      <c r="AD63" s="485">
        <v>311</v>
      </c>
      <c r="AE63" s="485">
        <v>89</v>
      </c>
      <c r="AF63" s="485">
        <v>270</v>
      </c>
      <c r="AG63" s="485">
        <v>130</v>
      </c>
      <c r="AH63" s="485">
        <v>288</v>
      </c>
      <c r="AI63" s="485">
        <v>0</v>
      </c>
      <c r="AJ63" s="485">
        <v>217</v>
      </c>
      <c r="AK63" s="485">
        <v>183</v>
      </c>
      <c r="AL63" s="485">
        <v>302</v>
      </c>
      <c r="AM63" s="485">
        <v>98</v>
      </c>
      <c r="AN63" s="485">
        <v>285</v>
      </c>
      <c r="AO63" s="485">
        <v>115</v>
      </c>
      <c r="AP63" s="485">
        <v>284</v>
      </c>
      <c r="AQ63" s="485">
        <v>116</v>
      </c>
      <c r="AR63" s="485">
        <v>283</v>
      </c>
      <c r="AS63" s="485">
        <v>117</v>
      </c>
      <c r="AT63" s="485"/>
      <c r="AU63" s="485"/>
    </row>
    <row r="64" spans="1:47" ht="16" x14ac:dyDescent="0.2">
      <c r="A64" s="87">
        <f t="shared" si="16"/>
        <v>22</v>
      </c>
      <c r="B64" s="492" t="s">
        <v>195</v>
      </c>
      <c r="C64" s="14" t="s">
        <v>715</v>
      </c>
      <c r="D64" s="95" t="s">
        <v>37</v>
      </c>
      <c r="E64" s="95" t="s">
        <v>716</v>
      </c>
      <c r="F64" s="95" t="s">
        <v>17</v>
      </c>
      <c r="G64" s="95">
        <v>1343452</v>
      </c>
      <c r="H64" s="100">
        <v>43900</v>
      </c>
      <c r="I64" s="101">
        <f t="shared" ca="1" si="13"/>
        <v>1.3277777777777777</v>
      </c>
      <c r="J64" s="95">
        <f t="shared" ca="1" si="14"/>
        <v>485</v>
      </c>
      <c r="K64" s="95">
        <f t="shared" ca="1" si="15"/>
        <v>16.166666666666668</v>
      </c>
      <c r="L64" s="102" t="s">
        <v>708</v>
      </c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</row>
    <row r="65" spans="1:47" ht="16" x14ac:dyDescent="0.2">
      <c r="A65" s="87">
        <f t="shared" si="16"/>
        <v>23</v>
      </c>
      <c r="B65" s="1" t="s">
        <v>196</v>
      </c>
      <c r="C65" s="14" t="s">
        <v>715</v>
      </c>
      <c r="D65" s="95" t="s">
        <v>37</v>
      </c>
      <c r="E65" s="95" t="s">
        <v>592</v>
      </c>
      <c r="F65" s="95" t="s">
        <v>17</v>
      </c>
      <c r="G65" s="95">
        <v>1343452</v>
      </c>
      <c r="H65" s="100">
        <v>43900</v>
      </c>
      <c r="I65" s="101">
        <f t="shared" ca="1" si="13"/>
        <v>1.3277777777777777</v>
      </c>
      <c r="J65" s="95">
        <f t="shared" ca="1" si="14"/>
        <v>485</v>
      </c>
      <c r="K65" s="95">
        <f t="shared" ca="1" si="15"/>
        <v>16.166666666666668</v>
      </c>
      <c r="L65" s="102" t="s">
        <v>708</v>
      </c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</row>
    <row r="66" spans="1:47" ht="16" x14ac:dyDescent="0.2">
      <c r="A66" s="87">
        <f t="shared" si="16"/>
        <v>24</v>
      </c>
      <c r="B66" s="1" t="s">
        <v>197</v>
      </c>
      <c r="C66" s="14" t="s">
        <v>715</v>
      </c>
      <c r="D66" s="95" t="s">
        <v>37</v>
      </c>
      <c r="E66" s="95" t="s">
        <v>548</v>
      </c>
      <c r="F66" s="95" t="s">
        <v>17</v>
      </c>
      <c r="G66" s="95">
        <v>1343452</v>
      </c>
      <c r="H66" s="100">
        <v>43949</v>
      </c>
      <c r="I66" s="101">
        <f t="shared" ca="1" si="13"/>
        <v>1.1944444444444444</v>
      </c>
      <c r="J66" s="95">
        <f t="shared" ca="1" si="14"/>
        <v>436</v>
      </c>
      <c r="K66" s="95">
        <f t="shared" ca="1" si="15"/>
        <v>14.533333333333333</v>
      </c>
      <c r="L66" s="102" t="s">
        <v>708</v>
      </c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</row>
    <row r="67" spans="1:47" ht="16" x14ac:dyDescent="0.2">
      <c r="A67" s="87">
        <f t="shared" si="16"/>
        <v>25</v>
      </c>
      <c r="B67" s="1" t="s">
        <v>198</v>
      </c>
      <c r="C67" s="14" t="s">
        <v>718</v>
      </c>
      <c r="D67" s="96" t="s">
        <v>42</v>
      </c>
      <c r="E67" s="97" t="s">
        <v>592</v>
      </c>
      <c r="F67" s="97" t="s">
        <v>15</v>
      </c>
      <c r="G67" s="97">
        <v>1324359</v>
      </c>
      <c r="H67" s="98">
        <v>43927</v>
      </c>
      <c r="I67" s="99">
        <f t="shared" ca="1" si="13"/>
        <v>1.2555555555555555</v>
      </c>
      <c r="J67" s="97">
        <f t="shared" ca="1" si="14"/>
        <v>458</v>
      </c>
      <c r="K67" s="97">
        <f t="shared" ca="1" si="15"/>
        <v>15.266666666666667</v>
      </c>
      <c r="L67" s="102" t="s">
        <v>708</v>
      </c>
      <c r="M67" s="488">
        <v>400</v>
      </c>
      <c r="N67" s="488">
        <v>278</v>
      </c>
      <c r="O67" s="488">
        <v>122</v>
      </c>
      <c r="P67" s="488">
        <v>298</v>
      </c>
      <c r="Q67" s="488">
        <v>102</v>
      </c>
      <c r="R67" s="488">
        <v>356</v>
      </c>
      <c r="S67" s="488">
        <v>0</v>
      </c>
      <c r="T67" s="488">
        <v>318</v>
      </c>
      <c r="U67" s="489">
        <v>82</v>
      </c>
      <c r="V67" s="488">
        <v>355</v>
      </c>
      <c r="W67" s="488">
        <v>45</v>
      </c>
      <c r="X67" s="490">
        <v>281</v>
      </c>
      <c r="Y67" s="488">
        <v>119</v>
      </c>
      <c r="Z67" s="488">
        <v>277</v>
      </c>
      <c r="AA67" s="488">
        <v>123</v>
      </c>
      <c r="AB67" s="488">
        <v>283</v>
      </c>
      <c r="AC67" s="488">
        <v>117</v>
      </c>
      <c r="AD67" s="488">
        <v>315</v>
      </c>
      <c r="AE67" s="488">
        <v>85</v>
      </c>
      <c r="AF67" s="488">
        <v>313</v>
      </c>
      <c r="AG67" s="488">
        <v>87</v>
      </c>
      <c r="AH67" s="488">
        <v>301</v>
      </c>
      <c r="AI67" s="488">
        <v>0</v>
      </c>
      <c r="AJ67" s="488">
        <v>299</v>
      </c>
      <c r="AK67" s="488">
        <v>101</v>
      </c>
      <c r="AL67" s="488">
        <v>320</v>
      </c>
      <c r="AM67" s="488">
        <v>80</v>
      </c>
      <c r="AN67" s="488">
        <v>332</v>
      </c>
      <c r="AO67" s="488">
        <v>68</v>
      </c>
      <c r="AP67" s="488">
        <v>334</v>
      </c>
      <c r="AQ67" s="488">
        <v>66</v>
      </c>
      <c r="AR67" s="488">
        <v>323</v>
      </c>
      <c r="AS67" s="488">
        <v>77</v>
      </c>
      <c r="AT67" s="488"/>
      <c r="AU67" s="488"/>
    </row>
    <row r="68" spans="1:47" ht="16" x14ac:dyDescent="0.2">
      <c r="A68" s="87">
        <f t="shared" si="16"/>
        <v>26</v>
      </c>
      <c r="B68" s="1" t="s">
        <v>199</v>
      </c>
      <c r="C68" s="14" t="s">
        <v>718</v>
      </c>
      <c r="D68" s="96" t="s">
        <v>42</v>
      </c>
      <c r="E68" s="97" t="s">
        <v>551</v>
      </c>
      <c r="F68" s="97" t="s">
        <v>15</v>
      </c>
      <c r="G68" s="97">
        <v>1324359</v>
      </c>
      <c r="H68" s="98">
        <v>43927</v>
      </c>
      <c r="I68" s="99">
        <f t="shared" ca="1" si="13"/>
        <v>1.2555555555555555</v>
      </c>
      <c r="J68" s="97">
        <f t="shared" ca="1" si="14"/>
        <v>458</v>
      </c>
      <c r="K68" s="97">
        <f t="shared" ca="1" si="15"/>
        <v>15.266666666666667</v>
      </c>
      <c r="L68" s="102" t="s">
        <v>708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</row>
    <row r="69" spans="1:47" ht="16" x14ac:dyDescent="0.2">
      <c r="A69" s="87">
        <f t="shared" si="16"/>
        <v>27</v>
      </c>
      <c r="B69" s="1" t="s">
        <v>200</v>
      </c>
      <c r="C69" s="14" t="s">
        <v>719</v>
      </c>
      <c r="D69" s="96" t="s">
        <v>42</v>
      </c>
      <c r="E69" s="97" t="s">
        <v>592</v>
      </c>
      <c r="F69" s="97" t="s">
        <v>17</v>
      </c>
      <c r="G69" s="97">
        <v>1324352</v>
      </c>
      <c r="H69" s="98">
        <v>43927</v>
      </c>
      <c r="I69" s="99">
        <f t="shared" ca="1" si="13"/>
        <v>1.2555555555555555</v>
      </c>
      <c r="J69" s="97">
        <f t="shared" ca="1" si="14"/>
        <v>458</v>
      </c>
      <c r="K69" s="97">
        <f t="shared" ca="1" si="15"/>
        <v>15.266666666666667</v>
      </c>
      <c r="L69" s="102" t="s">
        <v>708</v>
      </c>
      <c r="M69" s="488">
        <v>400</v>
      </c>
      <c r="N69" s="488">
        <v>289</v>
      </c>
      <c r="O69" s="488">
        <v>111</v>
      </c>
      <c r="P69" s="488">
        <v>274</v>
      </c>
      <c r="Q69" s="488">
        <v>126</v>
      </c>
      <c r="R69" s="488">
        <v>344</v>
      </c>
      <c r="S69" s="488">
        <v>0</v>
      </c>
      <c r="T69" s="488">
        <v>294</v>
      </c>
      <c r="U69" s="489">
        <v>106</v>
      </c>
      <c r="V69" s="488">
        <v>340</v>
      </c>
      <c r="W69" s="488">
        <v>60</v>
      </c>
      <c r="X69" s="490">
        <v>297</v>
      </c>
      <c r="Y69" s="488">
        <v>104</v>
      </c>
      <c r="Z69" s="488">
        <v>294</v>
      </c>
      <c r="AA69" s="488">
        <v>106</v>
      </c>
      <c r="AB69" s="488">
        <v>304</v>
      </c>
      <c r="AC69" s="488">
        <v>96</v>
      </c>
      <c r="AD69" s="488">
        <v>302</v>
      </c>
      <c r="AE69" s="488">
        <v>98</v>
      </c>
      <c r="AF69" s="488">
        <v>303</v>
      </c>
      <c r="AG69" s="488">
        <v>97</v>
      </c>
      <c r="AH69" s="488">
        <v>289</v>
      </c>
      <c r="AI69" s="488">
        <v>0</v>
      </c>
      <c r="AJ69" s="488">
        <v>255</v>
      </c>
      <c r="AK69" s="488">
        <v>165</v>
      </c>
      <c r="AL69" s="488">
        <v>331</v>
      </c>
      <c r="AM69" s="488">
        <v>69</v>
      </c>
      <c r="AN69" s="488">
        <v>311</v>
      </c>
      <c r="AO69" s="488">
        <v>89</v>
      </c>
      <c r="AP69" s="488">
        <v>332</v>
      </c>
      <c r="AQ69" s="488">
        <v>68</v>
      </c>
      <c r="AR69" s="488">
        <v>304</v>
      </c>
      <c r="AS69" s="488">
        <v>96</v>
      </c>
      <c r="AT69" s="488"/>
      <c r="AU69" s="488"/>
    </row>
    <row r="70" spans="1:47" ht="16" x14ac:dyDescent="0.2">
      <c r="A70" s="87">
        <f t="shared" si="16"/>
        <v>28</v>
      </c>
      <c r="B70" s="1" t="s">
        <v>201</v>
      </c>
      <c r="C70" s="14" t="s">
        <v>719</v>
      </c>
      <c r="D70" s="96" t="s">
        <v>42</v>
      </c>
      <c r="E70" s="97" t="s">
        <v>551</v>
      </c>
      <c r="F70" s="97" t="s">
        <v>17</v>
      </c>
      <c r="G70" s="97">
        <v>1324352</v>
      </c>
      <c r="H70" s="98">
        <v>43927</v>
      </c>
      <c r="I70" s="99">
        <f t="shared" ca="1" si="13"/>
        <v>1.2555555555555555</v>
      </c>
      <c r="J70" s="97">
        <f t="shared" ca="1" si="14"/>
        <v>458</v>
      </c>
      <c r="K70" s="97">
        <f t="shared" ca="1" si="15"/>
        <v>15.266666666666667</v>
      </c>
      <c r="L70" s="102" t="s">
        <v>708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</row>
    <row r="71" spans="1:47" ht="16" x14ac:dyDescent="0.2">
      <c r="A71" s="87">
        <f t="shared" si="16"/>
        <v>29</v>
      </c>
      <c r="B71" s="1" t="s">
        <v>202</v>
      </c>
      <c r="C71" s="14" t="s">
        <v>719</v>
      </c>
      <c r="D71" s="96" t="s">
        <v>42</v>
      </c>
      <c r="E71" s="97" t="s">
        <v>549</v>
      </c>
      <c r="F71" s="97" t="s">
        <v>17</v>
      </c>
      <c r="G71" s="97">
        <v>1324352</v>
      </c>
      <c r="H71" s="98">
        <v>43937</v>
      </c>
      <c r="I71" s="99">
        <f t="shared" ca="1" si="13"/>
        <v>1.2277777777777779</v>
      </c>
      <c r="J71" s="97">
        <f t="shared" ca="1" si="14"/>
        <v>448</v>
      </c>
      <c r="K71" s="97">
        <f t="shared" ca="1" si="15"/>
        <v>14.933333333333334</v>
      </c>
      <c r="L71" s="102" t="s">
        <v>708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</row>
    <row r="72" spans="1:47" x14ac:dyDescent="0.2">
      <c r="M72" s="491">
        <f t="shared" ref="M72:R72" si="17">SUM(M43:M71)</f>
        <v>2400</v>
      </c>
      <c r="N72" s="491">
        <f t="shared" si="17"/>
        <v>1542</v>
      </c>
      <c r="O72" s="491">
        <f t="shared" si="17"/>
        <v>858</v>
      </c>
      <c r="P72" s="491">
        <f t="shared" si="17"/>
        <v>1495</v>
      </c>
      <c r="Q72" s="491">
        <f t="shared" si="17"/>
        <v>905</v>
      </c>
      <c r="R72" s="491">
        <f t="shared" si="17"/>
        <v>1946</v>
      </c>
      <c r="S72" s="491">
        <v>0</v>
      </c>
      <c r="T72" s="491">
        <f t="shared" ref="T72:AU72" si="18">SUM(T43:T71)</f>
        <v>1377</v>
      </c>
      <c r="U72" s="491">
        <f t="shared" si="18"/>
        <v>923</v>
      </c>
      <c r="V72" s="491">
        <f t="shared" si="18"/>
        <v>1939</v>
      </c>
      <c r="W72" s="491">
        <f t="shared" si="18"/>
        <v>461</v>
      </c>
      <c r="X72" s="491">
        <f t="shared" si="18"/>
        <v>1608</v>
      </c>
      <c r="Y72" s="491">
        <f t="shared" si="18"/>
        <v>800</v>
      </c>
      <c r="Z72" s="491">
        <f t="shared" si="18"/>
        <v>1676</v>
      </c>
      <c r="AA72" s="491">
        <f t="shared" si="18"/>
        <v>724</v>
      </c>
      <c r="AB72" s="491">
        <f t="shared" si="18"/>
        <v>1714</v>
      </c>
      <c r="AC72" s="491">
        <f t="shared" si="18"/>
        <v>696</v>
      </c>
      <c r="AD72" s="491">
        <f t="shared" si="18"/>
        <v>1816</v>
      </c>
      <c r="AE72" s="491">
        <f t="shared" si="18"/>
        <v>584</v>
      </c>
      <c r="AF72" s="491">
        <f t="shared" si="18"/>
        <v>1761</v>
      </c>
      <c r="AG72" s="491">
        <f t="shared" si="18"/>
        <v>639</v>
      </c>
      <c r="AH72" s="491">
        <f t="shared" si="18"/>
        <v>1766</v>
      </c>
      <c r="AI72" s="491">
        <f t="shared" si="18"/>
        <v>0</v>
      </c>
      <c r="AJ72" s="491">
        <f t="shared" si="18"/>
        <v>1455</v>
      </c>
      <c r="AK72" s="491">
        <f t="shared" si="18"/>
        <v>965</v>
      </c>
      <c r="AL72" s="491">
        <f t="shared" si="18"/>
        <v>1822</v>
      </c>
      <c r="AM72" s="491">
        <f t="shared" si="18"/>
        <v>578</v>
      </c>
      <c r="AN72" s="491">
        <f t="shared" si="18"/>
        <v>1752</v>
      </c>
      <c r="AO72" s="491">
        <f t="shared" si="18"/>
        <v>648</v>
      </c>
      <c r="AP72" s="491">
        <f t="shared" si="18"/>
        <v>1766</v>
      </c>
      <c r="AQ72" s="491">
        <f t="shared" si="18"/>
        <v>634</v>
      </c>
      <c r="AR72" s="491">
        <f t="shared" si="18"/>
        <v>1719</v>
      </c>
      <c r="AS72" s="491">
        <f t="shared" si="18"/>
        <v>681</v>
      </c>
      <c r="AT72" s="491">
        <f t="shared" si="18"/>
        <v>0</v>
      </c>
      <c r="AU72" s="491">
        <f t="shared" si="18"/>
        <v>0</v>
      </c>
    </row>
    <row r="77" spans="1:47" ht="16" x14ac:dyDescent="0.2">
      <c r="G77" s="494" t="s">
        <v>654</v>
      </c>
    </row>
    <row r="78" spans="1:47" ht="16" x14ac:dyDescent="0.2">
      <c r="G78" s="495" t="s">
        <v>655</v>
      </c>
      <c r="H78" s="515" t="s">
        <v>656</v>
      </c>
      <c r="I78" s="515" t="s">
        <v>657</v>
      </c>
      <c r="J78" s="515" t="s">
        <v>658</v>
      </c>
      <c r="K78" s="516" t="s">
        <v>659</v>
      </c>
    </row>
    <row r="79" spans="1:47" ht="16" x14ac:dyDescent="0.2">
      <c r="G79" s="496">
        <v>1362659</v>
      </c>
      <c r="H79" s="28" t="e">
        <f>(G42-H42)/4</f>
        <v>#VALUE!</v>
      </c>
      <c r="I79" s="28" t="e">
        <f>(400-J42)/4</f>
        <v>#VALUE!</v>
      </c>
      <c r="J79" s="28" t="e">
        <f>(400-L42)/4</f>
        <v>#VALUE!</v>
      </c>
      <c r="K79" s="497">
        <f>(276-141)/4</f>
        <v>33.75</v>
      </c>
    </row>
    <row r="80" spans="1:47" ht="16" x14ac:dyDescent="0.2">
      <c r="G80" s="496">
        <v>1324349</v>
      </c>
      <c r="H80" s="28">
        <f>(G50-H50)/4</f>
        <v>320106.25</v>
      </c>
      <c r="I80" s="28">
        <f>(400-211)/4</f>
        <v>47.25</v>
      </c>
      <c r="J80" s="28">
        <f>(400-326)/4</f>
        <v>18.5</v>
      </c>
      <c r="K80" s="497">
        <f>(326-247)/4</f>
        <v>19.75</v>
      </c>
    </row>
    <row r="81" spans="7:11" ht="16" x14ac:dyDescent="0.2">
      <c r="G81" s="498">
        <v>1299771</v>
      </c>
      <c r="H81" s="499">
        <f>(400-286)/3</f>
        <v>38</v>
      </c>
      <c r="I81" s="499">
        <f>(400-237)/4</f>
        <v>40.75</v>
      </c>
      <c r="J81" s="499">
        <f>(400-278)/3</f>
        <v>40.666666666666664</v>
      </c>
      <c r="K81" s="500">
        <f>(366-265)/3</f>
        <v>33.666666666666664</v>
      </c>
    </row>
    <row r="82" spans="7:11" ht="16" x14ac:dyDescent="0.2">
      <c r="G82" s="501">
        <v>1343452</v>
      </c>
      <c r="H82" s="28">
        <f>(400-286)/2</f>
        <v>57</v>
      </c>
      <c r="I82" s="28">
        <f>(400-256)/2</f>
        <v>72</v>
      </c>
      <c r="J82" s="28">
        <f>(400-287)/2</f>
        <v>56.5</v>
      </c>
      <c r="K82" s="497">
        <f>(278-112)/2</f>
        <v>83</v>
      </c>
    </row>
    <row r="83" spans="7:11" ht="16" x14ac:dyDescent="0.2">
      <c r="G83" s="502">
        <v>1324359</v>
      </c>
      <c r="H83" s="499">
        <f>(400-278)/2</f>
        <v>61</v>
      </c>
      <c r="I83" s="499">
        <f>(400-298)/2</f>
        <v>51</v>
      </c>
      <c r="J83" s="499">
        <f>(400-356)/2</f>
        <v>22</v>
      </c>
      <c r="K83" s="500">
        <f>(356-318)/2</f>
        <v>19</v>
      </c>
    </row>
    <row r="84" spans="7:11" ht="16" x14ac:dyDescent="0.2">
      <c r="G84" s="503">
        <v>1324352</v>
      </c>
      <c r="H84" s="504">
        <f>(400-289)/3</f>
        <v>37</v>
      </c>
      <c r="I84" s="504">
        <f>(400-274)/3</f>
        <v>42</v>
      </c>
      <c r="J84" s="504">
        <f>(400-344)/3</f>
        <v>18.666666666666668</v>
      </c>
      <c r="K84" s="505">
        <f>(344-294)/3</f>
        <v>16.666666666666668</v>
      </c>
    </row>
    <row r="86" spans="7:11" ht="16" x14ac:dyDescent="0.2">
      <c r="G86" s="506" t="s">
        <v>681</v>
      </c>
    </row>
    <row r="87" spans="7:11" ht="16" x14ac:dyDescent="0.2">
      <c r="G87" s="507" t="s">
        <v>53</v>
      </c>
      <c r="H87" s="517" t="s">
        <v>656</v>
      </c>
      <c r="I87" s="517" t="s">
        <v>657</v>
      </c>
      <c r="J87" s="517" t="s">
        <v>658</v>
      </c>
      <c r="K87" s="518" t="s">
        <v>659</v>
      </c>
    </row>
    <row r="88" spans="7:11" ht="16" x14ac:dyDescent="0.2">
      <c r="G88" s="508" t="s">
        <v>173</v>
      </c>
      <c r="H88" s="28" t="e">
        <f>AVERAGE(H79:H80)</f>
        <v>#VALUE!</v>
      </c>
      <c r="I88" s="28" t="e">
        <f t="shared" ref="I88:K88" si="19">AVERAGE(I79:I80)</f>
        <v>#VALUE!</v>
      </c>
      <c r="J88" s="28" t="e">
        <f t="shared" si="19"/>
        <v>#VALUE!</v>
      </c>
      <c r="K88" s="509">
        <f t="shared" si="19"/>
        <v>26.75</v>
      </c>
    </row>
    <row r="89" spans="7:11" ht="16" x14ac:dyDescent="0.2">
      <c r="G89" s="510" t="s">
        <v>37</v>
      </c>
      <c r="H89" s="499">
        <f>AVERAGE(H81:H82)</f>
        <v>47.5</v>
      </c>
      <c r="I89" s="499">
        <f t="shared" ref="I89:K89" si="20">AVERAGE(I81:I82)</f>
        <v>56.375</v>
      </c>
      <c r="J89" s="499">
        <f t="shared" si="20"/>
        <v>48.583333333333329</v>
      </c>
      <c r="K89" s="511">
        <f t="shared" si="20"/>
        <v>58.333333333333329</v>
      </c>
    </row>
    <row r="90" spans="7:11" ht="16" x14ac:dyDescent="0.2">
      <c r="G90" s="512" t="s">
        <v>42</v>
      </c>
      <c r="H90" s="513">
        <f>AVERAGE(H83:H84)</f>
        <v>49</v>
      </c>
      <c r="I90" s="513">
        <f t="shared" ref="I90:K90" si="21">AVERAGE(I83:I84)</f>
        <v>46.5</v>
      </c>
      <c r="J90" s="513">
        <f t="shared" si="21"/>
        <v>20.333333333333336</v>
      </c>
      <c r="K90" s="514">
        <f t="shared" si="21"/>
        <v>17.833333333333336</v>
      </c>
    </row>
  </sheetData>
  <pageMargins left="0.7" right="0.7" top="0.75" bottom="0.75" header="0.3" footer="0.3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087E-0196-477E-86AC-7FAA4F6055EA}">
  <sheetPr codeName="Sheet7">
    <tabColor rgb="FFFFC000"/>
    <pageSetUpPr fitToPage="1"/>
  </sheetPr>
  <dimension ref="A1:U29"/>
  <sheetViews>
    <sheetView workbookViewId="0">
      <selection activeCell="M22" sqref="M22:M24"/>
    </sheetView>
  </sheetViews>
  <sheetFormatPr baseColWidth="10" defaultColWidth="8.83203125" defaultRowHeight="15" x14ac:dyDescent="0.2"/>
  <cols>
    <col min="3" max="3" width="20.83203125" customWidth="1"/>
    <col min="4" max="4" width="16.1640625" customWidth="1"/>
    <col min="7" max="7" width="9.6640625" customWidth="1"/>
    <col min="8" max="8" width="13" customWidth="1"/>
    <col min="9" max="9" width="12.5" customWidth="1"/>
    <col min="10" max="10" width="15.33203125" customWidth="1"/>
    <col min="11" max="11" width="12.83203125" customWidth="1"/>
    <col min="12" max="12" width="23.33203125" customWidth="1"/>
    <col min="13" max="13" width="19.6640625" customWidth="1"/>
    <col min="14" max="18" width="19.83203125" customWidth="1"/>
    <col min="19" max="20" width="15.83203125" customWidth="1"/>
    <col min="21" max="21" width="19.5" customWidth="1"/>
  </cols>
  <sheetData>
    <row r="1" spans="1:21" ht="16" x14ac:dyDescent="0.2">
      <c r="A1" s="183" t="s">
        <v>0</v>
      </c>
      <c r="B1" s="183" t="s">
        <v>535</v>
      </c>
      <c r="C1" s="184" t="s">
        <v>536</v>
      </c>
      <c r="D1" s="183" t="s">
        <v>537</v>
      </c>
      <c r="E1" s="183" t="s">
        <v>52</v>
      </c>
      <c r="F1" s="183" t="s">
        <v>53</v>
      </c>
      <c r="G1" s="183" t="s">
        <v>538</v>
      </c>
      <c r="H1" s="183" t="s">
        <v>54</v>
      </c>
      <c r="I1" s="183" t="s">
        <v>539</v>
      </c>
      <c r="J1" s="183" t="s">
        <v>540</v>
      </c>
      <c r="K1" s="183" t="s">
        <v>541</v>
      </c>
      <c r="L1" s="327" t="s">
        <v>542</v>
      </c>
      <c r="M1" s="353" t="s">
        <v>755</v>
      </c>
      <c r="N1" s="155" t="s">
        <v>756</v>
      </c>
      <c r="O1" s="353" t="s">
        <v>757</v>
      </c>
      <c r="P1" s="353" t="s">
        <v>758</v>
      </c>
      <c r="Q1" s="155" t="s">
        <v>759</v>
      </c>
      <c r="R1" s="155" t="s">
        <v>760</v>
      </c>
      <c r="S1" t="s">
        <v>543</v>
      </c>
      <c r="T1" t="s">
        <v>761</v>
      </c>
      <c r="U1" t="s">
        <v>59</v>
      </c>
    </row>
    <row r="2" spans="1:21" ht="16" x14ac:dyDescent="0.2">
      <c r="A2" s="1">
        <v>1</v>
      </c>
      <c r="B2" s="1" t="s">
        <v>203</v>
      </c>
      <c r="C2" s="1" t="s">
        <v>762</v>
      </c>
      <c r="D2" s="3">
        <v>1253165</v>
      </c>
      <c r="E2" s="3" t="s">
        <v>17</v>
      </c>
      <c r="F2" s="3" t="s">
        <v>41</v>
      </c>
      <c r="G2" s="3" t="s">
        <v>592</v>
      </c>
      <c r="H2" s="4">
        <v>43832</v>
      </c>
      <c r="I2" s="5">
        <f t="shared" ref="I2:I20" ca="1" si="0">YEARFRAC(H2,TODAY())</f>
        <v>1.5166666666666666</v>
      </c>
      <c r="J2" s="5">
        <f ca="1">_xlfn.DAYS(TODAY(),H2)</f>
        <v>553</v>
      </c>
      <c r="K2" s="5">
        <f t="shared" ref="K2:K20" ca="1" si="1">J2/30</f>
        <v>18.433333333333334</v>
      </c>
      <c r="L2" s="340" t="s">
        <v>547</v>
      </c>
      <c r="M2" s="5">
        <v>28</v>
      </c>
      <c r="N2" s="5">
        <v>213</v>
      </c>
      <c r="O2" s="5">
        <v>30</v>
      </c>
      <c r="P2" s="5">
        <v>35</v>
      </c>
      <c r="Q2" s="5">
        <v>125</v>
      </c>
      <c r="R2" s="5">
        <v>172</v>
      </c>
      <c r="S2" s="13">
        <v>44228</v>
      </c>
      <c r="T2" s="13"/>
      <c r="U2" s="136">
        <f t="shared" ref="U2:U20" si="2">_xlfn.DAYS(S2,H2)/30</f>
        <v>13.2</v>
      </c>
    </row>
    <row r="3" spans="1:21" ht="16" x14ac:dyDescent="0.2">
      <c r="A3" s="1">
        <v>2</v>
      </c>
      <c r="B3" s="1" t="s">
        <v>204</v>
      </c>
      <c r="C3" s="1" t="s">
        <v>762</v>
      </c>
      <c r="D3" s="3">
        <v>1253165</v>
      </c>
      <c r="E3" s="3" t="s">
        <v>17</v>
      </c>
      <c r="F3" s="3" t="s">
        <v>41</v>
      </c>
      <c r="G3" s="3" t="s">
        <v>551</v>
      </c>
      <c r="H3" s="4">
        <v>43832</v>
      </c>
      <c r="I3" s="5">
        <f t="shared" ca="1" si="0"/>
        <v>1.5166666666666666</v>
      </c>
      <c r="J3" s="5">
        <f t="shared" ref="J3:J20" ca="1" si="3">_xlfn.DAYS(TODAY(),H3)</f>
        <v>553</v>
      </c>
      <c r="K3" s="5">
        <f t="shared" ca="1" si="1"/>
        <v>18.433333333333334</v>
      </c>
      <c r="L3" s="340" t="s">
        <v>547</v>
      </c>
      <c r="M3" s="5">
        <v>29</v>
      </c>
      <c r="N3" s="5">
        <v>160</v>
      </c>
      <c r="O3" s="5">
        <v>30</v>
      </c>
      <c r="P3" s="5">
        <v>28</v>
      </c>
      <c r="Q3" s="5">
        <v>142</v>
      </c>
      <c r="R3" s="5">
        <v>193</v>
      </c>
      <c r="S3" s="13">
        <v>44228</v>
      </c>
      <c r="T3" s="13"/>
      <c r="U3" s="136">
        <f t="shared" si="2"/>
        <v>13.2</v>
      </c>
    </row>
    <row r="4" spans="1:21" ht="16" x14ac:dyDescent="0.2">
      <c r="A4" s="1">
        <v>3</v>
      </c>
      <c r="B4" s="1" t="s">
        <v>205</v>
      </c>
      <c r="C4" s="1" t="s">
        <v>762</v>
      </c>
      <c r="D4" s="3">
        <v>1253165</v>
      </c>
      <c r="E4" s="3" t="s">
        <v>17</v>
      </c>
      <c r="F4" s="3" t="s">
        <v>41</v>
      </c>
      <c r="G4" s="3" t="s">
        <v>549</v>
      </c>
      <c r="H4" s="4">
        <v>43832</v>
      </c>
      <c r="I4" s="5">
        <f t="shared" ca="1" si="0"/>
        <v>1.5166666666666666</v>
      </c>
      <c r="J4" s="5">
        <f t="shared" ca="1" si="3"/>
        <v>553</v>
      </c>
      <c r="K4" s="5">
        <f t="shared" ca="1" si="1"/>
        <v>18.433333333333334</v>
      </c>
      <c r="L4" s="340" t="s">
        <v>547</v>
      </c>
      <c r="M4" s="5">
        <v>30</v>
      </c>
      <c r="N4" s="5">
        <v>167</v>
      </c>
      <c r="O4" s="5">
        <v>34</v>
      </c>
      <c r="P4" s="5">
        <v>34</v>
      </c>
      <c r="Q4" s="5">
        <v>126</v>
      </c>
      <c r="R4" s="5">
        <v>182</v>
      </c>
      <c r="S4" s="13">
        <v>44228</v>
      </c>
      <c r="T4" s="13"/>
      <c r="U4" s="136">
        <f t="shared" si="2"/>
        <v>13.2</v>
      </c>
    </row>
    <row r="5" spans="1:21" ht="16" x14ac:dyDescent="0.2">
      <c r="A5" s="1">
        <v>4</v>
      </c>
      <c r="B5" s="1" t="s">
        <v>206</v>
      </c>
      <c r="C5" s="1" t="s">
        <v>762</v>
      </c>
      <c r="D5" s="3">
        <v>1253165</v>
      </c>
      <c r="E5" s="3" t="s">
        <v>17</v>
      </c>
      <c r="F5" s="3" t="s">
        <v>41</v>
      </c>
      <c r="G5" s="3" t="s">
        <v>548</v>
      </c>
      <c r="H5" s="4">
        <v>43832</v>
      </c>
      <c r="I5" s="5">
        <f t="shared" ca="1" si="0"/>
        <v>1.5166666666666666</v>
      </c>
      <c r="J5" s="5">
        <f t="shared" ca="1" si="3"/>
        <v>553</v>
      </c>
      <c r="K5" s="5">
        <f t="shared" ca="1" si="1"/>
        <v>18.433333333333334</v>
      </c>
      <c r="L5" s="340" t="s">
        <v>547</v>
      </c>
      <c r="M5" s="5">
        <v>30</v>
      </c>
      <c r="N5" s="5">
        <v>218</v>
      </c>
      <c r="O5" s="5">
        <v>33</v>
      </c>
      <c r="P5" s="5">
        <v>27</v>
      </c>
      <c r="Q5" s="5">
        <v>137</v>
      </c>
      <c r="R5" s="5">
        <v>142</v>
      </c>
      <c r="S5" s="13">
        <v>44228</v>
      </c>
      <c r="T5" s="13"/>
      <c r="U5" s="136">
        <f t="shared" si="2"/>
        <v>13.2</v>
      </c>
    </row>
    <row r="6" spans="1:21" ht="16" x14ac:dyDescent="0.2">
      <c r="A6" s="1">
        <v>5</v>
      </c>
      <c r="B6" s="1" t="s">
        <v>207</v>
      </c>
      <c r="C6" s="1" t="s">
        <v>762</v>
      </c>
      <c r="D6" s="3">
        <v>1253165</v>
      </c>
      <c r="E6" s="3" t="s">
        <v>17</v>
      </c>
      <c r="F6" s="3" t="s">
        <v>41</v>
      </c>
      <c r="G6" s="3" t="s">
        <v>546</v>
      </c>
      <c r="H6" s="4">
        <v>43832</v>
      </c>
      <c r="I6" s="5">
        <f t="shared" ca="1" si="0"/>
        <v>1.5166666666666666</v>
      </c>
      <c r="J6" s="5">
        <f t="shared" ca="1" si="3"/>
        <v>553</v>
      </c>
      <c r="K6" s="5">
        <f t="shared" ca="1" si="1"/>
        <v>18.433333333333334</v>
      </c>
      <c r="L6" s="340" t="s">
        <v>547</v>
      </c>
      <c r="M6" s="5">
        <v>27</v>
      </c>
      <c r="N6" s="5">
        <v>166</v>
      </c>
      <c r="O6" s="5">
        <v>28</v>
      </c>
      <c r="P6" s="5">
        <v>28</v>
      </c>
      <c r="Q6" s="5">
        <v>127</v>
      </c>
      <c r="R6" s="5">
        <v>192</v>
      </c>
      <c r="S6" s="13">
        <v>44228</v>
      </c>
      <c r="T6" s="13"/>
      <c r="U6" s="136">
        <f t="shared" si="2"/>
        <v>13.2</v>
      </c>
    </row>
    <row r="7" spans="1:21" ht="16" x14ac:dyDescent="0.2">
      <c r="A7" s="1">
        <v>6</v>
      </c>
      <c r="B7" s="1" t="s">
        <v>208</v>
      </c>
      <c r="C7" s="1" t="s">
        <v>763</v>
      </c>
      <c r="D7" s="7">
        <v>1275963</v>
      </c>
      <c r="E7" s="7" t="s">
        <v>17</v>
      </c>
      <c r="F7" s="7" t="s">
        <v>42</v>
      </c>
      <c r="G7" s="7" t="s">
        <v>592</v>
      </c>
      <c r="H7" s="8">
        <v>43894</v>
      </c>
      <c r="I7" s="9">
        <f t="shared" ca="1" si="0"/>
        <v>1.3444444444444446</v>
      </c>
      <c r="J7" s="9">
        <f t="shared" ca="1" si="3"/>
        <v>491</v>
      </c>
      <c r="K7" s="9">
        <f t="shared" ca="1" si="1"/>
        <v>16.366666666666667</v>
      </c>
      <c r="L7" s="340" t="s">
        <v>547</v>
      </c>
      <c r="M7" s="9">
        <v>25</v>
      </c>
      <c r="N7" s="9">
        <v>195</v>
      </c>
      <c r="O7" s="9">
        <v>27</v>
      </c>
      <c r="P7" s="9">
        <v>28</v>
      </c>
      <c r="Q7" s="9">
        <v>228</v>
      </c>
      <c r="R7" s="9">
        <v>185</v>
      </c>
      <c r="S7" s="13">
        <v>44228</v>
      </c>
      <c r="T7" s="13"/>
      <c r="U7" s="136">
        <f t="shared" si="2"/>
        <v>11.133333333333333</v>
      </c>
    </row>
    <row r="8" spans="1:21" ht="16" x14ac:dyDescent="0.2">
      <c r="A8" s="1">
        <v>7</v>
      </c>
      <c r="B8" s="1" t="s">
        <v>209</v>
      </c>
      <c r="C8" s="1" t="s">
        <v>763</v>
      </c>
      <c r="D8" s="7">
        <v>1275963</v>
      </c>
      <c r="E8" s="7" t="s">
        <v>17</v>
      </c>
      <c r="F8" s="7" t="s">
        <v>42</v>
      </c>
      <c r="G8" s="7" t="s">
        <v>551</v>
      </c>
      <c r="H8" s="8">
        <v>43894</v>
      </c>
      <c r="I8" s="9">
        <f t="shared" ca="1" si="0"/>
        <v>1.3444444444444446</v>
      </c>
      <c r="J8" s="9">
        <f t="shared" ca="1" si="3"/>
        <v>491</v>
      </c>
      <c r="K8" s="9">
        <f t="shared" ca="1" si="1"/>
        <v>16.366666666666667</v>
      </c>
      <c r="L8" s="340" t="s">
        <v>547</v>
      </c>
      <c r="M8" s="9">
        <v>23</v>
      </c>
      <c r="N8" s="9">
        <v>172</v>
      </c>
      <c r="O8" s="9">
        <v>26</v>
      </c>
      <c r="P8" s="9">
        <v>27</v>
      </c>
      <c r="Q8" s="9">
        <v>158</v>
      </c>
      <c r="R8" s="9">
        <v>215</v>
      </c>
      <c r="S8" s="13">
        <v>44228</v>
      </c>
      <c r="T8" s="13"/>
      <c r="U8" s="136">
        <f t="shared" si="2"/>
        <v>11.133333333333333</v>
      </c>
    </row>
    <row r="9" spans="1:21" ht="16" x14ac:dyDescent="0.2">
      <c r="A9" s="1">
        <v>8</v>
      </c>
      <c r="B9" s="1" t="s">
        <v>210</v>
      </c>
      <c r="C9" s="1" t="s">
        <v>763</v>
      </c>
      <c r="D9" s="7">
        <v>1275963</v>
      </c>
      <c r="E9" s="7" t="s">
        <v>17</v>
      </c>
      <c r="F9" s="7" t="s">
        <v>42</v>
      </c>
      <c r="G9" s="7" t="s">
        <v>549</v>
      </c>
      <c r="H9" s="8">
        <v>43894</v>
      </c>
      <c r="I9" s="9">
        <f t="shared" ca="1" si="0"/>
        <v>1.3444444444444446</v>
      </c>
      <c r="J9" s="9">
        <f t="shared" ca="1" si="3"/>
        <v>491</v>
      </c>
      <c r="K9" s="9">
        <f t="shared" ca="1" si="1"/>
        <v>16.366666666666667</v>
      </c>
      <c r="L9" s="340" t="s">
        <v>547</v>
      </c>
      <c r="M9" s="9">
        <v>24</v>
      </c>
      <c r="N9" s="9">
        <v>181</v>
      </c>
      <c r="O9" s="9">
        <v>25</v>
      </c>
      <c r="P9" s="9">
        <v>25</v>
      </c>
      <c r="Q9" s="9">
        <v>188</v>
      </c>
      <c r="R9" s="9">
        <v>214</v>
      </c>
      <c r="S9" s="13">
        <v>44228</v>
      </c>
      <c r="T9" s="13"/>
      <c r="U9" s="136">
        <f t="shared" si="2"/>
        <v>11.133333333333333</v>
      </c>
    </row>
    <row r="10" spans="1:21" ht="16" x14ac:dyDescent="0.2">
      <c r="A10" s="1">
        <v>9</v>
      </c>
      <c r="B10" s="1" t="s">
        <v>211</v>
      </c>
      <c r="C10" s="1" t="s">
        <v>763</v>
      </c>
      <c r="D10" s="7">
        <v>1275963</v>
      </c>
      <c r="E10" s="7" t="s">
        <v>17</v>
      </c>
      <c r="F10" s="7" t="s">
        <v>42</v>
      </c>
      <c r="G10" s="7" t="s">
        <v>548</v>
      </c>
      <c r="H10" s="8">
        <v>43894</v>
      </c>
      <c r="I10" s="9">
        <f t="shared" ca="1" si="0"/>
        <v>1.3444444444444446</v>
      </c>
      <c r="J10" s="9">
        <f t="shared" ca="1" si="3"/>
        <v>491</v>
      </c>
      <c r="K10" s="9">
        <f t="shared" ca="1" si="1"/>
        <v>16.366666666666667</v>
      </c>
      <c r="L10" s="340" t="s">
        <v>547</v>
      </c>
      <c r="M10" s="9">
        <v>22</v>
      </c>
      <c r="N10" s="9">
        <v>188</v>
      </c>
      <c r="O10" s="9">
        <v>24</v>
      </c>
      <c r="P10" s="9">
        <v>28</v>
      </c>
      <c r="Q10" s="9">
        <v>168</v>
      </c>
      <c r="R10" s="9">
        <v>163</v>
      </c>
      <c r="S10" s="13">
        <v>44228</v>
      </c>
      <c r="T10" s="13"/>
      <c r="U10" s="136">
        <f t="shared" si="2"/>
        <v>11.133333333333333</v>
      </c>
    </row>
    <row r="11" spans="1:21" ht="16" x14ac:dyDescent="0.2">
      <c r="A11" s="1">
        <v>10</v>
      </c>
      <c r="B11" s="1" t="s">
        <v>212</v>
      </c>
      <c r="C11" s="1" t="s">
        <v>763</v>
      </c>
      <c r="D11" s="7">
        <v>1275963</v>
      </c>
      <c r="E11" s="7" t="s">
        <v>17</v>
      </c>
      <c r="F11" s="7" t="s">
        <v>42</v>
      </c>
      <c r="G11" s="7" t="s">
        <v>546</v>
      </c>
      <c r="H11" s="8">
        <v>43894</v>
      </c>
      <c r="I11" s="9">
        <f t="shared" ca="1" si="0"/>
        <v>1.3444444444444446</v>
      </c>
      <c r="J11" s="9">
        <f t="shared" ca="1" si="3"/>
        <v>491</v>
      </c>
      <c r="K11" s="9">
        <f t="shared" ca="1" si="1"/>
        <v>16.366666666666667</v>
      </c>
      <c r="L11" s="340" t="s">
        <v>547</v>
      </c>
      <c r="M11" s="9">
        <v>23</v>
      </c>
      <c r="N11" s="9">
        <v>146</v>
      </c>
      <c r="O11" s="9">
        <v>24</v>
      </c>
      <c r="P11" s="9">
        <v>24</v>
      </c>
      <c r="Q11" s="9">
        <v>158</v>
      </c>
      <c r="R11" s="9">
        <v>200</v>
      </c>
      <c r="S11" s="13">
        <v>44228</v>
      </c>
      <c r="T11" s="13"/>
      <c r="U11" s="136">
        <f t="shared" si="2"/>
        <v>11.133333333333333</v>
      </c>
    </row>
    <row r="12" spans="1:21" ht="16" x14ac:dyDescent="0.2">
      <c r="A12" s="1">
        <v>11</v>
      </c>
      <c r="B12" s="1" t="s">
        <v>213</v>
      </c>
      <c r="C12" s="1" t="s">
        <v>764</v>
      </c>
      <c r="D12" s="7">
        <v>1324357</v>
      </c>
      <c r="E12" s="7" t="s">
        <v>15</v>
      </c>
      <c r="F12" s="7" t="s">
        <v>42</v>
      </c>
      <c r="G12" s="7" t="s">
        <v>592</v>
      </c>
      <c r="H12" s="8">
        <v>43908</v>
      </c>
      <c r="I12" s="9">
        <f t="shared" ca="1" si="0"/>
        <v>1.3055555555555556</v>
      </c>
      <c r="J12" s="9">
        <f t="shared" ca="1" si="3"/>
        <v>477</v>
      </c>
      <c r="K12" s="9">
        <f t="shared" ca="1" si="1"/>
        <v>15.9</v>
      </c>
      <c r="L12" s="340" t="s">
        <v>547</v>
      </c>
      <c r="M12" s="9">
        <v>32</v>
      </c>
      <c r="N12" s="9">
        <v>196</v>
      </c>
      <c r="O12" s="9">
        <v>32</v>
      </c>
      <c r="P12" s="9">
        <v>31</v>
      </c>
      <c r="Q12" s="9">
        <v>190</v>
      </c>
      <c r="R12" s="9">
        <v>178</v>
      </c>
      <c r="S12" s="13">
        <v>44228</v>
      </c>
      <c r="T12" s="13"/>
      <c r="U12" s="136">
        <f t="shared" si="2"/>
        <v>10.666666666666666</v>
      </c>
    </row>
    <row r="13" spans="1:21" ht="16" x14ac:dyDescent="0.2">
      <c r="A13" s="1">
        <v>12</v>
      </c>
      <c r="B13" s="1" t="s">
        <v>214</v>
      </c>
      <c r="C13" s="1" t="s">
        <v>764</v>
      </c>
      <c r="D13" s="7">
        <v>1324357</v>
      </c>
      <c r="E13" s="7" t="s">
        <v>15</v>
      </c>
      <c r="F13" s="7" t="s">
        <v>42</v>
      </c>
      <c r="G13" s="7" t="s">
        <v>551</v>
      </c>
      <c r="H13" s="8">
        <v>43908</v>
      </c>
      <c r="I13" s="9">
        <f t="shared" ca="1" si="0"/>
        <v>1.3055555555555556</v>
      </c>
      <c r="J13" s="9">
        <f t="shared" ca="1" si="3"/>
        <v>477</v>
      </c>
      <c r="K13" s="9">
        <f t="shared" ca="1" si="1"/>
        <v>15.9</v>
      </c>
      <c r="L13" s="340" t="s">
        <v>547</v>
      </c>
      <c r="M13" s="9">
        <v>30</v>
      </c>
      <c r="N13" s="9">
        <v>143</v>
      </c>
      <c r="O13" s="9">
        <v>31</v>
      </c>
      <c r="P13" s="9">
        <v>30</v>
      </c>
      <c r="Q13" s="9">
        <v>163</v>
      </c>
      <c r="R13" s="9">
        <v>213</v>
      </c>
      <c r="S13" s="13">
        <v>44228</v>
      </c>
      <c r="T13" s="13"/>
      <c r="U13" s="136">
        <f t="shared" si="2"/>
        <v>10.666666666666666</v>
      </c>
    </row>
    <row r="14" spans="1:21" ht="16" x14ac:dyDescent="0.2">
      <c r="A14" s="1">
        <v>13</v>
      </c>
      <c r="B14" s="1" t="s">
        <v>215</v>
      </c>
      <c r="C14" s="1" t="s">
        <v>764</v>
      </c>
      <c r="D14" s="7">
        <v>1324357</v>
      </c>
      <c r="E14" s="7" t="s">
        <v>15</v>
      </c>
      <c r="F14" s="7" t="s">
        <v>42</v>
      </c>
      <c r="G14" s="7" t="s">
        <v>546</v>
      </c>
      <c r="H14" s="8">
        <v>43908</v>
      </c>
      <c r="I14" s="9">
        <f t="shared" ca="1" si="0"/>
        <v>1.3055555555555556</v>
      </c>
      <c r="J14" s="9">
        <f t="shared" ca="1" si="3"/>
        <v>477</v>
      </c>
      <c r="K14" s="9">
        <f t="shared" ca="1" si="1"/>
        <v>15.9</v>
      </c>
      <c r="L14" s="340" t="s">
        <v>547</v>
      </c>
      <c r="M14" s="9">
        <v>38</v>
      </c>
      <c r="N14" s="9">
        <v>182</v>
      </c>
      <c r="O14" s="9">
        <v>28</v>
      </c>
      <c r="P14" s="9">
        <v>28</v>
      </c>
      <c r="Q14" s="9">
        <v>216</v>
      </c>
      <c r="R14" s="9">
        <v>179</v>
      </c>
      <c r="S14" s="13">
        <v>44228</v>
      </c>
      <c r="T14" s="13"/>
      <c r="U14" s="136">
        <f t="shared" si="2"/>
        <v>10.666666666666666</v>
      </c>
    </row>
    <row r="15" spans="1:21" ht="16" x14ac:dyDescent="0.2">
      <c r="A15" s="1">
        <v>14</v>
      </c>
      <c r="B15" s="1" t="s">
        <v>216</v>
      </c>
      <c r="C15" s="1" t="s">
        <v>765</v>
      </c>
      <c r="D15" s="7">
        <v>1324355</v>
      </c>
      <c r="E15" s="7" t="s">
        <v>15</v>
      </c>
      <c r="F15" s="7" t="s">
        <v>42</v>
      </c>
      <c r="G15" s="7" t="s">
        <v>549</v>
      </c>
      <c r="H15" s="8">
        <v>43894</v>
      </c>
      <c r="I15" s="9">
        <f t="shared" ca="1" si="0"/>
        <v>1.3444444444444446</v>
      </c>
      <c r="J15" s="9">
        <f t="shared" ca="1" si="3"/>
        <v>491</v>
      </c>
      <c r="K15" s="9">
        <f t="shared" ca="1" si="1"/>
        <v>16.366666666666667</v>
      </c>
      <c r="L15" s="340" t="s">
        <v>547</v>
      </c>
      <c r="M15" s="9">
        <v>30</v>
      </c>
      <c r="N15" s="9">
        <v>210</v>
      </c>
      <c r="O15" s="9">
        <v>31</v>
      </c>
      <c r="P15" s="9">
        <v>30</v>
      </c>
      <c r="Q15" s="9">
        <v>174</v>
      </c>
      <c r="R15" s="9">
        <v>246</v>
      </c>
      <c r="S15" s="13">
        <v>44228</v>
      </c>
      <c r="T15" s="13"/>
      <c r="U15" s="136">
        <f t="shared" si="2"/>
        <v>11.133333333333333</v>
      </c>
    </row>
    <row r="16" spans="1:21" ht="16" x14ac:dyDescent="0.2">
      <c r="A16" s="1">
        <v>15</v>
      </c>
      <c r="B16" s="1" t="s">
        <v>217</v>
      </c>
      <c r="C16" s="1" t="s">
        <v>765</v>
      </c>
      <c r="D16" s="7">
        <v>1324355</v>
      </c>
      <c r="E16" s="7" t="s">
        <v>15</v>
      </c>
      <c r="F16" s="7" t="s">
        <v>42</v>
      </c>
      <c r="G16" s="7" t="s">
        <v>548</v>
      </c>
      <c r="H16" s="8">
        <v>43894</v>
      </c>
      <c r="I16" s="9">
        <f t="shared" ca="1" si="0"/>
        <v>1.3444444444444446</v>
      </c>
      <c r="J16" s="9">
        <f t="shared" ca="1" si="3"/>
        <v>491</v>
      </c>
      <c r="K16" s="9">
        <f t="shared" ca="1" si="1"/>
        <v>16.366666666666667</v>
      </c>
      <c r="L16" s="340" t="s">
        <v>547</v>
      </c>
      <c r="M16" s="9">
        <v>30</v>
      </c>
      <c r="N16" s="9">
        <v>176</v>
      </c>
      <c r="O16" s="9">
        <v>31</v>
      </c>
      <c r="P16" s="9">
        <v>30</v>
      </c>
      <c r="Q16" s="9">
        <v>189</v>
      </c>
      <c r="R16" s="9">
        <v>214</v>
      </c>
      <c r="S16" s="13">
        <v>44228</v>
      </c>
      <c r="T16" s="13"/>
      <c r="U16" s="136">
        <f t="shared" si="2"/>
        <v>11.133333333333333</v>
      </c>
    </row>
    <row r="17" spans="1:21" ht="16" x14ac:dyDescent="0.2">
      <c r="A17" s="1">
        <v>16</v>
      </c>
      <c r="B17" s="1" t="s">
        <v>218</v>
      </c>
      <c r="C17" s="1" t="s">
        <v>765</v>
      </c>
      <c r="D17" s="7">
        <v>1324355</v>
      </c>
      <c r="E17" s="7" t="s">
        <v>15</v>
      </c>
      <c r="F17" s="7" t="s">
        <v>42</v>
      </c>
      <c r="G17" s="7" t="s">
        <v>546</v>
      </c>
      <c r="H17" s="8">
        <v>43894</v>
      </c>
      <c r="I17" s="9">
        <f t="shared" ca="1" si="0"/>
        <v>1.3444444444444446</v>
      </c>
      <c r="J17" s="9">
        <f t="shared" ca="1" si="3"/>
        <v>491</v>
      </c>
      <c r="K17" s="9">
        <f t="shared" ca="1" si="1"/>
        <v>16.366666666666667</v>
      </c>
      <c r="L17" s="340" t="s">
        <v>547</v>
      </c>
      <c r="M17" s="9">
        <v>34</v>
      </c>
      <c r="N17" s="9">
        <v>252</v>
      </c>
      <c r="O17" s="9">
        <v>34</v>
      </c>
      <c r="P17" s="9">
        <v>34</v>
      </c>
      <c r="Q17" s="9">
        <v>189</v>
      </c>
      <c r="R17" s="9">
        <v>256</v>
      </c>
      <c r="S17" s="13">
        <v>44228</v>
      </c>
      <c r="T17" s="13"/>
      <c r="U17" s="136">
        <f t="shared" si="2"/>
        <v>11.133333333333333</v>
      </c>
    </row>
    <row r="18" spans="1:21" ht="16" x14ac:dyDescent="0.2">
      <c r="A18" s="1">
        <v>17</v>
      </c>
      <c r="B18" s="1" t="s">
        <v>219</v>
      </c>
      <c r="C18" s="1" t="s">
        <v>766</v>
      </c>
      <c r="D18" s="10">
        <v>1253156</v>
      </c>
      <c r="E18" s="10" t="s">
        <v>15</v>
      </c>
      <c r="F18" s="10" t="s">
        <v>42</v>
      </c>
      <c r="G18" s="10" t="s">
        <v>548</v>
      </c>
      <c r="H18" s="11">
        <v>43838</v>
      </c>
      <c r="I18" s="12">
        <f t="shared" ca="1" si="0"/>
        <v>1.5</v>
      </c>
      <c r="J18" s="12">
        <f t="shared" ca="1" si="3"/>
        <v>547</v>
      </c>
      <c r="K18" s="12">
        <f t="shared" ca="1" si="1"/>
        <v>18.233333333333334</v>
      </c>
      <c r="L18" s="340" t="s">
        <v>547</v>
      </c>
      <c r="M18" s="12">
        <v>32</v>
      </c>
      <c r="N18" s="12">
        <v>193</v>
      </c>
      <c r="O18" s="12">
        <v>33</v>
      </c>
      <c r="P18" s="12">
        <v>33</v>
      </c>
      <c r="Q18" s="12">
        <v>199</v>
      </c>
      <c r="R18" s="12">
        <v>217</v>
      </c>
      <c r="S18" s="13">
        <v>44228</v>
      </c>
      <c r="T18" s="13"/>
      <c r="U18" s="136">
        <f t="shared" si="2"/>
        <v>13</v>
      </c>
    </row>
    <row r="19" spans="1:21" ht="16" x14ac:dyDescent="0.2">
      <c r="A19" s="1">
        <v>18</v>
      </c>
      <c r="B19" s="1" t="s">
        <v>220</v>
      </c>
      <c r="C19" s="1" t="s">
        <v>766</v>
      </c>
      <c r="D19" s="10">
        <v>1253156</v>
      </c>
      <c r="E19" s="10" t="s">
        <v>15</v>
      </c>
      <c r="F19" s="10" t="s">
        <v>42</v>
      </c>
      <c r="G19" s="10" t="s">
        <v>546</v>
      </c>
      <c r="H19" s="11">
        <v>43838</v>
      </c>
      <c r="I19" s="12">
        <f t="shared" ca="1" si="0"/>
        <v>1.5</v>
      </c>
      <c r="J19" s="12">
        <f t="shared" ca="1" si="3"/>
        <v>547</v>
      </c>
      <c r="K19" s="12">
        <f t="shared" ca="1" si="1"/>
        <v>18.233333333333334</v>
      </c>
      <c r="L19" s="340" t="s">
        <v>547</v>
      </c>
      <c r="M19" s="12">
        <v>29</v>
      </c>
      <c r="N19" s="12">
        <v>225</v>
      </c>
      <c r="O19" s="12">
        <v>30</v>
      </c>
      <c r="P19" s="12">
        <v>31</v>
      </c>
      <c r="Q19" s="12">
        <v>172</v>
      </c>
      <c r="R19" s="12">
        <v>223</v>
      </c>
      <c r="S19" s="13">
        <v>44228</v>
      </c>
      <c r="T19" s="13"/>
      <c r="U19" s="136">
        <f t="shared" si="2"/>
        <v>13</v>
      </c>
    </row>
    <row r="20" spans="1:21" ht="16" x14ac:dyDescent="0.2">
      <c r="A20" s="1">
        <v>19</v>
      </c>
      <c r="B20" s="1" t="s">
        <v>221</v>
      </c>
      <c r="C20" s="1" t="s">
        <v>767</v>
      </c>
      <c r="D20" s="104">
        <v>1385322</v>
      </c>
      <c r="E20" s="135" t="s">
        <v>15</v>
      </c>
      <c r="F20" s="135" t="s">
        <v>40</v>
      </c>
      <c r="G20" s="135" t="s">
        <v>549</v>
      </c>
      <c r="H20" s="105">
        <v>43905</v>
      </c>
      <c r="I20" s="107">
        <f t="shared" ca="1" si="0"/>
        <v>1.3138888888888889</v>
      </c>
      <c r="J20" s="107">
        <f t="shared" ca="1" si="3"/>
        <v>480</v>
      </c>
      <c r="K20" s="107">
        <f t="shared" ca="1" si="1"/>
        <v>16</v>
      </c>
      <c r="L20" s="340" t="s">
        <v>547</v>
      </c>
      <c r="M20" s="107">
        <v>28</v>
      </c>
      <c r="N20" s="107">
        <v>228</v>
      </c>
      <c r="O20" s="107">
        <v>29</v>
      </c>
      <c r="P20" s="107">
        <v>29</v>
      </c>
      <c r="Q20" s="107">
        <v>177</v>
      </c>
      <c r="R20" s="107">
        <v>226</v>
      </c>
      <c r="S20" s="13">
        <v>44228</v>
      </c>
      <c r="T20" s="13"/>
      <c r="U20" s="136">
        <f t="shared" si="2"/>
        <v>10.766666666666667</v>
      </c>
    </row>
    <row r="21" spans="1:21" ht="16" x14ac:dyDescent="0.2">
      <c r="A21" s="177" t="s">
        <v>39</v>
      </c>
    </row>
    <row r="22" spans="1:21" ht="16" x14ac:dyDescent="0.2">
      <c r="A22" s="178" t="s">
        <v>22</v>
      </c>
      <c r="M22" s="106"/>
    </row>
    <row r="23" spans="1:21" x14ac:dyDescent="0.2">
      <c r="A23" s="179" t="s">
        <v>37</v>
      </c>
      <c r="M23" s="106"/>
    </row>
    <row r="24" spans="1:21" ht="16" x14ac:dyDescent="0.2">
      <c r="A24" s="180" t="s">
        <v>40</v>
      </c>
    </row>
    <row r="25" spans="1:21" ht="16" x14ac:dyDescent="0.2">
      <c r="A25" s="181" t="s">
        <v>41</v>
      </c>
    </row>
    <row r="26" spans="1:21" ht="16" x14ac:dyDescent="0.2">
      <c r="A26" s="203" t="s">
        <v>42</v>
      </c>
    </row>
    <row r="27" spans="1:21" x14ac:dyDescent="0.2">
      <c r="A27" s="202" t="s">
        <v>43</v>
      </c>
    </row>
    <row r="28" spans="1:21" ht="17" x14ac:dyDescent="0.2">
      <c r="A28" s="399" t="s">
        <v>44</v>
      </c>
    </row>
    <row r="29" spans="1:21" ht="17" x14ac:dyDescent="0.2">
      <c r="A29" s="418" t="s">
        <v>45</v>
      </c>
    </row>
  </sheetData>
  <pageMargins left="0.7" right="0.7" top="0.75" bottom="0.75" header="0.3" footer="0.3"/>
  <pageSetup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rgb="FFFFC000"/>
    <pageSetUpPr fitToPage="1"/>
  </sheetPr>
  <dimension ref="A1:U27"/>
  <sheetViews>
    <sheetView topLeftCell="G1" workbookViewId="0">
      <selection activeCell="U55" sqref="U55"/>
    </sheetView>
  </sheetViews>
  <sheetFormatPr baseColWidth="10" defaultColWidth="8.83203125" defaultRowHeight="15" x14ac:dyDescent="0.2"/>
  <cols>
    <col min="2" max="2" width="15.83203125" customWidth="1"/>
    <col min="3" max="3" width="8.5" customWidth="1"/>
    <col min="4" max="4" width="17.5" customWidth="1"/>
    <col min="6" max="7" width="13.5" customWidth="1"/>
    <col min="8" max="8" width="18.5" customWidth="1"/>
    <col min="9" max="9" width="21.5" customWidth="1"/>
    <col min="10" max="10" width="12.5" customWidth="1"/>
    <col min="11" max="11" width="15.6640625" customWidth="1"/>
    <col min="12" max="12" width="21.6640625" customWidth="1"/>
    <col min="13" max="13" width="19.5" customWidth="1"/>
    <col min="14" max="14" width="17.1640625" customWidth="1"/>
    <col min="15" max="15" width="17.6640625" customWidth="1"/>
    <col min="16" max="16" width="16.6640625" customWidth="1"/>
    <col min="17" max="17" width="19.5" customWidth="1"/>
    <col min="18" max="20" width="17.6640625" customWidth="1"/>
    <col min="21" max="21" width="33" customWidth="1"/>
  </cols>
  <sheetData>
    <row r="1" spans="1:21" ht="16" x14ac:dyDescent="0.2">
      <c r="A1" s="14" t="s">
        <v>0</v>
      </c>
      <c r="B1" s="14" t="s">
        <v>535</v>
      </c>
      <c r="C1" s="15" t="s">
        <v>553</v>
      </c>
      <c r="D1" s="14" t="s">
        <v>768</v>
      </c>
      <c r="E1" s="14" t="s">
        <v>52</v>
      </c>
      <c r="F1" s="14" t="s">
        <v>53</v>
      </c>
      <c r="G1" s="14" t="s">
        <v>538</v>
      </c>
      <c r="H1" s="14" t="s">
        <v>54</v>
      </c>
      <c r="I1" s="14" t="s">
        <v>769</v>
      </c>
      <c r="J1" s="14" t="s">
        <v>540</v>
      </c>
      <c r="K1" s="14" t="s">
        <v>770</v>
      </c>
      <c r="L1" s="14" t="s">
        <v>542</v>
      </c>
      <c r="M1" s="14" t="s">
        <v>4</v>
      </c>
      <c r="N1" s="263" t="s">
        <v>771</v>
      </c>
      <c r="O1" s="174" t="s">
        <v>772</v>
      </c>
      <c r="P1" s="174" t="s">
        <v>773</v>
      </c>
      <c r="Q1" s="174" t="s">
        <v>774</v>
      </c>
      <c r="R1" s="351" t="s">
        <v>775</v>
      </c>
      <c r="S1" s="351" t="s">
        <v>757</v>
      </c>
      <c r="T1" s="351" t="s">
        <v>776</v>
      </c>
      <c r="U1" s="103" t="s">
        <v>777</v>
      </c>
    </row>
    <row r="2" spans="1:21" ht="16" x14ac:dyDescent="0.2">
      <c r="A2" s="1">
        <v>1</v>
      </c>
      <c r="B2" s="1" t="s">
        <v>222</v>
      </c>
      <c r="C2" s="1" t="s">
        <v>762</v>
      </c>
      <c r="D2" s="108">
        <v>1324347</v>
      </c>
      <c r="E2" s="110" t="s">
        <v>17</v>
      </c>
      <c r="F2" s="108" t="s">
        <v>37</v>
      </c>
      <c r="G2" s="110" t="s">
        <v>549</v>
      </c>
      <c r="H2" s="111">
        <v>43900</v>
      </c>
      <c r="I2" s="112">
        <f t="shared" ref="I2:I18" ca="1" si="0">YEARFRAC(H2,TODAY())</f>
        <v>1.3277777777777777</v>
      </c>
      <c r="J2" s="116">
        <f t="shared" ref="J2:J18" ca="1" si="1">_xlfn.DAYS(TODAY(),H2)</f>
        <v>485</v>
      </c>
      <c r="K2" s="108">
        <f t="shared" ref="K2:K18" ca="1" si="2">J2/30</f>
        <v>16.166666666666668</v>
      </c>
      <c r="L2" s="340" t="s">
        <v>547</v>
      </c>
      <c r="M2" s="111">
        <v>44249</v>
      </c>
      <c r="N2" s="115">
        <f t="shared" ref="N2:N18" si="3">_xlfn.DAYS(M2,H2)/30</f>
        <v>11.633333333333333</v>
      </c>
      <c r="O2" s="444">
        <v>150</v>
      </c>
      <c r="P2" s="110">
        <v>158</v>
      </c>
      <c r="Q2" s="110">
        <v>147</v>
      </c>
      <c r="R2" s="110">
        <v>30</v>
      </c>
      <c r="S2" s="110">
        <v>29</v>
      </c>
      <c r="T2" s="110">
        <v>30</v>
      </c>
      <c r="U2" s="111">
        <v>44272</v>
      </c>
    </row>
    <row r="3" spans="1:21" ht="16" x14ac:dyDescent="0.2">
      <c r="A3" s="1">
        <v>2</v>
      </c>
      <c r="B3" s="1" t="s">
        <v>223</v>
      </c>
      <c r="C3" s="1" t="s">
        <v>762</v>
      </c>
      <c r="D3" s="108">
        <v>1324347</v>
      </c>
      <c r="E3" s="110" t="s">
        <v>17</v>
      </c>
      <c r="F3" s="108" t="s">
        <v>37</v>
      </c>
      <c r="G3" s="110" t="s">
        <v>546</v>
      </c>
      <c r="H3" s="111">
        <v>43900</v>
      </c>
      <c r="I3" s="112">
        <f t="shared" ca="1" si="0"/>
        <v>1.3277777777777777</v>
      </c>
      <c r="J3" s="116">
        <f t="shared" ca="1" si="1"/>
        <v>485</v>
      </c>
      <c r="K3" s="108">
        <f t="shared" ca="1" si="2"/>
        <v>16.166666666666668</v>
      </c>
      <c r="L3" s="340" t="s">
        <v>547</v>
      </c>
      <c r="M3" s="111">
        <v>44249</v>
      </c>
      <c r="N3" s="115">
        <f t="shared" si="3"/>
        <v>11.633333333333333</v>
      </c>
      <c r="O3" s="444">
        <v>166</v>
      </c>
      <c r="P3" s="110">
        <v>148</v>
      </c>
      <c r="Q3" s="110">
        <v>198</v>
      </c>
      <c r="R3" s="110">
        <v>31</v>
      </c>
      <c r="S3" s="110">
        <v>30</v>
      </c>
      <c r="T3" s="110">
        <v>32</v>
      </c>
      <c r="U3" s="111">
        <v>44272</v>
      </c>
    </row>
    <row r="4" spans="1:21" ht="16" x14ac:dyDescent="0.2">
      <c r="A4" s="1">
        <v>3</v>
      </c>
      <c r="B4" s="1" t="s">
        <v>224</v>
      </c>
      <c r="C4" s="1" t="s">
        <v>763</v>
      </c>
      <c r="D4" s="108">
        <v>1299777</v>
      </c>
      <c r="E4" s="110" t="s">
        <v>15</v>
      </c>
      <c r="F4" s="108" t="s">
        <v>37</v>
      </c>
      <c r="G4" s="110" t="s">
        <v>592</v>
      </c>
      <c r="H4" s="111">
        <v>43900</v>
      </c>
      <c r="I4" s="112">
        <f t="shared" ca="1" si="0"/>
        <v>1.3277777777777777</v>
      </c>
      <c r="J4" s="116">
        <f t="shared" ca="1" si="1"/>
        <v>485</v>
      </c>
      <c r="K4" s="108">
        <f t="shared" ca="1" si="2"/>
        <v>16.166666666666668</v>
      </c>
      <c r="L4" s="340" t="s">
        <v>547</v>
      </c>
      <c r="M4" s="111">
        <v>44249</v>
      </c>
      <c r="N4" s="115">
        <f t="shared" si="3"/>
        <v>11.633333333333333</v>
      </c>
      <c r="O4" s="444">
        <v>177</v>
      </c>
      <c r="P4" s="110">
        <v>197</v>
      </c>
      <c r="Q4" s="110">
        <v>158</v>
      </c>
      <c r="R4" s="110">
        <v>31</v>
      </c>
      <c r="S4" s="110">
        <v>31</v>
      </c>
      <c r="T4" s="110">
        <v>31</v>
      </c>
      <c r="U4" s="111">
        <v>44272</v>
      </c>
    </row>
    <row r="5" spans="1:21" ht="16" x14ac:dyDescent="0.2">
      <c r="A5" s="1">
        <v>4</v>
      </c>
      <c r="B5" s="1" t="s">
        <v>225</v>
      </c>
      <c r="C5" s="1" t="s">
        <v>763</v>
      </c>
      <c r="D5" s="108">
        <v>1299777</v>
      </c>
      <c r="E5" s="110" t="s">
        <v>15</v>
      </c>
      <c r="F5" s="108" t="s">
        <v>37</v>
      </c>
      <c r="G5" s="110" t="s">
        <v>551</v>
      </c>
      <c r="H5" s="111">
        <v>43900</v>
      </c>
      <c r="I5" s="112">
        <f t="shared" ca="1" si="0"/>
        <v>1.3277777777777777</v>
      </c>
      <c r="J5" s="116">
        <f t="shared" ca="1" si="1"/>
        <v>485</v>
      </c>
      <c r="K5" s="108">
        <f t="shared" ca="1" si="2"/>
        <v>16.166666666666668</v>
      </c>
      <c r="L5" s="340" t="s">
        <v>547</v>
      </c>
      <c r="M5" s="111">
        <v>44249</v>
      </c>
      <c r="N5" s="115">
        <f t="shared" si="3"/>
        <v>11.633333333333333</v>
      </c>
      <c r="O5" s="444">
        <v>190</v>
      </c>
      <c r="P5" s="110">
        <v>193</v>
      </c>
      <c r="Q5" s="110">
        <v>171</v>
      </c>
      <c r="R5" s="110">
        <v>37</v>
      </c>
      <c r="S5" s="110">
        <v>37</v>
      </c>
      <c r="T5" s="110">
        <v>36</v>
      </c>
      <c r="U5" s="111">
        <v>44272</v>
      </c>
    </row>
    <row r="6" spans="1:21" ht="16" x14ac:dyDescent="0.2">
      <c r="A6" s="1">
        <v>5</v>
      </c>
      <c r="B6" s="1" t="s">
        <v>226</v>
      </c>
      <c r="C6" s="1" t="s">
        <v>763</v>
      </c>
      <c r="D6" s="108">
        <v>1299777</v>
      </c>
      <c r="E6" s="110" t="s">
        <v>15</v>
      </c>
      <c r="F6" s="108" t="s">
        <v>37</v>
      </c>
      <c r="G6" s="110" t="s">
        <v>549</v>
      </c>
      <c r="H6" s="111">
        <v>43900</v>
      </c>
      <c r="I6" s="112">
        <f t="shared" ca="1" si="0"/>
        <v>1.3277777777777777</v>
      </c>
      <c r="J6" s="116">
        <f t="shared" ca="1" si="1"/>
        <v>485</v>
      </c>
      <c r="K6" s="108">
        <f t="shared" ca="1" si="2"/>
        <v>16.166666666666668</v>
      </c>
      <c r="L6" s="340" t="s">
        <v>547</v>
      </c>
      <c r="M6" s="111">
        <v>44249</v>
      </c>
      <c r="N6" s="115">
        <f t="shared" si="3"/>
        <v>11.633333333333333</v>
      </c>
      <c r="O6" s="444">
        <v>177</v>
      </c>
      <c r="P6" s="110">
        <v>153</v>
      </c>
      <c r="Q6" s="110">
        <v>217</v>
      </c>
      <c r="R6" s="110">
        <v>32</v>
      </c>
      <c r="S6" s="110">
        <v>33</v>
      </c>
      <c r="T6" s="110">
        <v>32</v>
      </c>
      <c r="U6" s="111">
        <v>44272</v>
      </c>
    </row>
    <row r="7" spans="1:21" ht="16" x14ac:dyDescent="0.2">
      <c r="A7" s="1">
        <v>6</v>
      </c>
      <c r="B7" s="1" t="s">
        <v>227</v>
      </c>
      <c r="C7" s="1" t="s">
        <v>763</v>
      </c>
      <c r="D7" s="108">
        <v>1299777</v>
      </c>
      <c r="E7" s="110" t="s">
        <v>15</v>
      </c>
      <c r="F7" s="108" t="s">
        <v>37</v>
      </c>
      <c r="G7" s="110" t="s">
        <v>546</v>
      </c>
      <c r="H7" s="111">
        <v>43900</v>
      </c>
      <c r="I7" s="112">
        <f t="shared" ca="1" si="0"/>
        <v>1.3277777777777777</v>
      </c>
      <c r="J7" s="116">
        <f t="shared" ca="1" si="1"/>
        <v>485</v>
      </c>
      <c r="K7" s="108">
        <f t="shared" ca="1" si="2"/>
        <v>16.166666666666668</v>
      </c>
      <c r="L7" s="340" t="s">
        <v>547</v>
      </c>
      <c r="M7" s="111">
        <v>44249</v>
      </c>
      <c r="N7" s="115">
        <f t="shared" si="3"/>
        <v>11.633333333333333</v>
      </c>
      <c r="O7" s="444">
        <v>222</v>
      </c>
      <c r="P7" s="110">
        <v>206</v>
      </c>
      <c r="Q7" s="110">
        <v>253</v>
      </c>
      <c r="R7" s="110">
        <v>32</v>
      </c>
      <c r="S7" s="110">
        <v>32</v>
      </c>
      <c r="T7" s="110">
        <v>32</v>
      </c>
      <c r="U7" s="111">
        <v>44272</v>
      </c>
    </row>
    <row r="8" spans="1:21" ht="16" x14ac:dyDescent="0.2">
      <c r="A8" s="1">
        <v>7</v>
      </c>
      <c r="B8" s="1" t="s">
        <v>228</v>
      </c>
      <c r="C8" s="1" t="s">
        <v>764</v>
      </c>
      <c r="D8" s="109">
        <v>1299779</v>
      </c>
      <c r="E8" s="109" t="s">
        <v>17</v>
      </c>
      <c r="F8" s="109" t="s">
        <v>41</v>
      </c>
      <c r="G8" s="109" t="s">
        <v>592</v>
      </c>
      <c r="H8" s="113">
        <v>43884</v>
      </c>
      <c r="I8" s="114">
        <f t="shared" ca="1" si="0"/>
        <v>1.375</v>
      </c>
      <c r="J8" s="117">
        <f t="shared" ca="1" si="1"/>
        <v>501</v>
      </c>
      <c r="K8" s="109">
        <f t="shared" ca="1" si="2"/>
        <v>16.7</v>
      </c>
      <c r="L8" s="340" t="s">
        <v>547</v>
      </c>
      <c r="M8" s="113">
        <v>44249</v>
      </c>
      <c r="N8" s="115">
        <f t="shared" si="3"/>
        <v>12.166666666666666</v>
      </c>
      <c r="O8" s="445">
        <v>188</v>
      </c>
      <c r="P8" s="160">
        <v>186</v>
      </c>
      <c r="Q8" s="160">
        <v>214</v>
      </c>
      <c r="R8" s="160">
        <v>40</v>
      </c>
      <c r="S8" s="160">
        <v>41</v>
      </c>
      <c r="T8" s="160">
        <v>42</v>
      </c>
      <c r="U8" s="113">
        <v>44272</v>
      </c>
    </row>
    <row r="9" spans="1:21" ht="16" x14ac:dyDescent="0.2">
      <c r="A9" s="1">
        <v>8</v>
      </c>
      <c r="B9" s="1" t="s">
        <v>229</v>
      </c>
      <c r="C9" s="1" t="s">
        <v>764</v>
      </c>
      <c r="D9" s="109">
        <v>1299779</v>
      </c>
      <c r="E9" s="109" t="s">
        <v>17</v>
      </c>
      <c r="F9" s="109" t="s">
        <v>41</v>
      </c>
      <c r="G9" s="109" t="s">
        <v>551</v>
      </c>
      <c r="H9" s="113">
        <v>43884</v>
      </c>
      <c r="I9" s="114">
        <f t="shared" ca="1" si="0"/>
        <v>1.375</v>
      </c>
      <c r="J9" s="117">
        <f t="shared" ca="1" si="1"/>
        <v>501</v>
      </c>
      <c r="K9" s="109">
        <f t="shared" ca="1" si="2"/>
        <v>16.7</v>
      </c>
      <c r="L9" s="340" t="s">
        <v>547</v>
      </c>
      <c r="M9" s="113">
        <v>44249</v>
      </c>
      <c r="N9" s="115">
        <f t="shared" si="3"/>
        <v>12.166666666666666</v>
      </c>
      <c r="O9" s="445">
        <v>184</v>
      </c>
      <c r="P9" s="160">
        <v>205</v>
      </c>
      <c r="Q9" s="160">
        <v>164</v>
      </c>
      <c r="R9" s="160">
        <v>33</v>
      </c>
      <c r="S9" s="160">
        <v>31</v>
      </c>
      <c r="T9" s="160">
        <v>34</v>
      </c>
      <c r="U9" s="113">
        <v>44272</v>
      </c>
    </row>
    <row r="10" spans="1:21" ht="16" x14ac:dyDescent="0.2">
      <c r="A10" s="1">
        <v>9</v>
      </c>
      <c r="B10" s="1" t="s">
        <v>230</v>
      </c>
      <c r="C10" s="1" t="s">
        <v>764</v>
      </c>
      <c r="D10" s="109">
        <v>1299779</v>
      </c>
      <c r="E10" s="109" t="s">
        <v>17</v>
      </c>
      <c r="F10" s="109" t="s">
        <v>41</v>
      </c>
      <c r="G10" s="109" t="s">
        <v>549</v>
      </c>
      <c r="H10" s="113">
        <v>43884</v>
      </c>
      <c r="I10" s="114">
        <f t="shared" ca="1" si="0"/>
        <v>1.375</v>
      </c>
      <c r="J10" s="117">
        <f t="shared" ca="1" si="1"/>
        <v>501</v>
      </c>
      <c r="K10" s="109">
        <f t="shared" ca="1" si="2"/>
        <v>16.7</v>
      </c>
      <c r="L10" s="340" t="s">
        <v>547</v>
      </c>
      <c r="M10" s="113">
        <v>44249</v>
      </c>
      <c r="N10" s="115">
        <f t="shared" si="3"/>
        <v>12.166666666666666</v>
      </c>
      <c r="O10" s="445">
        <v>177</v>
      </c>
      <c r="P10" s="160">
        <v>182</v>
      </c>
      <c r="Q10" s="160">
        <v>191</v>
      </c>
      <c r="R10" s="160">
        <v>35</v>
      </c>
      <c r="S10" s="160">
        <v>37</v>
      </c>
      <c r="T10" s="160">
        <v>31</v>
      </c>
      <c r="U10" s="113">
        <v>44272</v>
      </c>
    </row>
    <row r="11" spans="1:21" ht="16" x14ac:dyDescent="0.2">
      <c r="A11" s="1">
        <v>10</v>
      </c>
      <c r="B11" s="1" t="s">
        <v>231</v>
      </c>
      <c r="C11" s="1" t="s">
        <v>765</v>
      </c>
      <c r="D11" s="109">
        <v>1324351</v>
      </c>
      <c r="E11" s="109" t="s">
        <v>17</v>
      </c>
      <c r="F11" s="109" t="s">
        <v>41</v>
      </c>
      <c r="G11" s="109" t="s">
        <v>592</v>
      </c>
      <c r="H11" s="113">
        <v>43898</v>
      </c>
      <c r="I11" s="114">
        <f t="shared" ca="1" si="0"/>
        <v>1.3333333333333333</v>
      </c>
      <c r="J11" s="117">
        <f t="shared" ca="1" si="1"/>
        <v>487</v>
      </c>
      <c r="K11" s="109">
        <f t="shared" ca="1" si="2"/>
        <v>16.233333333333334</v>
      </c>
      <c r="L11" s="340" t="s">
        <v>547</v>
      </c>
      <c r="M11" s="113">
        <v>44249</v>
      </c>
      <c r="N11" s="115">
        <f t="shared" si="3"/>
        <v>11.7</v>
      </c>
      <c r="O11" s="445">
        <v>194</v>
      </c>
      <c r="P11" s="160">
        <v>193</v>
      </c>
      <c r="Q11" s="160">
        <v>195</v>
      </c>
      <c r="R11" s="160">
        <v>28</v>
      </c>
      <c r="S11" s="160">
        <v>29</v>
      </c>
      <c r="T11" s="160">
        <v>28</v>
      </c>
      <c r="U11" s="113">
        <v>44272</v>
      </c>
    </row>
    <row r="12" spans="1:21" ht="16" x14ac:dyDescent="0.2">
      <c r="A12" s="1">
        <v>11</v>
      </c>
      <c r="B12" s="1" t="s">
        <v>232</v>
      </c>
      <c r="C12" s="1" t="s">
        <v>765</v>
      </c>
      <c r="D12" s="109">
        <v>1324351</v>
      </c>
      <c r="E12" s="109" t="s">
        <v>17</v>
      </c>
      <c r="F12" s="109" t="s">
        <v>41</v>
      </c>
      <c r="G12" s="109" t="s">
        <v>551</v>
      </c>
      <c r="H12" s="113">
        <v>43898</v>
      </c>
      <c r="I12" s="114">
        <f t="shared" ca="1" si="0"/>
        <v>1.3333333333333333</v>
      </c>
      <c r="J12" s="117">
        <f t="shared" ca="1" si="1"/>
        <v>487</v>
      </c>
      <c r="K12" s="109">
        <f t="shared" ca="1" si="2"/>
        <v>16.233333333333334</v>
      </c>
      <c r="L12" s="340" t="s">
        <v>547</v>
      </c>
      <c r="M12" s="113">
        <v>44249</v>
      </c>
      <c r="N12" s="115">
        <f t="shared" si="3"/>
        <v>11.7</v>
      </c>
      <c r="O12" s="445">
        <v>159</v>
      </c>
      <c r="P12" s="160">
        <v>158</v>
      </c>
      <c r="Q12" s="160">
        <v>165</v>
      </c>
      <c r="R12" s="160">
        <v>28</v>
      </c>
      <c r="S12" s="160">
        <v>28</v>
      </c>
      <c r="T12" s="160">
        <v>29</v>
      </c>
      <c r="U12" s="113">
        <v>44272</v>
      </c>
    </row>
    <row r="13" spans="1:21" ht="16" x14ac:dyDescent="0.2">
      <c r="A13" s="1">
        <v>12</v>
      </c>
      <c r="B13" s="1" t="s">
        <v>233</v>
      </c>
      <c r="C13" s="1" t="s">
        <v>765</v>
      </c>
      <c r="D13" s="109">
        <v>1324351</v>
      </c>
      <c r="E13" s="109" t="s">
        <v>17</v>
      </c>
      <c r="F13" s="109" t="s">
        <v>41</v>
      </c>
      <c r="G13" s="109" t="s">
        <v>549</v>
      </c>
      <c r="H13" s="113">
        <v>43898</v>
      </c>
      <c r="I13" s="114">
        <f t="shared" ca="1" si="0"/>
        <v>1.3333333333333333</v>
      </c>
      <c r="J13" s="117">
        <f t="shared" ca="1" si="1"/>
        <v>487</v>
      </c>
      <c r="K13" s="109">
        <f t="shared" ca="1" si="2"/>
        <v>16.233333333333334</v>
      </c>
      <c r="L13" s="340" t="s">
        <v>547</v>
      </c>
      <c r="M13" s="113">
        <v>44249</v>
      </c>
      <c r="N13" s="115">
        <f t="shared" si="3"/>
        <v>11.7</v>
      </c>
      <c r="O13" s="445">
        <v>159</v>
      </c>
      <c r="P13" s="160">
        <v>167</v>
      </c>
      <c r="Q13" s="160">
        <v>156</v>
      </c>
      <c r="R13" s="160">
        <v>27</v>
      </c>
      <c r="S13" s="160">
        <v>27</v>
      </c>
      <c r="T13" s="160">
        <v>27</v>
      </c>
      <c r="U13" s="113">
        <v>44272</v>
      </c>
    </row>
    <row r="14" spans="1:21" ht="16" x14ac:dyDescent="0.2">
      <c r="A14" s="1">
        <v>13</v>
      </c>
      <c r="B14" s="1" t="s">
        <v>234</v>
      </c>
      <c r="C14" s="1" t="s">
        <v>766</v>
      </c>
      <c r="D14" s="109">
        <v>1324353</v>
      </c>
      <c r="E14" s="109" t="s">
        <v>15</v>
      </c>
      <c r="F14" s="109" t="s">
        <v>41</v>
      </c>
      <c r="G14" s="160" t="s">
        <v>592</v>
      </c>
      <c r="H14" s="156">
        <v>43898</v>
      </c>
      <c r="I14" s="114">
        <f t="shared" ca="1" si="0"/>
        <v>1.3333333333333333</v>
      </c>
      <c r="J14" s="117">
        <f t="shared" ca="1" si="1"/>
        <v>487</v>
      </c>
      <c r="K14" s="109">
        <f t="shared" ca="1" si="2"/>
        <v>16.233333333333334</v>
      </c>
      <c r="L14" s="340" t="s">
        <v>547</v>
      </c>
      <c r="M14" s="113">
        <v>44249</v>
      </c>
      <c r="N14" s="115">
        <f t="shared" si="3"/>
        <v>11.7</v>
      </c>
      <c r="O14" s="445">
        <v>173</v>
      </c>
      <c r="P14" s="160">
        <v>171</v>
      </c>
      <c r="Q14" s="160">
        <v>176</v>
      </c>
      <c r="R14" s="160">
        <v>34</v>
      </c>
      <c r="S14" s="160">
        <v>34</v>
      </c>
      <c r="T14" s="160">
        <v>34</v>
      </c>
      <c r="U14" s="113">
        <v>44272</v>
      </c>
    </row>
    <row r="15" spans="1:21" ht="16" x14ac:dyDescent="0.2">
      <c r="A15" s="1">
        <v>14</v>
      </c>
      <c r="B15" s="1" t="s">
        <v>235</v>
      </c>
      <c r="C15" s="1" t="s">
        <v>766</v>
      </c>
      <c r="D15" s="109">
        <v>1324353</v>
      </c>
      <c r="E15" s="109" t="s">
        <v>15</v>
      </c>
      <c r="F15" s="109" t="s">
        <v>41</v>
      </c>
      <c r="G15" s="160" t="s">
        <v>551</v>
      </c>
      <c r="H15" s="156">
        <v>43898</v>
      </c>
      <c r="I15" s="114">
        <f t="shared" ca="1" si="0"/>
        <v>1.3333333333333333</v>
      </c>
      <c r="J15" s="117">
        <f t="shared" ca="1" si="1"/>
        <v>487</v>
      </c>
      <c r="K15" s="109">
        <f t="shared" ca="1" si="2"/>
        <v>16.233333333333334</v>
      </c>
      <c r="L15" s="340" t="s">
        <v>547</v>
      </c>
      <c r="M15" s="113">
        <v>44249</v>
      </c>
      <c r="N15" s="115">
        <f t="shared" si="3"/>
        <v>11.7</v>
      </c>
      <c r="O15" s="445">
        <v>162</v>
      </c>
      <c r="P15" s="160">
        <v>153</v>
      </c>
      <c r="Q15" s="160">
        <v>166</v>
      </c>
      <c r="R15" s="160">
        <v>33</v>
      </c>
      <c r="S15" s="160">
        <v>33</v>
      </c>
      <c r="T15" s="160">
        <v>34</v>
      </c>
      <c r="U15" s="113">
        <v>44272</v>
      </c>
    </row>
    <row r="16" spans="1:21" ht="16" x14ac:dyDescent="0.2">
      <c r="A16" s="1">
        <v>15</v>
      </c>
      <c r="B16" s="1" t="s">
        <v>236</v>
      </c>
      <c r="C16" s="1" t="s">
        <v>766</v>
      </c>
      <c r="D16" s="109">
        <v>1324353</v>
      </c>
      <c r="E16" s="109" t="s">
        <v>15</v>
      </c>
      <c r="F16" s="109" t="s">
        <v>41</v>
      </c>
      <c r="G16" s="160" t="s">
        <v>549</v>
      </c>
      <c r="H16" s="156">
        <v>43898</v>
      </c>
      <c r="I16" s="114">
        <f t="shared" ca="1" si="0"/>
        <v>1.3333333333333333</v>
      </c>
      <c r="J16" s="117">
        <f t="shared" ca="1" si="1"/>
        <v>487</v>
      </c>
      <c r="K16" s="109">
        <f t="shared" ca="1" si="2"/>
        <v>16.233333333333334</v>
      </c>
      <c r="L16" s="340" t="s">
        <v>547</v>
      </c>
      <c r="M16" s="113">
        <v>44249</v>
      </c>
      <c r="N16" s="115">
        <f t="shared" si="3"/>
        <v>11.7</v>
      </c>
      <c r="O16" s="445">
        <v>177</v>
      </c>
      <c r="P16" s="160">
        <v>182</v>
      </c>
      <c r="Q16" s="160">
        <v>155</v>
      </c>
      <c r="R16" s="160">
        <v>35</v>
      </c>
      <c r="S16" s="160">
        <v>35</v>
      </c>
      <c r="T16" s="160">
        <v>35</v>
      </c>
      <c r="U16" s="113">
        <v>44272</v>
      </c>
    </row>
    <row r="17" spans="1:21" ht="16" x14ac:dyDescent="0.2">
      <c r="A17" s="1">
        <v>16</v>
      </c>
      <c r="B17" s="1" t="s">
        <v>237</v>
      </c>
      <c r="C17" s="1" t="s">
        <v>767</v>
      </c>
      <c r="D17" s="161">
        <v>1190436</v>
      </c>
      <c r="E17" s="162" t="s">
        <v>15</v>
      </c>
      <c r="F17" s="162" t="s">
        <v>43</v>
      </c>
      <c r="G17" s="162" t="s">
        <v>592</v>
      </c>
      <c r="H17" s="163">
        <v>43878</v>
      </c>
      <c r="I17" s="164">
        <f t="shared" ca="1" si="0"/>
        <v>1.3916666666666666</v>
      </c>
      <c r="J17" s="165">
        <f t="shared" ca="1" si="1"/>
        <v>507</v>
      </c>
      <c r="K17" s="161">
        <f t="shared" ca="1" si="2"/>
        <v>16.899999999999999</v>
      </c>
      <c r="L17" s="340" t="s">
        <v>547</v>
      </c>
      <c r="M17" s="166">
        <v>44249</v>
      </c>
      <c r="N17" s="115">
        <f t="shared" si="3"/>
        <v>12.366666666666667</v>
      </c>
      <c r="O17" s="446">
        <v>200</v>
      </c>
      <c r="P17" s="234">
        <v>192</v>
      </c>
      <c r="Q17" s="234">
        <v>205</v>
      </c>
      <c r="R17" s="234">
        <v>27</v>
      </c>
      <c r="S17" s="234">
        <v>28</v>
      </c>
      <c r="T17" s="234">
        <v>27</v>
      </c>
      <c r="U17" s="352">
        <v>44272</v>
      </c>
    </row>
    <row r="18" spans="1:21" ht="16" x14ac:dyDescent="0.2">
      <c r="A18" s="1">
        <v>17</v>
      </c>
      <c r="B18" s="1" t="s">
        <v>238</v>
      </c>
      <c r="C18" s="1" t="s">
        <v>767</v>
      </c>
      <c r="D18" s="161">
        <v>1190436</v>
      </c>
      <c r="E18" s="162" t="s">
        <v>17</v>
      </c>
      <c r="F18" s="162" t="s">
        <v>43</v>
      </c>
      <c r="G18" s="162" t="s">
        <v>592</v>
      </c>
      <c r="H18" s="163">
        <v>43878</v>
      </c>
      <c r="I18" s="164">
        <f t="shared" ca="1" si="0"/>
        <v>1.3916666666666666</v>
      </c>
      <c r="J18" s="165">
        <f t="shared" ca="1" si="1"/>
        <v>507</v>
      </c>
      <c r="K18" s="161">
        <f t="shared" ca="1" si="2"/>
        <v>16.899999999999999</v>
      </c>
      <c r="L18" s="340" t="s">
        <v>547</v>
      </c>
      <c r="M18" s="166">
        <v>44249</v>
      </c>
      <c r="N18" s="115">
        <f t="shared" si="3"/>
        <v>12.366666666666667</v>
      </c>
      <c r="O18" s="446">
        <v>144</v>
      </c>
      <c r="P18" s="234">
        <v>138</v>
      </c>
      <c r="Q18" s="234">
        <v>147</v>
      </c>
      <c r="R18" s="234">
        <v>28</v>
      </c>
      <c r="S18" s="234">
        <v>29</v>
      </c>
      <c r="T18" s="234">
        <v>27</v>
      </c>
      <c r="U18" s="352">
        <v>44272</v>
      </c>
    </row>
    <row r="19" spans="1:21" ht="16" x14ac:dyDescent="0.2">
      <c r="A19" s="177" t="s">
        <v>39</v>
      </c>
    </row>
    <row r="20" spans="1:21" ht="16" x14ac:dyDescent="0.2">
      <c r="A20" s="178" t="s">
        <v>22</v>
      </c>
    </row>
    <row r="21" spans="1:21" x14ac:dyDescent="0.2">
      <c r="A21" s="179" t="s">
        <v>37</v>
      </c>
    </row>
    <row r="22" spans="1:21" ht="16" x14ac:dyDescent="0.2">
      <c r="A22" s="180" t="s">
        <v>40</v>
      </c>
    </row>
    <row r="23" spans="1:21" ht="16" x14ac:dyDescent="0.2">
      <c r="A23" s="181" t="s">
        <v>41</v>
      </c>
    </row>
    <row r="24" spans="1:21" ht="16" x14ac:dyDescent="0.2">
      <c r="A24" s="203" t="s">
        <v>42</v>
      </c>
    </row>
    <row r="25" spans="1:21" x14ac:dyDescent="0.2">
      <c r="A25" s="202" t="s">
        <v>43</v>
      </c>
    </row>
    <row r="26" spans="1:21" ht="17" x14ac:dyDescent="0.2">
      <c r="A26" s="399" t="s">
        <v>44</v>
      </c>
    </row>
    <row r="27" spans="1:21" ht="17" x14ac:dyDescent="0.2">
      <c r="A27" s="418" t="s">
        <v>45</v>
      </c>
    </row>
  </sheetData>
  <pageMargins left="0.7" right="0.7" top="0.75" bottom="0.75" header="0.3" footer="0.3"/>
  <pageSetup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7177-C780-4ED7-8149-3A4CD0E1D48F}">
  <sheetPr codeName="Sheet9">
    <tabColor rgb="FFFFC000"/>
    <pageSetUpPr fitToPage="1"/>
  </sheetPr>
  <dimension ref="A1:AL75"/>
  <sheetViews>
    <sheetView workbookViewId="0">
      <selection sqref="A1:L42"/>
    </sheetView>
  </sheetViews>
  <sheetFormatPr baseColWidth="10" defaultColWidth="8.83203125" defaultRowHeight="15" x14ac:dyDescent="0.2"/>
  <cols>
    <col min="2" max="2" width="12" customWidth="1"/>
    <col min="3" max="3" width="21.5" customWidth="1"/>
    <col min="5" max="5" width="11.5" customWidth="1"/>
    <col min="6" max="6" width="14.6640625" customWidth="1"/>
    <col min="7" max="7" width="16.33203125" customWidth="1"/>
    <col min="8" max="8" width="19.33203125" customWidth="1"/>
    <col min="10" max="10" width="22.33203125" customWidth="1"/>
    <col min="11" max="13" width="24.1640625" customWidth="1"/>
    <col min="14" max="16" width="20.5" customWidth="1"/>
    <col min="17" max="17" width="37.6640625" customWidth="1"/>
    <col min="18" max="18" width="25" customWidth="1"/>
    <col min="19" max="19" width="31.6640625" customWidth="1"/>
    <col min="20" max="20" width="25.6640625" customWidth="1"/>
    <col min="21" max="21" width="35.5" customWidth="1"/>
    <col min="22" max="24" width="25.6640625" customWidth="1"/>
    <col min="25" max="25" width="30.5" customWidth="1"/>
    <col min="26" max="32" width="25.6640625" customWidth="1"/>
    <col min="33" max="33" width="35.1640625" customWidth="1"/>
    <col min="34" max="34" width="29.5" customWidth="1"/>
    <col min="35" max="35" width="36.1640625" customWidth="1"/>
    <col min="36" max="36" width="28.5" customWidth="1"/>
    <col min="37" max="37" width="32.6640625" customWidth="1"/>
    <col min="38" max="38" width="26.5" customWidth="1"/>
  </cols>
  <sheetData>
    <row r="1" spans="1:33" ht="16" x14ac:dyDescent="0.2">
      <c r="A1" s="324" t="s">
        <v>0</v>
      </c>
      <c r="B1" s="324" t="s">
        <v>535</v>
      </c>
      <c r="C1" s="325" t="s">
        <v>553</v>
      </c>
      <c r="D1" s="324" t="s">
        <v>52</v>
      </c>
      <c r="E1" s="326" t="s">
        <v>53</v>
      </c>
      <c r="F1" s="326" t="s">
        <v>538</v>
      </c>
      <c r="G1" s="326" t="s">
        <v>51</v>
      </c>
      <c r="H1" s="326" t="s">
        <v>54</v>
      </c>
      <c r="I1" s="326" t="s">
        <v>539</v>
      </c>
      <c r="J1" s="326" t="s">
        <v>540</v>
      </c>
      <c r="K1" s="326" t="s">
        <v>541</v>
      </c>
      <c r="L1" s="327" t="s">
        <v>542</v>
      </c>
      <c r="M1" s="324" t="s">
        <v>778</v>
      </c>
      <c r="N1" s="383" t="s">
        <v>4</v>
      </c>
      <c r="O1" s="324" t="s">
        <v>779</v>
      </c>
      <c r="P1" s="324" t="s">
        <v>59</v>
      </c>
      <c r="Q1" s="174" t="s">
        <v>780</v>
      </c>
      <c r="R1" s="174" t="s">
        <v>781</v>
      </c>
      <c r="S1" s="14" t="s">
        <v>782</v>
      </c>
      <c r="T1" s="14" t="s">
        <v>783</v>
      </c>
      <c r="U1" s="14" t="s">
        <v>784</v>
      </c>
      <c r="V1" s="14" t="s">
        <v>785</v>
      </c>
      <c r="W1" s="14" t="s">
        <v>786</v>
      </c>
      <c r="X1" s="14" t="s">
        <v>787</v>
      </c>
      <c r="Y1" s="14" t="s">
        <v>788</v>
      </c>
      <c r="Z1" s="14" t="s">
        <v>789</v>
      </c>
      <c r="AA1" s="14" t="s">
        <v>790</v>
      </c>
      <c r="AB1" s="14" t="s">
        <v>791</v>
      </c>
      <c r="AC1" s="14" t="s">
        <v>792</v>
      </c>
      <c r="AD1" s="14" t="s">
        <v>793</v>
      </c>
      <c r="AE1" s="14" t="s">
        <v>794</v>
      </c>
      <c r="AF1" s="14" t="s">
        <v>791</v>
      </c>
      <c r="AG1" s="103" t="s">
        <v>777</v>
      </c>
    </row>
    <row r="2" spans="1:33" ht="16" x14ac:dyDescent="0.2">
      <c r="A2" s="1">
        <v>1</v>
      </c>
      <c r="B2" s="1" t="s">
        <v>795</v>
      </c>
      <c r="C2" s="183" t="s">
        <v>796</v>
      </c>
      <c r="D2" s="104" t="s">
        <v>17</v>
      </c>
      <c r="E2" s="104" t="s">
        <v>40</v>
      </c>
      <c r="F2" s="104" t="s">
        <v>592</v>
      </c>
      <c r="G2" s="104">
        <v>1336217</v>
      </c>
      <c r="H2" s="105">
        <v>44011</v>
      </c>
      <c r="I2" s="107">
        <f t="shared" ref="I2:I6" ca="1" si="0">YEARFRAC(H2,TODAY())</f>
        <v>1.0249999999999999</v>
      </c>
      <c r="J2" s="104">
        <f t="shared" ref="J2:J6" ca="1" si="1">_xlfn.DAYS(TODAY(),H2)</f>
        <v>374</v>
      </c>
      <c r="K2" s="104">
        <f t="shared" ref="K2:K6" ca="1" si="2">J2/30</f>
        <v>12.466666666666667</v>
      </c>
      <c r="L2" s="328" t="s">
        <v>14</v>
      </c>
      <c r="M2" s="17">
        <v>44270</v>
      </c>
      <c r="N2" s="17">
        <v>44361</v>
      </c>
      <c r="O2" s="1">
        <f t="shared" ref="O2:O32" si="3">_xlfn.DAYS(M2,H2)/30</f>
        <v>8.6333333333333329</v>
      </c>
      <c r="P2" s="1">
        <f t="shared" ref="P2:P32" si="4">_xlfn.DAYS(N2,H2)/30</f>
        <v>11.666666666666666</v>
      </c>
      <c r="Q2" s="329">
        <v>191</v>
      </c>
      <c r="R2" s="330"/>
      <c r="S2" s="329">
        <v>22</v>
      </c>
      <c r="T2" s="329">
        <v>24</v>
      </c>
      <c r="U2" s="329">
        <v>24</v>
      </c>
      <c r="V2" s="329">
        <v>26</v>
      </c>
      <c r="W2" s="329">
        <v>27</v>
      </c>
      <c r="X2" s="329">
        <v>27</v>
      </c>
      <c r="Y2" s="329">
        <v>29</v>
      </c>
      <c r="Z2" s="329">
        <v>29</v>
      </c>
      <c r="AA2" s="329">
        <v>30</v>
      </c>
      <c r="AB2" s="329">
        <v>31</v>
      </c>
      <c r="AC2" s="329"/>
      <c r="AD2" s="329"/>
      <c r="AE2" s="329"/>
      <c r="AF2" s="329"/>
      <c r="AG2" s="333">
        <v>44364</v>
      </c>
    </row>
    <row r="3" spans="1:33" ht="16" x14ac:dyDescent="0.2">
      <c r="A3" s="1">
        <v>2</v>
      </c>
      <c r="B3" s="1" t="s">
        <v>797</v>
      </c>
      <c r="C3" s="183" t="s">
        <v>796</v>
      </c>
      <c r="D3" s="104" t="s">
        <v>17</v>
      </c>
      <c r="E3" s="104" t="s">
        <v>40</v>
      </c>
      <c r="F3" s="104" t="s">
        <v>551</v>
      </c>
      <c r="G3" s="104">
        <v>1336217</v>
      </c>
      <c r="H3" s="105">
        <v>44011</v>
      </c>
      <c r="I3" s="107">
        <f t="shared" ca="1" si="0"/>
        <v>1.0249999999999999</v>
      </c>
      <c r="J3" s="104">
        <f t="shared" ca="1" si="1"/>
        <v>374</v>
      </c>
      <c r="K3" s="104">
        <f t="shared" ca="1" si="2"/>
        <v>12.466666666666667</v>
      </c>
      <c r="L3" s="328" t="s">
        <v>14</v>
      </c>
      <c r="M3" s="17">
        <v>44270</v>
      </c>
      <c r="N3" s="17">
        <v>44361</v>
      </c>
      <c r="O3" s="1">
        <f t="shared" si="3"/>
        <v>8.6333333333333329</v>
      </c>
      <c r="P3" s="1">
        <f t="shared" si="4"/>
        <v>11.666666666666666</v>
      </c>
      <c r="Q3" s="329">
        <v>163</v>
      </c>
      <c r="R3" s="330"/>
      <c r="S3" s="329">
        <v>23</v>
      </c>
      <c r="T3" s="329">
        <v>23</v>
      </c>
      <c r="U3" s="329">
        <v>24</v>
      </c>
      <c r="V3" s="329">
        <v>25</v>
      </c>
      <c r="W3" s="329">
        <v>25</v>
      </c>
      <c r="X3" s="329">
        <v>26</v>
      </c>
      <c r="Y3" s="329">
        <v>26</v>
      </c>
      <c r="Z3" s="329">
        <v>26</v>
      </c>
      <c r="AA3" s="329">
        <v>36</v>
      </c>
      <c r="AB3" s="329">
        <v>26</v>
      </c>
      <c r="AC3" s="329"/>
      <c r="AD3" s="329"/>
      <c r="AE3" s="329"/>
      <c r="AF3" s="329"/>
      <c r="AG3" s="333">
        <v>44364</v>
      </c>
    </row>
    <row r="4" spans="1:33" ht="16" x14ac:dyDescent="0.2">
      <c r="A4" s="1">
        <v>3</v>
      </c>
      <c r="B4" s="1" t="s">
        <v>798</v>
      </c>
      <c r="C4" s="183" t="s">
        <v>796</v>
      </c>
      <c r="D4" s="104" t="s">
        <v>17</v>
      </c>
      <c r="E4" s="104" t="s">
        <v>40</v>
      </c>
      <c r="F4" s="104" t="s">
        <v>549</v>
      </c>
      <c r="G4" s="104">
        <v>1336217</v>
      </c>
      <c r="H4" s="105">
        <v>44011</v>
      </c>
      <c r="I4" s="107">
        <f t="shared" ca="1" si="0"/>
        <v>1.0249999999999999</v>
      </c>
      <c r="J4" s="104">
        <f t="shared" ca="1" si="1"/>
        <v>374</v>
      </c>
      <c r="K4" s="104">
        <f t="shared" ca="1" si="2"/>
        <v>12.466666666666667</v>
      </c>
      <c r="L4" s="328" t="s">
        <v>14</v>
      </c>
      <c r="M4" s="17">
        <v>44270</v>
      </c>
      <c r="N4" s="17">
        <v>44361</v>
      </c>
      <c r="O4" s="1">
        <f t="shared" si="3"/>
        <v>8.6333333333333329</v>
      </c>
      <c r="P4" s="1">
        <f t="shared" si="4"/>
        <v>11.666666666666666</v>
      </c>
      <c r="Q4" s="329">
        <v>169</v>
      </c>
      <c r="R4" s="330"/>
      <c r="S4" s="329">
        <v>22</v>
      </c>
      <c r="T4" s="329">
        <v>23</v>
      </c>
      <c r="U4" s="329">
        <v>24</v>
      </c>
      <c r="V4" s="329">
        <v>24</v>
      </c>
      <c r="W4" s="329">
        <v>24</v>
      </c>
      <c r="X4" s="329">
        <v>25</v>
      </c>
      <c r="Y4" s="329">
        <v>25</v>
      </c>
      <c r="Z4" s="329">
        <v>26</v>
      </c>
      <c r="AA4" s="329">
        <v>27</v>
      </c>
      <c r="AB4" s="329">
        <v>28</v>
      </c>
      <c r="AC4" s="329"/>
      <c r="AD4" s="329"/>
      <c r="AE4" s="329"/>
      <c r="AF4" s="329"/>
      <c r="AG4" s="333">
        <v>44364</v>
      </c>
    </row>
    <row r="5" spans="1:33" ht="16" x14ac:dyDescent="0.2">
      <c r="A5" s="1">
        <v>4</v>
      </c>
      <c r="B5" s="1" t="s">
        <v>799</v>
      </c>
      <c r="C5" s="183" t="s">
        <v>796</v>
      </c>
      <c r="D5" s="104" t="s">
        <v>17</v>
      </c>
      <c r="E5" s="104" t="s">
        <v>40</v>
      </c>
      <c r="F5" s="104" t="s">
        <v>548</v>
      </c>
      <c r="G5" s="104">
        <v>1336217</v>
      </c>
      <c r="H5" s="105">
        <v>44011</v>
      </c>
      <c r="I5" s="107">
        <f t="shared" ca="1" si="0"/>
        <v>1.0249999999999999</v>
      </c>
      <c r="J5" s="104">
        <f t="shared" ca="1" si="1"/>
        <v>374</v>
      </c>
      <c r="K5" s="104">
        <f t="shared" ca="1" si="2"/>
        <v>12.466666666666667</v>
      </c>
      <c r="L5" s="328" t="s">
        <v>14</v>
      </c>
      <c r="M5" s="17">
        <v>44270</v>
      </c>
      <c r="N5" s="17">
        <v>44361</v>
      </c>
      <c r="O5" s="1">
        <f t="shared" si="3"/>
        <v>8.6333333333333329</v>
      </c>
      <c r="P5" s="1">
        <f t="shared" si="4"/>
        <v>11.666666666666666</v>
      </c>
      <c r="Q5" s="329">
        <v>187</v>
      </c>
      <c r="R5" s="330"/>
      <c r="S5" s="329">
        <v>20</v>
      </c>
      <c r="T5" s="329">
        <v>21</v>
      </c>
      <c r="U5" s="329">
        <v>22</v>
      </c>
      <c r="V5" s="329">
        <v>22</v>
      </c>
      <c r="W5" s="329">
        <v>24</v>
      </c>
      <c r="X5" s="329">
        <v>25</v>
      </c>
      <c r="Y5" s="329">
        <v>25</v>
      </c>
      <c r="Z5" s="329">
        <v>27</v>
      </c>
      <c r="AA5" s="329">
        <v>27</v>
      </c>
      <c r="AB5" s="329">
        <v>27</v>
      </c>
      <c r="AC5" s="329"/>
      <c r="AD5" s="329"/>
      <c r="AE5" s="329"/>
      <c r="AF5" s="329"/>
      <c r="AG5" s="333">
        <v>44364</v>
      </c>
    </row>
    <row r="6" spans="1:33" ht="16" x14ac:dyDescent="0.2">
      <c r="A6" s="1">
        <v>5</v>
      </c>
      <c r="B6" s="1" t="s">
        <v>800</v>
      </c>
      <c r="C6" s="183" t="s">
        <v>796</v>
      </c>
      <c r="D6" s="104" t="s">
        <v>17</v>
      </c>
      <c r="E6" s="104" t="s">
        <v>40</v>
      </c>
      <c r="F6" s="104" t="s">
        <v>546</v>
      </c>
      <c r="G6" s="104">
        <v>1336217</v>
      </c>
      <c r="H6" s="105">
        <v>44011</v>
      </c>
      <c r="I6" s="107">
        <f t="shared" ca="1" si="0"/>
        <v>1.0249999999999999</v>
      </c>
      <c r="J6" s="104">
        <f t="shared" ca="1" si="1"/>
        <v>374</v>
      </c>
      <c r="K6" s="104">
        <f t="shared" ca="1" si="2"/>
        <v>12.466666666666667</v>
      </c>
      <c r="L6" s="328" t="s">
        <v>14</v>
      </c>
      <c r="M6" s="17">
        <v>44270</v>
      </c>
      <c r="N6" s="17">
        <v>44361</v>
      </c>
      <c r="O6" s="1">
        <f t="shared" si="3"/>
        <v>8.6333333333333329</v>
      </c>
      <c r="P6" s="1">
        <f t="shared" si="4"/>
        <v>11.666666666666666</v>
      </c>
      <c r="Q6" s="329">
        <v>234</v>
      </c>
      <c r="R6" s="330"/>
      <c r="S6" s="329">
        <v>23</v>
      </c>
      <c r="T6" s="329">
        <v>24</v>
      </c>
      <c r="U6" s="329">
        <v>24</v>
      </c>
      <c r="V6" s="329">
        <v>25</v>
      </c>
      <c r="W6" s="329">
        <v>25</v>
      </c>
      <c r="X6" s="329">
        <v>25</v>
      </c>
      <c r="Y6" s="329">
        <v>25</v>
      </c>
      <c r="Z6" s="329">
        <v>26</v>
      </c>
      <c r="AA6" s="329">
        <v>26</v>
      </c>
      <c r="AB6" s="329">
        <v>26</v>
      </c>
      <c r="AC6" s="329"/>
      <c r="AD6" s="329"/>
      <c r="AE6" s="329"/>
      <c r="AF6" s="329"/>
      <c r="AG6" s="333">
        <v>44364</v>
      </c>
    </row>
    <row r="7" spans="1:33" ht="16" x14ac:dyDescent="0.2">
      <c r="A7" s="1">
        <v>6</v>
      </c>
      <c r="B7" s="1" t="s">
        <v>801</v>
      </c>
      <c r="C7" s="183" t="s">
        <v>802</v>
      </c>
      <c r="D7" s="104" t="s">
        <v>15</v>
      </c>
      <c r="E7" s="104" t="s">
        <v>40</v>
      </c>
      <c r="F7" s="104" t="s">
        <v>592</v>
      </c>
      <c r="G7" s="104">
        <v>1334231</v>
      </c>
      <c r="H7" s="105">
        <v>44011</v>
      </c>
      <c r="I7" s="107">
        <f ca="1">YEARFRAC(H7,TODAY())</f>
        <v>1.0249999999999999</v>
      </c>
      <c r="J7" s="104">
        <f ca="1">_xlfn.DAYS(TODAY(),H7)</f>
        <v>374</v>
      </c>
      <c r="K7" s="104">
        <f ca="1">J7/30</f>
        <v>12.466666666666667</v>
      </c>
      <c r="L7" s="328" t="s">
        <v>14</v>
      </c>
      <c r="M7" s="17">
        <v>44270</v>
      </c>
      <c r="N7" s="17">
        <v>44361</v>
      </c>
      <c r="O7" s="1">
        <f t="shared" si="3"/>
        <v>8.6333333333333329</v>
      </c>
      <c r="P7" s="1">
        <f t="shared" si="4"/>
        <v>11.666666666666666</v>
      </c>
      <c r="Q7" s="329">
        <v>200</v>
      </c>
      <c r="R7" s="330"/>
      <c r="S7" s="329">
        <v>29</v>
      </c>
      <c r="T7" s="329">
        <v>29</v>
      </c>
      <c r="U7" s="329">
        <v>30</v>
      </c>
      <c r="V7" s="329">
        <v>30</v>
      </c>
      <c r="W7" s="329">
        <v>31</v>
      </c>
      <c r="X7" s="329">
        <v>31</v>
      </c>
      <c r="Y7" s="329">
        <v>32</v>
      </c>
      <c r="Z7" s="329">
        <v>32</v>
      </c>
      <c r="AA7" s="329">
        <v>33</v>
      </c>
      <c r="AB7" s="329">
        <v>34</v>
      </c>
      <c r="AC7" s="329"/>
      <c r="AD7" s="329"/>
      <c r="AE7" s="329"/>
      <c r="AF7" s="329"/>
      <c r="AG7" s="333">
        <v>44364</v>
      </c>
    </row>
    <row r="8" spans="1:33" ht="16" x14ac:dyDescent="0.2">
      <c r="A8" s="1">
        <v>7</v>
      </c>
      <c r="B8" s="1" t="s">
        <v>803</v>
      </c>
      <c r="C8" s="183" t="s">
        <v>802</v>
      </c>
      <c r="D8" s="104" t="s">
        <v>15</v>
      </c>
      <c r="E8" s="104" t="s">
        <v>40</v>
      </c>
      <c r="F8" s="104" t="s">
        <v>551</v>
      </c>
      <c r="G8" s="104">
        <v>1334231</v>
      </c>
      <c r="H8" s="105">
        <v>44011</v>
      </c>
      <c r="I8" s="107">
        <f ca="1">YEARFRAC(H8,TODAY())</f>
        <v>1.0249999999999999</v>
      </c>
      <c r="J8" s="104">
        <f ca="1">_xlfn.DAYS(TODAY(),H8)</f>
        <v>374</v>
      </c>
      <c r="K8" s="104">
        <f ca="1">J8/30</f>
        <v>12.466666666666667</v>
      </c>
      <c r="L8" s="328" t="s">
        <v>14</v>
      </c>
      <c r="M8" s="17">
        <v>44270</v>
      </c>
      <c r="N8" s="17">
        <v>44361</v>
      </c>
      <c r="O8" s="1">
        <f t="shared" si="3"/>
        <v>8.6333333333333329</v>
      </c>
      <c r="P8" s="1">
        <f t="shared" si="4"/>
        <v>11.666666666666666</v>
      </c>
      <c r="Q8" s="329">
        <v>203</v>
      </c>
      <c r="R8" s="330"/>
      <c r="S8" s="329">
        <v>30</v>
      </c>
      <c r="T8" s="329">
        <v>30</v>
      </c>
      <c r="U8" s="329">
        <v>30</v>
      </c>
      <c r="V8" s="329">
        <v>31</v>
      </c>
      <c r="W8" s="329">
        <v>31</v>
      </c>
      <c r="X8" s="329">
        <v>31</v>
      </c>
      <c r="Y8" s="329">
        <v>31</v>
      </c>
      <c r="Z8" s="329">
        <v>32</v>
      </c>
      <c r="AA8" s="329">
        <v>32</v>
      </c>
      <c r="AB8" s="329">
        <v>33</v>
      </c>
      <c r="AC8" s="329"/>
      <c r="AD8" s="329"/>
      <c r="AE8" s="329"/>
      <c r="AF8" s="329"/>
      <c r="AG8" s="333">
        <v>44364</v>
      </c>
    </row>
    <row r="9" spans="1:33" ht="16" x14ac:dyDescent="0.2">
      <c r="A9" s="1">
        <v>8</v>
      </c>
      <c r="B9" s="1" t="s">
        <v>804</v>
      </c>
      <c r="C9" s="183" t="s">
        <v>805</v>
      </c>
      <c r="D9" s="321" t="s">
        <v>15</v>
      </c>
      <c r="E9" s="110" t="s">
        <v>37</v>
      </c>
      <c r="F9" s="110" t="s">
        <v>592</v>
      </c>
      <c r="G9" s="321">
        <v>1299767</v>
      </c>
      <c r="H9" s="322">
        <v>44002</v>
      </c>
      <c r="I9" s="323">
        <f t="shared" ref="I9:I32" ca="1" si="5">YEARFRAC(H9,TODAY())</f>
        <v>1.05</v>
      </c>
      <c r="J9" s="108">
        <f t="shared" ref="J9:J32" ca="1" si="6">_xlfn.DAYS(TODAY(),H9)</f>
        <v>383</v>
      </c>
      <c r="K9" s="108">
        <f t="shared" ref="K9:K32" ca="1" si="7">J9/30</f>
        <v>12.766666666666667</v>
      </c>
      <c r="L9" s="328" t="s">
        <v>14</v>
      </c>
      <c r="M9" s="17">
        <v>44270</v>
      </c>
      <c r="N9" s="17">
        <v>44361</v>
      </c>
      <c r="O9" s="1">
        <f t="shared" si="3"/>
        <v>8.9333333333333336</v>
      </c>
      <c r="P9" s="1">
        <f t="shared" si="4"/>
        <v>11.966666666666667</v>
      </c>
      <c r="Q9" s="331">
        <v>137</v>
      </c>
      <c r="R9" s="332"/>
      <c r="S9" s="331">
        <v>31</v>
      </c>
      <c r="T9" s="331">
        <v>33</v>
      </c>
      <c r="U9" s="331">
        <v>35</v>
      </c>
      <c r="V9" s="331">
        <v>37</v>
      </c>
      <c r="W9" s="331">
        <v>38</v>
      </c>
      <c r="X9" s="331">
        <v>38</v>
      </c>
      <c r="Y9" s="331">
        <v>41</v>
      </c>
      <c r="Z9" s="331">
        <v>43</v>
      </c>
      <c r="AA9" s="331">
        <v>46</v>
      </c>
      <c r="AB9" s="331">
        <v>48</v>
      </c>
      <c r="AC9" s="331"/>
      <c r="AD9" s="331"/>
      <c r="AE9" s="331"/>
      <c r="AF9" s="331"/>
      <c r="AG9" s="333">
        <v>44364</v>
      </c>
    </row>
    <row r="10" spans="1:33" ht="16" x14ac:dyDescent="0.2">
      <c r="A10" s="1">
        <v>9</v>
      </c>
      <c r="B10" s="1" t="s">
        <v>806</v>
      </c>
      <c r="C10" s="183" t="s">
        <v>805</v>
      </c>
      <c r="D10" s="321" t="s">
        <v>15</v>
      </c>
      <c r="E10" s="110" t="s">
        <v>37</v>
      </c>
      <c r="F10" s="110" t="s">
        <v>551</v>
      </c>
      <c r="G10" s="321">
        <v>1299767</v>
      </c>
      <c r="H10" s="322">
        <v>44002</v>
      </c>
      <c r="I10" s="323">
        <f t="shared" ca="1" si="5"/>
        <v>1.05</v>
      </c>
      <c r="J10" s="108">
        <f t="shared" ca="1" si="6"/>
        <v>383</v>
      </c>
      <c r="K10" s="108">
        <f t="shared" ca="1" si="7"/>
        <v>12.766666666666667</v>
      </c>
      <c r="L10" s="328" t="s">
        <v>14</v>
      </c>
      <c r="M10" s="17">
        <v>44270</v>
      </c>
      <c r="N10" s="17">
        <v>44361</v>
      </c>
      <c r="O10" s="1">
        <f t="shared" si="3"/>
        <v>8.9333333333333336</v>
      </c>
      <c r="P10" s="1">
        <f t="shared" si="4"/>
        <v>11.966666666666667</v>
      </c>
      <c r="Q10" s="331">
        <v>186</v>
      </c>
      <c r="R10" s="332"/>
      <c r="S10" s="331">
        <v>30</v>
      </c>
      <c r="T10" s="331">
        <v>33</v>
      </c>
      <c r="U10" s="331">
        <v>33</v>
      </c>
      <c r="V10" s="331">
        <v>35</v>
      </c>
      <c r="W10" s="331">
        <v>37</v>
      </c>
      <c r="X10" s="331">
        <v>39</v>
      </c>
      <c r="Y10" s="331">
        <v>42</v>
      </c>
      <c r="Z10" s="331">
        <v>44</v>
      </c>
      <c r="AA10" s="331">
        <v>45</v>
      </c>
      <c r="AB10" s="331">
        <v>47</v>
      </c>
      <c r="AC10" s="331"/>
      <c r="AD10" s="331"/>
      <c r="AE10" s="331"/>
      <c r="AF10" s="331"/>
      <c r="AG10" s="333">
        <v>44364</v>
      </c>
    </row>
    <row r="11" spans="1:33" ht="16" x14ac:dyDescent="0.2">
      <c r="A11" s="1">
        <v>10</v>
      </c>
      <c r="B11" s="1" t="s">
        <v>807</v>
      </c>
      <c r="C11" s="183" t="s">
        <v>805</v>
      </c>
      <c r="D11" s="321" t="s">
        <v>15</v>
      </c>
      <c r="E11" s="110" t="s">
        <v>37</v>
      </c>
      <c r="F11" s="110" t="s">
        <v>549</v>
      </c>
      <c r="G11" s="321">
        <v>1299767</v>
      </c>
      <c r="H11" s="322">
        <v>44002</v>
      </c>
      <c r="I11" s="323">
        <f t="shared" ca="1" si="5"/>
        <v>1.05</v>
      </c>
      <c r="J11" s="108">
        <f t="shared" ca="1" si="6"/>
        <v>383</v>
      </c>
      <c r="K11" s="108">
        <f t="shared" ca="1" si="7"/>
        <v>12.766666666666667</v>
      </c>
      <c r="L11" s="328" t="s">
        <v>14</v>
      </c>
      <c r="M11" s="17">
        <v>44270</v>
      </c>
      <c r="N11" s="17">
        <v>44361</v>
      </c>
      <c r="O11" s="1">
        <f t="shared" si="3"/>
        <v>8.9333333333333336</v>
      </c>
      <c r="P11" s="1">
        <f t="shared" si="4"/>
        <v>11.966666666666667</v>
      </c>
      <c r="Q11" s="331">
        <v>186</v>
      </c>
      <c r="R11" s="332"/>
      <c r="S11" s="331">
        <v>30</v>
      </c>
      <c r="T11" s="331">
        <v>33</v>
      </c>
      <c r="U11" s="331">
        <v>36</v>
      </c>
      <c r="V11" s="331">
        <v>38</v>
      </c>
      <c r="W11" s="331">
        <v>42</v>
      </c>
      <c r="X11" s="331">
        <v>45</v>
      </c>
      <c r="Y11" s="331">
        <v>45</v>
      </c>
      <c r="Z11" s="331">
        <v>47</v>
      </c>
      <c r="AA11" s="331">
        <v>49</v>
      </c>
      <c r="AB11" s="331">
        <v>51</v>
      </c>
      <c r="AC11" s="331"/>
      <c r="AD11" s="331"/>
      <c r="AE11" s="331"/>
      <c r="AF11" s="331"/>
      <c r="AG11" s="333">
        <v>44364</v>
      </c>
    </row>
    <row r="12" spans="1:33" ht="16" x14ac:dyDescent="0.2">
      <c r="A12" s="1">
        <v>11</v>
      </c>
      <c r="B12" s="1" t="s">
        <v>808</v>
      </c>
      <c r="C12" s="183" t="s">
        <v>805</v>
      </c>
      <c r="D12" s="321" t="s">
        <v>15</v>
      </c>
      <c r="E12" s="110" t="s">
        <v>37</v>
      </c>
      <c r="F12" s="110" t="s">
        <v>548</v>
      </c>
      <c r="G12" s="321">
        <v>1299767</v>
      </c>
      <c r="H12" s="322">
        <v>44002</v>
      </c>
      <c r="I12" s="323">
        <f t="shared" ca="1" si="5"/>
        <v>1.05</v>
      </c>
      <c r="J12" s="108">
        <f t="shared" ca="1" si="6"/>
        <v>383</v>
      </c>
      <c r="K12" s="108">
        <f t="shared" ca="1" si="7"/>
        <v>12.766666666666667</v>
      </c>
      <c r="L12" s="328" t="s">
        <v>14</v>
      </c>
      <c r="M12" s="17">
        <v>44270</v>
      </c>
      <c r="N12" s="17">
        <v>44361</v>
      </c>
      <c r="O12" s="1">
        <f t="shared" si="3"/>
        <v>8.9333333333333336</v>
      </c>
      <c r="P12" s="1">
        <f t="shared" si="4"/>
        <v>11.966666666666667</v>
      </c>
      <c r="Q12" s="331">
        <v>145</v>
      </c>
      <c r="R12" s="332"/>
      <c r="S12" s="331">
        <v>29</v>
      </c>
      <c r="T12" s="331">
        <v>33</v>
      </c>
      <c r="U12" s="331">
        <v>35</v>
      </c>
      <c r="V12" s="331">
        <v>39</v>
      </c>
      <c r="W12" s="331">
        <v>43</v>
      </c>
      <c r="X12" s="331">
        <v>45</v>
      </c>
      <c r="Y12" s="331">
        <v>47</v>
      </c>
      <c r="Z12" s="331">
        <v>50</v>
      </c>
      <c r="AA12" s="331">
        <v>51</v>
      </c>
      <c r="AB12" s="331">
        <v>53</v>
      </c>
      <c r="AC12" s="331"/>
      <c r="AD12" s="331"/>
      <c r="AE12" s="331"/>
      <c r="AF12" s="331"/>
      <c r="AG12" s="333">
        <v>44364</v>
      </c>
    </row>
    <row r="13" spans="1:33" ht="16" x14ac:dyDescent="0.2">
      <c r="A13" s="1">
        <v>12</v>
      </c>
      <c r="B13" s="1" t="s">
        <v>809</v>
      </c>
      <c r="C13" s="183" t="s">
        <v>805</v>
      </c>
      <c r="D13" s="321" t="s">
        <v>15</v>
      </c>
      <c r="E13" s="110" t="s">
        <v>37</v>
      </c>
      <c r="F13" s="110" t="s">
        <v>546</v>
      </c>
      <c r="G13" s="321">
        <v>1299767</v>
      </c>
      <c r="H13" s="322">
        <v>44002</v>
      </c>
      <c r="I13" s="323">
        <f t="shared" ca="1" si="5"/>
        <v>1.05</v>
      </c>
      <c r="J13" s="108">
        <f t="shared" ca="1" si="6"/>
        <v>383</v>
      </c>
      <c r="K13" s="108">
        <f t="shared" ca="1" si="7"/>
        <v>12.766666666666667</v>
      </c>
      <c r="L13" s="328" t="s">
        <v>14</v>
      </c>
      <c r="M13" s="17">
        <v>44270</v>
      </c>
      <c r="N13" s="17">
        <v>44361</v>
      </c>
      <c r="O13" s="1">
        <f t="shared" si="3"/>
        <v>8.9333333333333336</v>
      </c>
      <c r="P13" s="1">
        <f t="shared" si="4"/>
        <v>11.966666666666667</v>
      </c>
      <c r="Q13" s="331">
        <v>176</v>
      </c>
      <c r="R13" s="332"/>
      <c r="S13" s="331">
        <v>30</v>
      </c>
      <c r="T13" s="331">
        <v>33</v>
      </c>
      <c r="U13" s="331">
        <v>36</v>
      </c>
      <c r="V13" s="331">
        <v>37</v>
      </c>
      <c r="W13" s="331">
        <v>41</v>
      </c>
      <c r="X13" s="331">
        <v>43</v>
      </c>
      <c r="Y13" s="331">
        <v>47</v>
      </c>
      <c r="Z13" s="331">
        <v>47</v>
      </c>
      <c r="AA13" s="331">
        <v>49</v>
      </c>
      <c r="AB13" s="331">
        <v>51</v>
      </c>
      <c r="AC13" s="331"/>
      <c r="AD13" s="331"/>
      <c r="AE13" s="331"/>
      <c r="AF13" s="331"/>
      <c r="AG13" s="333">
        <v>44364</v>
      </c>
    </row>
    <row r="14" spans="1:33" ht="16" x14ac:dyDescent="0.2">
      <c r="A14" s="1">
        <v>13</v>
      </c>
      <c r="B14" s="1" t="s">
        <v>810</v>
      </c>
      <c r="C14" s="183" t="s">
        <v>811</v>
      </c>
      <c r="D14" s="321" t="s">
        <v>17</v>
      </c>
      <c r="E14" s="110" t="s">
        <v>37</v>
      </c>
      <c r="F14" s="110" t="s">
        <v>592</v>
      </c>
      <c r="G14" s="321">
        <v>1336228</v>
      </c>
      <c r="H14" s="322">
        <v>44002</v>
      </c>
      <c r="I14" s="323">
        <f t="shared" ref="I14:I18" ca="1" si="8">YEARFRAC(H14,TODAY())</f>
        <v>1.05</v>
      </c>
      <c r="J14" s="108">
        <f t="shared" ref="J14:J18" ca="1" si="9">_xlfn.DAYS(TODAY(),H14)</f>
        <v>383</v>
      </c>
      <c r="K14" s="108">
        <f t="shared" ref="K14:K18" ca="1" si="10">J14/30</f>
        <v>12.766666666666667</v>
      </c>
      <c r="L14" s="328" t="s">
        <v>14</v>
      </c>
      <c r="M14" s="17">
        <v>44270</v>
      </c>
      <c r="N14" s="17">
        <v>44361</v>
      </c>
      <c r="O14" s="1">
        <f t="shared" si="3"/>
        <v>8.9333333333333336</v>
      </c>
      <c r="P14" s="1">
        <f t="shared" si="4"/>
        <v>11.966666666666667</v>
      </c>
      <c r="Q14" s="331">
        <v>167</v>
      </c>
      <c r="R14" s="332"/>
      <c r="S14" s="331">
        <v>23</v>
      </c>
      <c r="T14" s="331">
        <v>25</v>
      </c>
      <c r="U14" s="331">
        <v>26</v>
      </c>
      <c r="V14" s="331">
        <v>27</v>
      </c>
      <c r="W14" s="331">
        <v>27</v>
      </c>
      <c r="X14" s="331">
        <v>29</v>
      </c>
      <c r="Y14" s="331">
        <v>30</v>
      </c>
      <c r="Z14" s="331">
        <v>30</v>
      </c>
      <c r="AA14" s="331">
        <v>31</v>
      </c>
      <c r="AB14" s="331">
        <v>32</v>
      </c>
      <c r="AC14" s="331"/>
      <c r="AD14" s="331"/>
      <c r="AE14" s="331"/>
      <c r="AF14" s="331"/>
      <c r="AG14" s="333">
        <v>44364</v>
      </c>
    </row>
    <row r="15" spans="1:33" ht="16" x14ac:dyDescent="0.2">
      <c r="A15" s="1">
        <v>14</v>
      </c>
      <c r="B15" s="1" t="s">
        <v>812</v>
      </c>
      <c r="C15" s="183" t="s">
        <v>811</v>
      </c>
      <c r="D15" s="321" t="s">
        <v>17</v>
      </c>
      <c r="E15" s="110" t="s">
        <v>37</v>
      </c>
      <c r="F15" s="110" t="s">
        <v>551</v>
      </c>
      <c r="G15" s="321">
        <v>1336228</v>
      </c>
      <c r="H15" s="322">
        <v>44002</v>
      </c>
      <c r="I15" s="323">
        <f t="shared" ca="1" si="8"/>
        <v>1.05</v>
      </c>
      <c r="J15" s="108">
        <f t="shared" ca="1" si="9"/>
        <v>383</v>
      </c>
      <c r="K15" s="108">
        <f t="shared" ca="1" si="10"/>
        <v>12.766666666666667</v>
      </c>
      <c r="L15" s="328" t="s">
        <v>14</v>
      </c>
      <c r="M15" s="17">
        <v>44270</v>
      </c>
      <c r="N15" s="17">
        <v>44361</v>
      </c>
      <c r="O15" s="1">
        <f t="shared" si="3"/>
        <v>8.9333333333333336</v>
      </c>
      <c r="P15" s="1">
        <f t="shared" si="4"/>
        <v>11.966666666666667</v>
      </c>
      <c r="Q15" s="331">
        <v>181</v>
      </c>
      <c r="R15" s="332"/>
      <c r="S15" s="331">
        <v>27</v>
      </c>
      <c r="T15" s="331">
        <v>28</v>
      </c>
      <c r="U15" s="331">
        <v>30</v>
      </c>
      <c r="V15" s="331">
        <v>33</v>
      </c>
      <c r="W15" s="331">
        <v>36</v>
      </c>
      <c r="X15" s="331">
        <v>37</v>
      </c>
      <c r="Y15" s="331">
        <v>39</v>
      </c>
      <c r="Z15" s="331">
        <v>40</v>
      </c>
      <c r="AA15" s="331">
        <v>41</v>
      </c>
      <c r="AB15" s="331">
        <v>43</v>
      </c>
      <c r="AC15" s="331"/>
      <c r="AD15" s="331"/>
      <c r="AE15" s="331"/>
      <c r="AF15" s="331"/>
      <c r="AG15" s="333">
        <v>44364</v>
      </c>
    </row>
    <row r="16" spans="1:33" ht="16" x14ac:dyDescent="0.2">
      <c r="A16" s="1">
        <v>15</v>
      </c>
      <c r="B16" s="1" t="s">
        <v>813</v>
      </c>
      <c r="C16" s="183" t="s">
        <v>811</v>
      </c>
      <c r="D16" s="321" t="s">
        <v>17</v>
      </c>
      <c r="E16" s="110" t="s">
        <v>37</v>
      </c>
      <c r="F16" s="110" t="s">
        <v>549</v>
      </c>
      <c r="G16" s="321">
        <v>1336228</v>
      </c>
      <c r="H16" s="322">
        <v>44002</v>
      </c>
      <c r="I16" s="323">
        <f t="shared" ca="1" si="8"/>
        <v>1.05</v>
      </c>
      <c r="J16" s="108">
        <f t="shared" ca="1" si="9"/>
        <v>383</v>
      </c>
      <c r="K16" s="108">
        <f t="shared" ca="1" si="10"/>
        <v>12.766666666666667</v>
      </c>
      <c r="L16" s="328" t="s">
        <v>14</v>
      </c>
      <c r="M16" s="17">
        <v>44270</v>
      </c>
      <c r="N16" s="17">
        <v>44361</v>
      </c>
      <c r="O16" s="1">
        <f t="shared" si="3"/>
        <v>8.9333333333333336</v>
      </c>
      <c r="P16" s="1">
        <f t="shared" si="4"/>
        <v>11.966666666666667</v>
      </c>
      <c r="Q16" s="331">
        <v>202</v>
      </c>
      <c r="R16" s="332"/>
      <c r="S16" s="331">
        <v>25</v>
      </c>
      <c r="T16" s="331">
        <v>27</v>
      </c>
      <c r="U16" s="331">
        <v>29</v>
      </c>
      <c r="V16" s="331">
        <v>31</v>
      </c>
      <c r="W16" s="331">
        <v>32</v>
      </c>
      <c r="X16" s="331">
        <v>35</v>
      </c>
      <c r="Y16" s="331">
        <v>35</v>
      </c>
      <c r="Z16" s="331">
        <v>36</v>
      </c>
      <c r="AA16" s="331">
        <v>36</v>
      </c>
      <c r="AB16" s="331">
        <v>38</v>
      </c>
      <c r="AC16" s="331"/>
      <c r="AD16" s="331"/>
      <c r="AE16" s="331"/>
      <c r="AF16" s="331"/>
      <c r="AG16" s="333">
        <v>44364</v>
      </c>
    </row>
    <row r="17" spans="1:33" ht="16" x14ac:dyDescent="0.2">
      <c r="A17" s="1">
        <v>16</v>
      </c>
      <c r="B17" s="1" t="s">
        <v>814</v>
      </c>
      <c r="C17" s="183" t="s">
        <v>811</v>
      </c>
      <c r="D17" s="321" t="s">
        <v>17</v>
      </c>
      <c r="E17" s="110" t="s">
        <v>37</v>
      </c>
      <c r="F17" s="110" t="s">
        <v>548</v>
      </c>
      <c r="G17" s="321">
        <v>1336228</v>
      </c>
      <c r="H17" s="322">
        <v>44002</v>
      </c>
      <c r="I17" s="323">
        <f t="shared" ca="1" si="8"/>
        <v>1.05</v>
      </c>
      <c r="J17" s="108">
        <f t="shared" ca="1" si="9"/>
        <v>383</v>
      </c>
      <c r="K17" s="108">
        <f t="shared" ca="1" si="10"/>
        <v>12.766666666666667</v>
      </c>
      <c r="L17" s="328" t="s">
        <v>14</v>
      </c>
      <c r="M17" s="17">
        <v>44270</v>
      </c>
      <c r="N17" s="17">
        <v>44361</v>
      </c>
      <c r="O17" s="1">
        <f t="shared" si="3"/>
        <v>8.9333333333333336</v>
      </c>
      <c r="P17" s="1">
        <f t="shared" si="4"/>
        <v>11.966666666666667</v>
      </c>
      <c r="Q17" s="331">
        <v>180</v>
      </c>
      <c r="R17" s="332"/>
      <c r="S17" s="331">
        <v>25</v>
      </c>
      <c r="T17" s="331">
        <v>28</v>
      </c>
      <c r="U17" s="331">
        <v>31</v>
      </c>
      <c r="V17" s="331">
        <v>33</v>
      </c>
      <c r="W17" s="331">
        <v>33</v>
      </c>
      <c r="X17" s="331">
        <v>35</v>
      </c>
      <c r="Y17" s="331">
        <v>36</v>
      </c>
      <c r="Z17" s="331">
        <v>36</v>
      </c>
      <c r="AA17" s="331">
        <v>38</v>
      </c>
      <c r="AB17" s="331">
        <v>38</v>
      </c>
      <c r="AC17" s="331"/>
      <c r="AD17" s="331"/>
      <c r="AE17" s="331"/>
      <c r="AF17" s="331"/>
      <c r="AG17" s="333">
        <v>44364</v>
      </c>
    </row>
    <row r="18" spans="1:33" ht="16" x14ac:dyDescent="0.2">
      <c r="A18" s="1">
        <v>17</v>
      </c>
      <c r="B18" s="1" t="s">
        <v>815</v>
      </c>
      <c r="C18" s="183" t="s">
        <v>811</v>
      </c>
      <c r="D18" s="321" t="s">
        <v>17</v>
      </c>
      <c r="E18" s="110" t="s">
        <v>37</v>
      </c>
      <c r="F18" s="110" t="s">
        <v>550</v>
      </c>
      <c r="G18" s="321">
        <v>1336228</v>
      </c>
      <c r="H18" s="322">
        <v>44002</v>
      </c>
      <c r="I18" s="323">
        <f t="shared" ca="1" si="8"/>
        <v>1.05</v>
      </c>
      <c r="J18" s="108">
        <f t="shared" ca="1" si="9"/>
        <v>383</v>
      </c>
      <c r="K18" s="108">
        <f t="shared" ca="1" si="10"/>
        <v>12.766666666666667</v>
      </c>
      <c r="L18" s="328" t="s">
        <v>14</v>
      </c>
      <c r="M18" s="17">
        <v>44270</v>
      </c>
      <c r="N18" s="17">
        <v>44361</v>
      </c>
      <c r="O18" s="1">
        <f t="shared" si="3"/>
        <v>8.9333333333333336</v>
      </c>
      <c r="P18" s="1">
        <f t="shared" si="4"/>
        <v>11.966666666666667</v>
      </c>
      <c r="Q18" s="331"/>
      <c r="R18" s="332"/>
      <c r="S18" s="331">
        <v>26</v>
      </c>
      <c r="T18" s="331">
        <v>28</v>
      </c>
      <c r="U18" s="331">
        <v>29</v>
      </c>
      <c r="V18" s="331">
        <v>31</v>
      </c>
      <c r="W18" s="331">
        <v>33</v>
      </c>
      <c r="X18" s="331">
        <v>35</v>
      </c>
      <c r="Y18" s="331">
        <v>35</v>
      </c>
      <c r="Z18" s="331">
        <v>38</v>
      </c>
      <c r="AA18" s="331">
        <v>40</v>
      </c>
      <c r="AB18" s="331">
        <v>42</v>
      </c>
      <c r="AC18" s="331"/>
      <c r="AD18" s="331"/>
      <c r="AE18" s="331"/>
      <c r="AF18" s="331"/>
      <c r="AG18" s="333">
        <v>44364</v>
      </c>
    </row>
    <row r="19" spans="1:33" ht="16" x14ac:dyDescent="0.2">
      <c r="A19" s="1">
        <v>18</v>
      </c>
      <c r="B19" s="1" t="s">
        <v>816</v>
      </c>
      <c r="C19" s="183" t="s">
        <v>817</v>
      </c>
      <c r="D19" s="377" t="s">
        <v>17</v>
      </c>
      <c r="E19" s="376" t="s">
        <v>37</v>
      </c>
      <c r="F19" s="376" t="s">
        <v>592</v>
      </c>
      <c r="G19" s="377">
        <v>1343435</v>
      </c>
      <c r="H19" s="378">
        <v>43998</v>
      </c>
      <c r="I19" s="379">
        <f t="shared" ref="I19:I23" ca="1" si="11">YEARFRAC(H19,TODAY())</f>
        <v>1.0611111111111111</v>
      </c>
      <c r="J19" s="380">
        <f t="shared" ref="J19:J23" ca="1" si="12">_xlfn.DAYS(TODAY(),H19)</f>
        <v>387</v>
      </c>
      <c r="K19" s="380">
        <f t="shared" ref="K19:K23" ca="1" si="13">J19/30</f>
        <v>12.9</v>
      </c>
      <c r="L19" s="382" t="s">
        <v>547</v>
      </c>
      <c r="M19" s="381">
        <v>44270</v>
      </c>
      <c r="N19" s="17">
        <v>44361</v>
      </c>
      <c r="O19" s="1">
        <f t="shared" si="3"/>
        <v>9.0666666666666664</v>
      </c>
      <c r="P19" s="1">
        <f t="shared" si="4"/>
        <v>12.1</v>
      </c>
      <c r="Q19" s="331">
        <v>169</v>
      </c>
      <c r="R19" s="332"/>
      <c r="S19" s="331">
        <v>23</v>
      </c>
      <c r="T19" s="331">
        <v>24</v>
      </c>
      <c r="U19" s="331">
        <v>24</v>
      </c>
      <c r="V19" s="331">
        <v>25</v>
      </c>
      <c r="W19" s="331">
        <v>26</v>
      </c>
      <c r="X19" s="331">
        <v>26</v>
      </c>
      <c r="Y19" s="331">
        <v>27</v>
      </c>
      <c r="Z19" s="331">
        <v>27</v>
      </c>
      <c r="AA19" s="331">
        <v>27</v>
      </c>
      <c r="AB19" s="331">
        <v>28</v>
      </c>
      <c r="AC19" s="331"/>
      <c r="AD19" s="331"/>
      <c r="AE19" s="331"/>
      <c r="AF19" s="331"/>
      <c r="AG19" s="333">
        <v>44364</v>
      </c>
    </row>
    <row r="20" spans="1:33" ht="16" x14ac:dyDescent="0.2">
      <c r="A20" s="1">
        <v>19</v>
      </c>
      <c r="B20" s="1" t="s">
        <v>818</v>
      </c>
      <c r="C20" s="183" t="s">
        <v>817</v>
      </c>
      <c r="D20" s="321" t="s">
        <v>17</v>
      </c>
      <c r="E20" s="110" t="s">
        <v>37</v>
      </c>
      <c r="F20" s="110" t="s">
        <v>551</v>
      </c>
      <c r="G20" s="321">
        <v>1343435</v>
      </c>
      <c r="H20" s="322">
        <v>43998</v>
      </c>
      <c r="I20" s="323">
        <f t="shared" ca="1" si="11"/>
        <v>1.0611111111111111</v>
      </c>
      <c r="J20" s="108">
        <f t="shared" ca="1" si="12"/>
        <v>387</v>
      </c>
      <c r="K20" s="108">
        <f t="shared" ca="1" si="13"/>
        <v>12.9</v>
      </c>
      <c r="L20" s="340" t="s">
        <v>547</v>
      </c>
      <c r="M20" s="17">
        <v>44270</v>
      </c>
      <c r="N20" s="17">
        <v>44361</v>
      </c>
      <c r="O20" s="1">
        <f t="shared" si="3"/>
        <v>9.0666666666666664</v>
      </c>
      <c r="P20" s="1">
        <f t="shared" si="4"/>
        <v>12.1</v>
      </c>
      <c r="Q20" s="331">
        <v>132</v>
      </c>
      <c r="R20" s="332"/>
      <c r="S20" s="331">
        <v>25</v>
      </c>
      <c r="T20" s="331">
        <v>27</v>
      </c>
      <c r="U20" s="331">
        <v>27</v>
      </c>
      <c r="V20" s="331">
        <v>28</v>
      </c>
      <c r="W20" s="331">
        <v>28</v>
      </c>
      <c r="X20" s="331">
        <v>28</v>
      </c>
      <c r="Y20" s="331">
        <v>29</v>
      </c>
      <c r="Z20" s="331">
        <v>29</v>
      </c>
      <c r="AA20" s="331">
        <v>30</v>
      </c>
      <c r="AB20" s="331">
        <v>30</v>
      </c>
      <c r="AC20" s="331"/>
      <c r="AD20" s="331"/>
      <c r="AE20" s="331"/>
      <c r="AF20" s="331"/>
      <c r="AG20" s="333">
        <v>44364</v>
      </c>
    </row>
    <row r="21" spans="1:33" ht="16" x14ac:dyDescent="0.2">
      <c r="A21" s="1">
        <v>20</v>
      </c>
      <c r="B21" s="1" t="s">
        <v>819</v>
      </c>
      <c r="C21" s="183" t="s">
        <v>817</v>
      </c>
      <c r="D21" s="321" t="s">
        <v>17</v>
      </c>
      <c r="E21" s="110" t="s">
        <v>37</v>
      </c>
      <c r="F21" s="110" t="s">
        <v>550</v>
      </c>
      <c r="G21" s="321">
        <v>1343435</v>
      </c>
      <c r="H21" s="322">
        <v>43998</v>
      </c>
      <c r="I21" s="323">
        <f t="shared" ca="1" si="11"/>
        <v>1.0611111111111111</v>
      </c>
      <c r="J21" s="108">
        <f t="shared" ca="1" si="12"/>
        <v>387</v>
      </c>
      <c r="K21" s="108">
        <f t="shared" ca="1" si="13"/>
        <v>12.9</v>
      </c>
      <c r="L21" s="340" t="s">
        <v>547</v>
      </c>
      <c r="M21" s="17">
        <v>44270</v>
      </c>
      <c r="N21" s="17">
        <v>44361</v>
      </c>
      <c r="O21" s="1">
        <f t="shared" si="3"/>
        <v>9.0666666666666664</v>
      </c>
      <c r="P21" s="1">
        <f t="shared" si="4"/>
        <v>12.1</v>
      </c>
      <c r="Q21" s="331">
        <v>187</v>
      </c>
      <c r="R21" s="332"/>
      <c r="S21" s="331">
        <v>26</v>
      </c>
      <c r="T21" s="331">
        <v>26</v>
      </c>
      <c r="U21" s="331">
        <v>28</v>
      </c>
      <c r="V21" s="331">
        <v>28</v>
      </c>
      <c r="W21" s="331">
        <v>29</v>
      </c>
      <c r="X21" s="331">
        <v>28</v>
      </c>
      <c r="Y21" s="331">
        <v>29</v>
      </c>
      <c r="Z21" s="331">
        <v>30</v>
      </c>
      <c r="AA21" s="331">
        <v>31</v>
      </c>
      <c r="AB21" s="331">
        <v>31</v>
      </c>
      <c r="AC21" s="331"/>
      <c r="AD21" s="331"/>
      <c r="AE21" s="331"/>
      <c r="AF21" s="331"/>
      <c r="AG21" s="333">
        <v>44364</v>
      </c>
    </row>
    <row r="22" spans="1:33" ht="16" x14ac:dyDescent="0.2">
      <c r="A22" s="1">
        <v>21</v>
      </c>
      <c r="B22" s="1" t="s">
        <v>820</v>
      </c>
      <c r="C22" s="183" t="s">
        <v>817</v>
      </c>
      <c r="D22" s="321" t="s">
        <v>17</v>
      </c>
      <c r="E22" s="110" t="s">
        <v>37</v>
      </c>
      <c r="F22" s="110" t="s">
        <v>546</v>
      </c>
      <c r="G22" s="321">
        <v>1343435</v>
      </c>
      <c r="H22" s="322">
        <v>43998</v>
      </c>
      <c r="I22" s="323">
        <f t="shared" ca="1" si="11"/>
        <v>1.0611111111111111</v>
      </c>
      <c r="J22" s="108">
        <f t="shared" ca="1" si="12"/>
        <v>387</v>
      </c>
      <c r="K22" s="108">
        <f t="shared" ca="1" si="13"/>
        <v>12.9</v>
      </c>
      <c r="L22" s="340" t="s">
        <v>547</v>
      </c>
      <c r="M22" s="17">
        <v>44270</v>
      </c>
      <c r="N22" s="17">
        <v>44361</v>
      </c>
      <c r="O22" s="1">
        <f t="shared" si="3"/>
        <v>9.0666666666666664</v>
      </c>
      <c r="P22" s="1">
        <f t="shared" si="4"/>
        <v>12.1</v>
      </c>
      <c r="Q22" s="331">
        <v>200</v>
      </c>
      <c r="R22" s="332"/>
      <c r="S22" s="331">
        <v>28</v>
      </c>
      <c r="T22" s="331">
        <v>27</v>
      </c>
      <c r="U22" s="331">
        <v>27</v>
      </c>
      <c r="V22" s="331">
        <v>26</v>
      </c>
      <c r="W22" s="331">
        <v>26</v>
      </c>
      <c r="X22" s="331">
        <v>25</v>
      </c>
      <c r="Y22" s="331">
        <v>26</v>
      </c>
      <c r="Z22" s="331">
        <v>25</v>
      </c>
      <c r="AA22" s="331">
        <v>26</v>
      </c>
      <c r="AB22" s="331">
        <v>26</v>
      </c>
      <c r="AC22" s="331"/>
      <c r="AD22" s="331"/>
      <c r="AE22" s="331"/>
      <c r="AF22" s="331"/>
      <c r="AG22" s="333">
        <v>44364</v>
      </c>
    </row>
    <row r="23" spans="1:33" ht="16" x14ac:dyDescent="0.2">
      <c r="A23" s="1">
        <v>22</v>
      </c>
      <c r="B23" s="1" t="s">
        <v>821</v>
      </c>
      <c r="C23" s="183" t="s">
        <v>817</v>
      </c>
      <c r="D23" s="321" t="s">
        <v>17</v>
      </c>
      <c r="E23" s="110" t="s">
        <v>37</v>
      </c>
      <c r="F23" s="110" t="s">
        <v>716</v>
      </c>
      <c r="G23" s="321">
        <v>1343435</v>
      </c>
      <c r="H23" s="322">
        <v>43998</v>
      </c>
      <c r="I23" s="323">
        <f t="shared" ca="1" si="11"/>
        <v>1.0611111111111111</v>
      </c>
      <c r="J23" s="108">
        <f t="shared" ca="1" si="12"/>
        <v>387</v>
      </c>
      <c r="K23" s="108">
        <f t="shared" ca="1" si="13"/>
        <v>12.9</v>
      </c>
      <c r="L23" s="340" t="s">
        <v>547</v>
      </c>
      <c r="M23" s="17">
        <v>44270</v>
      </c>
      <c r="N23" s="17">
        <v>44361</v>
      </c>
      <c r="O23" s="1">
        <f t="shared" si="3"/>
        <v>9.0666666666666664</v>
      </c>
      <c r="P23" s="1">
        <f t="shared" si="4"/>
        <v>12.1</v>
      </c>
      <c r="Q23" s="331">
        <v>208</v>
      </c>
      <c r="R23" s="332"/>
      <c r="S23" s="331">
        <v>26</v>
      </c>
      <c r="T23" s="331">
        <v>26</v>
      </c>
      <c r="U23" s="331">
        <v>26</v>
      </c>
      <c r="V23" s="331">
        <v>25</v>
      </c>
      <c r="W23" s="331">
        <v>26</v>
      </c>
      <c r="X23" s="331">
        <v>26</v>
      </c>
      <c r="Y23" s="331">
        <v>25</v>
      </c>
      <c r="Z23" s="331">
        <v>26</v>
      </c>
      <c r="AA23" s="331">
        <v>26</v>
      </c>
      <c r="AB23" s="331">
        <v>26</v>
      </c>
      <c r="AC23" s="331"/>
      <c r="AD23" s="331"/>
      <c r="AE23" s="331"/>
      <c r="AF23" s="331"/>
      <c r="AG23" s="333">
        <v>44364</v>
      </c>
    </row>
    <row r="24" spans="1:33" ht="16" x14ac:dyDescent="0.2">
      <c r="A24" s="1">
        <v>23</v>
      </c>
      <c r="B24" s="1" t="s">
        <v>822</v>
      </c>
      <c r="C24" s="183" t="s">
        <v>823</v>
      </c>
      <c r="D24" s="321" t="s">
        <v>15</v>
      </c>
      <c r="E24" s="110" t="s">
        <v>37</v>
      </c>
      <c r="F24" s="110" t="s">
        <v>592</v>
      </c>
      <c r="G24" s="321">
        <v>1336218</v>
      </c>
      <c r="H24" s="322">
        <v>44002</v>
      </c>
      <c r="I24" s="323">
        <f t="shared" ca="1" si="5"/>
        <v>1.05</v>
      </c>
      <c r="J24" s="108">
        <f t="shared" ca="1" si="6"/>
        <v>383</v>
      </c>
      <c r="K24" s="108">
        <f t="shared" ca="1" si="7"/>
        <v>12.766666666666667</v>
      </c>
      <c r="L24" s="340" t="s">
        <v>547</v>
      </c>
      <c r="M24" s="17">
        <v>44270</v>
      </c>
      <c r="N24" s="17">
        <v>44361</v>
      </c>
      <c r="O24" s="1">
        <f t="shared" si="3"/>
        <v>8.9333333333333336</v>
      </c>
      <c r="P24" s="1">
        <f t="shared" si="4"/>
        <v>11.966666666666667</v>
      </c>
      <c r="Q24" s="331">
        <v>140</v>
      </c>
      <c r="R24" s="332"/>
      <c r="S24" s="331">
        <v>33</v>
      </c>
      <c r="T24" s="331">
        <v>33</v>
      </c>
      <c r="U24" s="331">
        <v>31</v>
      </c>
      <c r="V24" s="331">
        <v>30</v>
      </c>
      <c r="W24" s="331">
        <v>28</v>
      </c>
      <c r="X24" s="331">
        <v>28</v>
      </c>
      <c r="Y24" s="331">
        <v>29</v>
      </c>
      <c r="Z24" s="331">
        <v>28</v>
      </c>
      <c r="AA24" s="331">
        <v>28</v>
      </c>
      <c r="AB24" s="331">
        <v>28</v>
      </c>
      <c r="AC24" s="331"/>
      <c r="AD24" s="331"/>
      <c r="AE24" s="331"/>
      <c r="AF24" s="331"/>
      <c r="AG24" s="333">
        <v>44364</v>
      </c>
    </row>
    <row r="25" spans="1:33" ht="16" x14ac:dyDescent="0.2">
      <c r="A25" s="1">
        <v>24</v>
      </c>
      <c r="B25" s="1" t="s">
        <v>824</v>
      </c>
      <c r="C25" s="183" t="s">
        <v>823</v>
      </c>
      <c r="D25" s="321" t="s">
        <v>15</v>
      </c>
      <c r="E25" s="110" t="s">
        <v>37</v>
      </c>
      <c r="F25" s="110" t="s">
        <v>551</v>
      </c>
      <c r="G25" s="321">
        <v>1336218</v>
      </c>
      <c r="H25" s="322">
        <v>44002</v>
      </c>
      <c r="I25" s="323">
        <f t="shared" ca="1" si="5"/>
        <v>1.05</v>
      </c>
      <c r="J25" s="108">
        <f t="shared" ca="1" si="6"/>
        <v>383</v>
      </c>
      <c r="K25" s="108">
        <f t="shared" ca="1" si="7"/>
        <v>12.766666666666667</v>
      </c>
      <c r="L25" s="340" t="s">
        <v>547</v>
      </c>
      <c r="M25" s="17">
        <v>44270</v>
      </c>
      <c r="N25" s="17">
        <v>44361</v>
      </c>
      <c r="O25" s="1">
        <f t="shared" si="3"/>
        <v>8.9333333333333336</v>
      </c>
      <c r="P25" s="1">
        <f t="shared" si="4"/>
        <v>11.966666666666667</v>
      </c>
      <c r="Q25" s="331">
        <v>172</v>
      </c>
      <c r="R25" s="332"/>
      <c r="S25" s="331">
        <v>31</v>
      </c>
      <c r="T25" s="331">
        <v>31</v>
      </c>
      <c r="U25" s="331">
        <v>31</v>
      </c>
      <c r="V25" s="331">
        <v>32</v>
      </c>
      <c r="W25" s="331">
        <v>32</v>
      </c>
      <c r="X25" s="331">
        <v>32</v>
      </c>
      <c r="Y25" s="331">
        <v>33</v>
      </c>
      <c r="Z25" s="331">
        <v>33</v>
      </c>
      <c r="AA25" s="331">
        <v>33</v>
      </c>
      <c r="AB25" s="331">
        <v>33</v>
      </c>
      <c r="AC25" s="331"/>
      <c r="AD25" s="331"/>
      <c r="AE25" s="331"/>
      <c r="AF25" s="331"/>
      <c r="AG25" s="333">
        <v>44364</v>
      </c>
    </row>
    <row r="26" spans="1:33" ht="16" x14ac:dyDescent="0.2">
      <c r="A26" s="1">
        <v>25</v>
      </c>
      <c r="B26" s="1" t="s">
        <v>825</v>
      </c>
      <c r="C26" s="183" t="s">
        <v>823</v>
      </c>
      <c r="D26" s="321" t="s">
        <v>15</v>
      </c>
      <c r="E26" s="110" t="s">
        <v>37</v>
      </c>
      <c r="F26" s="110" t="s">
        <v>549</v>
      </c>
      <c r="G26" s="321">
        <v>1336218</v>
      </c>
      <c r="H26" s="322">
        <v>44002</v>
      </c>
      <c r="I26" s="323">
        <f t="shared" ca="1" si="5"/>
        <v>1.05</v>
      </c>
      <c r="J26" s="108">
        <f t="shared" ca="1" si="6"/>
        <v>383</v>
      </c>
      <c r="K26" s="108">
        <f t="shared" ca="1" si="7"/>
        <v>12.766666666666667</v>
      </c>
      <c r="L26" s="340" t="s">
        <v>547</v>
      </c>
      <c r="M26" s="17">
        <v>44270</v>
      </c>
      <c r="N26" s="17">
        <v>44361</v>
      </c>
      <c r="O26" s="1">
        <f t="shared" si="3"/>
        <v>8.9333333333333336</v>
      </c>
      <c r="P26" s="1">
        <f t="shared" si="4"/>
        <v>11.966666666666667</v>
      </c>
      <c r="Q26" s="331">
        <v>184</v>
      </c>
      <c r="R26" s="332"/>
      <c r="S26" s="331">
        <v>33</v>
      </c>
      <c r="T26" s="331">
        <v>33</v>
      </c>
      <c r="U26" s="331">
        <v>33</v>
      </c>
      <c r="V26" s="331">
        <v>33</v>
      </c>
      <c r="W26" s="331">
        <v>32</v>
      </c>
      <c r="X26" s="331">
        <v>33</v>
      </c>
      <c r="Y26" s="331">
        <v>33</v>
      </c>
      <c r="Z26" s="331">
        <v>34</v>
      </c>
      <c r="AA26" s="331">
        <v>33</v>
      </c>
      <c r="AB26" s="331">
        <v>33</v>
      </c>
      <c r="AC26" s="331"/>
      <c r="AD26" s="331"/>
      <c r="AE26" s="331"/>
      <c r="AF26" s="331"/>
      <c r="AG26" s="333">
        <v>44364</v>
      </c>
    </row>
    <row r="27" spans="1:33" ht="16" x14ac:dyDescent="0.2">
      <c r="A27" s="1">
        <v>26</v>
      </c>
      <c r="B27" s="1" t="s">
        <v>826</v>
      </c>
      <c r="C27" s="183" t="s">
        <v>823</v>
      </c>
      <c r="D27" s="321" t="s">
        <v>15</v>
      </c>
      <c r="E27" s="110" t="s">
        <v>37</v>
      </c>
      <c r="F27" s="110" t="s">
        <v>548</v>
      </c>
      <c r="G27" s="321">
        <v>1336218</v>
      </c>
      <c r="H27" s="322">
        <v>44002</v>
      </c>
      <c r="I27" s="323">
        <f t="shared" ca="1" si="5"/>
        <v>1.05</v>
      </c>
      <c r="J27" s="108">
        <f t="shared" ca="1" si="6"/>
        <v>383</v>
      </c>
      <c r="K27" s="108">
        <f t="shared" ca="1" si="7"/>
        <v>12.766666666666667</v>
      </c>
      <c r="L27" s="340" t="s">
        <v>547</v>
      </c>
      <c r="M27" s="17">
        <v>44270</v>
      </c>
      <c r="N27" s="17">
        <v>44361</v>
      </c>
      <c r="O27" s="1">
        <f t="shared" si="3"/>
        <v>8.9333333333333336</v>
      </c>
      <c r="P27" s="1">
        <f t="shared" si="4"/>
        <v>11.966666666666667</v>
      </c>
      <c r="Q27" s="331">
        <v>162</v>
      </c>
      <c r="R27" s="332"/>
      <c r="S27" s="331">
        <v>32</v>
      </c>
      <c r="T27" s="331">
        <v>32</v>
      </c>
      <c r="U27" s="331">
        <v>34</v>
      </c>
      <c r="V27" s="331">
        <v>34</v>
      </c>
      <c r="W27" s="331">
        <v>33</v>
      </c>
      <c r="X27" s="331">
        <v>34</v>
      </c>
      <c r="Y27" s="331">
        <v>34</v>
      </c>
      <c r="Z27" s="331">
        <v>34</v>
      </c>
      <c r="AA27" s="331">
        <v>34</v>
      </c>
      <c r="AB27" s="331">
        <v>34</v>
      </c>
      <c r="AC27" s="331"/>
      <c r="AD27" s="331"/>
      <c r="AE27" s="331"/>
      <c r="AF27" s="331"/>
      <c r="AG27" s="333">
        <v>44364</v>
      </c>
    </row>
    <row r="28" spans="1:33" ht="16" x14ac:dyDescent="0.2">
      <c r="A28" s="1">
        <v>27</v>
      </c>
      <c r="B28" s="1" t="s">
        <v>827</v>
      </c>
      <c r="C28" s="183" t="s">
        <v>823</v>
      </c>
      <c r="D28" s="321" t="s">
        <v>15</v>
      </c>
      <c r="E28" s="110" t="s">
        <v>37</v>
      </c>
      <c r="F28" s="110" t="s">
        <v>546</v>
      </c>
      <c r="G28" s="321">
        <v>1336218</v>
      </c>
      <c r="H28" s="322">
        <v>44002</v>
      </c>
      <c r="I28" s="323">
        <f t="shared" ca="1" si="5"/>
        <v>1.05</v>
      </c>
      <c r="J28" s="108">
        <f t="shared" ca="1" si="6"/>
        <v>383</v>
      </c>
      <c r="K28" s="108">
        <f t="shared" ca="1" si="7"/>
        <v>12.766666666666667</v>
      </c>
      <c r="L28" s="340" t="s">
        <v>547</v>
      </c>
      <c r="M28" s="17">
        <v>44270</v>
      </c>
      <c r="N28" s="17">
        <v>44361</v>
      </c>
      <c r="O28" s="1">
        <f t="shared" si="3"/>
        <v>8.9333333333333336</v>
      </c>
      <c r="P28" s="1">
        <f t="shared" si="4"/>
        <v>11.966666666666667</v>
      </c>
      <c r="Q28" s="331">
        <v>202</v>
      </c>
      <c r="R28" s="332"/>
      <c r="S28" s="331">
        <v>34</v>
      </c>
      <c r="T28" s="331">
        <v>34</v>
      </c>
      <c r="U28" s="331">
        <v>34</v>
      </c>
      <c r="V28" s="331">
        <v>33</v>
      </c>
      <c r="W28" s="331">
        <v>33</v>
      </c>
      <c r="X28" s="331">
        <v>32</v>
      </c>
      <c r="Y28" s="331">
        <v>33</v>
      </c>
      <c r="Z28" s="331">
        <v>32</v>
      </c>
      <c r="AA28" s="331">
        <v>31</v>
      </c>
      <c r="AB28" s="331">
        <v>30</v>
      </c>
      <c r="AC28" s="331"/>
      <c r="AD28" s="331"/>
      <c r="AE28" s="331"/>
      <c r="AF28" s="331"/>
      <c r="AG28" s="333">
        <v>44364</v>
      </c>
    </row>
    <row r="29" spans="1:33" ht="16" x14ac:dyDescent="0.2">
      <c r="A29" s="1">
        <v>28</v>
      </c>
      <c r="B29" s="1" t="s">
        <v>828</v>
      </c>
      <c r="C29" s="183" t="s">
        <v>829</v>
      </c>
      <c r="D29" s="321" t="s">
        <v>15</v>
      </c>
      <c r="E29" s="110" t="s">
        <v>37</v>
      </c>
      <c r="F29" s="110" t="s">
        <v>592</v>
      </c>
      <c r="G29" s="321">
        <v>1324363</v>
      </c>
      <c r="H29" s="322">
        <v>44010</v>
      </c>
      <c r="I29" s="323">
        <f t="shared" ca="1" si="5"/>
        <v>1.0277777777777777</v>
      </c>
      <c r="J29" s="108">
        <f t="shared" ca="1" si="6"/>
        <v>375</v>
      </c>
      <c r="K29" s="108">
        <f t="shared" ca="1" si="7"/>
        <v>12.5</v>
      </c>
      <c r="L29" s="340" t="s">
        <v>547</v>
      </c>
      <c r="M29" s="17">
        <v>44270</v>
      </c>
      <c r="N29" s="17">
        <v>44361</v>
      </c>
      <c r="O29" s="1">
        <f t="shared" si="3"/>
        <v>8.6666666666666661</v>
      </c>
      <c r="P29" s="1">
        <f t="shared" si="4"/>
        <v>11.7</v>
      </c>
      <c r="Q29" s="331">
        <v>165</v>
      </c>
      <c r="R29" s="332"/>
      <c r="S29" s="331">
        <v>30</v>
      </c>
      <c r="T29" s="331">
        <v>30</v>
      </c>
      <c r="U29" s="331">
        <v>30</v>
      </c>
      <c r="V29" s="331">
        <v>31</v>
      </c>
      <c r="W29" s="331">
        <v>31</v>
      </c>
      <c r="X29" s="331">
        <v>30</v>
      </c>
      <c r="Y29" s="331">
        <v>30</v>
      </c>
      <c r="Z29" s="331">
        <v>31</v>
      </c>
      <c r="AA29" s="331">
        <v>31</v>
      </c>
      <c r="AB29" s="331">
        <v>31</v>
      </c>
      <c r="AC29" s="331"/>
      <c r="AD29" s="331"/>
      <c r="AE29" s="331"/>
      <c r="AF29" s="331"/>
      <c r="AG29" s="333">
        <v>44364</v>
      </c>
    </row>
    <row r="30" spans="1:33" ht="16" x14ac:dyDescent="0.2">
      <c r="A30" s="1">
        <v>29</v>
      </c>
      <c r="B30" s="1" t="s">
        <v>830</v>
      </c>
      <c r="C30" s="183" t="s">
        <v>829</v>
      </c>
      <c r="D30" s="321" t="s">
        <v>15</v>
      </c>
      <c r="E30" s="110" t="s">
        <v>37</v>
      </c>
      <c r="F30" s="110" t="s">
        <v>551</v>
      </c>
      <c r="G30" s="321">
        <v>1324363</v>
      </c>
      <c r="H30" s="322">
        <v>44010</v>
      </c>
      <c r="I30" s="323">
        <f t="shared" ca="1" si="5"/>
        <v>1.0277777777777777</v>
      </c>
      <c r="J30" s="108">
        <f t="shared" ca="1" si="6"/>
        <v>375</v>
      </c>
      <c r="K30" s="108">
        <f t="shared" ca="1" si="7"/>
        <v>12.5</v>
      </c>
      <c r="L30" s="340" t="s">
        <v>547</v>
      </c>
      <c r="M30" s="17">
        <v>44270</v>
      </c>
      <c r="N30" s="17">
        <v>44361</v>
      </c>
      <c r="O30" s="1">
        <f t="shared" si="3"/>
        <v>8.6666666666666661</v>
      </c>
      <c r="P30" s="1">
        <f t="shared" si="4"/>
        <v>11.7</v>
      </c>
      <c r="Q30" s="331">
        <v>159</v>
      </c>
      <c r="R30" s="332"/>
      <c r="S30" s="331">
        <v>29</v>
      </c>
      <c r="T30" s="331">
        <v>29</v>
      </c>
      <c r="U30" s="331">
        <v>29</v>
      </c>
      <c r="V30" s="331">
        <v>30</v>
      </c>
      <c r="W30" s="331">
        <v>30</v>
      </c>
      <c r="X30" s="331">
        <v>30</v>
      </c>
      <c r="Y30" s="331">
        <v>30</v>
      </c>
      <c r="Z30" s="331">
        <v>29</v>
      </c>
      <c r="AA30" s="331">
        <v>29</v>
      </c>
      <c r="AB30" s="331">
        <v>31</v>
      </c>
      <c r="AC30" s="331"/>
      <c r="AD30" s="331"/>
      <c r="AE30" s="331"/>
      <c r="AF30" s="331"/>
      <c r="AG30" s="333">
        <v>44364</v>
      </c>
    </row>
    <row r="31" spans="1:33" ht="16" x14ac:dyDescent="0.2">
      <c r="A31" s="1">
        <v>30</v>
      </c>
      <c r="B31" s="1" t="s">
        <v>831</v>
      </c>
      <c r="C31" s="183" t="s">
        <v>829</v>
      </c>
      <c r="D31" s="321" t="s">
        <v>15</v>
      </c>
      <c r="E31" s="110" t="s">
        <v>37</v>
      </c>
      <c r="F31" s="110" t="s">
        <v>549</v>
      </c>
      <c r="G31" s="321">
        <v>1324363</v>
      </c>
      <c r="H31" s="322">
        <v>44010</v>
      </c>
      <c r="I31" s="323">
        <f t="shared" ca="1" si="5"/>
        <v>1.0277777777777777</v>
      </c>
      <c r="J31" s="108">
        <f t="shared" ca="1" si="6"/>
        <v>375</v>
      </c>
      <c r="K31" s="108">
        <f t="shared" ca="1" si="7"/>
        <v>12.5</v>
      </c>
      <c r="L31" s="340" t="s">
        <v>547</v>
      </c>
      <c r="M31" s="17">
        <v>44270</v>
      </c>
      <c r="N31" s="17">
        <v>44361</v>
      </c>
      <c r="O31" s="1">
        <f t="shared" si="3"/>
        <v>8.6666666666666661</v>
      </c>
      <c r="P31" s="1">
        <f t="shared" si="4"/>
        <v>11.7</v>
      </c>
      <c r="Q31" s="331">
        <v>143</v>
      </c>
      <c r="R31" s="332"/>
      <c r="S31" s="331">
        <v>30</v>
      </c>
      <c r="T31" s="331">
        <v>30</v>
      </c>
      <c r="U31" s="331">
        <v>30</v>
      </c>
      <c r="V31" s="331">
        <v>31</v>
      </c>
      <c r="W31" s="331">
        <v>31</v>
      </c>
      <c r="X31" s="331">
        <v>31</v>
      </c>
      <c r="Y31" s="331">
        <v>31</v>
      </c>
      <c r="Z31" s="331">
        <v>31</v>
      </c>
      <c r="AA31" s="331">
        <v>30</v>
      </c>
      <c r="AB31" s="331">
        <v>31</v>
      </c>
      <c r="AC31" s="331"/>
      <c r="AD31" s="331"/>
      <c r="AE31" s="331"/>
      <c r="AF31" s="331"/>
      <c r="AG31" s="333">
        <v>44364</v>
      </c>
    </row>
    <row r="32" spans="1:33" ht="16" x14ac:dyDescent="0.2">
      <c r="A32" s="1">
        <v>31</v>
      </c>
      <c r="B32" s="1" t="s">
        <v>832</v>
      </c>
      <c r="C32" s="183" t="s">
        <v>829</v>
      </c>
      <c r="D32" s="321" t="s">
        <v>15</v>
      </c>
      <c r="E32" s="110" t="s">
        <v>37</v>
      </c>
      <c r="F32" s="110" t="s">
        <v>548</v>
      </c>
      <c r="G32" s="321">
        <v>1324363</v>
      </c>
      <c r="H32" s="322">
        <v>44010</v>
      </c>
      <c r="I32" s="323">
        <f t="shared" ca="1" si="5"/>
        <v>1.0277777777777777</v>
      </c>
      <c r="J32" s="108">
        <f t="shared" ca="1" si="6"/>
        <v>375</v>
      </c>
      <c r="K32" s="108">
        <f t="shared" ca="1" si="7"/>
        <v>12.5</v>
      </c>
      <c r="L32" s="340" t="s">
        <v>547</v>
      </c>
      <c r="M32" s="17">
        <v>44270</v>
      </c>
      <c r="N32" s="17">
        <v>44361</v>
      </c>
      <c r="O32" s="1">
        <f t="shared" si="3"/>
        <v>8.6666666666666661</v>
      </c>
      <c r="P32" s="1">
        <f t="shared" si="4"/>
        <v>11.7</v>
      </c>
      <c r="Q32" s="331">
        <v>182</v>
      </c>
      <c r="R32" s="332"/>
      <c r="S32" s="331">
        <v>36</v>
      </c>
      <c r="T32" s="331">
        <v>35</v>
      </c>
      <c r="U32" s="331">
        <v>35</v>
      </c>
      <c r="V32" s="331">
        <v>34</v>
      </c>
      <c r="W32" s="331">
        <v>33</v>
      </c>
      <c r="X32" s="331">
        <v>33</v>
      </c>
      <c r="Y32" s="331">
        <v>33</v>
      </c>
      <c r="Z32" s="331">
        <v>33</v>
      </c>
      <c r="AA32" s="331">
        <v>32</v>
      </c>
      <c r="AB32" s="331">
        <v>32</v>
      </c>
      <c r="AC32" s="331"/>
      <c r="AD32" s="331"/>
      <c r="AE32" s="331"/>
      <c r="AF32" s="331"/>
      <c r="AG32" s="333">
        <v>44364</v>
      </c>
    </row>
    <row r="33" spans="1:38" ht="16" x14ac:dyDescent="0.2">
      <c r="A33" s="177" t="s">
        <v>39</v>
      </c>
      <c r="C33" s="183"/>
    </row>
    <row r="34" spans="1:38" ht="16" x14ac:dyDescent="0.2">
      <c r="A34" s="178" t="s">
        <v>22</v>
      </c>
      <c r="C34" s="183"/>
      <c r="Q34" s="6"/>
    </row>
    <row r="35" spans="1:38" x14ac:dyDescent="0.2">
      <c r="A35" s="179" t="s">
        <v>37</v>
      </c>
    </row>
    <row r="36" spans="1:38" ht="16" x14ac:dyDescent="0.2">
      <c r="A36" s="180" t="s">
        <v>40</v>
      </c>
    </row>
    <row r="37" spans="1:38" ht="16" x14ac:dyDescent="0.2">
      <c r="A37" s="181" t="s">
        <v>41</v>
      </c>
    </row>
    <row r="38" spans="1:38" ht="16" x14ac:dyDescent="0.2">
      <c r="A38" s="203" t="s">
        <v>42</v>
      </c>
    </row>
    <row r="39" spans="1:38" x14ac:dyDescent="0.2">
      <c r="A39" s="202" t="s">
        <v>43</v>
      </c>
    </row>
    <row r="40" spans="1:38" ht="17" x14ac:dyDescent="0.2">
      <c r="A40" s="399" t="s">
        <v>44</v>
      </c>
    </row>
    <row r="41" spans="1:38" ht="17" x14ac:dyDescent="0.2">
      <c r="A41" s="418" t="s">
        <v>45</v>
      </c>
    </row>
    <row r="42" spans="1:38" x14ac:dyDescent="0.2">
      <c r="A42" s="345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45"/>
      <c r="Q42" s="345"/>
      <c r="R42" s="345"/>
      <c r="S42" s="345"/>
      <c r="T42" s="345"/>
      <c r="U42" s="345"/>
      <c r="V42" s="345"/>
      <c r="W42" s="345"/>
      <c r="X42" s="345"/>
      <c r="Y42" s="345"/>
      <c r="Z42" s="345"/>
      <c r="AA42" s="345"/>
      <c r="AB42" s="345"/>
      <c r="AC42" s="345"/>
      <c r="AD42" s="345"/>
      <c r="AE42" s="345"/>
      <c r="AF42" s="345"/>
      <c r="AG42" s="345"/>
      <c r="AH42" s="345"/>
      <c r="AI42" s="345"/>
      <c r="AJ42" s="345"/>
      <c r="AK42" s="345"/>
      <c r="AL42" s="345"/>
    </row>
    <row r="43" spans="1:38" ht="16" x14ac:dyDescent="0.2">
      <c r="A43" s="324" t="s">
        <v>0</v>
      </c>
      <c r="B43" s="324" t="s">
        <v>535</v>
      </c>
      <c r="C43" s="325" t="s">
        <v>553</v>
      </c>
      <c r="D43" s="326" t="s">
        <v>53</v>
      </c>
      <c r="E43" s="324" t="s">
        <v>52</v>
      </c>
      <c r="F43" s="326" t="s">
        <v>538</v>
      </c>
      <c r="G43" s="326" t="s">
        <v>51</v>
      </c>
      <c r="H43" s="326" t="s">
        <v>54</v>
      </c>
      <c r="I43" s="326" t="s">
        <v>539</v>
      </c>
      <c r="J43" s="326" t="s">
        <v>540</v>
      </c>
      <c r="K43" s="326" t="s">
        <v>541</v>
      </c>
      <c r="L43" s="327" t="s">
        <v>542</v>
      </c>
      <c r="M43" s="324" t="s">
        <v>778</v>
      </c>
      <c r="N43" s="383" t="s">
        <v>4</v>
      </c>
      <c r="O43" s="324" t="s">
        <v>779</v>
      </c>
      <c r="P43" s="324" t="s">
        <v>59</v>
      </c>
      <c r="Q43" s="564" t="s">
        <v>833</v>
      </c>
      <c r="R43" s="564" t="s">
        <v>834</v>
      </c>
      <c r="S43" s="183" t="s">
        <v>835</v>
      </c>
      <c r="T43" s="564" t="s">
        <v>836</v>
      </c>
      <c r="U43" s="183" t="s">
        <v>837</v>
      </c>
      <c r="V43" s="564" t="s">
        <v>838</v>
      </c>
      <c r="W43" s="183" t="s">
        <v>839</v>
      </c>
      <c r="X43" s="564" t="s">
        <v>840</v>
      </c>
      <c r="Y43" s="183" t="s">
        <v>841</v>
      </c>
      <c r="Z43" s="564" t="s">
        <v>842</v>
      </c>
      <c r="AA43" s="183" t="s">
        <v>843</v>
      </c>
      <c r="AB43" s="564" t="s">
        <v>844</v>
      </c>
      <c r="AC43" s="564"/>
      <c r="AD43" s="564"/>
      <c r="AE43" s="564"/>
      <c r="AF43" s="564"/>
      <c r="AG43" s="183" t="s">
        <v>845</v>
      </c>
      <c r="AH43" s="564" t="s">
        <v>846</v>
      </c>
      <c r="AI43" s="183" t="s">
        <v>847</v>
      </c>
      <c r="AJ43" s="564" t="s">
        <v>848</v>
      </c>
      <c r="AK43" s="183" t="s">
        <v>849</v>
      </c>
      <c r="AL43" s="564" t="s">
        <v>850</v>
      </c>
    </row>
    <row r="44" spans="1:38" ht="16" x14ac:dyDescent="0.2">
      <c r="A44" s="1">
        <v>1</v>
      </c>
      <c r="B44" s="1" t="s">
        <v>262</v>
      </c>
      <c r="C44" s="183" t="s">
        <v>796</v>
      </c>
      <c r="D44" s="104" t="s">
        <v>40</v>
      </c>
      <c r="E44" s="104" t="s">
        <v>17</v>
      </c>
      <c r="F44" s="104" t="s">
        <v>592</v>
      </c>
      <c r="G44" s="104">
        <v>1336217</v>
      </c>
      <c r="H44" s="105">
        <v>44011</v>
      </c>
      <c r="I44" s="107">
        <f t="shared" ref="I44:I48" ca="1" si="14">YEARFRAC(H44,TODAY())</f>
        <v>1.0249999999999999</v>
      </c>
      <c r="J44" s="104">
        <f t="shared" ref="J44:J48" ca="1" si="15">_xlfn.DAYS(TODAY(),H44)</f>
        <v>374</v>
      </c>
      <c r="K44" s="104">
        <f t="shared" ref="K44:K48" ca="1" si="16">J44/30</f>
        <v>12.466666666666667</v>
      </c>
      <c r="L44" s="328" t="s">
        <v>14</v>
      </c>
      <c r="M44" s="17">
        <v>44270</v>
      </c>
      <c r="N44" s="17">
        <v>44368</v>
      </c>
      <c r="O44" s="1">
        <f t="shared" ref="O44:O74" si="17">_xlfn.DAYS(M44,H44)/30</f>
        <v>8.6333333333333329</v>
      </c>
      <c r="P44" s="1">
        <f t="shared" ref="P44:P74" si="18">_xlfn.DAYS(N44,H44)/30</f>
        <v>11.9</v>
      </c>
      <c r="Q44" s="570"/>
      <c r="R44" s="570"/>
      <c r="S44" s="570"/>
      <c r="T44" s="570"/>
      <c r="U44" s="570"/>
      <c r="V44" s="570"/>
      <c r="W44" s="570"/>
      <c r="X44" s="570">
        <v>0</v>
      </c>
      <c r="Y44" s="570">
        <v>190</v>
      </c>
      <c r="Z44" s="570">
        <v>210</v>
      </c>
      <c r="AA44" s="570"/>
      <c r="AB44" s="570"/>
      <c r="AC44" s="570"/>
      <c r="AD44" s="570"/>
      <c r="AE44" s="570"/>
      <c r="AF44" s="570"/>
      <c r="AG44" s="570"/>
      <c r="AH44" s="570">
        <v>0</v>
      </c>
      <c r="AI44" s="570">
        <v>262</v>
      </c>
      <c r="AJ44" s="571">
        <v>128</v>
      </c>
      <c r="AK44" s="570"/>
      <c r="AL44" s="570">
        <v>0</v>
      </c>
    </row>
    <row r="45" spans="1:38" ht="16" x14ac:dyDescent="0.2">
      <c r="A45" s="1">
        <v>2</v>
      </c>
      <c r="B45" s="1" t="s">
        <v>263</v>
      </c>
      <c r="C45" s="183" t="s">
        <v>796</v>
      </c>
      <c r="D45" s="104" t="s">
        <v>40</v>
      </c>
      <c r="E45" s="104" t="s">
        <v>17</v>
      </c>
      <c r="F45" s="104" t="s">
        <v>551</v>
      </c>
      <c r="G45" s="104">
        <v>1336217</v>
      </c>
      <c r="H45" s="105">
        <v>44011</v>
      </c>
      <c r="I45" s="107">
        <f t="shared" ca="1" si="14"/>
        <v>1.0249999999999999</v>
      </c>
      <c r="J45" s="104">
        <f t="shared" ca="1" si="15"/>
        <v>374</v>
      </c>
      <c r="K45" s="104">
        <f t="shared" ca="1" si="16"/>
        <v>12.466666666666667</v>
      </c>
      <c r="L45" s="328" t="s">
        <v>14</v>
      </c>
      <c r="M45" s="17">
        <v>44270</v>
      </c>
      <c r="N45" s="17">
        <v>44368</v>
      </c>
      <c r="O45" s="1">
        <f t="shared" si="17"/>
        <v>8.6333333333333329</v>
      </c>
      <c r="P45" s="1">
        <f t="shared" si="18"/>
        <v>11.9</v>
      </c>
      <c r="Q45" s="357"/>
      <c r="R45" s="357"/>
      <c r="S45" s="357"/>
      <c r="T45" s="357"/>
      <c r="U45" s="357"/>
      <c r="V45" s="357"/>
      <c r="W45" s="357"/>
      <c r="X45" s="357"/>
      <c r="Y45" s="357"/>
      <c r="Z45" s="357"/>
      <c r="AA45" s="357"/>
      <c r="AB45" s="357"/>
      <c r="AC45" s="357"/>
      <c r="AD45" s="357"/>
      <c r="AE45" s="357"/>
      <c r="AF45" s="357"/>
      <c r="AG45" s="357"/>
      <c r="AH45" s="357"/>
      <c r="AI45" s="357"/>
      <c r="AJ45" s="357"/>
      <c r="AK45" s="357"/>
      <c r="AL45" s="357"/>
    </row>
    <row r="46" spans="1:38" ht="16" x14ac:dyDescent="0.2">
      <c r="A46" s="1">
        <v>3</v>
      </c>
      <c r="B46" s="1" t="s">
        <v>264</v>
      </c>
      <c r="C46" s="183" t="s">
        <v>796</v>
      </c>
      <c r="D46" s="104" t="s">
        <v>40</v>
      </c>
      <c r="E46" s="104" t="s">
        <v>17</v>
      </c>
      <c r="F46" s="104" t="s">
        <v>549</v>
      </c>
      <c r="G46" s="104">
        <v>1336217</v>
      </c>
      <c r="H46" s="105">
        <v>44011</v>
      </c>
      <c r="I46" s="107">
        <f t="shared" ca="1" si="14"/>
        <v>1.0249999999999999</v>
      </c>
      <c r="J46" s="104">
        <f t="shared" ca="1" si="15"/>
        <v>374</v>
      </c>
      <c r="K46" s="104">
        <f t="shared" ca="1" si="16"/>
        <v>12.466666666666667</v>
      </c>
      <c r="L46" s="328" t="s">
        <v>14</v>
      </c>
      <c r="M46" s="17">
        <v>44270</v>
      </c>
      <c r="N46" s="17">
        <v>44368</v>
      </c>
      <c r="O46" s="1">
        <f t="shared" si="17"/>
        <v>8.6333333333333329</v>
      </c>
      <c r="P46" s="1">
        <f t="shared" si="18"/>
        <v>11.9</v>
      </c>
      <c r="Q46" s="357"/>
      <c r="R46" s="357"/>
      <c r="S46" s="357"/>
      <c r="T46" s="357"/>
      <c r="U46" s="357"/>
      <c r="V46" s="357"/>
      <c r="W46" s="357"/>
      <c r="X46" s="357"/>
      <c r="Y46" s="357"/>
      <c r="Z46" s="357"/>
      <c r="AA46" s="357"/>
      <c r="AB46" s="357"/>
      <c r="AC46" s="357"/>
      <c r="AD46" s="357"/>
      <c r="AE46" s="357"/>
      <c r="AF46" s="357"/>
      <c r="AG46" s="357"/>
      <c r="AH46" s="357"/>
      <c r="AI46" s="357"/>
      <c r="AJ46" s="357"/>
      <c r="AK46" s="357"/>
      <c r="AL46" s="357"/>
    </row>
    <row r="47" spans="1:38" ht="16" x14ac:dyDescent="0.2">
      <c r="A47" s="1">
        <v>4</v>
      </c>
      <c r="B47" s="1" t="s">
        <v>265</v>
      </c>
      <c r="C47" s="183" t="s">
        <v>796</v>
      </c>
      <c r="D47" s="104" t="s">
        <v>40</v>
      </c>
      <c r="E47" s="104" t="s">
        <v>17</v>
      </c>
      <c r="F47" s="104" t="s">
        <v>548</v>
      </c>
      <c r="G47" s="104">
        <v>1336217</v>
      </c>
      <c r="H47" s="105">
        <v>44011</v>
      </c>
      <c r="I47" s="107">
        <f t="shared" ca="1" si="14"/>
        <v>1.0249999999999999</v>
      </c>
      <c r="J47" s="104">
        <f t="shared" ca="1" si="15"/>
        <v>374</v>
      </c>
      <c r="K47" s="104">
        <f t="shared" ca="1" si="16"/>
        <v>12.466666666666667</v>
      </c>
      <c r="L47" s="328" t="s">
        <v>14</v>
      </c>
      <c r="M47" s="17">
        <v>44270</v>
      </c>
      <c r="N47" s="17">
        <v>44368</v>
      </c>
      <c r="O47" s="1">
        <f t="shared" si="17"/>
        <v>8.6333333333333329</v>
      </c>
      <c r="P47" s="1">
        <f t="shared" si="18"/>
        <v>11.9</v>
      </c>
      <c r="Q47" s="357"/>
      <c r="R47" s="357"/>
      <c r="S47" s="357"/>
      <c r="T47" s="357"/>
      <c r="U47" s="357"/>
      <c r="V47" s="357"/>
      <c r="W47" s="357"/>
      <c r="X47" s="357"/>
      <c r="Y47" s="357"/>
      <c r="Z47" s="357"/>
      <c r="AA47" s="357"/>
      <c r="AB47" s="357"/>
      <c r="AC47" s="357"/>
      <c r="AD47" s="357"/>
      <c r="AE47" s="357"/>
      <c r="AF47" s="357"/>
      <c r="AG47" s="357"/>
      <c r="AH47" s="357"/>
      <c r="AI47" s="357"/>
      <c r="AJ47" s="357"/>
      <c r="AK47" s="357"/>
      <c r="AL47" s="357"/>
    </row>
    <row r="48" spans="1:38" ht="16" x14ac:dyDescent="0.2">
      <c r="A48" s="1">
        <v>5</v>
      </c>
      <c r="B48" s="1" t="s">
        <v>266</v>
      </c>
      <c r="C48" s="183" t="s">
        <v>796</v>
      </c>
      <c r="D48" s="104" t="s">
        <v>40</v>
      </c>
      <c r="E48" s="104" t="s">
        <v>17</v>
      </c>
      <c r="F48" s="104" t="s">
        <v>546</v>
      </c>
      <c r="G48" s="104">
        <v>1336217</v>
      </c>
      <c r="H48" s="105">
        <v>44011</v>
      </c>
      <c r="I48" s="107">
        <f t="shared" ca="1" si="14"/>
        <v>1.0249999999999999</v>
      </c>
      <c r="J48" s="104">
        <f t="shared" ca="1" si="15"/>
        <v>374</v>
      </c>
      <c r="K48" s="104">
        <f t="shared" ca="1" si="16"/>
        <v>12.466666666666667</v>
      </c>
      <c r="L48" s="328" t="s">
        <v>14</v>
      </c>
      <c r="M48" s="17">
        <v>44270</v>
      </c>
      <c r="N48" s="17">
        <v>44368</v>
      </c>
      <c r="O48" s="1">
        <f t="shared" si="17"/>
        <v>8.6333333333333329</v>
      </c>
      <c r="P48" s="1">
        <f t="shared" si="18"/>
        <v>11.9</v>
      </c>
      <c r="Q48" s="357"/>
      <c r="R48" s="357"/>
      <c r="S48" s="357"/>
      <c r="T48" s="357"/>
      <c r="U48" s="357"/>
      <c r="V48" s="357"/>
      <c r="W48" s="357"/>
      <c r="X48" s="357"/>
      <c r="Y48" s="357"/>
      <c r="Z48" s="357"/>
      <c r="AA48" s="357"/>
      <c r="AB48" s="357"/>
      <c r="AC48" s="357"/>
      <c r="AD48" s="357"/>
      <c r="AE48" s="357"/>
      <c r="AF48" s="357"/>
      <c r="AG48" s="357"/>
      <c r="AH48" s="357"/>
      <c r="AI48" s="357"/>
      <c r="AJ48" s="357"/>
      <c r="AK48" s="357"/>
      <c r="AL48" s="357"/>
    </row>
    <row r="49" spans="1:38" ht="16" x14ac:dyDescent="0.2">
      <c r="A49" s="1">
        <v>6</v>
      </c>
      <c r="B49" s="1" t="s">
        <v>267</v>
      </c>
      <c r="C49" s="183" t="s">
        <v>802</v>
      </c>
      <c r="D49" s="104" t="s">
        <v>40</v>
      </c>
      <c r="E49" s="104" t="s">
        <v>15</v>
      </c>
      <c r="F49" s="104" t="s">
        <v>592</v>
      </c>
      <c r="G49" s="104">
        <v>1334231</v>
      </c>
      <c r="H49" s="105">
        <v>44011</v>
      </c>
      <c r="I49" s="107">
        <f ca="1">YEARFRAC(H49,TODAY())</f>
        <v>1.0249999999999999</v>
      </c>
      <c r="J49" s="104">
        <f ca="1">_xlfn.DAYS(TODAY(),H49)</f>
        <v>374</v>
      </c>
      <c r="K49" s="104">
        <f ca="1">J49/30</f>
        <v>12.466666666666667</v>
      </c>
      <c r="L49" s="328" t="s">
        <v>14</v>
      </c>
      <c r="M49" s="17">
        <v>44270</v>
      </c>
      <c r="N49" s="17">
        <v>44368</v>
      </c>
      <c r="O49" s="1">
        <f t="shared" si="17"/>
        <v>8.6333333333333329</v>
      </c>
      <c r="P49" s="1">
        <f t="shared" si="18"/>
        <v>11.9</v>
      </c>
      <c r="Q49" s="570"/>
      <c r="R49" s="570"/>
      <c r="S49" s="570"/>
      <c r="T49" s="570"/>
      <c r="U49" s="570"/>
      <c r="V49" s="570"/>
      <c r="W49" s="570"/>
      <c r="X49" s="570">
        <v>0</v>
      </c>
      <c r="Y49" s="570">
        <v>277</v>
      </c>
      <c r="Z49" s="570">
        <v>123</v>
      </c>
      <c r="AA49" s="570"/>
      <c r="AB49" s="570"/>
      <c r="AC49" s="570"/>
      <c r="AD49" s="570"/>
      <c r="AE49" s="570"/>
      <c r="AF49" s="570"/>
      <c r="AG49" s="570"/>
      <c r="AH49" s="570">
        <v>0</v>
      </c>
      <c r="AI49" s="570">
        <v>312</v>
      </c>
      <c r="AJ49" s="570">
        <v>78</v>
      </c>
      <c r="AK49" s="570"/>
      <c r="AL49" s="570">
        <v>0</v>
      </c>
    </row>
    <row r="50" spans="1:38" ht="16" x14ac:dyDescent="0.2">
      <c r="A50" s="1">
        <v>7</v>
      </c>
      <c r="B50" s="1" t="s">
        <v>268</v>
      </c>
      <c r="C50" s="183" t="s">
        <v>802</v>
      </c>
      <c r="D50" s="104" t="s">
        <v>40</v>
      </c>
      <c r="E50" s="104" t="s">
        <v>15</v>
      </c>
      <c r="F50" s="104" t="s">
        <v>551</v>
      </c>
      <c r="G50" s="104">
        <v>1334231</v>
      </c>
      <c r="H50" s="105">
        <v>44011</v>
      </c>
      <c r="I50" s="107">
        <f ca="1">YEARFRAC(H50,TODAY())</f>
        <v>1.0249999999999999</v>
      </c>
      <c r="J50" s="104">
        <f ca="1">_xlfn.DAYS(TODAY(),H50)</f>
        <v>374</v>
      </c>
      <c r="K50" s="104">
        <f ca="1">J50/30</f>
        <v>12.466666666666667</v>
      </c>
      <c r="L50" s="328" t="s">
        <v>14</v>
      </c>
      <c r="M50" s="17">
        <v>44270</v>
      </c>
      <c r="N50" s="17">
        <v>44368</v>
      </c>
      <c r="O50" s="1">
        <f t="shared" si="17"/>
        <v>8.6333333333333329</v>
      </c>
      <c r="P50" s="1">
        <f t="shared" si="18"/>
        <v>11.9</v>
      </c>
      <c r="Q50" s="357"/>
      <c r="R50" s="357"/>
      <c r="S50" s="357"/>
      <c r="T50" s="357"/>
      <c r="U50" s="357"/>
      <c r="V50" s="357"/>
      <c r="W50" s="357"/>
      <c r="X50" s="357"/>
      <c r="Y50" s="357"/>
      <c r="Z50" s="357"/>
      <c r="AA50" s="357"/>
      <c r="AB50" s="357"/>
      <c r="AC50" s="357"/>
      <c r="AD50" s="357"/>
      <c r="AE50" s="357"/>
      <c r="AF50" s="357"/>
      <c r="AG50" s="357"/>
      <c r="AH50" s="357"/>
      <c r="AI50" s="357"/>
      <c r="AJ50" s="357"/>
      <c r="AK50" s="357"/>
      <c r="AL50" s="357"/>
    </row>
    <row r="51" spans="1:38" ht="16" x14ac:dyDescent="0.2">
      <c r="A51" s="1">
        <v>8</v>
      </c>
      <c r="B51" s="1" t="s">
        <v>269</v>
      </c>
      <c r="C51" s="183" t="s">
        <v>805</v>
      </c>
      <c r="D51" s="110" t="s">
        <v>37</v>
      </c>
      <c r="E51" s="321" t="s">
        <v>15</v>
      </c>
      <c r="F51" s="110" t="s">
        <v>592</v>
      </c>
      <c r="G51" s="321">
        <v>1299767</v>
      </c>
      <c r="H51" s="322">
        <v>44002</v>
      </c>
      <c r="I51" s="323">
        <f t="shared" ref="I51:I74" ca="1" si="19">YEARFRAC(H51,TODAY())</f>
        <v>1.05</v>
      </c>
      <c r="J51" s="108">
        <f t="shared" ref="J51:J74" ca="1" si="20">_xlfn.DAYS(TODAY(),H51)</f>
        <v>383</v>
      </c>
      <c r="K51" s="108">
        <f t="shared" ref="K51:K74" ca="1" si="21">J51/30</f>
        <v>12.766666666666667</v>
      </c>
      <c r="L51" s="328" t="s">
        <v>14</v>
      </c>
      <c r="M51" s="17">
        <v>44270</v>
      </c>
      <c r="N51" s="17">
        <v>44368</v>
      </c>
      <c r="O51" s="1">
        <f t="shared" si="17"/>
        <v>8.9333333333333336</v>
      </c>
      <c r="P51" s="1">
        <f t="shared" si="18"/>
        <v>12.2</v>
      </c>
      <c r="Q51" s="572"/>
      <c r="R51" s="572"/>
      <c r="S51" s="572"/>
      <c r="T51" s="572"/>
      <c r="U51" s="572"/>
      <c r="V51" s="572"/>
      <c r="W51" s="572"/>
      <c r="X51" s="572">
        <v>0</v>
      </c>
      <c r="Y51" s="572">
        <v>104</v>
      </c>
      <c r="Z51" s="572">
        <v>296</v>
      </c>
      <c r="AA51" s="572"/>
      <c r="AB51" s="572"/>
      <c r="AC51" s="572"/>
      <c r="AD51" s="572"/>
      <c r="AE51" s="572"/>
      <c r="AF51" s="572"/>
      <c r="AG51" s="572"/>
      <c r="AH51" s="572"/>
      <c r="AI51" s="572">
        <v>214</v>
      </c>
      <c r="AJ51" s="572">
        <v>176</v>
      </c>
      <c r="AK51" s="572"/>
      <c r="AL51" s="572"/>
    </row>
    <row r="52" spans="1:38" ht="16" x14ac:dyDescent="0.2">
      <c r="A52" s="1">
        <v>9</v>
      </c>
      <c r="B52" s="1" t="s">
        <v>270</v>
      </c>
      <c r="C52" s="183" t="s">
        <v>805</v>
      </c>
      <c r="D52" s="110" t="s">
        <v>37</v>
      </c>
      <c r="E52" s="321" t="s">
        <v>15</v>
      </c>
      <c r="F52" s="110" t="s">
        <v>551</v>
      </c>
      <c r="G52" s="321">
        <v>1299767</v>
      </c>
      <c r="H52" s="322">
        <v>44002</v>
      </c>
      <c r="I52" s="323">
        <f t="shared" ca="1" si="19"/>
        <v>1.05</v>
      </c>
      <c r="J52" s="108">
        <f t="shared" ca="1" si="20"/>
        <v>383</v>
      </c>
      <c r="K52" s="108">
        <f t="shared" ca="1" si="21"/>
        <v>12.766666666666667</v>
      </c>
      <c r="L52" s="328" t="s">
        <v>14</v>
      </c>
      <c r="M52" s="17">
        <v>44270</v>
      </c>
      <c r="N52" s="17">
        <v>44368</v>
      </c>
      <c r="O52" s="1">
        <f t="shared" si="17"/>
        <v>8.9333333333333336</v>
      </c>
      <c r="P52" s="1">
        <f t="shared" si="18"/>
        <v>12.2</v>
      </c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</row>
    <row r="53" spans="1:38" ht="16" x14ac:dyDescent="0.2">
      <c r="A53" s="1">
        <v>10</v>
      </c>
      <c r="B53" s="1" t="s">
        <v>271</v>
      </c>
      <c r="C53" s="183" t="s">
        <v>805</v>
      </c>
      <c r="D53" s="110" t="s">
        <v>37</v>
      </c>
      <c r="E53" s="321" t="s">
        <v>15</v>
      </c>
      <c r="F53" s="110" t="s">
        <v>549</v>
      </c>
      <c r="G53" s="321">
        <v>1299767</v>
      </c>
      <c r="H53" s="322">
        <v>44002</v>
      </c>
      <c r="I53" s="323">
        <f t="shared" ca="1" si="19"/>
        <v>1.05</v>
      </c>
      <c r="J53" s="108">
        <f t="shared" ca="1" si="20"/>
        <v>383</v>
      </c>
      <c r="K53" s="108">
        <f t="shared" ca="1" si="21"/>
        <v>12.766666666666667</v>
      </c>
      <c r="L53" s="328" t="s">
        <v>14</v>
      </c>
      <c r="M53" s="17">
        <v>44270</v>
      </c>
      <c r="N53" s="17">
        <v>44368</v>
      </c>
      <c r="O53" s="1">
        <f t="shared" si="17"/>
        <v>8.9333333333333336</v>
      </c>
      <c r="P53" s="1">
        <f t="shared" si="18"/>
        <v>12.2</v>
      </c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</row>
    <row r="54" spans="1:38" ht="16" x14ac:dyDescent="0.2">
      <c r="A54" s="1">
        <v>11</v>
      </c>
      <c r="B54" s="1" t="s">
        <v>272</v>
      </c>
      <c r="C54" s="183" t="s">
        <v>805</v>
      </c>
      <c r="D54" s="110" t="s">
        <v>37</v>
      </c>
      <c r="E54" s="321" t="s">
        <v>15</v>
      </c>
      <c r="F54" s="110" t="s">
        <v>548</v>
      </c>
      <c r="G54" s="321">
        <v>1299767</v>
      </c>
      <c r="H54" s="322">
        <v>44002</v>
      </c>
      <c r="I54" s="323">
        <f t="shared" ca="1" si="19"/>
        <v>1.05</v>
      </c>
      <c r="J54" s="108">
        <f t="shared" ca="1" si="20"/>
        <v>383</v>
      </c>
      <c r="K54" s="108">
        <f t="shared" ca="1" si="21"/>
        <v>12.766666666666667</v>
      </c>
      <c r="L54" s="328" t="s">
        <v>14</v>
      </c>
      <c r="M54" s="17">
        <v>44270</v>
      </c>
      <c r="N54" s="17">
        <v>44368</v>
      </c>
      <c r="O54" s="1">
        <f t="shared" si="17"/>
        <v>8.9333333333333336</v>
      </c>
      <c r="P54" s="1">
        <f t="shared" si="18"/>
        <v>12.2</v>
      </c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</row>
    <row r="55" spans="1:38" ht="16" x14ac:dyDescent="0.2">
      <c r="A55" s="1">
        <v>12</v>
      </c>
      <c r="B55" s="1" t="s">
        <v>273</v>
      </c>
      <c r="C55" s="183" t="s">
        <v>805</v>
      </c>
      <c r="D55" s="110" t="s">
        <v>37</v>
      </c>
      <c r="E55" s="321" t="s">
        <v>15</v>
      </c>
      <c r="F55" s="110" t="s">
        <v>546</v>
      </c>
      <c r="G55" s="321">
        <v>1299767</v>
      </c>
      <c r="H55" s="322">
        <v>44002</v>
      </c>
      <c r="I55" s="323">
        <f t="shared" ca="1" si="19"/>
        <v>1.05</v>
      </c>
      <c r="J55" s="108">
        <f t="shared" ca="1" si="20"/>
        <v>383</v>
      </c>
      <c r="K55" s="108">
        <f t="shared" ca="1" si="21"/>
        <v>12.766666666666667</v>
      </c>
      <c r="L55" s="328" t="s">
        <v>14</v>
      </c>
      <c r="M55" s="17">
        <v>44270</v>
      </c>
      <c r="N55" s="17">
        <v>44368</v>
      </c>
      <c r="O55" s="1">
        <f t="shared" si="17"/>
        <v>8.9333333333333336</v>
      </c>
      <c r="P55" s="1">
        <f t="shared" si="18"/>
        <v>12.2</v>
      </c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 t="s">
        <v>651</v>
      </c>
      <c r="AH55" s="110"/>
      <c r="AI55" s="110"/>
      <c r="AJ55" s="110"/>
      <c r="AK55" s="110"/>
      <c r="AL55" s="110"/>
    </row>
    <row r="56" spans="1:38" ht="16" x14ac:dyDescent="0.2">
      <c r="A56" s="1">
        <v>13</v>
      </c>
      <c r="B56" s="1" t="s">
        <v>274</v>
      </c>
      <c r="C56" s="183" t="s">
        <v>811</v>
      </c>
      <c r="D56" s="110" t="s">
        <v>37</v>
      </c>
      <c r="E56" s="321" t="s">
        <v>17</v>
      </c>
      <c r="F56" s="110" t="s">
        <v>592</v>
      </c>
      <c r="G56" s="321">
        <v>1336228</v>
      </c>
      <c r="H56" s="322">
        <v>44002</v>
      </c>
      <c r="I56" s="323">
        <f t="shared" ca="1" si="19"/>
        <v>1.05</v>
      </c>
      <c r="J56" s="108">
        <f t="shared" ca="1" si="20"/>
        <v>383</v>
      </c>
      <c r="K56" s="108">
        <f t="shared" ca="1" si="21"/>
        <v>12.766666666666667</v>
      </c>
      <c r="L56" s="328" t="s">
        <v>14</v>
      </c>
      <c r="M56" s="17">
        <v>44270</v>
      </c>
      <c r="N56" s="17">
        <v>44368</v>
      </c>
      <c r="O56" s="1">
        <f t="shared" si="17"/>
        <v>8.9333333333333336</v>
      </c>
      <c r="P56" s="1">
        <f t="shared" si="18"/>
        <v>12.2</v>
      </c>
      <c r="Q56" s="572"/>
      <c r="R56" s="572"/>
      <c r="S56" s="572"/>
      <c r="T56" s="572"/>
      <c r="U56" s="572"/>
      <c r="V56" s="572"/>
      <c r="W56" s="572"/>
      <c r="X56" s="572">
        <v>0</v>
      </c>
      <c r="Y56" s="572">
        <v>90</v>
      </c>
      <c r="Z56" s="572">
        <v>310</v>
      </c>
      <c r="AA56" s="572"/>
      <c r="AB56" s="572"/>
      <c r="AC56" s="572"/>
      <c r="AD56" s="572"/>
      <c r="AE56" s="572"/>
      <c r="AF56" s="572"/>
      <c r="AG56" s="572"/>
      <c r="AH56" s="572">
        <v>0</v>
      </c>
      <c r="AI56" s="572">
        <v>202</v>
      </c>
      <c r="AJ56" s="572">
        <v>198</v>
      </c>
      <c r="AK56" s="572"/>
      <c r="AL56" s="572">
        <v>0</v>
      </c>
    </row>
    <row r="57" spans="1:38" ht="16" x14ac:dyDescent="0.2">
      <c r="A57" s="1">
        <v>14</v>
      </c>
      <c r="B57" s="1" t="s">
        <v>275</v>
      </c>
      <c r="C57" s="183" t="s">
        <v>811</v>
      </c>
      <c r="D57" s="110" t="s">
        <v>37</v>
      </c>
      <c r="E57" s="321" t="s">
        <v>17</v>
      </c>
      <c r="F57" s="110" t="s">
        <v>551</v>
      </c>
      <c r="G57" s="321">
        <v>1336228</v>
      </c>
      <c r="H57" s="322">
        <v>44002</v>
      </c>
      <c r="I57" s="323">
        <f t="shared" ca="1" si="19"/>
        <v>1.05</v>
      </c>
      <c r="J57" s="108">
        <f t="shared" ca="1" si="20"/>
        <v>383</v>
      </c>
      <c r="K57" s="108">
        <f t="shared" ca="1" si="21"/>
        <v>12.766666666666667</v>
      </c>
      <c r="L57" s="328" t="s">
        <v>14</v>
      </c>
      <c r="M57" s="17">
        <v>44270</v>
      </c>
      <c r="N57" s="17">
        <v>44368</v>
      </c>
      <c r="O57" s="1">
        <f t="shared" si="17"/>
        <v>8.9333333333333336</v>
      </c>
      <c r="P57" s="1">
        <f t="shared" si="18"/>
        <v>12.2</v>
      </c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</row>
    <row r="58" spans="1:38" ht="16" x14ac:dyDescent="0.2">
      <c r="A58" s="1">
        <v>15</v>
      </c>
      <c r="B58" s="1" t="s">
        <v>276</v>
      </c>
      <c r="C58" s="183" t="s">
        <v>811</v>
      </c>
      <c r="D58" s="110" t="s">
        <v>37</v>
      </c>
      <c r="E58" s="321" t="s">
        <v>17</v>
      </c>
      <c r="F58" s="110" t="s">
        <v>549</v>
      </c>
      <c r="G58" s="321">
        <v>1336228</v>
      </c>
      <c r="H58" s="322">
        <v>44002</v>
      </c>
      <c r="I58" s="323">
        <f t="shared" ca="1" si="19"/>
        <v>1.05</v>
      </c>
      <c r="J58" s="108">
        <f t="shared" ca="1" si="20"/>
        <v>383</v>
      </c>
      <c r="K58" s="108">
        <f t="shared" ca="1" si="21"/>
        <v>12.766666666666667</v>
      </c>
      <c r="L58" s="328" t="s">
        <v>14</v>
      </c>
      <c r="M58" s="17">
        <v>44270</v>
      </c>
      <c r="N58" s="17">
        <v>44368</v>
      </c>
      <c r="O58" s="1">
        <f t="shared" si="17"/>
        <v>8.9333333333333336</v>
      </c>
      <c r="P58" s="1">
        <f t="shared" si="18"/>
        <v>12.2</v>
      </c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</row>
    <row r="59" spans="1:38" ht="16" x14ac:dyDescent="0.2">
      <c r="A59" s="1">
        <v>16</v>
      </c>
      <c r="B59" s="1" t="s">
        <v>277</v>
      </c>
      <c r="C59" s="183" t="s">
        <v>811</v>
      </c>
      <c r="D59" s="110" t="s">
        <v>37</v>
      </c>
      <c r="E59" s="321" t="s">
        <v>17</v>
      </c>
      <c r="F59" s="110" t="s">
        <v>548</v>
      </c>
      <c r="G59" s="321">
        <v>1336228</v>
      </c>
      <c r="H59" s="322">
        <v>44002</v>
      </c>
      <c r="I59" s="323">
        <f t="shared" ca="1" si="19"/>
        <v>1.05</v>
      </c>
      <c r="J59" s="108">
        <f t="shared" ca="1" si="20"/>
        <v>383</v>
      </c>
      <c r="K59" s="108">
        <f t="shared" ca="1" si="21"/>
        <v>12.766666666666667</v>
      </c>
      <c r="L59" s="328" t="s">
        <v>14</v>
      </c>
      <c r="M59" s="17">
        <v>44270</v>
      </c>
      <c r="N59" s="17">
        <v>44368</v>
      </c>
      <c r="O59" s="1">
        <f t="shared" si="17"/>
        <v>8.9333333333333336</v>
      </c>
      <c r="P59" s="1">
        <f t="shared" si="18"/>
        <v>12.2</v>
      </c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</row>
    <row r="60" spans="1:38" ht="16" x14ac:dyDescent="0.2">
      <c r="A60" s="1">
        <v>31</v>
      </c>
      <c r="B60" s="1" t="s">
        <v>851</v>
      </c>
      <c r="C60" s="183" t="s">
        <v>811</v>
      </c>
      <c r="D60" s="110" t="s">
        <v>37</v>
      </c>
      <c r="E60" s="321" t="s">
        <v>17</v>
      </c>
      <c r="F60" s="110" t="s">
        <v>550</v>
      </c>
      <c r="G60" s="321">
        <v>1336228</v>
      </c>
      <c r="H60" s="322">
        <v>44002</v>
      </c>
      <c r="I60" s="323">
        <f t="shared" ca="1" si="19"/>
        <v>1.05</v>
      </c>
      <c r="J60" s="108">
        <f t="shared" ca="1" si="20"/>
        <v>383</v>
      </c>
      <c r="K60" s="108">
        <f t="shared" ca="1" si="21"/>
        <v>12.766666666666667</v>
      </c>
      <c r="L60" s="566" t="s">
        <v>14</v>
      </c>
      <c r="M60" s="17">
        <v>44270</v>
      </c>
      <c r="N60" s="17">
        <v>44368</v>
      </c>
      <c r="O60" s="567">
        <f t="shared" si="17"/>
        <v>8.9333333333333336</v>
      </c>
      <c r="P60" s="567">
        <f t="shared" si="18"/>
        <v>12.2</v>
      </c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68"/>
      <c r="AB60" s="568"/>
      <c r="AC60" s="568"/>
      <c r="AD60" s="568"/>
      <c r="AE60" s="568"/>
      <c r="AF60" s="568"/>
      <c r="AG60" s="568"/>
      <c r="AH60" s="568"/>
      <c r="AI60" s="568"/>
      <c r="AJ60" s="568"/>
      <c r="AK60" s="568"/>
      <c r="AL60" s="568"/>
    </row>
    <row r="61" spans="1:38" ht="16" x14ac:dyDescent="0.2">
      <c r="A61" s="1">
        <v>17</v>
      </c>
      <c r="B61" s="1" t="s">
        <v>278</v>
      </c>
      <c r="C61" s="183" t="s">
        <v>817</v>
      </c>
      <c r="D61" s="376" t="s">
        <v>37</v>
      </c>
      <c r="E61" s="377" t="s">
        <v>17</v>
      </c>
      <c r="F61" s="376" t="s">
        <v>592</v>
      </c>
      <c r="G61" s="377">
        <v>1343435</v>
      </c>
      <c r="H61" s="378">
        <v>43998</v>
      </c>
      <c r="I61" s="379">
        <f t="shared" ca="1" si="19"/>
        <v>1.0611111111111111</v>
      </c>
      <c r="J61" s="380">
        <f t="shared" ca="1" si="20"/>
        <v>387</v>
      </c>
      <c r="K61" s="380">
        <f t="shared" ca="1" si="21"/>
        <v>12.9</v>
      </c>
      <c r="L61" s="340" t="s">
        <v>547</v>
      </c>
      <c r="M61" s="381">
        <v>44270</v>
      </c>
      <c r="N61" s="381">
        <v>44368</v>
      </c>
      <c r="O61" s="1">
        <f t="shared" si="17"/>
        <v>9.0666666666666664</v>
      </c>
      <c r="P61" s="1">
        <f t="shared" si="18"/>
        <v>12.333333333333334</v>
      </c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48"/>
      <c r="AB61" s="348"/>
      <c r="AC61" s="348"/>
      <c r="AD61" s="348"/>
      <c r="AE61" s="348"/>
      <c r="AF61" s="348"/>
      <c r="AG61" s="348"/>
      <c r="AH61" s="348"/>
      <c r="AI61" s="348"/>
      <c r="AJ61" s="348"/>
      <c r="AK61" s="348"/>
      <c r="AL61" s="348"/>
    </row>
    <row r="62" spans="1:38" ht="16" x14ac:dyDescent="0.2">
      <c r="A62" s="1">
        <v>18</v>
      </c>
      <c r="B62" s="1" t="s">
        <v>279</v>
      </c>
      <c r="C62" s="183" t="s">
        <v>817</v>
      </c>
      <c r="D62" s="110" t="s">
        <v>37</v>
      </c>
      <c r="E62" s="321" t="s">
        <v>17</v>
      </c>
      <c r="F62" s="110" t="s">
        <v>551</v>
      </c>
      <c r="G62" s="321">
        <v>1343435</v>
      </c>
      <c r="H62" s="322">
        <v>43998</v>
      </c>
      <c r="I62" s="323">
        <f t="shared" ca="1" si="19"/>
        <v>1.0611111111111111</v>
      </c>
      <c r="J62" s="108">
        <f t="shared" ca="1" si="20"/>
        <v>387</v>
      </c>
      <c r="K62" s="108">
        <f t="shared" ca="1" si="21"/>
        <v>12.9</v>
      </c>
      <c r="L62" s="340" t="s">
        <v>547</v>
      </c>
      <c r="M62" s="17">
        <v>44270</v>
      </c>
      <c r="N62" s="17">
        <v>44368</v>
      </c>
      <c r="O62" s="1">
        <f t="shared" si="17"/>
        <v>9.0666666666666664</v>
      </c>
      <c r="P62" s="1">
        <f t="shared" si="18"/>
        <v>12.333333333333334</v>
      </c>
      <c r="Q62" s="348"/>
      <c r="R62" s="348"/>
      <c r="S62" s="348"/>
      <c r="T62" s="348"/>
      <c r="U62" s="348"/>
      <c r="V62" s="348"/>
      <c r="W62" s="348"/>
      <c r="X62" s="348"/>
      <c r="Y62" s="348"/>
      <c r="Z62" s="348"/>
      <c r="AA62" s="348"/>
      <c r="AB62" s="348"/>
      <c r="AC62" s="348"/>
      <c r="AD62" s="348"/>
      <c r="AE62" s="348"/>
      <c r="AF62" s="348"/>
      <c r="AG62" s="348"/>
      <c r="AH62" s="348"/>
      <c r="AI62" s="348"/>
      <c r="AJ62" s="348"/>
      <c r="AK62" s="348"/>
      <c r="AL62" s="348"/>
    </row>
    <row r="63" spans="1:38" ht="16" x14ac:dyDescent="0.2">
      <c r="A63" s="1">
        <v>19</v>
      </c>
      <c r="B63" s="1" t="s">
        <v>280</v>
      </c>
      <c r="C63" s="183" t="s">
        <v>817</v>
      </c>
      <c r="D63" s="110" t="s">
        <v>37</v>
      </c>
      <c r="E63" s="321" t="s">
        <v>17</v>
      </c>
      <c r="F63" s="110" t="s">
        <v>550</v>
      </c>
      <c r="G63" s="321">
        <v>1343435</v>
      </c>
      <c r="H63" s="322">
        <v>43998</v>
      </c>
      <c r="I63" s="323">
        <f t="shared" ca="1" si="19"/>
        <v>1.0611111111111111</v>
      </c>
      <c r="J63" s="108">
        <f t="shared" ca="1" si="20"/>
        <v>387</v>
      </c>
      <c r="K63" s="108">
        <f t="shared" ca="1" si="21"/>
        <v>12.9</v>
      </c>
      <c r="L63" s="340" t="s">
        <v>547</v>
      </c>
      <c r="M63" s="17">
        <v>44270</v>
      </c>
      <c r="N63" s="17">
        <v>44368</v>
      </c>
      <c r="O63" s="1">
        <f t="shared" si="17"/>
        <v>9.0666666666666664</v>
      </c>
      <c r="P63" s="1">
        <f t="shared" si="18"/>
        <v>12.333333333333334</v>
      </c>
      <c r="Q63" s="348"/>
      <c r="R63" s="348"/>
      <c r="S63" s="348"/>
      <c r="T63" s="348"/>
      <c r="U63" s="348"/>
      <c r="V63" s="348"/>
      <c r="W63" s="348"/>
      <c r="X63" s="348"/>
      <c r="Y63" s="348"/>
      <c r="Z63" s="348"/>
      <c r="AA63" s="348"/>
      <c r="AB63" s="348"/>
      <c r="AC63" s="348"/>
      <c r="AD63" s="348"/>
      <c r="AE63" s="348"/>
      <c r="AF63" s="348"/>
      <c r="AG63" s="348"/>
      <c r="AH63" s="348"/>
      <c r="AI63" s="348"/>
      <c r="AJ63" s="348"/>
      <c r="AK63" s="348"/>
      <c r="AL63" s="348"/>
    </row>
    <row r="64" spans="1:38" ht="16" x14ac:dyDescent="0.2">
      <c r="A64" s="1">
        <v>20</v>
      </c>
      <c r="B64" s="1" t="s">
        <v>281</v>
      </c>
      <c r="C64" s="183" t="s">
        <v>817</v>
      </c>
      <c r="D64" s="110" t="s">
        <v>37</v>
      </c>
      <c r="E64" s="321" t="s">
        <v>17</v>
      </c>
      <c r="F64" s="110" t="s">
        <v>546</v>
      </c>
      <c r="G64" s="321">
        <v>1343435</v>
      </c>
      <c r="H64" s="322">
        <v>43998</v>
      </c>
      <c r="I64" s="323">
        <f t="shared" ca="1" si="19"/>
        <v>1.0611111111111111</v>
      </c>
      <c r="J64" s="108">
        <f t="shared" ca="1" si="20"/>
        <v>387</v>
      </c>
      <c r="K64" s="108">
        <f t="shared" ca="1" si="21"/>
        <v>12.9</v>
      </c>
      <c r="L64" s="340" t="s">
        <v>547</v>
      </c>
      <c r="M64" s="17">
        <v>44270</v>
      </c>
      <c r="N64" s="17">
        <v>44368</v>
      </c>
      <c r="O64" s="1">
        <f t="shared" si="17"/>
        <v>9.0666666666666664</v>
      </c>
      <c r="P64" s="1">
        <f t="shared" si="18"/>
        <v>12.333333333333334</v>
      </c>
      <c r="Q64" s="348"/>
      <c r="R64" s="348"/>
      <c r="S64" s="348"/>
      <c r="T64" s="348"/>
      <c r="U64" s="348"/>
      <c r="V64" s="348"/>
      <c r="W64" s="348"/>
      <c r="X64" s="348"/>
      <c r="Y64" s="348"/>
      <c r="Z64" s="348"/>
      <c r="AA64" s="348"/>
      <c r="AB64" s="348"/>
      <c r="AC64" s="348"/>
      <c r="AD64" s="348"/>
      <c r="AE64" s="348"/>
      <c r="AF64" s="348"/>
      <c r="AG64" s="348"/>
      <c r="AH64" s="348"/>
      <c r="AI64" s="348"/>
      <c r="AJ64" s="348"/>
      <c r="AK64" s="348"/>
      <c r="AL64" s="348"/>
    </row>
    <row r="65" spans="1:38" ht="16" x14ac:dyDescent="0.2">
      <c r="A65" s="1">
        <v>21</v>
      </c>
      <c r="B65" s="1" t="s">
        <v>282</v>
      </c>
      <c r="C65" s="183" t="s">
        <v>817</v>
      </c>
      <c r="D65" s="110" t="s">
        <v>37</v>
      </c>
      <c r="E65" s="321" t="s">
        <v>17</v>
      </c>
      <c r="F65" s="110" t="s">
        <v>716</v>
      </c>
      <c r="G65" s="321">
        <v>1343435</v>
      </c>
      <c r="H65" s="322">
        <v>43998</v>
      </c>
      <c r="I65" s="323">
        <f t="shared" ca="1" si="19"/>
        <v>1.0611111111111111</v>
      </c>
      <c r="J65" s="108">
        <f t="shared" ca="1" si="20"/>
        <v>387</v>
      </c>
      <c r="K65" s="108">
        <f t="shared" ca="1" si="21"/>
        <v>12.9</v>
      </c>
      <c r="L65" s="340" t="s">
        <v>547</v>
      </c>
      <c r="M65" s="17">
        <v>44270</v>
      </c>
      <c r="N65" s="17">
        <v>44368</v>
      </c>
      <c r="O65" s="1">
        <f t="shared" si="17"/>
        <v>9.0666666666666664</v>
      </c>
      <c r="P65" s="1">
        <f t="shared" si="18"/>
        <v>12.333333333333334</v>
      </c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48"/>
      <c r="AB65" s="348"/>
      <c r="AC65" s="348"/>
      <c r="AD65" s="348"/>
      <c r="AE65" s="348"/>
      <c r="AF65" s="348"/>
      <c r="AG65" s="348"/>
      <c r="AH65" s="348"/>
      <c r="AI65" s="348"/>
      <c r="AJ65" s="348"/>
      <c r="AK65" s="348"/>
      <c r="AL65" s="348"/>
    </row>
    <row r="66" spans="1:38" ht="16" x14ac:dyDescent="0.2">
      <c r="A66" s="1">
        <v>22</v>
      </c>
      <c r="B66" s="1" t="s">
        <v>283</v>
      </c>
      <c r="C66" s="183" t="s">
        <v>823</v>
      </c>
      <c r="D66" s="110" t="s">
        <v>37</v>
      </c>
      <c r="E66" s="321" t="s">
        <v>15</v>
      </c>
      <c r="F66" s="110" t="s">
        <v>592</v>
      </c>
      <c r="G66" s="321">
        <v>1336218</v>
      </c>
      <c r="H66" s="322">
        <v>44002</v>
      </c>
      <c r="I66" s="323">
        <f t="shared" ca="1" si="19"/>
        <v>1.05</v>
      </c>
      <c r="J66" s="108">
        <f t="shared" ca="1" si="20"/>
        <v>383</v>
      </c>
      <c r="K66" s="108">
        <f t="shared" ca="1" si="21"/>
        <v>12.766666666666667</v>
      </c>
      <c r="L66" s="340" t="s">
        <v>547</v>
      </c>
      <c r="M66" s="17">
        <v>44270</v>
      </c>
      <c r="N66" s="17">
        <v>44368</v>
      </c>
      <c r="O66" s="1">
        <f t="shared" si="17"/>
        <v>8.9333333333333336</v>
      </c>
      <c r="P66" s="1">
        <f t="shared" si="18"/>
        <v>12.2</v>
      </c>
      <c r="Q66" s="348"/>
      <c r="R66" s="348"/>
      <c r="S66" s="348"/>
      <c r="T66" s="348"/>
      <c r="U66" s="348"/>
      <c r="V66" s="348"/>
      <c r="W66" s="348"/>
      <c r="X66" s="348"/>
      <c r="Y66" s="348"/>
      <c r="Z66" s="348"/>
      <c r="AA66" s="348"/>
      <c r="AB66" s="348"/>
      <c r="AC66" s="348"/>
      <c r="AD66" s="348"/>
      <c r="AE66" s="348"/>
      <c r="AF66" s="348"/>
      <c r="AG66" s="348"/>
      <c r="AH66" s="348"/>
      <c r="AI66" s="348"/>
      <c r="AJ66" s="348"/>
      <c r="AK66" s="348"/>
      <c r="AL66" s="348"/>
    </row>
    <row r="67" spans="1:38" ht="16" x14ac:dyDescent="0.2">
      <c r="A67" s="1">
        <v>23</v>
      </c>
      <c r="B67" s="1" t="s">
        <v>284</v>
      </c>
      <c r="C67" s="183" t="s">
        <v>823</v>
      </c>
      <c r="D67" s="110" t="s">
        <v>37</v>
      </c>
      <c r="E67" s="321" t="s">
        <v>15</v>
      </c>
      <c r="F67" s="110" t="s">
        <v>551</v>
      </c>
      <c r="G67" s="321">
        <v>1336218</v>
      </c>
      <c r="H67" s="322">
        <v>44002</v>
      </c>
      <c r="I67" s="323">
        <f t="shared" ca="1" si="19"/>
        <v>1.05</v>
      </c>
      <c r="J67" s="108">
        <f t="shared" ca="1" si="20"/>
        <v>383</v>
      </c>
      <c r="K67" s="108">
        <f t="shared" ca="1" si="21"/>
        <v>12.766666666666667</v>
      </c>
      <c r="L67" s="340" t="s">
        <v>547</v>
      </c>
      <c r="M67" s="17">
        <v>44270</v>
      </c>
      <c r="N67" s="17">
        <v>44368</v>
      </c>
      <c r="O67" s="1">
        <f t="shared" si="17"/>
        <v>8.9333333333333336</v>
      </c>
      <c r="P67" s="1">
        <f t="shared" si="18"/>
        <v>12.2</v>
      </c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348"/>
      <c r="AB67" s="348"/>
      <c r="AC67" s="348"/>
      <c r="AD67" s="348"/>
      <c r="AE67" s="348"/>
      <c r="AF67" s="348"/>
      <c r="AG67" s="348"/>
      <c r="AH67" s="348"/>
      <c r="AI67" s="348"/>
      <c r="AJ67" s="348"/>
      <c r="AK67" s="348"/>
      <c r="AL67" s="348"/>
    </row>
    <row r="68" spans="1:38" ht="16" x14ac:dyDescent="0.2">
      <c r="A68" s="1">
        <v>24</v>
      </c>
      <c r="B68" s="1" t="s">
        <v>285</v>
      </c>
      <c r="C68" s="183" t="s">
        <v>823</v>
      </c>
      <c r="D68" s="110" t="s">
        <v>37</v>
      </c>
      <c r="E68" s="321" t="s">
        <v>15</v>
      </c>
      <c r="F68" s="110" t="s">
        <v>549</v>
      </c>
      <c r="G68" s="321">
        <v>1336218</v>
      </c>
      <c r="H68" s="322">
        <v>44002</v>
      </c>
      <c r="I68" s="323">
        <f t="shared" ca="1" si="19"/>
        <v>1.05</v>
      </c>
      <c r="J68" s="108">
        <f t="shared" ca="1" si="20"/>
        <v>383</v>
      </c>
      <c r="K68" s="108">
        <f t="shared" ca="1" si="21"/>
        <v>12.766666666666667</v>
      </c>
      <c r="L68" s="340" t="s">
        <v>547</v>
      </c>
      <c r="M68" s="17">
        <v>44270</v>
      </c>
      <c r="N68" s="17">
        <v>44368</v>
      </c>
      <c r="O68" s="1">
        <f t="shared" si="17"/>
        <v>8.9333333333333336</v>
      </c>
      <c r="P68" s="1">
        <f t="shared" si="18"/>
        <v>12.2</v>
      </c>
      <c r="Q68" s="348"/>
      <c r="R68" s="348"/>
      <c r="S68" s="348"/>
      <c r="T68" s="348"/>
      <c r="U68" s="348"/>
      <c r="V68" s="348"/>
      <c r="W68" s="348"/>
      <c r="X68" s="348"/>
      <c r="Y68" s="348"/>
      <c r="Z68" s="348"/>
      <c r="AA68" s="348"/>
      <c r="AB68" s="348"/>
      <c r="AC68" s="348"/>
      <c r="AD68" s="348"/>
      <c r="AE68" s="348"/>
      <c r="AF68" s="348"/>
      <c r="AG68" s="348"/>
      <c r="AH68" s="348"/>
      <c r="AI68" s="348"/>
      <c r="AJ68" s="348"/>
      <c r="AK68" s="348"/>
      <c r="AL68" s="348"/>
    </row>
    <row r="69" spans="1:38" ht="16" x14ac:dyDescent="0.2">
      <c r="A69" s="1">
        <v>25</v>
      </c>
      <c r="B69" s="1" t="s">
        <v>286</v>
      </c>
      <c r="C69" s="183" t="s">
        <v>823</v>
      </c>
      <c r="D69" s="110" t="s">
        <v>37</v>
      </c>
      <c r="E69" s="321" t="s">
        <v>15</v>
      </c>
      <c r="F69" s="110" t="s">
        <v>548</v>
      </c>
      <c r="G69" s="321">
        <v>1336218</v>
      </c>
      <c r="H69" s="322">
        <v>44002</v>
      </c>
      <c r="I69" s="323">
        <f t="shared" ca="1" si="19"/>
        <v>1.05</v>
      </c>
      <c r="J69" s="108">
        <f t="shared" ca="1" si="20"/>
        <v>383</v>
      </c>
      <c r="K69" s="108">
        <f t="shared" ca="1" si="21"/>
        <v>12.766666666666667</v>
      </c>
      <c r="L69" s="340" t="s">
        <v>547</v>
      </c>
      <c r="M69" s="17">
        <v>44270</v>
      </c>
      <c r="N69" s="17">
        <v>44368</v>
      </c>
      <c r="O69" s="1">
        <f t="shared" si="17"/>
        <v>8.9333333333333336</v>
      </c>
      <c r="P69" s="1">
        <f t="shared" si="18"/>
        <v>12.2</v>
      </c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348"/>
      <c r="AB69" s="348"/>
      <c r="AC69" s="348"/>
      <c r="AD69" s="348"/>
      <c r="AE69" s="348"/>
      <c r="AF69" s="348"/>
      <c r="AG69" s="348"/>
      <c r="AH69" s="348"/>
      <c r="AI69" s="348"/>
      <c r="AJ69" s="348"/>
      <c r="AK69" s="348"/>
      <c r="AL69" s="348"/>
    </row>
    <row r="70" spans="1:38" ht="16" x14ac:dyDescent="0.2">
      <c r="A70" s="1">
        <v>26</v>
      </c>
      <c r="B70" s="1" t="s">
        <v>287</v>
      </c>
      <c r="C70" s="183" t="s">
        <v>823</v>
      </c>
      <c r="D70" s="110" t="s">
        <v>37</v>
      </c>
      <c r="E70" s="321" t="s">
        <v>15</v>
      </c>
      <c r="F70" s="110" t="s">
        <v>546</v>
      </c>
      <c r="G70" s="321">
        <v>1336218</v>
      </c>
      <c r="H70" s="322">
        <v>44002</v>
      </c>
      <c r="I70" s="323">
        <f t="shared" ca="1" si="19"/>
        <v>1.05</v>
      </c>
      <c r="J70" s="108">
        <f t="shared" ca="1" si="20"/>
        <v>383</v>
      </c>
      <c r="K70" s="108">
        <f t="shared" ca="1" si="21"/>
        <v>12.766666666666667</v>
      </c>
      <c r="L70" s="340" t="s">
        <v>547</v>
      </c>
      <c r="M70" s="17">
        <v>44270</v>
      </c>
      <c r="N70" s="17">
        <v>44368</v>
      </c>
      <c r="O70" s="1">
        <f t="shared" si="17"/>
        <v>8.9333333333333336</v>
      </c>
      <c r="P70" s="1">
        <f t="shared" si="18"/>
        <v>12.2</v>
      </c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48"/>
      <c r="AB70" s="348"/>
      <c r="AC70" s="348"/>
      <c r="AD70" s="348"/>
      <c r="AE70" s="348"/>
      <c r="AF70" s="348"/>
      <c r="AG70" s="348"/>
      <c r="AH70" s="348"/>
      <c r="AI70" s="348"/>
      <c r="AJ70" s="348"/>
      <c r="AK70" s="348"/>
      <c r="AL70" s="348"/>
    </row>
    <row r="71" spans="1:38" ht="16" x14ac:dyDescent="0.2">
      <c r="A71" s="1">
        <v>27</v>
      </c>
      <c r="B71" s="1" t="s">
        <v>288</v>
      </c>
      <c r="C71" s="183" t="s">
        <v>829</v>
      </c>
      <c r="D71" s="110" t="s">
        <v>37</v>
      </c>
      <c r="E71" s="321" t="s">
        <v>15</v>
      </c>
      <c r="F71" s="110" t="s">
        <v>592</v>
      </c>
      <c r="G71" s="321">
        <v>1324363</v>
      </c>
      <c r="H71" s="322">
        <v>44010</v>
      </c>
      <c r="I71" s="323">
        <f t="shared" ca="1" si="19"/>
        <v>1.0277777777777777</v>
      </c>
      <c r="J71" s="108">
        <f t="shared" ca="1" si="20"/>
        <v>375</v>
      </c>
      <c r="K71" s="108">
        <f t="shared" ca="1" si="21"/>
        <v>12.5</v>
      </c>
      <c r="L71" s="340" t="s">
        <v>547</v>
      </c>
      <c r="M71" s="17">
        <v>44270</v>
      </c>
      <c r="N71" s="17">
        <v>44368</v>
      </c>
      <c r="O71" s="1">
        <f t="shared" si="17"/>
        <v>8.6666666666666661</v>
      </c>
      <c r="P71" s="1">
        <f t="shared" si="18"/>
        <v>11.933333333333334</v>
      </c>
      <c r="Q71" s="348"/>
      <c r="R71" s="348"/>
      <c r="S71" s="348"/>
      <c r="T71" s="348"/>
      <c r="U71" s="348"/>
      <c r="V71" s="348"/>
      <c r="W71" s="348"/>
      <c r="X71" s="348"/>
      <c r="Y71" s="348"/>
      <c r="Z71" s="348"/>
      <c r="AA71" s="348"/>
      <c r="AB71" s="348"/>
      <c r="AC71" s="348"/>
      <c r="AD71" s="348"/>
      <c r="AE71" s="348"/>
      <c r="AF71" s="348"/>
      <c r="AG71" s="348"/>
      <c r="AH71" s="348"/>
      <c r="AI71" s="348"/>
      <c r="AJ71" s="348"/>
      <c r="AK71" s="348"/>
      <c r="AL71" s="348"/>
    </row>
    <row r="72" spans="1:38" ht="16" x14ac:dyDescent="0.2">
      <c r="A72" s="1">
        <v>28</v>
      </c>
      <c r="B72" s="1" t="s">
        <v>289</v>
      </c>
      <c r="C72" s="183" t="s">
        <v>829</v>
      </c>
      <c r="D72" s="110" t="s">
        <v>37</v>
      </c>
      <c r="E72" s="321" t="s">
        <v>15</v>
      </c>
      <c r="F72" s="110" t="s">
        <v>551</v>
      </c>
      <c r="G72" s="321">
        <v>1324363</v>
      </c>
      <c r="H72" s="322">
        <v>44010</v>
      </c>
      <c r="I72" s="323">
        <f t="shared" ca="1" si="19"/>
        <v>1.0277777777777777</v>
      </c>
      <c r="J72" s="108">
        <f t="shared" ca="1" si="20"/>
        <v>375</v>
      </c>
      <c r="K72" s="108">
        <f t="shared" ca="1" si="21"/>
        <v>12.5</v>
      </c>
      <c r="L72" s="340" t="s">
        <v>547</v>
      </c>
      <c r="M72" s="17">
        <v>44270</v>
      </c>
      <c r="N72" s="17">
        <v>44368</v>
      </c>
      <c r="O72" s="1">
        <f t="shared" si="17"/>
        <v>8.6666666666666661</v>
      </c>
      <c r="P72" s="1">
        <f t="shared" si="18"/>
        <v>11.933333333333334</v>
      </c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348"/>
      <c r="AB72" s="348"/>
      <c r="AC72" s="348"/>
      <c r="AD72" s="348"/>
      <c r="AE72" s="348"/>
      <c r="AF72" s="348"/>
      <c r="AG72" s="348"/>
      <c r="AH72" s="348"/>
      <c r="AI72" s="348"/>
      <c r="AJ72" s="348"/>
      <c r="AK72" s="348"/>
      <c r="AL72" s="348"/>
    </row>
    <row r="73" spans="1:38" ht="16" x14ac:dyDescent="0.2">
      <c r="A73" s="1">
        <v>29</v>
      </c>
      <c r="B73" s="1" t="s">
        <v>290</v>
      </c>
      <c r="C73" s="183" t="s">
        <v>829</v>
      </c>
      <c r="D73" s="110" t="s">
        <v>37</v>
      </c>
      <c r="E73" s="321" t="s">
        <v>15</v>
      </c>
      <c r="F73" s="110" t="s">
        <v>549</v>
      </c>
      <c r="G73" s="321">
        <v>1324363</v>
      </c>
      <c r="H73" s="322">
        <v>44010</v>
      </c>
      <c r="I73" s="323">
        <f t="shared" ca="1" si="19"/>
        <v>1.0277777777777777</v>
      </c>
      <c r="J73" s="108">
        <f t="shared" ca="1" si="20"/>
        <v>375</v>
      </c>
      <c r="K73" s="108">
        <f t="shared" ca="1" si="21"/>
        <v>12.5</v>
      </c>
      <c r="L73" s="340" t="s">
        <v>547</v>
      </c>
      <c r="M73" s="17">
        <v>44270</v>
      </c>
      <c r="N73" s="17">
        <v>44368</v>
      </c>
      <c r="O73" s="1">
        <f t="shared" si="17"/>
        <v>8.6666666666666661</v>
      </c>
      <c r="P73" s="1">
        <f t="shared" si="18"/>
        <v>11.933333333333334</v>
      </c>
      <c r="Q73" s="348"/>
      <c r="R73" s="348"/>
      <c r="S73" s="348"/>
      <c r="T73" s="348"/>
      <c r="U73" s="348"/>
      <c r="V73" s="348"/>
      <c r="W73" s="348"/>
      <c r="X73" s="348"/>
      <c r="Y73" s="348"/>
      <c r="Z73" s="348"/>
      <c r="AA73" s="348"/>
      <c r="AB73" s="348"/>
      <c r="AC73" s="348"/>
      <c r="AD73" s="348"/>
      <c r="AE73" s="348"/>
      <c r="AF73" s="348"/>
      <c r="AG73" s="348"/>
      <c r="AH73" s="348"/>
      <c r="AI73" s="348"/>
      <c r="AJ73" s="348"/>
      <c r="AK73" s="348"/>
      <c r="AL73" s="348"/>
    </row>
    <row r="74" spans="1:38" ht="16" x14ac:dyDescent="0.2">
      <c r="A74" s="1">
        <v>30</v>
      </c>
      <c r="B74" s="1" t="s">
        <v>291</v>
      </c>
      <c r="C74" s="183" t="s">
        <v>829</v>
      </c>
      <c r="D74" s="110" t="s">
        <v>37</v>
      </c>
      <c r="E74" s="321" t="s">
        <v>15</v>
      </c>
      <c r="F74" s="110" t="s">
        <v>548</v>
      </c>
      <c r="G74" s="321">
        <v>1324363</v>
      </c>
      <c r="H74" s="322">
        <v>44010</v>
      </c>
      <c r="I74" s="323">
        <f t="shared" ca="1" si="19"/>
        <v>1.0277777777777777</v>
      </c>
      <c r="J74" s="108">
        <f t="shared" ca="1" si="20"/>
        <v>375</v>
      </c>
      <c r="K74" s="108">
        <f t="shared" ca="1" si="21"/>
        <v>12.5</v>
      </c>
      <c r="L74" s="340" t="s">
        <v>547</v>
      </c>
      <c r="M74" s="17">
        <v>44270</v>
      </c>
      <c r="N74" s="17">
        <v>44368</v>
      </c>
      <c r="O74" s="1">
        <f t="shared" si="17"/>
        <v>8.6666666666666661</v>
      </c>
      <c r="P74" s="1">
        <f t="shared" si="18"/>
        <v>11.933333333333334</v>
      </c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48"/>
      <c r="AB74" s="348"/>
      <c r="AC74" s="348"/>
      <c r="AD74" s="348"/>
      <c r="AE74" s="348"/>
      <c r="AF74" s="348"/>
      <c r="AG74" s="348"/>
      <c r="AH74" s="348"/>
      <c r="AI74" s="348"/>
      <c r="AJ74" s="348"/>
      <c r="AK74" s="348"/>
      <c r="AL74" s="348"/>
    </row>
    <row r="75" spans="1:38" x14ac:dyDescent="0.2">
      <c r="Q75" s="569"/>
      <c r="R75" s="569"/>
      <c r="S75" s="569"/>
      <c r="T75" s="569"/>
      <c r="U75" s="569"/>
      <c r="V75" s="569"/>
      <c r="W75" s="569"/>
      <c r="X75" s="569">
        <v>0</v>
      </c>
      <c r="Y75" s="569">
        <f>SUM(Y44:Y74)</f>
        <v>661</v>
      </c>
      <c r="Z75" s="569">
        <f>SUM(Z44:Z74)</f>
        <v>939</v>
      </c>
      <c r="AA75" s="569"/>
      <c r="AB75" s="569"/>
      <c r="AC75" s="569"/>
      <c r="AD75" s="569"/>
      <c r="AE75" s="569"/>
      <c r="AF75" s="569"/>
      <c r="AG75" s="569"/>
      <c r="AH75" s="569"/>
      <c r="AI75" s="569">
        <f>SUM(AI44:AI74)</f>
        <v>990</v>
      </c>
      <c r="AJ75" s="569">
        <f>SUM(AJ44:AJ74)</f>
        <v>580</v>
      </c>
      <c r="AK75" s="569"/>
      <c r="AL75" s="569"/>
    </row>
  </sheetData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All_Cohorts_V2</vt:lpstr>
      <vt:lpstr>QCLAB_AD_mice</vt:lpstr>
      <vt:lpstr>CTRL_18MnthCohort1_10_26_20</vt:lpstr>
      <vt:lpstr>HFD_Cohort1_10_5_20</vt:lpstr>
      <vt:lpstr>January_Mixed_Cohort HFD+HFCTRL</vt:lpstr>
      <vt:lpstr>CTRL_12MnthCohort2_2_1_21</vt:lpstr>
      <vt:lpstr>CTRL_12MnthCohort3_2_22_21</vt:lpstr>
      <vt:lpstr>March_Mixed_Cohort HFD+HFCTRL</vt:lpstr>
      <vt:lpstr>CTRL_12_18MnthCohort__5_3_21</vt:lpstr>
      <vt:lpstr>KO </vt:lpstr>
      <vt:lpstr>August_Mixed_Cohort HFD+CTRL</vt:lpstr>
      <vt:lpstr>September_Mixed_Cohort_HFD_CTRL</vt:lpstr>
      <vt:lpstr>October_Mixed_Cohort_HFD_CTRL</vt:lpstr>
      <vt:lpstr>MASTER_AB</vt:lpstr>
      <vt:lpstr>Metabolomics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2021-01-04T15:59:41Z</dcterms:created>
  <dcterms:modified xsi:type="dcterms:W3CDTF">2021-07-08T17:19:35Z</dcterms:modified>
  <cp:category/>
  <cp:contentStatus/>
</cp:coreProperties>
</file>