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ctrlProps/ctrlProp23.xml" ContentType="application/vnd.ms-excel.controlproperties+xml"/>
  <Override PartName="/xl/drawings/drawing4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5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6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7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fisco\Downloads\"/>
    </mc:Choice>
  </mc:AlternateContent>
  <xr:revisionPtr revIDLastSave="0" documentId="13_ncr:1_{3AC492C5-400B-4E11-A228-5833941B9885}" xr6:coauthVersionLast="40" xr6:coauthVersionMax="44" xr10:uidLastSave="{00000000-0000-0000-0000-000000000000}"/>
  <bookViews>
    <workbookView xWindow="-13875" yWindow="-16305" windowWidth="29025" windowHeight="15585" tabRatio="905" xr2:uid="{00000000-000D-0000-FFFF-FFFF00000000}"/>
  </bookViews>
  <sheets>
    <sheet name="Experiment Request" sheetId="2" r:id="rId1"/>
    <sheet name="T Cell Isolation" sheetId="9" r:id="rId2"/>
    <sheet name="PBMC Thaw Cell Count " sheetId="10" r:id="rId3"/>
    <sheet name="Naive T Cell Count" sheetId="11" r:id="rId4"/>
    <sheet name="T Cell Expansion" sheetId="4" r:id="rId5"/>
    <sheet name="Expanded T Cell Count" sheetId="12" r:id="rId6"/>
    <sheet name="T Cell Stimulation" sheetId="5" r:id="rId7"/>
    <sheet name="PE Enrichment" sheetId="6" r:id="rId8"/>
    <sheet name="US Pool Count" sheetId="13" r:id="rId9"/>
    <sheet name="T Cell Sort" sheetId="14" r:id="rId10"/>
    <sheet name="Cora Upload File" sheetId="8" r:id="rId11"/>
    <sheet name="Dates" sheetId="3" r:id="rId12"/>
    <sheet name="schedule lookup" sheetId="1" r:id="rId13"/>
  </sheets>
  <definedNames>
    <definedName name="_xlnm.Print_Area" localSheetId="0">'Experiment Request'!$A$1:$E$20</definedName>
    <definedName name="_xlnm.Print_Area" localSheetId="7">'PE Enrichment'!$A$1:$H$10</definedName>
    <definedName name="_xlnm.Print_Area" localSheetId="4">'T Cell Expansion'!$A$1:$E$35</definedName>
    <definedName name="_xlnm.Print_Area" localSheetId="9">'T Cell Sort'!$A$1:$H$19</definedName>
    <definedName name="_xlnm.Print_Area" localSheetId="6">'T Cell Stimulation'!$A$1:$G$17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3" l="1"/>
  <c r="F3" i="8"/>
  <c r="F4" i="8"/>
  <c r="F5" i="8"/>
  <c r="F6" i="8"/>
  <c r="F7" i="8"/>
  <c r="F8" i="8"/>
  <c r="F9" i="8"/>
  <c r="F10" i="8"/>
  <c r="F11" i="8"/>
  <c r="F12" i="8"/>
  <c r="F13" i="8"/>
  <c r="F14" i="8"/>
  <c r="E3" i="8"/>
  <c r="E4" i="8"/>
  <c r="E5" i="8"/>
  <c r="E6" i="8"/>
  <c r="E7" i="8"/>
  <c r="E8" i="8"/>
  <c r="E9" i="8"/>
  <c r="E10" i="8"/>
  <c r="E11" i="8"/>
  <c r="E12" i="8"/>
  <c r="E13" i="8"/>
  <c r="E14" i="8"/>
  <c r="F2" i="8"/>
  <c r="E2" i="8"/>
  <c r="C2" i="14"/>
  <c r="B10" i="13"/>
  <c r="E4" i="13"/>
  <c r="C4" i="13"/>
  <c r="D4" i="13"/>
  <c r="D22" i="5"/>
  <c r="D20" i="5"/>
  <c r="D16" i="9"/>
  <c r="D14" i="9"/>
  <c r="G2" i="5"/>
  <c r="D2" i="5"/>
  <c r="B2" i="5"/>
  <c r="B22" i="12"/>
  <c r="C34" i="12"/>
  <c r="B33" i="12"/>
  <c r="B35" i="12"/>
  <c r="E29" i="12"/>
  <c r="C29" i="12"/>
  <c r="D29" i="12"/>
  <c r="C9" i="12"/>
  <c r="C4" i="12"/>
  <c r="D4" i="12"/>
  <c r="E4" i="12"/>
  <c r="B8" i="12"/>
  <c r="B10" i="12"/>
  <c r="D19" i="5"/>
  <c r="B17" i="12"/>
  <c r="D21" i="5"/>
  <c r="B45" i="12"/>
  <c r="B46" i="12"/>
  <c r="C35" i="12"/>
  <c r="D35" i="12"/>
  <c r="D10" i="12"/>
  <c r="C10" i="12"/>
  <c r="D15" i="9"/>
  <c r="D17" i="9"/>
  <c r="C10" i="11"/>
  <c r="C20" i="10"/>
  <c r="C9" i="10"/>
  <c r="B17" i="11"/>
  <c r="B8" i="11"/>
  <c r="E4" i="11"/>
  <c r="B28" i="10"/>
  <c r="D10" i="10"/>
  <c r="E15" i="10"/>
  <c r="E4" i="10"/>
  <c r="B19" i="10"/>
  <c r="C4" i="10"/>
  <c r="C15" i="10"/>
  <c r="D15" i="10"/>
  <c r="B8" i="10"/>
  <c r="C10" i="10"/>
  <c r="B9" i="11"/>
  <c r="C4" i="11"/>
  <c r="D4" i="11"/>
  <c r="B21" i="10"/>
  <c r="D4" i="10"/>
  <c r="D21" i="10"/>
  <c r="C21" i="10"/>
  <c r="C9" i="11"/>
  <c r="D18" i="9"/>
  <c r="D10" i="9"/>
  <c r="A2" i="8"/>
  <c r="B11" i="8" s="1"/>
  <c r="C11" i="8" s="1"/>
  <c r="A3" i="8"/>
  <c r="A4" i="8"/>
  <c r="A5" i="8"/>
  <c r="A6" i="8"/>
  <c r="A7" i="8"/>
  <c r="A8" i="8"/>
  <c r="A9" i="8"/>
  <c r="A10" i="8"/>
  <c r="A11" i="8"/>
  <c r="A12" i="8"/>
  <c r="A14" i="8"/>
  <c r="A13" i="8"/>
  <c r="C2" i="6"/>
  <c r="B2" i="4"/>
  <c r="C2" i="9"/>
  <c r="B3" i="3"/>
  <c r="B2" i="3"/>
  <c r="C2" i="3"/>
  <c r="C3" i="3"/>
  <c r="E4" i="9"/>
  <c r="H2" i="3"/>
  <c r="H3" i="3"/>
  <c r="C24" i="4"/>
  <c r="G2" i="3"/>
  <c r="G3" i="3"/>
  <c r="C20" i="4"/>
  <c r="D2" i="3"/>
  <c r="D3" i="3"/>
  <c r="C8" i="4"/>
  <c r="E2" i="3"/>
  <c r="I2" i="3"/>
  <c r="I3" i="3"/>
  <c r="F2" i="3"/>
  <c r="F3" i="3"/>
  <c r="C16" i="4"/>
  <c r="J2" i="3"/>
  <c r="J3" i="3"/>
  <c r="F19" i="14"/>
  <c r="E4" i="5"/>
  <c r="C28" i="4"/>
  <c r="F4" i="6"/>
  <c r="F4" i="14"/>
  <c r="E16" i="5"/>
  <c r="E3" i="3"/>
  <c r="C12" i="4"/>
  <c r="C4" i="4"/>
  <c r="B5" i="8" l="1"/>
  <c r="C5" i="8" s="1"/>
  <c r="B3" i="8"/>
  <c r="C3" i="8" s="1"/>
  <c r="B9" i="8"/>
  <c r="C9" i="8" s="1"/>
  <c r="B4" i="8"/>
  <c r="C4" i="8" s="1"/>
  <c r="B7" i="8"/>
  <c r="C7" i="8" s="1"/>
  <c r="B13" i="8"/>
  <c r="C13" i="8" s="1"/>
  <c r="B10" i="8"/>
  <c r="C10" i="8" s="1"/>
  <c r="B6" i="8"/>
  <c r="C6" i="8" s="1"/>
  <c r="B12" i="8"/>
  <c r="C12" i="8" s="1"/>
  <c r="B2" i="8"/>
  <c r="C2" i="8" s="1"/>
  <c r="B14" i="8"/>
  <c r="C14" i="8" s="1"/>
  <c r="B8" i="8"/>
  <c r="C8" i="8" s="1"/>
</calcChain>
</file>

<file path=xl/sharedStrings.xml><?xml version="1.0" encoding="utf-8"?>
<sst xmlns="http://schemas.openxmlformats.org/spreadsheetml/2006/main" count="393" uniqueCount="223">
  <si>
    <t>Monday 5:4</t>
  </si>
  <si>
    <t>Tuesday 5:4</t>
  </si>
  <si>
    <t>Wednesday 5:4</t>
  </si>
  <si>
    <t>Friday 5:4</t>
  </si>
  <si>
    <t xml:space="preserve">Sunday 6:5 </t>
  </si>
  <si>
    <t>Monday 6:5</t>
  </si>
  <si>
    <t>Tuesday 6:5</t>
  </si>
  <si>
    <t>Wednesday 6:5</t>
  </si>
  <si>
    <t>Friday 6:5 </t>
  </si>
  <si>
    <t>Sunday 7:6</t>
  </si>
  <si>
    <t>Monday 7:6</t>
  </si>
  <si>
    <t>Tuesday 7:6</t>
  </si>
  <si>
    <t>Wednesday 7:6</t>
  </si>
  <si>
    <t>Thursday 7:6</t>
  </si>
  <si>
    <t>Friday 7:6</t>
  </si>
  <si>
    <t>Start</t>
  </si>
  <si>
    <t>Add 70 ml +IL-2</t>
  </si>
  <si>
    <t>Add 900 ml + IL-2</t>
  </si>
  <si>
    <t>Add IL-2</t>
  </si>
  <si>
    <t>Stimulate</t>
  </si>
  <si>
    <t>Sort</t>
  </si>
  <si>
    <t>Start Day - Operating Schedule</t>
  </si>
  <si>
    <r>
      <t>Antigen Map Experiment Request</t>
    </r>
    <r>
      <rPr>
        <sz val="11"/>
        <color theme="1"/>
        <rFont val="Calibri"/>
        <family val="2"/>
        <scheme val="minor"/>
      </rPr>
      <t> </t>
    </r>
  </si>
  <si>
    <t>Freezer Location:</t>
  </si>
  <si>
    <t>Start Day Operating Schedule:</t>
  </si>
  <si>
    <t>Start Date:</t>
  </si>
  <si>
    <t>Day</t>
  </si>
  <si>
    <t>Date</t>
  </si>
  <si>
    <t>Procedure</t>
  </si>
  <si>
    <t>Step</t>
  </si>
  <si>
    <t>QC Metrics Met?</t>
  </si>
  <si>
    <t>Date Due</t>
  </si>
  <si>
    <t>Date Completed</t>
  </si>
  <si>
    <t>Initials</t>
  </si>
  <si>
    <t>AMP-00001, Naïve T Cell Isolation</t>
  </si>
  <si>
    <t xml:space="preserve">Thaw PBMC </t>
  </si>
  <si>
    <t xml:space="preserve">Isolate Naïve Pan T cells </t>
  </si>
  <si>
    <t>AMP-00002, Polyclonal T Cell Expansion</t>
  </si>
  <si>
    <r>
      <t xml:space="preserve">G-Rex 1     </t>
    </r>
    <r>
      <rPr>
        <sz val="11"/>
        <color theme="1"/>
        <rFont val="MS Gothic"/>
        <family val="3"/>
      </rPr>
      <t>☐</t>
    </r>
  </si>
  <si>
    <r>
      <t xml:space="preserve">G-Rex 2     </t>
    </r>
    <r>
      <rPr>
        <sz val="11"/>
        <color theme="1"/>
        <rFont val="MS Gothic"/>
        <family val="3"/>
      </rPr>
      <t>☐</t>
    </r>
  </si>
  <si>
    <r>
      <t xml:space="preserve">G-Rex 3     </t>
    </r>
    <r>
      <rPr>
        <sz val="11"/>
        <color theme="1"/>
        <rFont val="MS Gothic"/>
        <family val="3"/>
      </rPr>
      <t>☐</t>
    </r>
  </si>
  <si>
    <t>AMP-00003, Harvest of Expanded T cells, Staining of Background CD137</t>
  </si>
  <si>
    <t>AMP-00004, Set up of MIRA Panel Stimulation</t>
  </si>
  <si>
    <t>Time in:</t>
  </si>
  <si>
    <r>
      <t>AMP-00005, H</t>
    </r>
    <r>
      <rPr>
        <sz val="12"/>
        <color theme="1"/>
        <rFont val="Calibri"/>
        <family val="2"/>
        <scheme val="minor"/>
      </rPr>
      <t xml:space="preserve">arvest </t>
    </r>
    <r>
      <rPr>
        <sz val="11"/>
        <color theme="1"/>
        <rFont val="Calibri"/>
        <family val="2"/>
        <scheme val="minor"/>
      </rPr>
      <t>of MIRA Panel Stimulation</t>
    </r>
  </si>
  <si>
    <t>Time out:</t>
  </si>
  <si>
    <t>Stain with CD137-PE, CD8-FITC</t>
  </si>
  <si>
    <t>AMP-00008, Preparation of Cell Lysates for Nucleic Acid Extraction</t>
  </si>
  <si>
    <t>AMP-00007, Sorting Activated T cells using FACSMelody</t>
  </si>
  <si>
    <t xml:space="preserve"> Date:</t>
  </si>
  <si>
    <t>Requested by:</t>
  </si>
  <si>
    <t>Pool A:</t>
  </si>
  <si>
    <t>Pool B:</t>
  </si>
  <si>
    <t>Pool C:</t>
  </si>
  <si>
    <t>Pool D:</t>
  </si>
  <si>
    <t>Pool E:</t>
  </si>
  <si>
    <t>Pool F:</t>
  </si>
  <si>
    <t>Pool G:</t>
  </si>
  <si>
    <t>Pool H:</t>
  </si>
  <si>
    <t>Pool I:</t>
  </si>
  <si>
    <t>Pool J:</t>
  </si>
  <si>
    <t>Pool K:</t>
  </si>
  <si>
    <t>Notes:</t>
  </si>
  <si>
    <t>Cell Count</t>
  </si>
  <si>
    <t>Post-sort Cell Count:</t>
  </si>
  <si>
    <t>SP-#:</t>
  </si>
  <si>
    <t>LN2 Freezer Location:</t>
  </si>
  <si>
    <t xml:space="preserve">MIRA Panel: </t>
  </si>
  <si>
    <t>Holding Container Name</t>
  </si>
  <si>
    <t>Notes</t>
  </si>
  <si>
    <t>Container Name</t>
  </si>
  <si>
    <t>NP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</si>
  <si>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</si>
  <si>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</si>
  <si>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</si>
  <si>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</si>
  <si>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</si>
  <si>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</si>
  <si>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</si>
  <si>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</si>
  <si>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</si>
  <si>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</si>
  <si>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</si>
  <si>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US</t>
  </si>
  <si>
    <t xml:space="preserve">MIRA ID: </t>
  </si>
  <si>
    <t>MIRA ID:</t>
  </si>
  <si>
    <t>MIRA ID</t>
  </si>
  <si>
    <t>AMP-00016, Enrichment of PE Labeled Cells using MultiMACS, Manual Method</t>
  </si>
  <si>
    <t>Pool</t>
  </si>
  <si>
    <t>Container Name:</t>
  </si>
  <si>
    <t>No Peptide (NP):</t>
  </si>
  <si>
    <t xml:space="preserve">Unsorted (US): </t>
  </si>
  <si>
    <t>T Cell Expansion</t>
  </si>
  <si>
    <t>T Cell Stimulation</t>
  </si>
  <si>
    <t xml:space="preserve">T Cell Isolation </t>
  </si>
  <si>
    <t>Notes or Special Requests:</t>
  </si>
  <si>
    <t>&gt; 1 Billion Viable Cells</t>
  </si>
  <si>
    <t>Additional Container ID Verified</t>
  </si>
  <si>
    <t>Selected Container IDs Verified</t>
  </si>
  <si>
    <t>T Cell Sort</t>
  </si>
  <si>
    <r>
      <rPr>
        <b/>
        <sz val="11"/>
        <color theme="1"/>
        <rFont val="Calibri"/>
        <family val="2"/>
        <scheme val="minor"/>
      </rPr>
      <t>Second Feed</t>
    </r>
    <r>
      <rPr>
        <sz val="11"/>
        <color theme="1"/>
        <rFont val="Calibri"/>
        <family val="2"/>
        <scheme val="minor"/>
      </rPr>
      <t xml:space="preserve"> 
+ 900 ml RP9
+ 500 ul IL-2</t>
    </r>
  </si>
  <si>
    <r>
      <rPr>
        <b/>
        <sz val="11"/>
        <color theme="1"/>
        <rFont val="Calibri"/>
        <family val="2"/>
        <scheme val="minor"/>
      </rPr>
      <t xml:space="preserve">Third Feed
</t>
    </r>
    <r>
      <rPr>
        <sz val="11"/>
        <color theme="1"/>
        <rFont val="Calibri"/>
        <family val="2"/>
        <scheme val="minor"/>
      </rPr>
      <t>+ 500 ul IL-2</t>
    </r>
  </si>
  <si>
    <r>
      <rPr>
        <b/>
        <sz val="11"/>
        <color theme="1"/>
        <rFont val="Calibri"/>
        <family val="2"/>
        <scheme val="minor"/>
      </rPr>
      <t>Fourth Feed</t>
    </r>
    <r>
      <rPr>
        <sz val="11"/>
        <color theme="1"/>
        <rFont val="Calibri"/>
        <family val="2"/>
        <scheme val="minor"/>
      </rPr>
      <t xml:space="preserve">
+ 500 ul IL-2</t>
    </r>
  </si>
  <si>
    <r>
      <rPr>
        <b/>
        <sz val="11"/>
        <color theme="1"/>
        <rFont val="Calibri"/>
        <family val="2"/>
        <scheme val="minor"/>
      </rPr>
      <t xml:space="preserve">Final Feed </t>
    </r>
    <r>
      <rPr>
        <sz val="11"/>
        <color theme="1"/>
        <rFont val="Calibri"/>
        <family val="2"/>
        <scheme val="minor"/>
      </rPr>
      <t xml:space="preserve">
+ 250 ul IL-2</t>
    </r>
  </si>
  <si>
    <t>StemCell Technologies</t>
  </si>
  <si>
    <t>DPBS (1X)</t>
  </si>
  <si>
    <t>Gibco/Thermo</t>
  </si>
  <si>
    <t>MACS Buffer</t>
  </si>
  <si>
    <t>RP9</t>
  </si>
  <si>
    <t xml:space="preserve">Naïve Pan T Cell Isolation Kit </t>
  </si>
  <si>
    <t>Item</t>
  </si>
  <si>
    <t>Manufacturer</t>
  </si>
  <si>
    <t xml:space="preserve">Lot Number </t>
  </si>
  <si>
    <t xml:space="preserve">Expiration </t>
  </si>
  <si>
    <t>Lot Material Information</t>
  </si>
  <si>
    <t>Verify tube identities in Cora (AMP-00020)</t>
  </si>
  <si>
    <t>Total Volume of PBMC in MACS Buffer (ml)</t>
  </si>
  <si>
    <t>Volume of MACS Buffer to Add:</t>
  </si>
  <si>
    <t>30 - 200 Million Viable Cells</t>
  </si>
  <si>
    <t>CD3/CD28/CD2 Immunocult T Cell Activator</t>
  </si>
  <si>
    <t>G-Rex 100M Cell Culture System</t>
  </si>
  <si>
    <t>Wilson Wolf Manufacturing</t>
  </si>
  <si>
    <t>AMPL</t>
  </si>
  <si>
    <t>Reported % Live</t>
  </si>
  <si>
    <t>Dilution Factor</t>
  </si>
  <si>
    <t>% Viable</t>
  </si>
  <si>
    <t>Total Viable Live Cells</t>
  </si>
  <si>
    <t>Total Volume of Cell Suspension (mL)</t>
  </si>
  <si>
    <t>Corrected Viable Cell Concentration/mL</t>
  </si>
  <si>
    <t>Reported Total Concentration (cells/mL)</t>
  </si>
  <si>
    <t>Reported Live Concentration (cells/mL)</t>
  </si>
  <si>
    <t xml:space="preserve">PBMC Cell Count </t>
  </si>
  <si>
    <t xml:space="preserve">Naïve T Cell Count </t>
  </si>
  <si>
    <t xml:space="preserve">Dilution Factor </t>
  </si>
  <si>
    <t xml:space="preserve">PBMC Cell Count + Fifth Vial  </t>
  </si>
  <si>
    <t>Calculate Excess Cells to Discard</t>
  </si>
  <si>
    <t>Maximum Allowed Number of Cells</t>
  </si>
  <si>
    <t>Viable Cell Concentration/mL</t>
  </si>
  <si>
    <t>Volume to Discard:</t>
  </si>
  <si>
    <t>mL</t>
  </si>
  <si>
    <t>Performance Metrics</t>
  </si>
  <si>
    <t xml:space="preserve">PBMC </t>
  </si>
  <si>
    <t>Total Cell Yield:</t>
  </si>
  <si>
    <t>Naïve T Cell</t>
  </si>
  <si>
    <t>% Yield:</t>
  </si>
  <si>
    <t>% Viable:</t>
  </si>
  <si>
    <t>Stimulation</t>
  </si>
  <si>
    <t>Pre-Stain T Cell Count</t>
  </si>
  <si>
    <t>Post-Stain T Cell Count</t>
  </si>
  <si>
    <t>Calculate RP9 Volume to Add</t>
  </si>
  <si>
    <t>Measured Volume of Cell Suspension (mL)</t>
  </si>
  <si>
    <t>Volume of RP9 to Add:</t>
  </si>
  <si>
    <t>Refer to T Cell Stimulation worksheet</t>
  </si>
  <si>
    <t>Total Viable  Cells</t>
  </si>
  <si>
    <t>Total Viable Cells</t>
  </si>
  <si>
    <t>A647 Used</t>
  </si>
  <si>
    <t>6 - 11 bilion cells</t>
  </si>
  <si>
    <t>Viability &gt;50%</t>
  </si>
  <si>
    <t>Viability &gt;70%</t>
  </si>
  <si>
    <t>Final Concentration/mL</t>
  </si>
  <si>
    <t>Confirm Final Concentration in 510 mL</t>
  </si>
  <si>
    <t>Harvest and Pre-Stain Count</t>
  </si>
  <si>
    <t>Stain Cells with CD137-A647</t>
  </si>
  <si>
    <t>Post-Stain Count</t>
  </si>
  <si>
    <t>3.6 - 9.2 bilion cells</t>
  </si>
  <si>
    <t xml:space="preserve">Confirm Final Cell Concentration </t>
  </si>
  <si>
    <t>Excess T cells discarded</t>
  </si>
  <si>
    <t>Excess PBMC Cells Discarded</t>
  </si>
  <si>
    <t>Excess T Cells Discarded</t>
  </si>
  <si>
    <t>Cells in 510 mL</t>
  </si>
  <si>
    <t>Cells at 
7 - 18 million/mL</t>
  </si>
  <si>
    <t xml:space="preserve">Initiate Culture
</t>
  </si>
  <si>
    <t>Incubator ID</t>
  </si>
  <si>
    <t>CD137-A647</t>
  </si>
  <si>
    <t>BioLegend</t>
  </si>
  <si>
    <t>MIRA Panel:</t>
  </si>
  <si>
    <t>GenScript</t>
  </si>
  <si>
    <t>MIRA Panel 
(12, single use pool aliquots)</t>
  </si>
  <si>
    <t>T Cell Yield:</t>
  </si>
  <si>
    <t>Pre-stain T Cells</t>
  </si>
  <si>
    <t xml:space="preserve">Post-Stain T Cells </t>
  </si>
  <si>
    <t>Remove activated cells from incubator.</t>
  </si>
  <si>
    <t>US and NP Flasks Created</t>
  </si>
  <si>
    <t xml:space="preserve">Incubate overnight. </t>
  </si>
  <si>
    <t>Peptide diluted and added to correct flask (A - K)</t>
  </si>
  <si>
    <t>Witness verified</t>
  </si>
  <si>
    <t>AMP-00005, Harvest/ Stain MIRA Panel Stim Cells</t>
  </si>
  <si>
    <t>CD137-PE Used</t>
  </si>
  <si>
    <t>Time of Peptide Stimulation</t>
  </si>
  <si>
    <t>Unsorted Pool Count</t>
  </si>
  <si>
    <t>Volume of Cells to Harvest for 10 million</t>
  </si>
  <si>
    <t xml:space="preserve">10 million cells </t>
  </si>
  <si>
    <t xml:space="preserve">Aliquot cells from US pool. </t>
  </si>
  <si>
    <t>CD8 FITC</t>
  </si>
  <si>
    <t>Biolegend</t>
  </si>
  <si>
    <t>CD137 PE</t>
  </si>
  <si>
    <t>PE Enrichment</t>
  </si>
  <si>
    <t>DAPI Solution</t>
  </si>
  <si>
    <t>Anti-PE Microbeads Ultrapure</t>
  </si>
  <si>
    <t>Completed</t>
  </si>
  <si>
    <t>Stain with anti-PE microbeads</t>
  </si>
  <si>
    <t xml:space="preserve">Witness verified? </t>
  </si>
  <si>
    <t>Verified</t>
  </si>
  <si>
    <t xml:space="preserve">Each pool transferred to the correct column. </t>
  </si>
  <si>
    <t>Each 5 ml tube in correct location in the elution block.</t>
  </si>
  <si>
    <t>Lyse Unsorted Sample in 650 ul of RLT + 2-ME</t>
  </si>
  <si>
    <t>Lyse 12 sorted samples in 350 ul of RLT + 2-ME</t>
  </si>
  <si>
    <t>Buffer RLT</t>
  </si>
  <si>
    <t>2-ME</t>
  </si>
  <si>
    <t>Sigma-Aldrich</t>
  </si>
  <si>
    <t>Qiagen</t>
  </si>
  <si>
    <t>IL-2 (40 ug/mL) 
50 ul, 150 ul, 500 ul or 750 ul aliquot per procedure</t>
  </si>
  <si>
    <t>Miltenyi</t>
  </si>
  <si>
    <t>Multi24 Column Block</t>
  </si>
  <si>
    <t xml:space="preserve">FACSMelody ID: </t>
  </si>
  <si>
    <t>QC Metric Met?</t>
  </si>
  <si>
    <r>
      <rPr>
        <b/>
        <sz val="11"/>
        <color theme="1"/>
        <rFont val="Calibri"/>
        <family val="2"/>
        <scheme val="minor"/>
      </rPr>
      <t>First Feed</t>
    </r>
    <r>
      <rPr>
        <sz val="11"/>
        <color theme="1"/>
        <rFont val="Calibri"/>
        <family val="2"/>
        <scheme val="minor"/>
      </rPr>
      <t xml:space="preserve">
 + 75ml RP9 
+ 50 ul IL-2</t>
    </r>
  </si>
  <si>
    <t>Lorem ipsum dolor sit amet, consectetur adipiscing elit. Quisque a orci sed odio laoreet.</t>
  </si>
  <si>
    <t xml:space="preserve">Integer id purus dui. Aliquam porta nec est. </t>
  </si>
  <si>
    <t>Nulla pharetra sapien sollicitudin tempus hendrerit. Donec nec.</t>
  </si>
  <si>
    <t>Ut sit amet diam non tortor pulvinar mattis.</t>
  </si>
  <si>
    <t>Donec quis lobortis ipsum. Integer maximus erat eu.</t>
  </si>
  <si>
    <t>M-101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</si>
</sst>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S Gothic"/>
      <family val="3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8" xfId="0" applyFont="1" applyBorder="1" applyAlignment="1">
      <alignment vertical="center" wrapText="1"/>
    </xf>
    <xf numFmtId="164" fontId="0" fillId="0" borderId="0" xfId="0" applyNumberFormat="1"/>
    <xf numFmtId="0" fontId="2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27" xfId="0" applyFont="1" applyBorder="1" applyAlignment="1">
      <alignment horizontal="left"/>
    </xf>
    <xf numFmtId="0" fontId="0" fillId="0" borderId="38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/>
    <xf numFmtId="20" fontId="0" fillId="0" borderId="0" xfId="0" applyNumberFormat="1"/>
    <xf numFmtId="0" fontId="4" fillId="0" borderId="0" xfId="0" applyFont="1"/>
    <xf numFmtId="0" fontId="0" fillId="0" borderId="5" xfId="0" applyBorder="1"/>
    <xf numFmtId="1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1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quotePrefix="1" applyNumberFormat="1" applyBorder="1" applyAlignment="1">
      <alignment horizontal="center" vertical="center"/>
    </xf>
    <xf numFmtId="0" fontId="9" fillId="0" borderId="0" xfId="0" applyFont="1"/>
    <xf numFmtId="2" fontId="0" fillId="0" borderId="1" xfId="0" quotePrefix="1" applyNumberFormat="1" applyBorder="1" applyAlignment="1">
      <alignment horizontal="center" vertical="center"/>
    </xf>
    <xf numFmtId="0" fontId="0" fillId="0" borderId="7" xfId="0" applyBorder="1"/>
    <xf numFmtId="0" fontId="0" fillId="0" borderId="6" xfId="0" applyBorder="1" applyAlignment="1">
      <alignment wrapText="1"/>
    </xf>
    <xf numFmtId="11" fontId="0" fillId="2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11" fontId="10" fillId="2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4" xfId="0" applyBorder="1"/>
    <xf numFmtId="0" fontId="9" fillId="0" borderId="14" xfId="0" applyFont="1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2" fillId="0" borderId="4" xfId="0" applyFont="1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2" xfId="0" applyBorder="1"/>
    <xf numFmtId="11" fontId="0" fillId="0" borderId="1" xfId="0" applyNumberFormat="1" applyBorder="1"/>
    <xf numFmtId="11" fontId="2" fillId="0" borderId="1" xfId="0" applyNumberFormat="1" applyFont="1" applyBorder="1"/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1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locked="0"/>
    </xf>
    <xf numFmtId="11" fontId="0" fillId="2" borderId="5" xfId="0" applyNumberFormat="1" applyFill="1" applyBorder="1" applyAlignment="1" applyProtection="1">
      <alignment horizontal="center" vertical="center"/>
      <protection locked="0"/>
    </xf>
    <xf numFmtId="9" fontId="0" fillId="2" borderId="1" xfId="0" applyNumberFormat="1" applyFill="1" applyBorder="1" applyAlignment="1" applyProtection="1">
      <alignment horizontal="center" vertical="center"/>
      <protection locked="0"/>
    </xf>
    <xf numFmtId="11" fontId="0" fillId="2" borderId="1" xfId="0" applyNumberForma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0" fontId="11" fillId="0" borderId="8" xfId="0" applyFont="1" applyBorder="1" applyAlignment="1" applyProtection="1">
      <alignment horizontal="center" vertical="center" wrapText="1"/>
      <protection hidden="1"/>
    </xf>
    <xf numFmtId="164" fontId="1" fillId="0" borderId="18" xfId="0" applyNumberFormat="1" applyFont="1" applyBorder="1" applyAlignment="1" applyProtection="1">
      <alignment vertical="center" wrapText="1"/>
      <protection locked="0"/>
    </xf>
    <xf numFmtId="0" fontId="0" fillId="0" borderId="3" xfId="0" applyBorder="1" applyAlignment="1">
      <alignment vertical="center" wrapText="1"/>
    </xf>
    <xf numFmtId="164" fontId="1" fillId="0" borderId="18" xfId="0" applyNumberFormat="1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1" fontId="10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vertical="center" wrapText="1"/>
      <protection hidden="1"/>
    </xf>
    <xf numFmtId="0" fontId="11" fillId="0" borderId="1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horizontal="right" vertical="center" wrapText="1"/>
      <protection hidden="1"/>
    </xf>
    <xf numFmtId="0" fontId="2" fillId="0" borderId="1" xfId="0" applyFont="1" applyBorder="1" applyAlignment="1" applyProtection="1">
      <alignment horizontal="right" wrapText="1"/>
      <protection hidden="1"/>
    </xf>
    <xf numFmtId="0" fontId="0" fillId="0" borderId="1" xfId="0" applyBorder="1" applyProtection="1">
      <protection hidden="1"/>
    </xf>
    <xf numFmtId="0" fontId="1" fillId="0" borderId="8" xfId="0" applyFont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1" fontId="0" fillId="0" borderId="1" xfId="0" applyNumberFormat="1" applyBorder="1" applyAlignment="1" applyProtection="1">
      <alignment horizontal="center" vertical="center"/>
      <protection hidden="1"/>
    </xf>
    <xf numFmtId="2" fontId="2" fillId="0" borderId="1" xfId="0" applyNumberFormat="1" applyFont="1" applyBorder="1" applyAlignment="1" applyProtection="1">
      <alignment horizontal="center"/>
      <protection hidden="1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0" fillId="0" borderId="16" xfId="0" applyBorder="1" applyProtection="1">
      <protection hidden="1"/>
    </xf>
    <xf numFmtId="0" fontId="0" fillId="0" borderId="16" xfId="0" applyBorder="1" applyAlignment="1" applyProtection="1">
      <alignment wrapText="1"/>
      <protection hidden="1"/>
    </xf>
    <xf numFmtId="0" fontId="1" fillId="0" borderId="1" xfId="0" applyFont="1" applyBorder="1" applyAlignment="1" applyProtection="1">
      <alignment vertical="center" wrapText="1"/>
      <protection locked="0"/>
    </xf>
    <xf numFmtId="164" fontId="1" fillId="0" borderId="1" xfId="0" applyNumberFormat="1" applyFont="1" applyBorder="1" applyAlignment="1" applyProtection="1">
      <alignment vertical="center" wrapText="1"/>
      <protection hidden="1"/>
    </xf>
    <xf numFmtId="0" fontId="0" fillId="0" borderId="1" xfId="0" applyBorder="1" applyAlignment="1">
      <alignment vertical="center" wrapText="1"/>
    </xf>
    <xf numFmtId="0" fontId="0" fillId="2" borderId="4" xfId="0" applyFill="1" applyBorder="1" applyAlignment="1" applyProtection="1">
      <alignment vertical="top" wrapText="1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164" fontId="0" fillId="0" borderId="17" xfId="0" applyNumberFormat="1" applyBorder="1" applyProtection="1">
      <protection locked="0"/>
    </xf>
    <xf numFmtId="164" fontId="0" fillId="0" borderId="28" xfId="0" applyNumberFormat="1" applyBorder="1" applyProtection="1">
      <protection locked="0"/>
    </xf>
    <xf numFmtId="0" fontId="2" fillId="0" borderId="24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0" fillId="2" borderId="34" xfId="0" applyFill="1" applyBorder="1" applyAlignment="1" applyProtection="1">
      <alignment horizontal="center" vertical="top" wrapText="1"/>
      <protection locked="0"/>
    </xf>
    <xf numFmtId="0" fontId="0" fillId="2" borderId="14" xfId="0" applyFill="1" applyBorder="1" applyAlignment="1" applyProtection="1">
      <alignment horizontal="center" vertical="top" wrapText="1"/>
      <protection locked="0"/>
    </xf>
    <xf numFmtId="0" fontId="0" fillId="2" borderId="15" xfId="0" applyFill="1" applyBorder="1" applyAlignment="1" applyProtection="1">
      <alignment horizontal="center" vertical="top" wrapText="1"/>
      <protection locked="0"/>
    </xf>
    <xf numFmtId="0" fontId="0" fillId="2" borderId="35" xfId="0" applyFill="1" applyBorder="1" applyAlignment="1" applyProtection="1">
      <alignment horizontal="center" vertical="top" wrapText="1"/>
      <protection locked="0"/>
    </xf>
    <xf numFmtId="0" fontId="0" fillId="2" borderId="36" xfId="0" applyFill="1" applyBorder="1" applyAlignment="1" applyProtection="1">
      <alignment horizontal="center" vertical="top" wrapText="1"/>
      <protection locked="0"/>
    </xf>
    <xf numFmtId="0" fontId="0" fillId="2" borderId="37" xfId="0" applyFill="1" applyBorder="1" applyAlignment="1" applyProtection="1">
      <alignment horizontal="center" vertical="top" wrapText="1"/>
      <protection locked="0"/>
    </xf>
    <xf numFmtId="0" fontId="1" fillId="2" borderId="43" xfId="0" applyFont="1" applyFill="1" applyBorder="1" applyAlignment="1" applyProtection="1">
      <alignment horizontal="center" vertical="top" wrapText="1"/>
      <protection locked="0"/>
    </xf>
    <xf numFmtId="0" fontId="1" fillId="2" borderId="23" xfId="0" applyFont="1" applyFill="1" applyBorder="1" applyAlignment="1" applyProtection="1">
      <alignment horizontal="center" vertical="top" wrapText="1"/>
      <protection locked="0"/>
    </xf>
    <xf numFmtId="0" fontId="1" fillId="2" borderId="31" xfId="0" applyFont="1" applyFill="1" applyBorder="1" applyAlignment="1" applyProtection="1">
      <alignment horizontal="center" vertical="top" wrapText="1"/>
      <protection locked="0"/>
    </xf>
    <xf numFmtId="0" fontId="1" fillId="2" borderId="39" xfId="0" applyFont="1" applyFill="1" applyBorder="1" applyAlignment="1" applyProtection="1">
      <alignment horizontal="center" vertical="top" wrapText="1"/>
      <protection locked="0"/>
    </xf>
    <xf numFmtId="0" fontId="1" fillId="2" borderId="9" xfId="0" applyFont="1" applyFill="1" applyBorder="1" applyAlignment="1" applyProtection="1">
      <alignment horizontal="center" vertical="top" wrapText="1"/>
      <protection locked="0"/>
    </xf>
    <xf numFmtId="0" fontId="1" fillId="2" borderId="8" xfId="0" applyFont="1" applyFill="1" applyBorder="1" applyAlignment="1" applyProtection="1">
      <alignment horizontal="center" vertical="top" wrapText="1"/>
      <protection locked="0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10" xfId="0" applyFont="1" applyBorder="1" applyAlignment="1" applyProtection="1">
      <alignment horizontal="center" vertical="top" wrapText="1"/>
      <protection locked="0"/>
    </xf>
    <xf numFmtId="0" fontId="0" fillId="2" borderId="12" xfId="0" applyFill="1" applyBorder="1" applyAlignment="1" applyProtection="1">
      <alignment horizontal="center" vertical="top" wrapText="1"/>
      <protection locked="0"/>
    </xf>
    <xf numFmtId="0" fontId="0" fillId="2" borderId="8" xfId="0" applyFill="1" applyBorder="1" applyAlignment="1" applyProtection="1">
      <alignment horizontal="center" vertical="top" wrapText="1"/>
      <protection locked="0"/>
    </xf>
    <xf numFmtId="164" fontId="0" fillId="2" borderId="21" xfId="0" applyNumberFormat="1" applyFill="1" applyBorder="1" applyAlignment="1" applyProtection="1">
      <alignment horizontal="center" vertical="top" wrapText="1"/>
      <protection locked="0"/>
    </xf>
    <xf numFmtId="164" fontId="0" fillId="2" borderId="22" xfId="0" applyNumberFormat="1" applyFill="1" applyBorder="1" applyAlignment="1" applyProtection="1">
      <alignment horizontal="center" vertical="top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19" xfId="0" applyFont="1" applyBorder="1" applyAlignment="1" applyProtection="1">
      <alignment horizontal="left" wrapText="1"/>
      <protection hidden="1"/>
    </xf>
    <xf numFmtId="0" fontId="2" fillId="0" borderId="20" xfId="0" applyFont="1" applyBorder="1" applyAlignment="1" applyProtection="1">
      <alignment horizontal="left" wrapText="1"/>
      <protection hidden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1" fillId="0" borderId="2" xfId="0" applyNumberFormat="1" applyFont="1" applyBorder="1" applyAlignment="1" applyProtection="1">
      <alignment horizontal="center" vertical="center" wrapText="1"/>
      <protection hidden="1"/>
    </xf>
    <xf numFmtId="164" fontId="1" fillId="0" borderId="3" xfId="0" applyNumberFormat="1" applyFont="1" applyBorder="1" applyAlignment="1" applyProtection="1">
      <alignment horizontal="center" vertical="center" wrapText="1"/>
      <protection hidden="1"/>
    </xf>
    <xf numFmtId="164" fontId="1" fillId="0" borderId="4" xfId="0" applyNumberFormat="1" applyFont="1" applyBorder="1" applyAlignment="1" applyProtection="1">
      <alignment horizontal="center" vertical="center" wrapText="1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6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hidden="1"/>
    </xf>
    <xf numFmtId="164" fontId="1" fillId="0" borderId="11" xfId="0" applyNumberFormat="1" applyFont="1" applyBorder="1" applyAlignment="1" applyProtection="1">
      <alignment horizontal="center" vertical="center" wrapText="1"/>
      <protection hidden="1"/>
    </xf>
    <xf numFmtId="164" fontId="1" fillId="0" borderId="12" xfId="0" applyNumberFormat="1" applyFont="1" applyBorder="1" applyAlignment="1" applyProtection="1">
      <alignment horizontal="center" vertical="center" wrapText="1"/>
      <protection hidden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center" wrapText="1"/>
    </xf>
    <xf numFmtId="164" fontId="0" fillId="0" borderId="2" xfId="0" applyNumberFormat="1" applyBorder="1" applyAlignment="1" applyProtection="1">
      <alignment horizontal="center" vertical="center" wrapText="1"/>
      <protection hidden="1"/>
    </xf>
    <xf numFmtId="164" fontId="0" fillId="0" borderId="3" xfId="0" applyNumberFormat="1" applyBorder="1" applyAlignment="1" applyProtection="1">
      <alignment horizontal="center" vertical="center" wrapText="1"/>
      <protection hidden="1"/>
    </xf>
    <xf numFmtId="164" fontId="0" fillId="0" borderId="4" xfId="0" applyNumberForma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7" xfId="0" applyFont="1" applyBorder="1" applyAlignment="1" applyProtection="1">
      <alignment horizontal="center" vertical="center" wrapText="1"/>
      <protection hidden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1" fillId="0" borderId="44" xfId="0" applyNumberFormat="1" applyFont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1" fontId="1" fillId="0" borderId="5" xfId="0" applyNumberFormat="1" applyFont="1" applyBorder="1" applyAlignment="1" applyProtection="1">
      <alignment horizontal="center" vertical="center" wrapText="1"/>
      <protection hidden="1"/>
    </xf>
    <xf numFmtId="11" fontId="1" fillId="0" borderId="7" xfId="0" applyNumberFormat="1" applyFont="1" applyBorder="1" applyAlignment="1" applyProtection="1">
      <alignment horizontal="center" vertical="center" wrapText="1"/>
      <protection hidden="1"/>
    </xf>
    <xf numFmtId="10" fontId="1" fillId="0" borderId="5" xfId="0" applyNumberFormat="1" applyFont="1" applyBorder="1" applyAlignment="1" applyProtection="1">
      <alignment horizontal="center" vertical="center" wrapText="1"/>
      <protection hidden="1"/>
    </xf>
    <xf numFmtId="10" fontId="1" fillId="0" borderId="7" xfId="0" applyNumberFormat="1" applyFont="1" applyBorder="1" applyAlignment="1" applyProtection="1">
      <alignment horizontal="center" vertical="center" wrapText="1"/>
      <protection hidden="1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1" fillId="0" borderId="5" xfId="0" applyFont="1" applyBorder="1" applyAlignment="1" applyProtection="1">
      <alignment horizontal="left" vertical="center" wrapText="1"/>
      <protection hidden="1"/>
    </xf>
    <xf numFmtId="0" fontId="11" fillId="0" borderId="6" xfId="0" applyFont="1" applyBorder="1" applyAlignment="1" applyProtection="1">
      <alignment horizontal="left" vertical="center" wrapText="1"/>
      <protection hidden="1"/>
    </xf>
    <xf numFmtId="0" fontId="11" fillId="0" borderId="7" xfId="0" applyFont="1" applyBorder="1" applyAlignment="1" applyProtection="1">
      <alignment horizontal="left" vertical="center" wrapText="1"/>
      <protection hidden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center" vertical="center" wrapText="1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45" xfId="0" applyFont="1" applyBorder="1" applyAlignment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7" xfId="0" applyFill="1" applyBorder="1" applyAlignment="1" applyProtection="1">
      <alignment horizontal="center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95250</xdr:rowOff>
        </xdr:from>
        <xdr:to>
          <xdr:col>3</xdr:col>
          <xdr:colOff>895350</xdr:colOff>
          <xdr:row>5</xdr:row>
          <xdr:rowOff>285750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323850</xdr:rowOff>
        </xdr:from>
        <xdr:to>
          <xdr:col>3</xdr:col>
          <xdr:colOff>914400</xdr:colOff>
          <xdr:row>5</xdr:row>
          <xdr:rowOff>533400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95250</xdr:rowOff>
        </xdr:from>
        <xdr:to>
          <xdr:col>3</xdr:col>
          <xdr:colOff>895350</xdr:colOff>
          <xdr:row>6</xdr:row>
          <xdr:rowOff>285750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323850</xdr:rowOff>
        </xdr:from>
        <xdr:to>
          <xdr:col>3</xdr:col>
          <xdr:colOff>914400</xdr:colOff>
          <xdr:row>6</xdr:row>
          <xdr:rowOff>533400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95250</xdr:rowOff>
        </xdr:from>
        <xdr:to>
          <xdr:col>3</xdr:col>
          <xdr:colOff>895350</xdr:colOff>
          <xdr:row>10</xdr:row>
          <xdr:rowOff>285750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323850</xdr:rowOff>
        </xdr:from>
        <xdr:to>
          <xdr:col>3</xdr:col>
          <xdr:colOff>914400</xdr:colOff>
          <xdr:row>10</xdr:row>
          <xdr:rowOff>533400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95250</xdr:rowOff>
        </xdr:from>
        <xdr:to>
          <xdr:col>3</xdr:col>
          <xdr:colOff>895350</xdr:colOff>
          <xdr:row>11</xdr:row>
          <xdr:rowOff>285750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323850</xdr:rowOff>
        </xdr:from>
        <xdr:to>
          <xdr:col>3</xdr:col>
          <xdr:colOff>914400</xdr:colOff>
          <xdr:row>11</xdr:row>
          <xdr:rowOff>533400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95250</xdr:rowOff>
        </xdr:from>
        <xdr:to>
          <xdr:col>3</xdr:col>
          <xdr:colOff>895350</xdr:colOff>
          <xdr:row>7</xdr:row>
          <xdr:rowOff>285750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323850</xdr:rowOff>
        </xdr:from>
        <xdr:to>
          <xdr:col>3</xdr:col>
          <xdr:colOff>914400</xdr:colOff>
          <xdr:row>7</xdr:row>
          <xdr:rowOff>533400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581025</xdr:rowOff>
        </xdr:from>
        <xdr:to>
          <xdr:col>3</xdr:col>
          <xdr:colOff>914400</xdr:colOff>
          <xdr:row>8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95250</xdr:rowOff>
        </xdr:from>
        <xdr:to>
          <xdr:col>3</xdr:col>
          <xdr:colOff>895350</xdr:colOff>
          <xdr:row>12</xdr:row>
          <xdr:rowOff>285750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323850</xdr:rowOff>
        </xdr:from>
        <xdr:to>
          <xdr:col>3</xdr:col>
          <xdr:colOff>914400</xdr:colOff>
          <xdr:row>12</xdr:row>
          <xdr:rowOff>533400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581025</xdr:rowOff>
        </xdr:from>
        <xdr:to>
          <xdr:col>3</xdr:col>
          <xdr:colOff>914400</xdr:colOff>
          <xdr:row>13</xdr:row>
          <xdr:rowOff>19050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95250</xdr:rowOff>
        </xdr:from>
        <xdr:to>
          <xdr:col>3</xdr:col>
          <xdr:colOff>895350</xdr:colOff>
          <xdr:row>3</xdr:row>
          <xdr:rowOff>285750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323850</xdr:rowOff>
        </xdr:from>
        <xdr:to>
          <xdr:col>3</xdr:col>
          <xdr:colOff>914400</xdr:colOff>
          <xdr:row>3</xdr:row>
          <xdr:rowOff>533400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95250</xdr:rowOff>
        </xdr:from>
        <xdr:to>
          <xdr:col>3</xdr:col>
          <xdr:colOff>895350</xdr:colOff>
          <xdr:row>4</xdr:row>
          <xdr:rowOff>285750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323850</xdr:rowOff>
        </xdr:from>
        <xdr:to>
          <xdr:col>3</xdr:col>
          <xdr:colOff>914400</xdr:colOff>
          <xdr:row>4</xdr:row>
          <xdr:rowOff>533400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1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581025</xdr:rowOff>
        </xdr:from>
        <xdr:to>
          <xdr:col>3</xdr:col>
          <xdr:colOff>914400</xdr:colOff>
          <xdr:row>4</xdr:row>
          <xdr:rowOff>790575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13</xdr:row>
          <xdr:rowOff>295275</xdr:rowOff>
        </xdr:from>
        <xdr:to>
          <xdr:col>4</xdr:col>
          <xdr:colOff>1000125</xdr:colOff>
          <xdr:row>13</xdr:row>
          <xdr:rowOff>504825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1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Extra Vial Required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11</xdr:row>
          <xdr:rowOff>0</xdr:rowOff>
        </xdr:from>
        <xdr:to>
          <xdr:col>2</xdr:col>
          <xdr:colOff>142875</xdr:colOff>
          <xdr:row>12</xdr:row>
          <xdr:rowOff>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2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22</xdr:row>
          <xdr:rowOff>171450</xdr:rowOff>
        </xdr:from>
        <xdr:to>
          <xdr:col>2</xdr:col>
          <xdr:colOff>285750</xdr:colOff>
          <xdr:row>23</xdr:row>
          <xdr:rowOff>171450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2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12</xdr:row>
          <xdr:rowOff>0</xdr:rowOff>
        </xdr:from>
        <xdr:to>
          <xdr:col>2</xdr:col>
          <xdr:colOff>409575</xdr:colOff>
          <xdr:row>13</xdr:row>
          <xdr:rowOff>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3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11</xdr:row>
          <xdr:rowOff>171450</xdr:rowOff>
        </xdr:from>
        <xdr:to>
          <xdr:col>2</xdr:col>
          <xdr:colOff>285750</xdr:colOff>
          <xdr:row>12</xdr:row>
          <xdr:rowOff>180975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5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36</xdr:row>
          <xdr:rowOff>171450</xdr:rowOff>
        </xdr:from>
        <xdr:to>
          <xdr:col>2</xdr:col>
          <xdr:colOff>285750</xdr:colOff>
          <xdr:row>37</xdr:row>
          <xdr:rowOff>180975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5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95250</xdr:rowOff>
        </xdr:from>
        <xdr:to>
          <xdr:col>4</xdr:col>
          <xdr:colOff>276225</xdr:colOff>
          <xdr:row>3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6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323850</xdr:rowOff>
        </xdr:from>
        <xdr:to>
          <xdr:col>4</xdr:col>
          <xdr:colOff>295275</xdr:colOff>
          <xdr:row>4</xdr:row>
          <xdr:rowOff>9525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6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95250</xdr:rowOff>
        </xdr:from>
        <xdr:to>
          <xdr:col>4</xdr:col>
          <xdr:colOff>276225</xdr:colOff>
          <xdr:row>4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6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323850</xdr:rowOff>
        </xdr:from>
        <xdr:to>
          <xdr:col>4</xdr:col>
          <xdr:colOff>295275</xdr:colOff>
          <xdr:row>4</xdr:row>
          <xdr:rowOff>533400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6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95250</xdr:rowOff>
        </xdr:from>
        <xdr:to>
          <xdr:col>4</xdr:col>
          <xdr:colOff>276225</xdr:colOff>
          <xdr:row>5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6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323850</xdr:rowOff>
        </xdr:from>
        <xdr:to>
          <xdr:col>4</xdr:col>
          <xdr:colOff>295275</xdr:colOff>
          <xdr:row>5</xdr:row>
          <xdr:rowOff>533400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6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95250</xdr:rowOff>
        </xdr:from>
        <xdr:to>
          <xdr:col>4</xdr:col>
          <xdr:colOff>276225</xdr:colOff>
          <xdr:row>6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6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323850</xdr:rowOff>
        </xdr:from>
        <xdr:to>
          <xdr:col>4</xdr:col>
          <xdr:colOff>295275</xdr:colOff>
          <xdr:row>6</xdr:row>
          <xdr:rowOff>533400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6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95250</xdr:rowOff>
        </xdr:from>
        <xdr:to>
          <xdr:col>4</xdr:col>
          <xdr:colOff>276225</xdr:colOff>
          <xdr:row>7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6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323850</xdr:rowOff>
        </xdr:from>
        <xdr:to>
          <xdr:col>4</xdr:col>
          <xdr:colOff>295275</xdr:colOff>
          <xdr:row>7</xdr:row>
          <xdr:rowOff>533400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6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95250</xdr:rowOff>
        </xdr:from>
        <xdr:to>
          <xdr:col>4</xdr:col>
          <xdr:colOff>276225</xdr:colOff>
          <xdr:row>8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6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323850</xdr:rowOff>
        </xdr:from>
        <xdr:to>
          <xdr:col>4</xdr:col>
          <xdr:colOff>295275</xdr:colOff>
          <xdr:row>8</xdr:row>
          <xdr:rowOff>533400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6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581025</xdr:rowOff>
        </xdr:from>
        <xdr:to>
          <xdr:col>4</xdr:col>
          <xdr:colOff>295275</xdr:colOff>
          <xdr:row>8</xdr:row>
          <xdr:rowOff>790575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6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95250</xdr:rowOff>
        </xdr:from>
        <xdr:to>
          <xdr:col>4</xdr:col>
          <xdr:colOff>276225</xdr:colOff>
          <xdr:row>9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6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323850</xdr:rowOff>
        </xdr:from>
        <xdr:to>
          <xdr:col>4</xdr:col>
          <xdr:colOff>295275</xdr:colOff>
          <xdr:row>9</xdr:row>
          <xdr:rowOff>533400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6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95250</xdr:rowOff>
        </xdr:from>
        <xdr:to>
          <xdr:col>4</xdr:col>
          <xdr:colOff>276225</xdr:colOff>
          <xdr:row>10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6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323850</xdr:rowOff>
        </xdr:from>
        <xdr:to>
          <xdr:col>4</xdr:col>
          <xdr:colOff>295275</xdr:colOff>
          <xdr:row>10</xdr:row>
          <xdr:rowOff>533400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6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95250</xdr:rowOff>
        </xdr:from>
        <xdr:to>
          <xdr:col>4</xdr:col>
          <xdr:colOff>276225</xdr:colOff>
          <xdr:row>12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6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323850</xdr:rowOff>
        </xdr:from>
        <xdr:to>
          <xdr:col>4</xdr:col>
          <xdr:colOff>295275</xdr:colOff>
          <xdr:row>12</xdr:row>
          <xdr:rowOff>533400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6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95250</xdr:rowOff>
        </xdr:from>
        <xdr:to>
          <xdr:col>5</xdr:col>
          <xdr:colOff>390525</xdr:colOff>
          <xdr:row>3</xdr:row>
          <xdr:rowOff>285750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7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323850</xdr:rowOff>
        </xdr:from>
        <xdr:to>
          <xdr:col>5</xdr:col>
          <xdr:colOff>409575</xdr:colOff>
          <xdr:row>4</xdr:row>
          <xdr:rowOff>161925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7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95250</xdr:rowOff>
        </xdr:from>
        <xdr:to>
          <xdr:col>5</xdr:col>
          <xdr:colOff>390525</xdr:colOff>
          <xdr:row>5</xdr:row>
          <xdr:rowOff>285750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7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323850</xdr:rowOff>
        </xdr:from>
        <xdr:to>
          <xdr:col>5</xdr:col>
          <xdr:colOff>409575</xdr:colOff>
          <xdr:row>5</xdr:row>
          <xdr:rowOff>533400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7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9</xdr:row>
          <xdr:rowOff>95250</xdr:rowOff>
        </xdr:from>
        <xdr:to>
          <xdr:col>5</xdr:col>
          <xdr:colOff>390525</xdr:colOff>
          <xdr:row>9</xdr:row>
          <xdr:rowOff>285750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7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9</xdr:row>
          <xdr:rowOff>323850</xdr:rowOff>
        </xdr:from>
        <xdr:to>
          <xdr:col>5</xdr:col>
          <xdr:colOff>409575</xdr:colOff>
          <xdr:row>9</xdr:row>
          <xdr:rowOff>533400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7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95250</xdr:rowOff>
        </xdr:from>
        <xdr:to>
          <xdr:col>5</xdr:col>
          <xdr:colOff>390525</xdr:colOff>
          <xdr:row>8</xdr:row>
          <xdr:rowOff>285750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7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323850</xdr:rowOff>
        </xdr:from>
        <xdr:to>
          <xdr:col>5</xdr:col>
          <xdr:colOff>409575</xdr:colOff>
          <xdr:row>8</xdr:row>
          <xdr:rowOff>533400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7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95250</xdr:rowOff>
        </xdr:from>
        <xdr:to>
          <xdr:col>5</xdr:col>
          <xdr:colOff>390525</xdr:colOff>
          <xdr:row>7</xdr:row>
          <xdr:rowOff>285750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7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323850</xdr:rowOff>
        </xdr:from>
        <xdr:to>
          <xdr:col>5</xdr:col>
          <xdr:colOff>409575</xdr:colOff>
          <xdr:row>7</xdr:row>
          <xdr:rowOff>533400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7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</xdr:row>
          <xdr:rowOff>266700</xdr:rowOff>
        </xdr:from>
        <xdr:to>
          <xdr:col>5</xdr:col>
          <xdr:colOff>57150</xdr:colOff>
          <xdr:row>18</xdr:row>
          <xdr:rowOff>457200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09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</xdr:row>
          <xdr:rowOff>619125</xdr:rowOff>
        </xdr:from>
        <xdr:to>
          <xdr:col>5</xdr:col>
          <xdr:colOff>76200</xdr:colOff>
          <xdr:row>18</xdr:row>
          <xdr:rowOff>828675</xdr:rowOff>
        </xdr:to>
        <xdr:sp macro="" textlink="">
          <xdr:nvSpPr>
            <xdr:cNvPr id="35849" name="Check Box 9" hidden="1">
              <a:extLst>
                <a:ext uri="{63B3BB69-23CF-44E3-9099-C40C66FF867C}">
                  <a14:compatExt spid="_x0000_s35849"/>
                </a:ext>
                <a:ext uri="{FF2B5EF4-FFF2-40B4-BE49-F238E27FC236}">
                  <a16:creationId xmlns:a16="http://schemas.microsoft.com/office/drawing/2014/main" id="{00000000-0008-0000-0900-000009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56.xml"/><Relationship Id="rId4" Type="http://schemas.openxmlformats.org/officeDocument/2006/relationships/ctrlProp" Target="../ctrlProps/ctrlProp5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13" Type="http://schemas.openxmlformats.org/officeDocument/2006/relationships/ctrlProp" Target="../ctrlProps/ctrlProp54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8.xml"/><Relationship Id="rId12" Type="http://schemas.openxmlformats.org/officeDocument/2006/relationships/ctrlProp" Target="../ctrlProps/ctrlProp5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7.xml"/><Relationship Id="rId11" Type="http://schemas.openxmlformats.org/officeDocument/2006/relationships/ctrlProp" Target="../ctrlProps/ctrlProp52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"/>
  <sheetViews>
    <sheetView tabSelected="1" zoomScaleNormal="100" workbookViewId="0">
      <selection activeCell="H8" sqref="H8"/>
    </sheetView>
  </sheetViews>
  <sheetFormatPr defaultRowHeight="15" x14ac:dyDescent="0.25"/>
  <cols>
    <col min="1" max="1" width="17.140625" customWidth="1"/>
    <col min="2" max="2" width="4.5703125" customWidth="1"/>
    <col min="3" max="3" width="22.7109375" customWidth="1"/>
    <col min="4" max="4" width="4.7109375" customWidth="1"/>
    <col min="5" max="5" width="26.5703125" customWidth="1"/>
  </cols>
  <sheetData>
    <row r="1" spans="1:5" ht="15.75" thickBot="1" x14ac:dyDescent="0.3">
      <c r="A1" s="163" t="s">
        <v>22</v>
      </c>
      <c r="B1" s="164"/>
      <c r="C1" s="164"/>
      <c r="D1" s="164"/>
      <c r="E1" s="165"/>
    </row>
    <row r="2" spans="1:5" ht="30.75" customHeight="1" x14ac:dyDescent="0.25">
      <c r="A2" s="131" t="s">
        <v>84</v>
      </c>
      <c r="B2" s="166" t="s">
        <v>24</v>
      </c>
      <c r="C2" s="167"/>
      <c r="D2" s="166" t="s">
        <v>25</v>
      </c>
      <c r="E2" s="167"/>
    </row>
    <row r="3" spans="1:5" ht="15.75" thickBot="1" x14ac:dyDescent="0.3">
      <c r="A3" s="127" t="s">
        <v>222</v>
      </c>
      <c r="B3" s="154"/>
      <c r="C3" s="155"/>
      <c r="D3" s="156"/>
      <c r="E3" s="157"/>
    </row>
    <row r="4" spans="1:5" ht="30" customHeight="1" thickBot="1" x14ac:dyDescent="0.3">
      <c r="A4" s="35" t="s">
        <v>65</v>
      </c>
      <c r="B4" s="168" t="s">
        <v>89</v>
      </c>
      <c r="C4" s="169"/>
      <c r="D4" s="168" t="s">
        <v>66</v>
      </c>
      <c r="E4" s="169"/>
    </row>
    <row r="5" spans="1:5" ht="15.75" thickBot="1" x14ac:dyDescent="0.3">
      <c r="A5" s="170"/>
      <c r="B5" s="7">
        <v>1</v>
      </c>
      <c r="C5" s="128"/>
      <c r="D5" s="7">
        <v>1</v>
      </c>
      <c r="E5" s="130"/>
    </row>
    <row r="6" spans="1:5" ht="15.75" thickBot="1" x14ac:dyDescent="0.3">
      <c r="A6" s="170"/>
      <c r="B6" s="7">
        <v>2</v>
      </c>
      <c r="C6" s="128"/>
      <c r="D6" s="7">
        <v>2</v>
      </c>
      <c r="E6" s="130"/>
    </row>
    <row r="7" spans="1:5" ht="15.75" thickBot="1" x14ac:dyDescent="0.3">
      <c r="A7" s="170"/>
      <c r="B7" s="7">
        <v>3</v>
      </c>
      <c r="C7" s="128"/>
      <c r="D7" s="7">
        <v>3</v>
      </c>
      <c r="E7" s="130"/>
    </row>
    <row r="8" spans="1:5" ht="15.75" thickBot="1" x14ac:dyDescent="0.3">
      <c r="A8" s="170"/>
      <c r="B8" s="7">
        <v>4</v>
      </c>
      <c r="C8" s="128"/>
      <c r="D8" s="7">
        <v>4</v>
      </c>
      <c r="E8" s="130"/>
    </row>
    <row r="9" spans="1:5" ht="15.75" thickBot="1" x14ac:dyDescent="0.3">
      <c r="A9" s="170"/>
      <c r="B9" s="7">
        <v>5</v>
      </c>
      <c r="C9" s="129"/>
      <c r="D9" s="7">
        <v>5</v>
      </c>
      <c r="E9" s="124"/>
    </row>
    <row r="10" spans="1:5" ht="15" customHeight="1" x14ac:dyDescent="0.25">
      <c r="A10" s="136" t="s">
        <v>67</v>
      </c>
      <c r="B10" s="139"/>
      <c r="C10" s="140"/>
      <c r="D10" s="140"/>
      <c r="E10" s="141"/>
    </row>
    <row r="11" spans="1:5" x14ac:dyDescent="0.25">
      <c r="A11" s="137"/>
      <c r="B11" s="142"/>
      <c r="C11" s="143"/>
      <c r="D11" s="143"/>
      <c r="E11" s="144"/>
    </row>
    <row r="12" spans="1:5" ht="15" customHeight="1" x14ac:dyDescent="0.25">
      <c r="A12" s="137" t="s">
        <v>23</v>
      </c>
      <c r="B12" s="145"/>
      <c r="C12" s="146"/>
      <c r="D12" s="146"/>
      <c r="E12" s="147"/>
    </row>
    <row r="13" spans="1:5" ht="15.75" thickBot="1" x14ac:dyDescent="0.3">
      <c r="A13" s="138"/>
      <c r="B13" s="148"/>
      <c r="C13" s="149"/>
      <c r="D13" s="149"/>
      <c r="E13" s="150"/>
    </row>
    <row r="14" spans="1:5" ht="15" customHeight="1" x14ac:dyDescent="0.25">
      <c r="A14" s="160" t="s">
        <v>95</v>
      </c>
      <c r="B14" s="161"/>
      <c r="C14" s="161"/>
      <c r="D14" s="161"/>
      <c r="E14" s="162"/>
    </row>
    <row r="15" spans="1:5" x14ac:dyDescent="0.25">
      <c r="A15" s="151"/>
      <c r="B15" s="152"/>
      <c r="C15" s="152"/>
      <c r="D15" s="152"/>
      <c r="E15" s="153"/>
    </row>
    <row r="16" spans="1:5" x14ac:dyDescent="0.25">
      <c r="A16" s="151"/>
      <c r="B16" s="152"/>
      <c r="C16" s="152"/>
      <c r="D16" s="152"/>
      <c r="E16" s="153"/>
    </row>
    <row r="17" spans="1:5" x14ac:dyDescent="0.25">
      <c r="A17" s="151"/>
      <c r="B17" s="152"/>
      <c r="C17" s="152"/>
      <c r="D17" s="152"/>
      <c r="E17" s="153"/>
    </row>
    <row r="18" spans="1:5" ht="15.75" thickBot="1" x14ac:dyDescent="0.3">
      <c r="A18" s="151"/>
      <c r="B18" s="152"/>
      <c r="C18" s="152"/>
      <c r="D18" s="152"/>
      <c r="E18" s="153"/>
    </row>
    <row r="19" spans="1:5" ht="15" customHeight="1" x14ac:dyDescent="0.25">
      <c r="A19" s="11" t="s">
        <v>50</v>
      </c>
      <c r="B19" s="158"/>
      <c r="C19" s="158"/>
      <c r="D19" s="158"/>
      <c r="E19" s="159"/>
    </row>
    <row r="20" spans="1:5" ht="45" customHeight="1" thickBot="1" x14ac:dyDescent="0.3">
      <c r="A20" s="12" t="s">
        <v>49</v>
      </c>
      <c r="B20" s="134"/>
      <c r="C20" s="134"/>
      <c r="D20" s="134"/>
      <c r="E20" s="135"/>
    </row>
    <row r="21" spans="1:5" x14ac:dyDescent="0.25">
      <c r="A21" s="1"/>
    </row>
    <row r="22" spans="1:5" x14ac:dyDescent="0.25">
      <c r="A22" s="1"/>
    </row>
  </sheetData>
  <sheetProtection sheet="1" objects="1" scenarios="1"/>
  <mergeCells count="16">
    <mergeCell ref="B3:C3"/>
    <mergeCell ref="D3:E3"/>
    <mergeCell ref="B19:E19"/>
    <mergeCell ref="A14:E14"/>
    <mergeCell ref="A1:E1"/>
    <mergeCell ref="B2:C2"/>
    <mergeCell ref="D2:E2"/>
    <mergeCell ref="B4:C4"/>
    <mergeCell ref="D4:E4"/>
    <mergeCell ref="A5:A9"/>
    <mergeCell ref="B20:E20"/>
    <mergeCell ref="A10:A11"/>
    <mergeCell ref="A12:A13"/>
    <mergeCell ref="B10:E11"/>
    <mergeCell ref="B12:E13"/>
    <mergeCell ref="A15:E18"/>
  </mergeCells>
  <dataValidations count="1">
    <dataValidation type="list" allowBlank="1" showInputMessage="1" showErrorMessage="1" sqref="B3:C3" xr:uid="{00000000-0002-0000-0000-000000000000}">
      <formula1>"Monday 5:4, Tuesday 5:4, Wednesday 5:4, Friday 5:4, Sunday 6:5, Monday 6:5, Tuesday 6:5, Wednesday 6:5, Friday 6:5, Sunday 7:6, Monday 7:6, Tuesday 7:6, Wednesday 7:6, Thursday 7:6, Friday 7:6"</formula1>
    </dataValidation>
  </dataValidations>
  <pageMargins left="0.7" right="0.7" top="0.75" bottom="0.75" header="0.3" footer="0.3"/>
  <pageSetup orientation="portrait" r:id="rId1"/>
  <headerFooter>
    <oddHeader>&amp;CAMF-00001-01 Antigen Map Experiment Batch Record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2"/>
  <sheetViews>
    <sheetView workbookViewId="0">
      <selection activeCell="L8" sqref="L8"/>
    </sheetView>
  </sheetViews>
  <sheetFormatPr defaultRowHeight="15" x14ac:dyDescent="0.25"/>
  <cols>
    <col min="1" max="1" width="11.85546875" customWidth="1"/>
    <col min="2" max="2" width="9" customWidth="1"/>
    <col min="3" max="3" width="8.7109375" customWidth="1"/>
    <col min="4" max="4" width="15" customWidth="1"/>
    <col min="5" max="5" width="12.5703125" customWidth="1"/>
    <col min="6" max="6" width="12.28515625" customWidth="1"/>
    <col min="7" max="7" width="11.140625" customWidth="1"/>
    <col min="8" max="8" width="9.7109375" customWidth="1"/>
    <col min="11" max="11" width="16.140625" customWidth="1"/>
    <col min="12" max="12" width="19" customWidth="1"/>
    <col min="13" max="13" width="17.85546875" customWidth="1"/>
    <col min="14" max="14" width="12.42578125" customWidth="1"/>
  </cols>
  <sheetData>
    <row r="1" spans="1:14" ht="15.75" customHeight="1" thickBot="1" x14ac:dyDescent="0.3">
      <c r="A1" s="189" t="s">
        <v>99</v>
      </c>
      <c r="B1" s="190"/>
      <c r="C1" s="190"/>
      <c r="D1" s="190"/>
      <c r="E1" s="190"/>
      <c r="F1" s="191"/>
      <c r="G1" s="191"/>
      <c r="H1" s="192"/>
      <c r="K1" s="189" t="s">
        <v>114</v>
      </c>
      <c r="L1" s="190"/>
      <c r="M1" s="190"/>
      <c r="N1" s="205"/>
    </row>
    <row r="2" spans="1:14" ht="21.75" thickBot="1" x14ac:dyDescent="0.3">
      <c r="A2" s="193" t="s">
        <v>85</v>
      </c>
      <c r="B2" s="194"/>
      <c r="C2" s="276" t="str">
        <f>IF('Experiment Request'!A3=0,"",'Experiment Request'!A3)</f>
        <v>M-101</v>
      </c>
      <c r="D2" s="277"/>
      <c r="E2" s="278"/>
      <c r="F2" s="279" t="s">
        <v>31</v>
      </c>
      <c r="G2" s="185" t="s">
        <v>32</v>
      </c>
      <c r="H2" s="281" t="s">
        <v>33</v>
      </c>
      <c r="K2" s="30" t="s">
        <v>110</v>
      </c>
      <c r="L2" s="28" t="s">
        <v>111</v>
      </c>
      <c r="M2" s="31" t="s">
        <v>112</v>
      </c>
      <c r="N2" s="31" t="s">
        <v>113</v>
      </c>
    </row>
    <row r="3" spans="1:14" ht="16.5" thickBot="1" x14ac:dyDescent="0.3">
      <c r="A3" s="9" t="s">
        <v>28</v>
      </c>
      <c r="B3" s="280" t="s">
        <v>214</v>
      </c>
      <c r="C3" s="294"/>
      <c r="D3" s="295"/>
      <c r="E3" s="296"/>
      <c r="F3" s="280"/>
      <c r="G3" s="188"/>
      <c r="H3" s="282"/>
      <c r="K3" s="21" t="s">
        <v>197</v>
      </c>
      <c r="L3" s="22" t="s">
        <v>122</v>
      </c>
      <c r="M3" s="118"/>
      <c r="N3" s="118"/>
    </row>
    <row r="4" spans="1:14" ht="29.25" customHeight="1" thickBot="1" x14ac:dyDescent="0.3">
      <c r="A4" s="202" t="s">
        <v>48</v>
      </c>
      <c r="B4" s="292" t="s">
        <v>64</v>
      </c>
      <c r="C4" s="293"/>
      <c r="D4" s="292" t="s">
        <v>62</v>
      </c>
      <c r="E4" s="293"/>
      <c r="F4" s="182" t="e">
        <f>Dates!J3</f>
        <v>#N/A</v>
      </c>
      <c r="G4" s="220"/>
      <c r="H4" s="220"/>
      <c r="K4" s="87" t="s">
        <v>108</v>
      </c>
      <c r="L4" s="88" t="s">
        <v>122</v>
      </c>
      <c r="M4" s="118"/>
      <c r="N4" s="118"/>
    </row>
    <row r="5" spans="1:14" ht="30.75" customHeight="1" thickBot="1" x14ac:dyDescent="0.3">
      <c r="A5" s="203"/>
      <c r="B5" s="13" t="s">
        <v>51</v>
      </c>
      <c r="C5" s="121">
        <v>225293</v>
      </c>
      <c r="D5" s="290"/>
      <c r="E5" s="291"/>
      <c r="F5" s="183"/>
      <c r="G5" s="221"/>
      <c r="H5" s="221"/>
      <c r="K5" s="87" t="s">
        <v>207</v>
      </c>
      <c r="L5" s="88" t="s">
        <v>210</v>
      </c>
      <c r="M5" s="118"/>
      <c r="N5" s="118"/>
    </row>
    <row r="6" spans="1:14" ht="60" customHeight="1" thickBot="1" x14ac:dyDescent="0.3">
      <c r="A6" s="203"/>
      <c r="B6" s="13" t="s">
        <v>52</v>
      </c>
      <c r="C6" s="121">
        <v>136133</v>
      </c>
      <c r="D6" s="297" t="s">
        <v>217</v>
      </c>
      <c r="E6" s="298"/>
      <c r="F6" s="183"/>
      <c r="G6" s="221"/>
      <c r="H6" s="221"/>
      <c r="K6" s="46" t="s">
        <v>208</v>
      </c>
      <c r="L6" s="46" t="s">
        <v>209</v>
      </c>
      <c r="M6" s="118"/>
      <c r="N6" s="118"/>
    </row>
    <row r="7" spans="1:14" x14ac:dyDescent="0.25">
      <c r="A7" s="203"/>
      <c r="B7" s="13" t="s">
        <v>53</v>
      </c>
      <c r="C7" s="121">
        <v>914100</v>
      </c>
      <c r="D7" s="297"/>
      <c r="E7" s="298"/>
      <c r="F7" s="183"/>
      <c r="G7" s="221"/>
      <c r="H7" s="221"/>
    </row>
    <row r="8" spans="1:14" ht="75" customHeight="1" x14ac:dyDescent="0.25">
      <c r="A8" s="203"/>
      <c r="B8" s="13" t="s">
        <v>54</v>
      </c>
      <c r="C8" s="121">
        <v>18077</v>
      </c>
      <c r="D8" s="297" t="s">
        <v>218</v>
      </c>
      <c r="E8" s="298"/>
      <c r="F8" s="183"/>
      <c r="G8" s="221"/>
      <c r="H8" s="221"/>
    </row>
    <row r="9" spans="1:14" x14ac:dyDescent="0.25">
      <c r="A9" s="203"/>
      <c r="B9" s="13" t="s">
        <v>55</v>
      </c>
      <c r="C9" s="121">
        <v>531807</v>
      </c>
      <c r="D9" s="297" t="s">
        <v>219</v>
      </c>
      <c r="E9" s="298"/>
      <c r="F9" s="183"/>
      <c r="G9" s="221"/>
      <c r="H9" s="221"/>
    </row>
    <row r="10" spans="1:14" x14ac:dyDescent="0.25">
      <c r="A10" s="203"/>
      <c r="B10" s="13" t="s">
        <v>56</v>
      </c>
      <c r="C10" s="121">
        <v>219392</v>
      </c>
      <c r="D10" s="297" t="s">
        <v>220</v>
      </c>
      <c r="E10" s="298"/>
      <c r="F10" s="183"/>
      <c r="G10" s="221"/>
      <c r="H10" s="221"/>
    </row>
    <row r="11" spans="1:14" x14ac:dyDescent="0.25">
      <c r="A11" s="203"/>
      <c r="B11" s="13" t="s">
        <v>57</v>
      </c>
      <c r="C11" s="121">
        <v>646727</v>
      </c>
      <c r="D11" s="297"/>
      <c r="E11" s="298"/>
      <c r="F11" s="183"/>
      <c r="G11" s="221"/>
      <c r="H11" s="221"/>
    </row>
    <row r="12" spans="1:14" x14ac:dyDescent="0.25">
      <c r="A12" s="203"/>
      <c r="B12" s="13" t="s">
        <v>58</v>
      </c>
      <c r="C12" s="121">
        <v>172555</v>
      </c>
      <c r="D12" s="297" t="s">
        <v>221</v>
      </c>
      <c r="E12" s="298"/>
      <c r="F12" s="183"/>
      <c r="G12" s="221"/>
      <c r="H12" s="221"/>
    </row>
    <row r="13" spans="1:14" x14ac:dyDescent="0.25">
      <c r="A13" s="203"/>
      <c r="B13" s="13" t="s">
        <v>59</v>
      </c>
      <c r="C13" s="121">
        <v>758811</v>
      </c>
      <c r="D13" s="297"/>
      <c r="E13" s="298"/>
      <c r="F13" s="183"/>
      <c r="G13" s="221"/>
      <c r="H13" s="221"/>
    </row>
    <row r="14" spans="1:14" x14ac:dyDescent="0.25">
      <c r="A14" s="203"/>
      <c r="B14" s="13" t="s">
        <v>60</v>
      </c>
      <c r="C14" s="121">
        <v>981824</v>
      </c>
      <c r="D14" s="297"/>
      <c r="E14" s="298"/>
      <c r="F14" s="183"/>
      <c r="G14" s="221"/>
      <c r="H14" s="221"/>
    </row>
    <row r="15" spans="1:14" x14ac:dyDescent="0.25">
      <c r="A15" s="203"/>
      <c r="B15" s="13" t="s">
        <v>61</v>
      </c>
      <c r="C15" s="121">
        <v>371328</v>
      </c>
      <c r="D15" s="297"/>
      <c r="E15" s="298"/>
      <c r="F15" s="183"/>
      <c r="G15" s="221"/>
      <c r="H15" s="221"/>
    </row>
    <row r="16" spans="1:14" ht="45.75" thickBot="1" x14ac:dyDescent="0.3">
      <c r="A16" s="203"/>
      <c r="B16" s="14" t="s">
        <v>90</v>
      </c>
      <c r="C16" s="121">
        <v>488917</v>
      </c>
      <c r="D16" s="297" t="s">
        <v>217</v>
      </c>
      <c r="E16" s="298"/>
      <c r="F16" s="183"/>
      <c r="G16" s="221"/>
      <c r="H16" s="221"/>
    </row>
    <row r="17" spans="1:8" ht="30.75" thickBot="1" x14ac:dyDescent="0.3">
      <c r="A17" s="203"/>
      <c r="B17" s="13" t="s">
        <v>91</v>
      </c>
      <c r="C17" s="86">
        <v>10000000</v>
      </c>
      <c r="D17" s="299"/>
      <c r="E17" s="300"/>
      <c r="F17" s="183"/>
      <c r="G17" s="124"/>
      <c r="H17" s="124"/>
    </row>
    <row r="18" spans="1:8" ht="30.75" customHeight="1" thickBot="1" x14ac:dyDescent="0.3">
      <c r="A18" s="35" t="s">
        <v>28</v>
      </c>
      <c r="B18" s="168" t="s">
        <v>29</v>
      </c>
      <c r="C18" s="270"/>
      <c r="D18" s="168" t="s">
        <v>215</v>
      </c>
      <c r="E18" s="169"/>
      <c r="F18" s="91" t="s">
        <v>31</v>
      </c>
      <c r="G18" s="132" t="s">
        <v>32</v>
      </c>
      <c r="H18" s="133" t="s">
        <v>33</v>
      </c>
    </row>
    <row r="19" spans="1:8" ht="90.75" thickBot="1" x14ac:dyDescent="0.3">
      <c r="A19" s="126" t="s">
        <v>47</v>
      </c>
      <c r="B19" s="226" t="s">
        <v>206</v>
      </c>
      <c r="C19" s="227"/>
      <c r="D19" s="92" t="s">
        <v>199</v>
      </c>
      <c r="E19" s="10"/>
      <c r="F19" s="125" t="e">
        <f>Dates!J3</f>
        <v>#N/A</v>
      </c>
      <c r="G19" s="124"/>
      <c r="H19" s="124"/>
    </row>
    <row r="20" spans="1:8" x14ac:dyDescent="0.25">
      <c r="A20" s="1"/>
      <c r="G20" s="90"/>
      <c r="H20" s="90"/>
    </row>
    <row r="21" spans="1:8" x14ac:dyDescent="0.25">
      <c r="A21" s="1"/>
    </row>
    <row r="22" spans="1:8" x14ac:dyDescent="0.25">
      <c r="A22" s="1"/>
    </row>
  </sheetData>
  <sheetProtection sheet="1" objects="1" scenarios="1"/>
  <mergeCells count="31">
    <mergeCell ref="D6:E6"/>
    <mergeCell ref="D7:E7"/>
    <mergeCell ref="D8:E8"/>
    <mergeCell ref="D9:E9"/>
    <mergeCell ref="B19:C19"/>
    <mergeCell ref="D12:E12"/>
    <mergeCell ref="D13:E13"/>
    <mergeCell ref="D14:E14"/>
    <mergeCell ref="D15:E15"/>
    <mergeCell ref="D17:E17"/>
    <mergeCell ref="B18:C18"/>
    <mergeCell ref="D18:E18"/>
    <mergeCell ref="D10:E10"/>
    <mergeCell ref="D11:E11"/>
    <mergeCell ref="D16:E16"/>
    <mergeCell ref="K1:N1"/>
    <mergeCell ref="A2:B2"/>
    <mergeCell ref="C2:E2"/>
    <mergeCell ref="F2:F3"/>
    <mergeCell ref="D5:E5"/>
    <mergeCell ref="G4:G16"/>
    <mergeCell ref="A1:H1"/>
    <mergeCell ref="B4:C4"/>
    <mergeCell ref="D4:E4"/>
    <mergeCell ref="A4:A17"/>
    <mergeCell ref="F4:F17"/>
    <mergeCell ref="G2:G3"/>
    <mergeCell ref="H2:H3"/>
    <mergeCell ref="B3:C3"/>
    <mergeCell ref="D3:E3"/>
    <mergeCell ref="H4:H1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8" r:id="rId4" name="Check Box 8">
              <controlPr defaultSize="0" autoFill="0" autoLine="0" autoPict="0">
                <anchor moveWithCells="1">
                  <from>
                    <xdr:col>4</xdr:col>
                    <xdr:colOff>9525</xdr:colOff>
                    <xdr:row>18</xdr:row>
                    <xdr:rowOff>266700</xdr:rowOff>
                  </from>
                  <to>
                    <xdr:col>5</xdr:col>
                    <xdr:colOff>57150</xdr:colOff>
                    <xdr:row>18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9" r:id="rId5" name="Check Box 9">
              <controlPr defaultSize="0" autoFill="0" autoLine="0" autoPict="0">
                <anchor moveWithCells="1">
                  <from>
                    <xdr:col>4</xdr:col>
                    <xdr:colOff>9525</xdr:colOff>
                    <xdr:row>18</xdr:row>
                    <xdr:rowOff>619125</xdr:rowOff>
                  </from>
                  <to>
                    <xdr:col>5</xdr:col>
                    <xdr:colOff>76200</xdr:colOff>
                    <xdr:row>18</xdr:row>
                    <xdr:rowOff>828675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>
      <selection activeCell="F20" sqref="F20"/>
    </sheetView>
  </sheetViews>
  <sheetFormatPr defaultRowHeight="15" x14ac:dyDescent="0.25"/>
  <cols>
    <col min="1" max="1" width="18" customWidth="1"/>
    <col min="2" max="2" width="24.85546875" customWidth="1"/>
    <col min="3" max="3" width="23.5703125" customWidth="1"/>
    <col min="4" max="4" width="13.140625" customWidth="1"/>
    <col min="5" max="5" width="10.85546875" customWidth="1"/>
    <col min="6" max="6" width="26.85546875" customWidth="1"/>
  </cols>
  <sheetData>
    <row r="1" spans="1:6" x14ac:dyDescent="0.25">
      <c r="A1" s="122" t="s">
        <v>86</v>
      </c>
      <c r="B1" s="122" t="s">
        <v>68</v>
      </c>
      <c r="C1" s="122" t="s">
        <v>70</v>
      </c>
      <c r="D1" s="122" t="s">
        <v>88</v>
      </c>
      <c r="E1" s="122" t="s">
        <v>63</v>
      </c>
      <c r="F1" s="122" t="s">
        <v>69</v>
      </c>
    </row>
    <row r="2" spans="1:6" x14ac:dyDescent="0.25">
      <c r="A2" s="122" t="str">
        <f>IF('Experiment Request'!$A$3=0,"",'Experiment Request'!$A$3)</f>
        <v>M-101</v>
      </c>
      <c r="B2" s="122" t="str">
        <f>$A$2</f>
        <v>M-101</v>
      </c>
      <c r="C2" s="122" t="str">
        <f>CONCATENATE(B2,"_",D2)</f>
        <v>M-101_A</v>
      </c>
      <c r="D2" s="122" t="s">
        <v>72</v>
      </c>
      <c r="E2" s="122">
        <f>'T Cell Sort'!C5</f>
        <v>225293</v>
      </c>
      <c r="F2" s="123" t="str">
        <f>IF('T Cell Sort'!D5=0,"",'T Cell Sort'!D5)</f>
        <v/>
      </c>
    </row>
    <row r="3" spans="1:6" ht="60" x14ac:dyDescent="0.25">
      <c r="A3" s="122" t="str">
        <f>IF('Experiment Request'!$A$3=0,"",'Experiment Request'!$A$3)</f>
        <v>M-101</v>
      </c>
      <c r="B3" s="122" t="str">
        <f t="shared" ref="B3:B14" si="0">$A$2</f>
        <v>M-101</v>
      </c>
      <c r="C3" s="122" t="str">
        <f t="shared" ref="C3:C14" si="1">CONCATENATE(B3,"_",D3)</f>
        <v>M-101_B</v>
      </c>
      <c r="D3" s="122" t="s">
        <v>73</v>
      </c>
      <c r="E3" s="122">
        <f>'T Cell Sort'!C6</f>
        <v>136133</v>
      </c>
      <c r="F3" s="123" t="str">
        <f>IF('T Cell Sort'!D6=0,"",'T Cell Sort'!D6)</f>
        <v>Lorem ipsum dolor sit amet, consectetur adipiscing elit. Quisque a orci sed odio laoreet.</v>
      </c>
    </row>
    <row r="4" spans="1:6" x14ac:dyDescent="0.25">
      <c r="A4" s="122" t="str">
        <f>IF('Experiment Request'!$A$3=0,"",'Experiment Request'!$A$3)</f>
        <v>M-101</v>
      </c>
      <c r="B4" s="122" t="str">
        <f t="shared" si="0"/>
        <v>M-101</v>
      </c>
      <c r="C4" s="122" t="str">
        <f t="shared" si="1"/>
        <v>M-101_C</v>
      </c>
      <c r="D4" s="122" t="s">
        <v>74</v>
      </c>
      <c r="E4" s="122">
        <f>'T Cell Sort'!C7</f>
        <v>914100</v>
      </c>
      <c r="F4" s="123" t="str">
        <f>IF('T Cell Sort'!D7=0,"",'T Cell Sort'!D7)</f>
        <v/>
      </c>
    </row>
    <row r="5" spans="1:6" ht="30" x14ac:dyDescent="0.25">
      <c r="A5" s="122" t="str">
        <f>IF('Experiment Request'!$A$3=0,"",'Experiment Request'!$A$3)</f>
        <v>M-101</v>
      </c>
      <c r="B5" s="122" t="str">
        <f t="shared" si="0"/>
        <v>M-101</v>
      </c>
      <c r="C5" s="122" t="str">
        <f t="shared" si="1"/>
        <v>M-101_D</v>
      </c>
      <c r="D5" s="122" t="s">
        <v>75</v>
      </c>
      <c r="E5" s="122">
        <f>'T Cell Sort'!C8</f>
        <v>18077</v>
      </c>
      <c r="F5" s="123" t="str">
        <f>IF('T Cell Sort'!D8=0,"",'T Cell Sort'!D8)</f>
        <v xml:space="preserve">Integer id purus dui. Aliquam porta nec est. </v>
      </c>
    </row>
    <row r="6" spans="1:6" ht="45" x14ac:dyDescent="0.25">
      <c r="A6" s="122" t="str">
        <f>IF('Experiment Request'!$A$3=0,"",'Experiment Request'!$A$3)</f>
        <v>M-101</v>
      </c>
      <c r="B6" s="122" t="str">
        <f t="shared" si="0"/>
        <v>M-101</v>
      </c>
      <c r="C6" s="122" t="str">
        <f t="shared" si="1"/>
        <v>M-101_E</v>
      </c>
      <c r="D6" s="122" t="s">
        <v>76</v>
      </c>
      <c r="E6" s="122">
        <f>'T Cell Sort'!C9</f>
        <v>531807</v>
      </c>
      <c r="F6" s="123" t="str">
        <f>IF('T Cell Sort'!D9=0,"",'T Cell Sort'!D9)</f>
        <v>Nulla pharetra sapien sollicitudin tempus hendrerit. Donec nec.</v>
      </c>
    </row>
    <row r="7" spans="1:6" ht="30" x14ac:dyDescent="0.25">
      <c r="A7" s="122" t="str">
        <f>IF('Experiment Request'!$A$3=0,"",'Experiment Request'!$A$3)</f>
        <v>M-101</v>
      </c>
      <c r="B7" s="122" t="str">
        <f t="shared" si="0"/>
        <v>M-101</v>
      </c>
      <c r="C7" s="122" t="str">
        <f t="shared" si="1"/>
        <v>M-101_F</v>
      </c>
      <c r="D7" s="122" t="s">
        <v>77</v>
      </c>
      <c r="E7" s="122">
        <f>'T Cell Sort'!C10</f>
        <v>219392</v>
      </c>
      <c r="F7" s="123" t="str">
        <f>IF('T Cell Sort'!D10=0,"",'T Cell Sort'!D10)</f>
        <v>Ut sit amet diam non tortor pulvinar mattis.</v>
      </c>
    </row>
    <row r="8" spans="1:6" x14ac:dyDescent="0.25">
      <c r="A8" s="122" t="str">
        <f>IF('Experiment Request'!$A$3=0,"",'Experiment Request'!$A$3)</f>
        <v>M-101</v>
      </c>
      <c r="B8" s="122" t="str">
        <f t="shared" si="0"/>
        <v>M-101</v>
      </c>
      <c r="C8" s="122" t="str">
        <f t="shared" si="1"/>
        <v>M-101_G</v>
      </c>
      <c r="D8" s="122" t="s">
        <v>78</v>
      </c>
      <c r="E8" s="122">
        <f>'T Cell Sort'!C11</f>
        <v>646727</v>
      </c>
      <c r="F8" s="123" t="str">
        <f>IF('T Cell Sort'!D11=0,"",'T Cell Sort'!D11)</f>
        <v/>
      </c>
    </row>
    <row r="9" spans="1:6" ht="30" x14ac:dyDescent="0.25">
      <c r="A9" s="122" t="str">
        <f>IF('Experiment Request'!$A$3=0,"",'Experiment Request'!$A$3)</f>
        <v>M-101</v>
      </c>
      <c r="B9" s="122" t="str">
        <f t="shared" si="0"/>
        <v>M-101</v>
      </c>
      <c r="C9" s="122" t="str">
        <f t="shared" si="1"/>
        <v>M-101_H</v>
      </c>
      <c r="D9" s="122" t="s">
        <v>79</v>
      </c>
      <c r="E9" s="122">
        <f>'T Cell Sort'!C12</f>
        <v>172555</v>
      </c>
      <c r="F9" s="123" t="str">
        <f>IF('T Cell Sort'!D12=0,"",'T Cell Sort'!D12)</f>
        <v>Donec quis lobortis ipsum. Integer maximus erat eu.</v>
      </c>
    </row>
    <row r="10" spans="1:6" x14ac:dyDescent="0.25">
      <c r="A10" s="122" t="str">
        <f>IF('Experiment Request'!$A$3=0,"",'Experiment Request'!$A$3)</f>
        <v>M-101</v>
      </c>
      <c r="B10" s="122" t="str">
        <f t="shared" si="0"/>
        <v>M-101</v>
      </c>
      <c r="C10" s="122" t="str">
        <f t="shared" si="1"/>
        <v>M-101_I</v>
      </c>
      <c r="D10" s="122" t="s">
        <v>80</v>
      </c>
      <c r="E10" s="122">
        <f>'T Cell Sort'!C13</f>
        <v>758811</v>
      </c>
      <c r="F10" s="123" t="str">
        <f>IF('T Cell Sort'!D13=0,"",'T Cell Sort'!D13)</f>
        <v/>
      </c>
    </row>
    <row r="11" spans="1:6" x14ac:dyDescent="0.25">
      <c r="A11" s="122" t="str">
        <f>IF('Experiment Request'!$A$3=0,"",'Experiment Request'!$A$3)</f>
        <v>M-101</v>
      </c>
      <c r="B11" s="122" t="str">
        <f t="shared" si="0"/>
        <v>M-101</v>
      </c>
      <c r="C11" s="122" t="str">
        <f t="shared" si="1"/>
        <v>M-101_J</v>
      </c>
      <c r="D11" s="122" t="s">
        <v>81</v>
      </c>
      <c r="E11" s="122">
        <f>'T Cell Sort'!C14</f>
        <v>981824</v>
      </c>
      <c r="F11" s="123" t="str">
        <f>IF('T Cell Sort'!D14=0,"",'T Cell Sort'!D14)</f>
        <v/>
      </c>
    </row>
    <row r="12" spans="1:6" x14ac:dyDescent="0.25">
      <c r="A12" s="122" t="str">
        <f>IF('Experiment Request'!$A$3=0,"",'Experiment Request'!$A$3)</f>
        <v>M-101</v>
      </c>
      <c r="B12" s="122" t="str">
        <f t="shared" si="0"/>
        <v>M-101</v>
      </c>
      <c r="C12" s="122" t="str">
        <f t="shared" si="1"/>
        <v>M-101_K</v>
      </c>
      <c r="D12" s="122" t="s">
        <v>82</v>
      </c>
      <c r="E12" s="122">
        <f>'T Cell Sort'!C15</f>
        <v>371328</v>
      </c>
      <c r="F12" s="123" t="str">
        <f>IF('T Cell Sort'!D15=0,"",'T Cell Sort'!D15)</f>
        <v/>
      </c>
    </row>
    <row r="13" spans="1:6" ht="60" x14ac:dyDescent="0.25">
      <c r="A13" s="122" t="str">
        <f>IF('Experiment Request'!$A$3=0,"",'Experiment Request'!$A$3)</f>
        <v>M-101</v>
      </c>
      <c r="B13" s="122" t="str">
        <f t="shared" si="0"/>
        <v>M-101</v>
      </c>
      <c r="C13" s="122" t="str">
        <f t="shared" si="1"/>
        <v>M-101_NP</v>
      </c>
      <c r="D13" s="122" t="s">
        <v>71</v>
      </c>
      <c r="E13" s="122">
        <f>'T Cell Sort'!C16</f>
        <v>488917</v>
      </c>
      <c r="F13" s="123" t="str">
        <f>IF('T Cell Sort'!D16=0,"",'T Cell Sort'!D16)</f>
        <v>Lorem ipsum dolor sit amet, consectetur adipiscing elit. Quisque a orci sed odio laoreet.</v>
      </c>
    </row>
    <row r="14" spans="1:6" x14ac:dyDescent="0.25">
      <c r="A14" s="122" t="str">
        <f>IF('Experiment Request'!$A$3=0,"",'Experiment Request'!$A$3)</f>
        <v>M-101</v>
      </c>
      <c r="B14" s="122" t="str">
        <f t="shared" si="0"/>
        <v>M-101</v>
      </c>
      <c r="C14" s="122" t="str">
        <f t="shared" si="1"/>
        <v>M-101_US</v>
      </c>
      <c r="D14" s="122" t="s">
        <v>83</v>
      </c>
      <c r="E14" s="122">
        <f>'T Cell Sort'!C17</f>
        <v>10000000</v>
      </c>
      <c r="F14" s="123" t="str">
        <f>IF('T Cell Sort'!D17=0,"",'T Cell Sort'!D17)</f>
        <v/>
      </c>
    </row>
  </sheetData>
  <sheetProtection sheet="1" objects="1" scenarios="1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J3"/>
  <sheetViews>
    <sheetView workbookViewId="0"/>
  </sheetViews>
  <sheetFormatPr defaultRowHeight="15" x14ac:dyDescent="0.25"/>
  <cols>
    <col min="2" max="2" width="19.140625" customWidth="1"/>
    <col min="3" max="3" width="16.140625" customWidth="1"/>
    <col min="4" max="4" width="15.7109375" customWidth="1"/>
    <col min="5" max="5" width="16.7109375" customWidth="1"/>
    <col min="6" max="8" width="11.42578125" bestFit="1" customWidth="1"/>
    <col min="9" max="9" width="11.85546875" customWidth="1"/>
    <col min="10" max="10" width="11.42578125" bestFit="1" customWidth="1"/>
  </cols>
  <sheetData>
    <row r="1" spans="1:10" ht="30" x14ac:dyDescent="0.25">
      <c r="B1" s="2" t="s">
        <v>21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18</v>
      </c>
      <c r="H1" s="2" t="s">
        <v>18</v>
      </c>
      <c r="I1" s="2" t="s">
        <v>19</v>
      </c>
      <c r="J1" s="2" t="s">
        <v>20</v>
      </c>
    </row>
    <row r="2" spans="1:10" x14ac:dyDescent="0.25">
      <c r="A2" t="s">
        <v>26</v>
      </c>
      <c r="B2">
        <f>'Experiment Request'!B3</f>
        <v>0</v>
      </c>
      <c r="C2" t="e">
        <f>VLOOKUP(B2,'schedule lookup'!A2:I16,2,FALSE)</f>
        <v>#N/A</v>
      </c>
      <c r="D2" t="e">
        <f>VLOOKUP(B2,'schedule lookup'!A2:I16,3,FALSE)</f>
        <v>#N/A</v>
      </c>
      <c r="E2" t="e">
        <f>VLOOKUP(B2,'schedule lookup'!A2:I16,4,FALSE)</f>
        <v>#N/A</v>
      </c>
      <c r="F2" t="e">
        <f>VLOOKUP(B2,'schedule lookup'!A2:I16,5,FALSE)</f>
        <v>#N/A</v>
      </c>
      <c r="G2" t="e">
        <f>VLOOKUP(B2,'schedule lookup'!A2:I16,6,FALSE)</f>
        <v>#N/A</v>
      </c>
      <c r="H2" t="e">
        <f>VLOOKUP(B2,'schedule lookup'!A2:I16,7,FALSE)</f>
        <v>#N/A</v>
      </c>
      <c r="I2" t="e">
        <f>VLOOKUP(B2,'schedule lookup'!A2:I16,8,FALSE)</f>
        <v>#N/A</v>
      </c>
      <c r="J2" t="e">
        <f>VLOOKUP(B2,'schedule lookup'!A2:I16,9,FALSE)</f>
        <v>#N/A</v>
      </c>
    </row>
    <row r="3" spans="1:10" x14ac:dyDescent="0.25">
      <c r="A3" t="s">
        <v>27</v>
      </c>
      <c r="B3" s="4">
        <f>'Experiment Request'!D3</f>
        <v>0</v>
      </c>
      <c r="C3" s="4" t="e">
        <f>B3+C2</f>
        <v>#N/A</v>
      </c>
      <c r="D3" s="4" t="e">
        <f>B3+D2</f>
        <v>#N/A</v>
      </c>
      <c r="E3" s="4" t="e">
        <f>B3+E2</f>
        <v>#N/A</v>
      </c>
      <c r="F3" s="4" t="e">
        <f>B3+F2</f>
        <v>#N/A</v>
      </c>
      <c r="G3" s="4" t="e">
        <f>B3+G2</f>
        <v>#N/A</v>
      </c>
      <c r="H3" s="4" t="e">
        <f>B3+H2</f>
        <v>#N/A</v>
      </c>
      <c r="I3" s="4" t="e">
        <f>B3+I2</f>
        <v>#N/A</v>
      </c>
      <c r="J3" s="4" t="e">
        <f>B3+J2</f>
        <v>#N/A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I16"/>
  <sheetViews>
    <sheetView workbookViewId="0">
      <selection activeCell="D19" sqref="D19"/>
    </sheetView>
  </sheetViews>
  <sheetFormatPr defaultRowHeight="15" x14ac:dyDescent="0.25"/>
  <cols>
    <col min="1" max="1" width="17.42578125" customWidth="1"/>
    <col min="3" max="3" width="18.28515625" customWidth="1"/>
    <col min="4" max="4" width="20.140625" customWidth="1"/>
    <col min="5" max="5" width="10.28515625" customWidth="1"/>
    <col min="6" max="6" width="11.42578125" bestFit="1" customWidth="1"/>
    <col min="8" max="8" width="12.42578125" customWidth="1"/>
    <col min="9" max="9" width="10.140625" customWidth="1"/>
  </cols>
  <sheetData>
    <row r="1" spans="1:9" ht="45" x14ac:dyDescent="0.25">
      <c r="A1" s="5" t="s">
        <v>21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18</v>
      </c>
      <c r="G1" s="5" t="s">
        <v>18</v>
      </c>
      <c r="H1" s="5" t="s">
        <v>19</v>
      </c>
      <c r="I1" s="5" t="s">
        <v>20</v>
      </c>
    </row>
    <row r="2" spans="1:9" x14ac:dyDescent="0.25">
      <c r="A2" s="5" t="s">
        <v>0</v>
      </c>
      <c r="B2" s="6">
        <v>0</v>
      </c>
      <c r="C2" s="6">
        <v>2</v>
      </c>
      <c r="D2" s="6">
        <v>4</v>
      </c>
      <c r="E2" s="6">
        <v>7</v>
      </c>
      <c r="F2" s="6">
        <v>9</v>
      </c>
      <c r="G2" s="6">
        <v>11</v>
      </c>
      <c r="H2" s="6">
        <v>14</v>
      </c>
      <c r="I2" s="6">
        <v>15</v>
      </c>
    </row>
    <row r="3" spans="1:9" x14ac:dyDescent="0.25">
      <c r="A3" s="5" t="s">
        <v>1</v>
      </c>
      <c r="B3" s="6">
        <v>0</v>
      </c>
      <c r="C3" s="6">
        <v>3</v>
      </c>
      <c r="D3" s="6">
        <v>6</v>
      </c>
      <c r="E3" s="6">
        <v>8</v>
      </c>
      <c r="F3" s="6">
        <v>10</v>
      </c>
      <c r="G3" s="6">
        <v>13</v>
      </c>
      <c r="H3" s="6">
        <v>14</v>
      </c>
      <c r="I3" s="6">
        <v>15</v>
      </c>
    </row>
    <row r="4" spans="1:9" x14ac:dyDescent="0.25">
      <c r="A4" s="5" t="s">
        <v>2</v>
      </c>
      <c r="B4" s="6">
        <v>0</v>
      </c>
      <c r="C4" s="6">
        <v>2</v>
      </c>
      <c r="D4" s="6">
        <v>5</v>
      </c>
      <c r="E4" s="6">
        <v>7</v>
      </c>
      <c r="F4" s="6">
        <v>9</v>
      </c>
      <c r="G4" s="6">
        <v>12</v>
      </c>
      <c r="H4" s="6">
        <v>14</v>
      </c>
      <c r="I4" s="6">
        <v>15</v>
      </c>
    </row>
    <row r="5" spans="1:9" x14ac:dyDescent="0.25">
      <c r="A5" s="5" t="s">
        <v>3</v>
      </c>
      <c r="B5" s="6">
        <v>0</v>
      </c>
      <c r="C5" s="6">
        <v>3</v>
      </c>
      <c r="D5" s="6">
        <v>5</v>
      </c>
      <c r="E5" s="6">
        <v>7</v>
      </c>
      <c r="F5" s="6">
        <v>10</v>
      </c>
      <c r="G5" s="6">
        <v>12</v>
      </c>
      <c r="H5" s="6">
        <v>13</v>
      </c>
      <c r="I5" s="6">
        <v>14</v>
      </c>
    </row>
    <row r="6" spans="1:9" x14ac:dyDescent="0.25">
      <c r="A6" s="5" t="s">
        <v>4</v>
      </c>
      <c r="B6" s="6">
        <v>0</v>
      </c>
      <c r="C6" s="6">
        <v>2</v>
      </c>
      <c r="D6" s="6">
        <v>4</v>
      </c>
      <c r="E6" s="6">
        <v>7</v>
      </c>
      <c r="F6" s="6">
        <v>9</v>
      </c>
      <c r="G6" s="6">
        <v>11</v>
      </c>
      <c r="H6" s="6">
        <v>14</v>
      </c>
      <c r="I6" s="6">
        <v>15</v>
      </c>
    </row>
    <row r="7" spans="1:9" x14ac:dyDescent="0.25">
      <c r="A7" s="5" t="s">
        <v>5</v>
      </c>
      <c r="B7" s="6">
        <v>0</v>
      </c>
      <c r="C7" s="6">
        <v>2</v>
      </c>
      <c r="D7" s="6">
        <v>4</v>
      </c>
      <c r="E7" s="6">
        <v>7</v>
      </c>
      <c r="F7" s="6">
        <v>9</v>
      </c>
      <c r="G7" s="6">
        <v>11</v>
      </c>
      <c r="H7" s="6">
        <v>14</v>
      </c>
      <c r="I7" s="6">
        <v>15</v>
      </c>
    </row>
    <row r="8" spans="1:9" x14ac:dyDescent="0.25">
      <c r="A8" s="5" t="s">
        <v>6</v>
      </c>
      <c r="B8" s="6">
        <v>0</v>
      </c>
      <c r="C8" s="6">
        <v>2</v>
      </c>
      <c r="D8" s="6">
        <v>5</v>
      </c>
      <c r="E8" s="6">
        <v>7</v>
      </c>
      <c r="F8" s="6">
        <v>9</v>
      </c>
      <c r="G8" s="6">
        <v>12</v>
      </c>
      <c r="H8" s="6">
        <v>14</v>
      </c>
      <c r="I8" s="6">
        <v>15</v>
      </c>
    </row>
    <row r="9" spans="1:9" x14ac:dyDescent="0.25">
      <c r="A9" s="5" t="s">
        <v>7</v>
      </c>
      <c r="B9" s="6">
        <v>0</v>
      </c>
      <c r="C9" s="6">
        <v>2</v>
      </c>
      <c r="D9" s="6">
        <v>5</v>
      </c>
      <c r="E9" s="6">
        <v>7</v>
      </c>
      <c r="F9" s="6">
        <v>9</v>
      </c>
      <c r="G9" s="6">
        <v>12</v>
      </c>
      <c r="H9" s="6">
        <v>14</v>
      </c>
      <c r="I9" s="6">
        <v>15</v>
      </c>
    </row>
    <row r="10" spans="1:9" x14ac:dyDescent="0.25">
      <c r="A10" s="5" t="s">
        <v>8</v>
      </c>
      <c r="B10" s="6">
        <v>0</v>
      </c>
      <c r="C10" s="6">
        <v>3</v>
      </c>
      <c r="D10" s="6">
        <v>5</v>
      </c>
      <c r="E10" s="6">
        <v>7</v>
      </c>
      <c r="F10" s="6">
        <v>10</v>
      </c>
      <c r="G10" s="6">
        <v>12</v>
      </c>
      <c r="H10" s="6">
        <v>13</v>
      </c>
      <c r="I10" s="6">
        <v>14</v>
      </c>
    </row>
    <row r="11" spans="1:9" x14ac:dyDescent="0.25">
      <c r="A11" s="5" t="s">
        <v>9</v>
      </c>
      <c r="B11" s="6">
        <v>0</v>
      </c>
      <c r="C11" s="6">
        <v>2</v>
      </c>
      <c r="D11" s="6">
        <v>4</v>
      </c>
      <c r="E11" s="6">
        <v>7</v>
      </c>
      <c r="F11" s="6">
        <v>9</v>
      </c>
      <c r="G11" s="6">
        <v>11</v>
      </c>
      <c r="H11" s="6">
        <v>14</v>
      </c>
      <c r="I11" s="6">
        <v>15</v>
      </c>
    </row>
    <row r="12" spans="1:9" x14ac:dyDescent="0.25">
      <c r="A12" s="5" t="s">
        <v>10</v>
      </c>
      <c r="B12" s="6">
        <v>0</v>
      </c>
      <c r="C12" s="6">
        <v>2</v>
      </c>
      <c r="D12" s="6">
        <v>4</v>
      </c>
      <c r="E12" s="6">
        <v>7</v>
      </c>
      <c r="F12" s="6">
        <v>9</v>
      </c>
      <c r="G12" s="6">
        <v>11</v>
      </c>
      <c r="H12" s="6">
        <v>14</v>
      </c>
      <c r="I12" s="6">
        <v>15</v>
      </c>
    </row>
    <row r="13" spans="1:9" x14ac:dyDescent="0.25">
      <c r="A13" s="5" t="s">
        <v>11</v>
      </c>
      <c r="B13" s="6">
        <v>0</v>
      </c>
      <c r="C13" s="6">
        <v>2</v>
      </c>
      <c r="D13" s="6">
        <v>4</v>
      </c>
      <c r="E13" s="6">
        <v>7</v>
      </c>
      <c r="F13" s="6">
        <v>9</v>
      </c>
      <c r="G13" s="6">
        <v>11</v>
      </c>
      <c r="H13" s="6">
        <v>14</v>
      </c>
      <c r="I13" s="6">
        <v>15</v>
      </c>
    </row>
    <row r="14" spans="1:9" x14ac:dyDescent="0.25">
      <c r="A14" s="5" t="s">
        <v>12</v>
      </c>
      <c r="B14" s="6">
        <v>0</v>
      </c>
      <c r="C14" s="6">
        <v>2</v>
      </c>
      <c r="D14" s="6">
        <v>4</v>
      </c>
      <c r="E14" s="6">
        <v>7</v>
      </c>
      <c r="F14" s="6">
        <v>9</v>
      </c>
      <c r="G14" s="6">
        <v>11</v>
      </c>
      <c r="H14" s="6">
        <v>14</v>
      </c>
      <c r="I14" s="6">
        <v>15</v>
      </c>
    </row>
    <row r="15" spans="1:9" x14ac:dyDescent="0.25">
      <c r="A15" s="5" t="s">
        <v>13</v>
      </c>
      <c r="B15" s="6">
        <v>0</v>
      </c>
      <c r="C15" s="6">
        <v>2</v>
      </c>
      <c r="D15" s="6">
        <v>4</v>
      </c>
      <c r="E15" s="6">
        <v>7</v>
      </c>
      <c r="F15" s="6">
        <v>9</v>
      </c>
      <c r="G15" s="6">
        <v>11</v>
      </c>
      <c r="H15" s="6">
        <v>14</v>
      </c>
      <c r="I15" s="6">
        <v>15</v>
      </c>
    </row>
    <row r="16" spans="1:9" x14ac:dyDescent="0.25">
      <c r="A16" s="5" t="s">
        <v>14</v>
      </c>
      <c r="B16" s="6">
        <v>0</v>
      </c>
      <c r="C16" s="6">
        <v>2</v>
      </c>
      <c r="D16" s="6">
        <v>4</v>
      </c>
      <c r="E16" s="6">
        <v>7</v>
      </c>
      <c r="F16" s="6">
        <v>9</v>
      </c>
      <c r="G16" s="6">
        <v>11</v>
      </c>
      <c r="H16" s="6">
        <v>14</v>
      </c>
      <c r="I16" s="6">
        <v>15</v>
      </c>
    </row>
  </sheetData>
  <sheetProtection sheet="1" objects="1" scenarios="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opLeftCell="A4" workbookViewId="0">
      <selection activeCell="D4" sqref="D4"/>
    </sheetView>
  </sheetViews>
  <sheetFormatPr defaultRowHeight="15" x14ac:dyDescent="0.25"/>
  <cols>
    <col min="1" max="1" width="12.85546875" customWidth="1"/>
    <col min="2" max="2" width="13.85546875" customWidth="1"/>
    <col min="3" max="3" width="20.140625" customWidth="1"/>
    <col min="4" max="4" width="15.5703125" customWidth="1"/>
    <col min="5" max="5" width="19.28515625" customWidth="1"/>
    <col min="6" max="6" width="13.7109375" customWidth="1"/>
    <col min="7" max="7" width="15.85546875" customWidth="1"/>
    <col min="10" max="10" width="14.7109375" customWidth="1"/>
    <col min="11" max="11" width="16.85546875" customWidth="1"/>
    <col min="12" max="12" width="19.140625" customWidth="1"/>
    <col min="13" max="13" width="23.28515625" customWidth="1"/>
  </cols>
  <sheetData>
    <row r="1" spans="1:13" ht="15.75" customHeight="1" thickBot="1" x14ac:dyDescent="0.3">
      <c r="A1" s="189" t="s">
        <v>94</v>
      </c>
      <c r="B1" s="190"/>
      <c r="C1" s="190"/>
      <c r="D1" s="190"/>
      <c r="E1" s="191"/>
      <c r="F1" s="191"/>
      <c r="G1" s="192"/>
      <c r="J1" s="189" t="s">
        <v>114</v>
      </c>
      <c r="K1" s="190"/>
      <c r="L1" s="190"/>
      <c r="M1" s="205"/>
    </row>
    <row r="2" spans="1:13" ht="15.75" customHeight="1" thickBot="1" x14ac:dyDescent="0.3">
      <c r="A2" s="193" t="s">
        <v>85</v>
      </c>
      <c r="B2" s="194"/>
      <c r="C2" s="197" t="str">
        <f>IF('Experiment Request'!A3=0,"",'Experiment Request'!A3)</f>
        <v>M-101</v>
      </c>
      <c r="D2" s="198"/>
      <c r="E2" s="195" t="s">
        <v>31</v>
      </c>
      <c r="F2" s="195" t="s">
        <v>32</v>
      </c>
      <c r="G2" s="195" t="s">
        <v>33</v>
      </c>
      <c r="J2" s="30" t="s">
        <v>110</v>
      </c>
      <c r="K2" s="29" t="s">
        <v>111</v>
      </c>
      <c r="L2" s="31" t="s">
        <v>112</v>
      </c>
      <c r="M2" s="31" t="s">
        <v>113</v>
      </c>
    </row>
    <row r="3" spans="1:13" ht="48" thickBot="1" x14ac:dyDescent="0.3">
      <c r="A3" s="9" t="s">
        <v>28</v>
      </c>
      <c r="B3" s="8" t="s">
        <v>29</v>
      </c>
      <c r="C3" s="168" t="s">
        <v>30</v>
      </c>
      <c r="D3" s="169"/>
      <c r="E3" s="196"/>
      <c r="F3" s="196"/>
      <c r="G3" s="196"/>
      <c r="J3" s="23" t="s">
        <v>109</v>
      </c>
      <c r="K3" s="19" t="s">
        <v>104</v>
      </c>
      <c r="L3" s="25"/>
      <c r="M3" s="26"/>
    </row>
    <row r="4" spans="1:13" ht="54" customHeight="1" thickBot="1" x14ac:dyDescent="0.3">
      <c r="A4" s="199" t="s">
        <v>34</v>
      </c>
      <c r="B4" s="202" t="s">
        <v>115</v>
      </c>
      <c r="C4" s="15" t="s">
        <v>98</v>
      </c>
      <c r="D4" s="10"/>
      <c r="E4" s="182" t="e">
        <f>Dates!C3</f>
        <v>#N/A</v>
      </c>
      <c r="F4" s="185"/>
      <c r="G4" s="8"/>
      <c r="J4" s="21" t="s">
        <v>105</v>
      </c>
      <c r="K4" s="22" t="s">
        <v>106</v>
      </c>
      <c r="L4" s="24"/>
      <c r="M4" s="24"/>
    </row>
    <row r="5" spans="1:13" ht="74.099999999999994" customHeight="1" thickBot="1" x14ac:dyDescent="0.3">
      <c r="A5" s="200"/>
      <c r="B5" s="204"/>
      <c r="C5" s="15" t="s">
        <v>97</v>
      </c>
      <c r="D5" s="10"/>
      <c r="E5" s="183"/>
      <c r="F5" s="186"/>
      <c r="G5" s="8"/>
      <c r="J5" s="21" t="s">
        <v>107</v>
      </c>
      <c r="K5" s="22" t="s">
        <v>122</v>
      </c>
      <c r="L5" s="24"/>
      <c r="M5" s="24"/>
    </row>
    <row r="6" spans="1:13" ht="45.75" customHeight="1" thickBot="1" x14ac:dyDescent="0.3">
      <c r="A6" s="200"/>
      <c r="B6" s="199" t="s">
        <v>35</v>
      </c>
      <c r="C6" s="15" t="s">
        <v>158</v>
      </c>
      <c r="D6" s="10"/>
      <c r="E6" s="183"/>
      <c r="F6" s="187"/>
      <c r="G6" s="8"/>
      <c r="J6" s="21" t="s">
        <v>108</v>
      </c>
      <c r="K6" s="22" t="s">
        <v>122</v>
      </c>
      <c r="L6" s="27"/>
      <c r="M6" s="24"/>
    </row>
    <row r="7" spans="1:13" ht="47.25" customHeight="1" thickBot="1" x14ac:dyDescent="0.3">
      <c r="A7" s="200"/>
      <c r="B7" s="200"/>
      <c r="C7" s="15" t="s">
        <v>96</v>
      </c>
      <c r="D7" s="10"/>
      <c r="E7" s="183"/>
      <c r="F7" s="187"/>
      <c r="G7" s="3"/>
    </row>
    <row r="8" spans="1:13" ht="66.75" customHeight="1" thickBot="1" x14ac:dyDescent="0.3">
      <c r="A8" s="200"/>
      <c r="B8" s="201"/>
      <c r="C8" s="15" t="s">
        <v>167</v>
      </c>
      <c r="D8" s="10"/>
      <c r="E8" s="183"/>
      <c r="F8" s="187"/>
      <c r="G8" s="3"/>
    </row>
    <row r="9" spans="1:13" ht="47.25" customHeight="1" thickBot="1" x14ac:dyDescent="0.3">
      <c r="A9" s="200"/>
      <c r="B9" s="199" t="s">
        <v>36</v>
      </c>
      <c r="C9" s="15" t="s">
        <v>116</v>
      </c>
      <c r="D9" s="15"/>
      <c r="E9" s="183"/>
      <c r="F9" s="187"/>
      <c r="G9" s="3"/>
    </row>
    <row r="10" spans="1:13" ht="47.25" customHeight="1" thickBot="1" x14ac:dyDescent="0.3">
      <c r="A10" s="200"/>
      <c r="B10" s="200"/>
      <c r="C10" s="15" t="s">
        <v>117</v>
      </c>
      <c r="D10" s="15">
        <f>50-D9</f>
        <v>50</v>
      </c>
      <c r="E10" s="183"/>
      <c r="F10" s="187"/>
      <c r="G10" s="3"/>
    </row>
    <row r="11" spans="1:13" ht="54" customHeight="1" thickBot="1" x14ac:dyDescent="0.3">
      <c r="A11" s="200"/>
      <c r="B11" s="200"/>
      <c r="C11" s="15" t="s">
        <v>158</v>
      </c>
      <c r="D11" s="10"/>
      <c r="E11" s="183"/>
      <c r="F11" s="187"/>
      <c r="G11" s="3"/>
    </row>
    <row r="12" spans="1:13" ht="60.75" customHeight="1" thickBot="1" x14ac:dyDescent="0.3">
      <c r="A12" s="200"/>
      <c r="B12" s="200"/>
      <c r="C12" s="15" t="s">
        <v>118</v>
      </c>
      <c r="D12" s="10"/>
      <c r="E12" s="184"/>
      <c r="F12" s="188"/>
      <c r="G12" s="3"/>
    </row>
    <row r="13" spans="1:13" ht="60.75" customHeight="1" thickBot="1" x14ac:dyDescent="0.3">
      <c r="A13" s="201"/>
      <c r="B13" s="201"/>
      <c r="C13" s="15" t="s">
        <v>168</v>
      </c>
      <c r="D13" s="10"/>
      <c r="E13" s="34"/>
      <c r="F13" s="35"/>
      <c r="G13" s="33"/>
    </row>
    <row r="14" spans="1:13" ht="60.75" customHeight="1" thickBot="1" x14ac:dyDescent="0.3">
      <c r="A14" s="202" t="s">
        <v>140</v>
      </c>
      <c r="B14" s="202" t="s">
        <v>141</v>
      </c>
      <c r="C14" s="60" t="s">
        <v>142</v>
      </c>
      <c r="D14" s="93" t="str">
        <f>IF('PBMC Thaw Cell Count '!B10=0,"",'PBMC Thaw Cell Count '!B10)</f>
        <v/>
      </c>
      <c r="F14" s="61"/>
      <c r="G14" s="33"/>
    </row>
    <row r="15" spans="1:13" ht="60.75" customHeight="1" thickBot="1" x14ac:dyDescent="0.3">
      <c r="A15" s="203"/>
      <c r="B15" s="204"/>
      <c r="C15" s="15" t="s">
        <v>145</v>
      </c>
      <c r="D15" s="94" t="str">
        <f>IF('PBMC Thaw Cell Count '!B9=0,"",'PBMC Thaw Cell Count '!B9)</f>
        <v/>
      </c>
      <c r="E15" s="34"/>
      <c r="F15" s="35"/>
      <c r="G15" s="33"/>
    </row>
    <row r="16" spans="1:13" ht="60.75" customHeight="1" thickBot="1" x14ac:dyDescent="0.3">
      <c r="A16" s="203"/>
      <c r="B16" s="202" t="s">
        <v>143</v>
      </c>
      <c r="C16" s="60" t="s">
        <v>178</v>
      </c>
      <c r="D16" s="93" t="str">
        <f>IF('Naive T Cell Count'!B10=0,"",'Naive T Cell Count'!B10)</f>
        <v/>
      </c>
      <c r="E16" s="34"/>
      <c r="F16" s="35"/>
      <c r="G16" s="33"/>
    </row>
    <row r="17" spans="1:7" ht="60.75" customHeight="1" thickBot="1" x14ac:dyDescent="0.3">
      <c r="A17" s="203"/>
      <c r="B17" s="203"/>
      <c r="C17" s="60" t="s">
        <v>144</v>
      </c>
      <c r="D17" s="94" t="e">
        <f>'Naive T Cell Count'!B10/'T Cell Isolation'!D14</f>
        <v>#VALUE!</v>
      </c>
      <c r="E17" s="34"/>
      <c r="F17" s="35"/>
      <c r="G17" s="33"/>
    </row>
    <row r="18" spans="1:7" ht="60.75" customHeight="1" thickBot="1" x14ac:dyDescent="0.3">
      <c r="A18" s="204"/>
      <c r="B18" s="204"/>
      <c r="C18" s="15" t="s">
        <v>145</v>
      </c>
      <c r="D18" s="94" t="str">
        <f>IF('Naive T Cell Count'!B9=0,"",'Naive T Cell Count'!B9)</f>
        <v/>
      </c>
      <c r="E18" s="34"/>
      <c r="F18" s="35"/>
      <c r="G18" s="18"/>
    </row>
    <row r="19" spans="1:7" x14ac:dyDescent="0.25">
      <c r="A19" s="160" t="s">
        <v>62</v>
      </c>
      <c r="B19" s="161"/>
      <c r="C19" s="161"/>
      <c r="D19" s="161"/>
      <c r="E19" s="171"/>
      <c r="F19" s="171"/>
      <c r="G19" s="172"/>
    </row>
    <row r="20" spans="1:7" x14ac:dyDescent="0.25">
      <c r="A20" s="173"/>
      <c r="B20" s="174"/>
      <c r="C20" s="174"/>
      <c r="D20" s="174"/>
      <c r="E20" s="174"/>
      <c r="F20" s="174"/>
      <c r="G20" s="175"/>
    </row>
    <row r="21" spans="1:7" x14ac:dyDescent="0.25">
      <c r="A21" s="176"/>
      <c r="B21" s="177"/>
      <c r="C21" s="177"/>
      <c r="D21" s="177"/>
      <c r="E21" s="177"/>
      <c r="F21" s="177"/>
      <c r="G21" s="178"/>
    </row>
    <row r="22" spans="1:7" x14ac:dyDescent="0.25">
      <c r="A22" s="176"/>
      <c r="B22" s="177"/>
      <c r="C22" s="177"/>
      <c r="D22" s="177"/>
      <c r="E22" s="177"/>
      <c r="F22" s="177"/>
      <c r="G22" s="178"/>
    </row>
    <row r="23" spans="1:7" x14ac:dyDescent="0.25">
      <c r="A23" s="176"/>
      <c r="B23" s="177"/>
      <c r="C23" s="177"/>
      <c r="D23" s="177"/>
      <c r="E23" s="177"/>
      <c r="F23" s="177"/>
      <c r="G23" s="178"/>
    </row>
    <row r="24" spans="1:7" x14ac:dyDescent="0.25">
      <c r="A24" s="176"/>
      <c r="B24" s="177"/>
      <c r="C24" s="177"/>
      <c r="D24" s="177"/>
      <c r="E24" s="177"/>
      <c r="F24" s="177"/>
      <c r="G24" s="178"/>
    </row>
    <row r="25" spans="1:7" x14ac:dyDescent="0.25">
      <c r="A25" s="176"/>
      <c r="B25" s="177"/>
      <c r="C25" s="177"/>
      <c r="D25" s="177"/>
      <c r="E25" s="177"/>
      <c r="F25" s="177"/>
      <c r="G25" s="178"/>
    </row>
    <row r="26" spans="1:7" x14ac:dyDescent="0.25">
      <c r="A26" s="176"/>
      <c r="B26" s="177"/>
      <c r="C26" s="177"/>
      <c r="D26" s="177"/>
      <c r="E26" s="177"/>
      <c r="F26" s="177"/>
      <c r="G26" s="178"/>
    </row>
    <row r="27" spans="1:7" ht="15.75" thickBot="1" x14ac:dyDescent="0.3">
      <c r="A27" s="179"/>
      <c r="B27" s="180"/>
      <c r="C27" s="180"/>
      <c r="D27" s="180"/>
      <c r="E27" s="180"/>
      <c r="F27" s="180"/>
      <c r="G27" s="181"/>
    </row>
  </sheetData>
  <sheetProtection sheet="1" objects="1" scenarios="1"/>
  <mergeCells count="19">
    <mergeCell ref="A14:A18"/>
    <mergeCell ref="J1:M1"/>
    <mergeCell ref="B4:B5"/>
    <mergeCell ref="A19:G19"/>
    <mergeCell ref="A20:G27"/>
    <mergeCell ref="E4:E12"/>
    <mergeCell ref="F4:F12"/>
    <mergeCell ref="A1:G1"/>
    <mergeCell ref="A2:B2"/>
    <mergeCell ref="E2:E3"/>
    <mergeCell ref="F2:F3"/>
    <mergeCell ref="G2:G3"/>
    <mergeCell ref="C2:D2"/>
    <mergeCell ref="C3:D3"/>
    <mergeCell ref="B6:B8"/>
    <mergeCell ref="A4:A13"/>
    <mergeCell ref="B16:B18"/>
    <mergeCell ref="B9:B13"/>
    <mergeCell ref="B14:B1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2" r:id="rId4" name="Check Box 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95250</xdr:rowOff>
                  </from>
                  <to>
                    <xdr:col>3</xdr:col>
                    <xdr:colOff>895350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5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323850</xdr:rowOff>
                  </from>
                  <to>
                    <xdr:col>3</xdr:col>
                    <xdr:colOff>914400</xdr:colOff>
                    <xdr:row>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6" name="Check Box 8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95250</xdr:rowOff>
                  </from>
                  <to>
                    <xdr:col>3</xdr:col>
                    <xdr:colOff>895350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7" name="Check Box 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323850</xdr:rowOff>
                  </from>
                  <to>
                    <xdr:col>3</xdr:col>
                    <xdr:colOff>914400</xdr:colOff>
                    <xdr:row>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8" name="Check Box 10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95250</xdr:rowOff>
                  </from>
                  <to>
                    <xdr:col>3</xdr:col>
                    <xdr:colOff>895350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9" name="Check Box 11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323850</xdr:rowOff>
                  </from>
                  <to>
                    <xdr:col>3</xdr:col>
                    <xdr:colOff>914400</xdr:colOff>
                    <xdr:row>10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0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95250</xdr:rowOff>
                  </from>
                  <to>
                    <xdr:col>3</xdr:col>
                    <xdr:colOff>895350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1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323850</xdr:rowOff>
                  </from>
                  <to>
                    <xdr:col>3</xdr:col>
                    <xdr:colOff>914400</xdr:colOff>
                    <xdr:row>11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2" name="Check Box 23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95250</xdr:rowOff>
                  </from>
                  <to>
                    <xdr:col>3</xdr:col>
                    <xdr:colOff>895350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3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323850</xdr:rowOff>
                  </from>
                  <to>
                    <xdr:col>3</xdr:col>
                    <xdr:colOff>914400</xdr:colOff>
                    <xdr:row>7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4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581025</xdr:rowOff>
                  </from>
                  <to>
                    <xdr:col>3</xdr:col>
                    <xdr:colOff>914400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" name="Check Box 26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95250</xdr:rowOff>
                  </from>
                  <to>
                    <xdr:col>3</xdr:col>
                    <xdr:colOff>895350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6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323850</xdr:rowOff>
                  </from>
                  <to>
                    <xdr:col>3</xdr:col>
                    <xdr:colOff>914400</xdr:colOff>
                    <xdr:row>12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7" name="Check Box 28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581025</xdr:rowOff>
                  </from>
                  <to>
                    <xdr:col>3</xdr:col>
                    <xdr:colOff>914400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8" name="Check Box 29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95250</xdr:rowOff>
                  </from>
                  <to>
                    <xdr:col>3</xdr:col>
                    <xdr:colOff>895350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9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323850</xdr:rowOff>
                  </from>
                  <to>
                    <xdr:col>3</xdr:col>
                    <xdr:colOff>914400</xdr:colOff>
                    <xdr:row>3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20" name="Check Box 3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95250</xdr:rowOff>
                  </from>
                  <to>
                    <xdr:col>3</xdr:col>
                    <xdr:colOff>895350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21" name="Check Box 32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323850</xdr:rowOff>
                  </from>
                  <to>
                    <xdr:col>3</xdr:col>
                    <xdr:colOff>914400</xdr:colOff>
                    <xdr:row>4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22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581025</xdr:rowOff>
                  </from>
                  <to>
                    <xdr:col>3</xdr:col>
                    <xdr:colOff>914400</xdr:colOff>
                    <xdr:row>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23" name="Check Box 34">
              <controlPr defaultSize="0" autoFill="0" autoLine="0" autoPict="0">
                <anchor moveWithCells="1">
                  <from>
                    <xdr:col>4</xdr:col>
                    <xdr:colOff>104775</xdr:colOff>
                    <xdr:row>13</xdr:row>
                    <xdr:rowOff>295275</xdr:rowOff>
                  </from>
                  <to>
                    <xdr:col>4</xdr:col>
                    <xdr:colOff>1000125</xdr:colOff>
                    <xdr:row>13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A10" workbookViewId="0">
      <selection activeCell="A12" sqref="A12:B12"/>
    </sheetView>
  </sheetViews>
  <sheetFormatPr defaultRowHeight="15" x14ac:dyDescent="0.25"/>
  <cols>
    <col min="1" max="1" width="34.28515625" customWidth="1"/>
    <col min="2" max="2" width="19.140625" customWidth="1"/>
    <col min="3" max="3" width="19.85546875" customWidth="1"/>
    <col min="4" max="4" width="40.42578125" customWidth="1"/>
    <col min="5" max="5" width="28.7109375" customWidth="1"/>
  </cols>
  <sheetData>
    <row r="1" spans="1:10" ht="15.75" thickBot="1" x14ac:dyDescent="0.3">
      <c r="A1" s="206" t="s">
        <v>131</v>
      </c>
      <c r="B1" s="207"/>
    </row>
    <row r="2" spans="1:10" ht="15.75" thickBot="1" x14ac:dyDescent="0.3">
      <c r="A2" s="16" t="s">
        <v>127</v>
      </c>
      <c r="B2" s="95"/>
    </row>
    <row r="3" spans="1:10" ht="16.5" thickBot="1" x14ac:dyDescent="0.3">
      <c r="A3" s="16" t="s">
        <v>133</v>
      </c>
      <c r="B3" s="46">
        <v>5</v>
      </c>
      <c r="D3" s="2"/>
      <c r="G3" s="37"/>
      <c r="J3" s="38"/>
    </row>
    <row r="4" spans="1:10" ht="16.5" thickBot="1" x14ac:dyDescent="0.3">
      <c r="A4" s="16" t="s">
        <v>129</v>
      </c>
      <c r="B4" s="96"/>
      <c r="C4" s="40" t="str">
        <f>IF(B4&gt;10000000,"Dilution Required", "")</f>
        <v/>
      </c>
      <c r="D4" s="51" t="str">
        <f>IF(C4="Dilution Required",("If between 1x10E7 and 5x10E7, dilute 1:5.  
If between 5x10E7 and 1x10E8, dilute 1:10"),"")</f>
        <v/>
      </c>
      <c r="E4" s="50" t="str">
        <f>IF(B4&lt;500000,"Too dilute","")</f>
        <v>Too dilute</v>
      </c>
      <c r="G4" s="39"/>
    </row>
    <row r="5" spans="1:10" ht="16.5" thickBot="1" x14ac:dyDescent="0.3">
      <c r="A5" s="16" t="s">
        <v>123</v>
      </c>
      <c r="B5" s="97"/>
      <c r="G5" s="39"/>
    </row>
    <row r="6" spans="1:10" ht="15.75" thickBot="1" x14ac:dyDescent="0.3">
      <c r="A6" s="16" t="s">
        <v>130</v>
      </c>
      <c r="B6" s="98"/>
    </row>
    <row r="7" spans="1:10" ht="15.75" thickBot="1" x14ac:dyDescent="0.3"/>
    <row r="8" spans="1:10" ht="15.75" thickBot="1" x14ac:dyDescent="0.3">
      <c r="A8" s="16" t="s">
        <v>128</v>
      </c>
      <c r="B8" s="43" t="str">
        <f>IF(B6=0,"",(B3*B6))</f>
        <v/>
      </c>
    </row>
    <row r="9" spans="1:10" ht="15.75" thickBot="1" x14ac:dyDescent="0.3">
      <c r="A9" s="16" t="s">
        <v>125</v>
      </c>
      <c r="B9" s="44"/>
      <c r="C9" t="str">
        <f>IF(B9&gt;70%,"Pass","Fail MIRA ID")</f>
        <v>Fail MIRA ID</v>
      </c>
    </row>
    <row r="10" spans="1:10" ht="15.75" thickBot="1" x14ac:dyDescent="0.3">
      <c r="A10" s="16" t="s">
        <v>154</v>
      </c>
      <c r="B10" s="49"/>
      <c r="C10" s="2" t="str">
        <f>IF(B10&lt;1000000000,"Thaw additional vial.","")</f>
        <v>Thaw additional vial.</v>
      </c>
      <c r="D10" t="str">
        <f>IF(B10&gt;1500000000,"Calculate Excess Cells to Discard","")</f>
        <v/>
      </c>
    </row>
    <row r="11" spans="1:10" ht="15.75" thickBot="1" x14ac:dyDescent="0.3"/>
    <row r="12" spans="1:10" ht="15.75" thickBot="1" x14ac:dyDescent="0.3">
      <c r="A12" s="206" t="s">
        <v>134</v>
      </c>
      <c r="B12" s="207"/>
      <c r="D12" s="48"/>
    </row>
    <row r="13" spans="1:10" ht="15.75" thickBot="1" x14ac:dyDescent="0.3">
      <c r="A13" s="16" t="s">
        <v>127</v>
      </c>
      <c r="B13" s="95"/>
      <c r="D13" s="48"/>
    </row>
    <row r="14" spans="1:10" ht="15.75" thickBot="1" x14ac:dyDescent="0.3">
      <c r="A14" s="16" t="s">
        <v>124</v>
      </c>
      <c r="B14" s="46">
        <v>5</v>
      </c>
      <c r="D14" s="2"/>
    </row>
    <row r="15" spans="1:10" ht="15.75" thickBot="1" x14ac:dyDescent="0.3">
      <c r="A15" s="16" t="s">
        <v>129</v>
      </c>
      <c r="B15" s="96"/>
      <c r="C15" s="40" t="str">
        <f>IF(B15&gt;10000000,"Dilution Required", "")</f>
        <v/>
      </c>
      <c r="D15" s="51" t="str">
        <f>IF(C15="Dilution Required",("If between 1x10E7 and 5x10E7, dilute 1:5.  
If between 5x10E7 and 1x10E8, dilute 1:10"),"")</f>
        <v/>
      </c>
      <c r="E15" s="50" t="str">
        <f>IF(B15&lt;500000,"Too dilute","")</f>
        <v>Too dilute</v>
      </c>
    </row>
    <row r="16" spans="1:10" ht="15.75" thickBot="1" x14ac:dyDescent="0.3">
      <c r="A16" s="16" t="s">
        <v>123</v>
      </c>
      <c r="B16" s="97"/>
    </row>
    <row r="17" spans="1:4" ht="15.75" thickBot="1" x14ac:dyDescent="0.3">
      <c r="A17" s="16" t="s">
        <v>130</v>
      </c>
      <c r="B17" s="98"/>
    </row>
    <row r="18" spans="1:4" ht="15.75" thickBot="1" x14ac:dyDescent="0.3"/>
    <row r="19" spans="1:4" ht="15.75" thickBot="1" x14ac:dyDescent="0.3">
      <c r="A19" s="16" t="s">
        <v>128</v>
      </c>
      <c r="B19" s="43">
        <f>IF(B14=0,"",(B14*B17))</f>
        <v>0</v>
      </c>
    </row>
    <row r="20" spans="1:4" ht="15.75" thickBot="1" x14ac:dyDescent="0.3">
      <c r="A20" s="16" t="s">
        <v>125</v>
      </c>
      <c r="B20" s="47"/>
      <c r="C20" t="str">
        <f>IF(B20&gt;70%,"Pass","Fail MIRA ID")</f>
        <v>Fail MIRA ID</v>
      </c>
    </row>
    <row r="21" spans="1:4" ht="15.75" thickBot="1" x14ac:dyDescent="0.3">
      <c r="A21" s="16" t="s">
        <v>126</v>
      </c>
      <c r="B21" s="45" t="str">
        <f>IF(B19=0,"",B19*B13)</f>
        <v/>
      </c>
      <c r="C21" s="2" t="str">
        <f>IF(B21&lt;1000000000,"Fail MIRA ID","")</f>
        <v/>
      </c>
      <c r="D21" t="str">
        <f>IF(B21&gt;1500000000,"Calculate Excess Cells to Discard","")</f>
        <v>Calculate Excess Cells to Discard</v>
      </c>
    </row>
    <row r="23" spans="1:4" ht="15.75" thickBot="1" x14ac:dyDescent="0.3"/>
    <row r="24" spans="1:4" ht="15.75" thickBot="1" x14ac:dyDescent="0.3">
      <c r="A24" s="206" t="s">
        <v>135</v>
      </c>
      <c r="B24" s="207"/>
    </row>
    <row r="25" spans="1:4" ht="15.75" thickBot="1" x14ac:dyDescent="0.3">
      <c r="A25" s="40" t="s">
        <v>126</v>
      </c>
      <c r="B25" s="55"/>
    </row>
    <row r="26" spans="1:4" ht="15.75" thickBot="1" x14ac:dyDescent="0.3">
      <c r="A26" t="s">
        <v>136</v>
      </c>
      <c r="B26" s="56">
        <v>1500000000</v>
      </c>
      <c r="D26" s="53"/>
    </row>
    <row r="27" spans="1:4" ht="15.75" thickBot="1" x14ac:dyDescent="0.3">
      <c r="A27" s="40" t="s">
        <v>137</v>
      </c>
      <c r="B27" s="17"/>
    </row>
    <row r="28" spans="1:4" ht="15.75" thickBot="1" x14ac:dyDescent="0.3">
      <c r="A28" s="57" t="s">
        <v>138</v>
      </c>
      <c r="B28" s="54" t="str">
        <f>IF(B25=0,"",B25-B26/B27)</f>
        <v/>
      </c>
      <c r="C28" t="s">
        <v>139</v>
      </c>
    </row>
  </sheetData>
  <sheetProtection sheet="1" objects="1" scenarios="1"/>
  <mergeCells count="3">
    <mergeCell ref="A1:B1"/>
    <mergeCell ref="A12:B12"/>
    <mergeCell ref="A24:B24"/>
  </mergeCells>
  <conditionalFormatting sqref="B4">
    <cfRule type="cellIs" dxfId="39" priority="14" operator="between">
      <formula>500000</formula>
      <formula>10000000</formula>
    </cfRule>
    <cfRule type="cellIs" dxfId="38" priority="15" operator="equal">
      <formula>0</formula>
    </cfRule>
    <cfRule type="cellIs" dxfId="37" priority="17" operator="lessThan">
      <formula>500000</formula>
    </cfRule>
    <cfRule type="cellIs" dxfId="36" priority="18" operator="greaterThan">
      <formula>10000000</formula>
    </cfRule>
  </conditionalFormatting>
  <conditionalFormatting sqref="B10">
    <cfRule type="cellIs" dxfId="35" priority="11" operator="between">
      <formula>1</formula>
      <formula>1000000000</formula>
    </cfRule>
    <cfRule type="cellIs" dxfId="34" priority="13" operator="between">
      <formula>1000000000</formula>
      <formula>1400000000</formula>
    </cfRule>
  </conditionalFormatting>
  <conditionalFormatting sqref="B15">
    <cfRule type="cellIs" dxfId="33" priority="7" operator="between">
      <formula>500000</formula>
      <formula>10000000</formula>
    </cfRule>
    <cfRule type="cellIs" dxfId="32" priority="8" operator="equal">
      <formula>0</formula>
    </cfRule>
    <cfRule type="cellIs" dxfId="31" priority="9" operator="lessThan">
      <formula>500000</formula>
    </cfRule>
    <cfRule type="cellIs" dxfId="30" priority="10" operator="greaterThan">
      <formula>10000000</formula>
    </cfRule>
  </conditionalFormatting>
  <conditionalFormatting sqref="B21">
    <cfRule type="cellIs" dxfId="29" priority="5" operator="between">
      <formula>1</formula>
      <formula>1000000000</formula>
    </cfRule>
    <cfRule type="cellIs" dxfId="28" priority="6" operator="between">
      <formula>1000000000</formula>
      <formula>1400000000</formula>
    </cfRule>
  </conditionalFormatting>
  <conditionalFormatting sqref="B9">
    <cfRule type="cellIs" dxfId="27" priority="2" operator="greaterThan">
      <formula>"&gt;70%"</formula>
    </cfRule>
  </conditionalFormatting>
  <conditionalFormatting sqref="B20">
    <cfRule type="cellIs" dxfId="26" priority="1" stopIfTrue="1" operator="greaterThan">
      <formula>70%</formula>
    </cfRule>
  </conditionalFormatting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1</xdr:col>
                    <xdr:colOff>600075</xdr:colOff>
                    <xdr:row>11</xdr:row>
                    <xdr:rowOff>0</xdr:rowOff>
                  </from>
                  <to>
                    <xdr:col>2</xdr:col>
                    <xdr:colOff>142875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1</xdr:col>
                    <xdr:colOff>742950</xdr:colOff>
                    <xdr:row>22</xdr:row>
                    <xdr:rowOff>171450</xdr:rowOff>
                  </from>
                  <to>
                    <xdr:col>2</xdr:col>
                    <xdr:colOff>285750</xdr:colOff>
                    <xdr:row>23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selection sqref="A1:B1"/>
    </sheetView>
  </sheetViews>
  <sheetFormatPr defaultRowHeight="15" x14ac:dyDescent="0.25"/>
  <cols>
    <col min="1" max="1" width="34.28515625" customWidth="1"/>
    <col min="2" max="2" width="19.140625" customWidth="1"/>
    <col min="3" max="3" width="19.85546875" customWidth="1"/>
    <col min="4" max="4" width="40.42578125" customWidth="1"/>
    <col min="5" max="5" width="28.7109375" customWidth="1"/>
  </cols>
  <sheetData>
    <row r="1" spans="1:10" ht="15.75" thickBot="1" x14ac:dyDescent="0.3">
      <c r="A1" s="206" t="s">
        <v>132</v>
      </c>
      <c r="B1" s="207"/>
    </row>
    <row r="2" spans="1:10" ht="15.75" thickBot="1" x14ac:dyDescent="0.3">
      <c r="A2" s="16" t="s">
        <v>127</v>
      </c>
      <c r="B2" s="46">
        <v>50</v>
      </c>
    </row>
    <row r="3" spans="1:10" ht="16.5" thickBot="1" x14ac:dyDescent="0.3">
      <c r="A3" s="16" t="s">
        <v>124</v>
      </c>
      <c r="B3" s="46">
        <v>1</v>
      </c>
      <c r="D3" s="2"/>
      <c r="G3" s="37"/>
      <c r="J3" s="38"/>
    </row>
    <row r="4" spans="1:10" ht="16.5" thickBot="1" x14ac:dyDescent="0.3">
      <c r="A4" s="16" t="s">
        <v>129</v>
      </c>
      <c r="B4" s="52"/>
      <c r="C4" s="40" t="str">
        <f>IF(B4&gt;10000000,"Dilution Required", "")</f>
        <v/>
      </c>
      <c r="D4" s="51" t="str">
        <f>IF(C4="Dilution Required",("If between 1x10E7 and 5x10E7, dilute 1:5.  
If between 5x10E7 and 1x10E8, dilute 1:10"),"")</f>
        <v/>
      </c>
      <c r="E4" s="50" t="str">
        <f>IF(B4&lt;500000,"Too dilute","")</f>
        <v>Too dilute</v>
      </c>
      <c r="G4" s="39"/>
    </row>
    <row r="5" spans="1:10" ht="16.5" thickBot="1" x14ac:dyDescent="0.3">
      <c r="A5" s="16" t="s">
        <v>123</v>
      </c>
      <c r="B5" s="42"/>
      <c r="G5" s="39"/>
    </row>
    <row r="6" spans="1:10" ht="15.75" thickBot="1" x14ac:dyDescent="0.3">
      <c r="A6" s="16" t="s">
        <v>130</v>
      </c>
      <c r="B6" s="41"/>
    </row>
    <row r="7" spans="1:10" ht="15.75" thickBot="1" x14ac:dyDescent="0.3"/>
    <row r="8" spans="1:10" ht="15.75" thickBot="1" x14ac:dyDescent="0.3">
      <c r="A8" s="16" t="s">
        <v>128</v>
      </c>
      <c r="B8" s="43">
        <f>IF(B3=0,(B6),(B3*B6))</f>
        <v>0</v>
      </c>
    </row>
    <row r="9" spans="1:10" ht="15.75" thickBot="1" x14ac:dyDescent="0.3">
      <c r="A9" s="16" t="s">
        <v>125</v>
      </c>
      <c r="B9" s="44" t="str">
        <f>IF(B5=0,"",B5)</f>
        <v/>
      </c>
      <c r="C9" t="str">
        <f>IF(B9&lt;70.0000001%,"Fail MIRA ID","")</f>
        <v/>
      </c>
    </row>
    <row r="10" spans="1:10" ht="15.75" thickBot="1" x14ac:dyDescent="0.3">
      <c r="A10" s="16" t="s">
        <v>154</v>
      </c>
      <c r="B10" s="45"/>
      <c r="C10" s="2" t="str">
        <f>IF(B10&lt;30000000,"Fail MIRA ID","")</f>
        <v>Fail MIRA ID</v>
      </c>
    </row>
    <row r="12" spans="1:10" ht="15.75" thickBot="1" x14ac:dyDescent="0.3"/>
    <row r="13" spans="1:10" ht="15.75" thickBot="1" x14ac:dyDescent="0.3">
      <c r="A13" s="206" t="s">
        <v>135</v>
      </c>
      <c r="B13" s="207"/>
    </row>
    <row r="14" spans="1:10" ht="15.75" thickBot="1" x14ac:dyDescent="0.3">
      <c r="A14" s="40" t="s">
        <v>154</v>
      </c>
      <c r="B14" s="55"/>
    </row>
    <row r="15" spans="1:10" ht="15.75" thickBot="1" x14ac:dyDescent="0.3">
      <c r="A15" t="s">
        <v>136</v>
      </c>
      <c r="B15" s="56">
        <v>50000000</v>
      </c>
    </row>
    <row r="16" spans="1:10" ht="15.75" thickBot="1" x14ac:dyDescent="0.3">
      <c r="A16" s="40" t="s">
        <v>137</v>
      </c>
      <c r="B16" s="17"/>
    </row>
    <row r="17" spans="1:2" ht="15.75" thickBot="1" x14ac:dyDescent="0.3">
      <c r="A17" s="57" t="s">
        <v>138</v>
      </c>
      <c r="B17" s="69" t="str">
        <f>IF(B14=0,"",B14-B15/B16)</f>
        <v/>
      </c>
    </row>
  </sheetData>
  <sheetProtection sheet="1" objects="1" scenarios="1"/>
  <mergeCells count="2">
    <mergeCell ref="A1:B1"/>
    <mergeCell ref="A13:B13"/>
  </mergeCells>
  <conditionalFormatting sqref="B4">
    <cfRule type="cellIs" dxfId="25" priority="13" operator="between">
      <formula>500000</formula>
      <formula>10000000</formula>
    </cfRule>
    <cfRule type="cellIs" dxfId="24" priority="14" operator="equal">
      <formula>0</formula>
    </cfRule>
    <cfRule type="cellIs" dxfId="23" priority="15" operator="lessThan">
      <formula>500000</formula>
    </cfRule>
    <cfRule type="cellIs" dxfId="22" priority="16" operator="greaterThan">
      <formula>10000000</formula>
    </cfRule>
  </conditionalFormatting>
  <conditionalFormatting sqref="B10">
    <cfRule type="cellIs" dxfId="21" priority="1" operator="greaterThan">
      <formula>250000000</formula>
    </cfRule>
    <cfRule type="cellIs" dxfId="20" priority="11" operator="between">
      <formula>1</formula>
      <formula>1000000000</formula>
    </cfRule>
    <cfRule type="cellIs" dxfId="19" priority="12" operator="between">
      <formula>1000000000</formula>
      <formula>1400000000</formula>
    </cfRule>
  </conditionalFormatting>
  <conditionalFormatting sqref="B9">
    <cfRule type="cellIs" dxfId="18" priority="2" operator="between">
      <formula>0.01%</formula>
      <formula>70%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Check Box 1">
              <controlPr defaultSize="0" autoFill="0" autoLine="0" autoPict="0">
                <anchor moveWithCells="1">
                  <from>
                    <xdr:col>1</xdr:col>
                    <xdr:colOff>866775</xdr:colOff>
                    <xdr:row>12</xdr:row>
                    <xdr:rowOff>0</xdr:rowOff>
                  </from>
                  <to>
                    <xdr:col>2</xdr:col>
                    <xdr:colOff>409575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K35"/>
  <sheetViews>
    <sheetView topLeftCell="A20" zoomScaleNormal="100" workbookViewId="0">
      <selection activeCell="B8" sqref="B8:B9"/>
    </sheetView>
  </sheetViews>
  <sheetFormatPr defaultRowHeight="15" x14ac:dyDescent="0.25"/>
  <cols>
    <col min="1" max="1" width="15.28515625" customWidth="1"/>
    <col min="2" max="2" width="20.42578125" customWidth="1"/>
    <col min="3" max="3" width="16.42578125" customWidth="1"/>
    <col min="4" max="4" width="18.28515625" customWidth="1"/>
    <col min="5" max="5" width="14.28515625" customWidth="1"/>
    <col min="8" max="8" width="36.85546875" customWidth="1"/>
    <col min="9" max="9" width="26.28515625" customWidth="1"/>
    <col min="10" max="10" width="17.140625" customWidth="1"/>
    <col min="11" max="11" width="12.140625" customWidth="1"/>
  </cols>
  <sheetData>
    <row r="1" spans="1:11" ht="15.75" customHeight="1" thickBot="1" x14ac:dyDescent="0.3">
      <c r="A1" s="229" t="s">
        <v>92</v>
      </c>
      <c r="B1" s="190"/>
      <c r="C1" s="190"/>
      <c r="D1" s="190"/>
      <c r="E1" s="205"/>
      <c r="H1" s="189" t="s">
        <v>114</v>
      </c>
      <c r="I1" s="190"/>
      <c r="J1" s="190"/>
      <c r="K1" s="205"/>
    </row>
    <row r="2" spans="1:11" ht="15.75" customHeight="1" thickBot="1" x14ac:dyDescent="0.3">
      <c r="A2" s="36" t="s">
        <v>85</v>
      </c>
      <c r="B2" s="100" t="str">
        <f>IF('Experiment Request'!A3=0,"",'Experiment Request'!A3)</f>
        <v>M-101</v>
      </c>
      <c r="C2" s="195" t="s">
        <v>31</v>
      </c>
      <c r="D2" s="195" t="s">
        <v>32</v>
      </c>
      <c r="E2" s="195" t="s">
        <v>33</v>
      </c>
      <c r="H2" s="30" t="s">
        <v>110</v>
      </c>
      <c r="I2" s="29" t="s">
        <v>111</v>
      </c>
      <c r="J2" s="31" t="s">
        <v>112</v>
      </c>
      <c r="K2" s="31" t="s">
        <v>113</v>
      </c>
    </row>
    <row r="3" spans="1:11" ht="32.25" thickBot="1" x14ac:dyDescent="0.3">
      <c r="A3" s="9" t="s">
        <v>28</v>
      </c>
      <c r="B3" s="8" t="s">
        <v>29</v>
      </c>
      <c r="C3" s="196"/>
      <c r="D3" s="196"/>
      <c r="E3" s="196"/>
      <c r="H3" s="19" t="s">
        <v>119</v>
      </c>
      <c r="I3" s="20" t="s">
        <v>104</v>
      </c>
      <c r="J3" s="106"/>
      <c r="K3" s="107"/>
    </row>
    <row r="4" spans="1:11" ht="48" thickBot="1" x14ac:dyDescent="0.3">
      <c r="A4" s="195" t="s">
        <v>37</v>
      </c>
      <c r="B4" s="195" t="s">
        <v>171</v>
      </c>
      <c r="C4" s="230" t="e">
        <f>Dates!C3</f>
        <v>#N/A</v>
      </c>
      <c r="D4" s="233"/>
      <c r="E4" s="233"/>
      <c r="H4" s="21" t="s">
        <v>211</v>
      </c>
      <c r="I4" s="22" t="s">
        <v>122</v>
      </c>
      <c r="J4" s="108"/>
      <c r="K4" s="108"/>
    </row>
    <row r="5" spans="1:11" ht="33" customHeight="1" thickBot="1" x14ac:dyDescent="0.3">
      <c r="A5" s="208"/>
      <c r="B5" s="208"/>
      <c r="C5" s="231"/>
      <c r="D5" s="234"/>
      <c r="E5" s="234"/>
      <c r="H5" s="21" t="s">
        <v>108</v>
      </c>
      <c r="I5" s="22" t="s">
        <v>122</v>
      </c>
      <c r="J5" s="108"/>
      <c r="K5" s="108"/>
    </row>
    <row r="6" spans="1:11" ht="27.75" customHeight="1" thickBot="1" x14ac:dyDescent="0.3">
      <c r="A6" s="208"/>
      <c r="B6" s="228" t="s">
        <v>172</v>
      </c>
      <c r="C6" s="231"/>
      <c r="D6" s="234"/>
      <c r="E6" s="234"/>
      <c r="H6" s="32" t="s">
        <v>120</v>
      </c>
      <c r="I6" s="20" t="s">
        <v>121</v>
      </c>
      <c r="J6" s="108"/>
      <c r="K6" s="108"/>
    </row>
    <row r="7" spans="1:11" ht="18.75" customHeight="1" thickBot="1" x14ac:dyDescent="0.3">
      <c r="A7" s="208"/>
      <c r="B7" s="210"/>
      <c r="C7" s="232"/>
      <c r="D7" s="235"/>
      <c r="E7" s="235"/>
    </row>
    <row r="8" spans="1:11" ht="30" customHeight="1" x14ac:dyDescent="0.25">
      <c r="A8" s="208"/>
      <c r="B8" s="202" t="s">
        <v>216</v>
      </c>
      <c r="C8" s="182" t="e">
        <f>Dates!D3</f>
        <v>#N/A</v>
      </c>
      <c r="D8" s="101"/>
      <c r="E8" s="220"/>
    </row>
    <row r="9" spans="1:11" ht="15" customHeight="1" thickBot="1" x14ac:dyDescent="0.3">
      <c r="A9" s="208"/>
      <c r="B9" s="204"/>
      <c r="C9" s="183"/>
      <c r="D9" s="73" t="s">
        <v>38</v>
      </c>
      <c r="E9" s="221"/>
    </row>
    <row r="10" spans="1:11" x14ac:dyDescent="0.25">
      <c r="A10" s="208"/>
      <c r="B10" s="228" t="s">
        <v>172</v>
      </c>
      <c r="C10" s="183"/>
      <c r="D10" s="102" t="s">
        <v>39</v>
      </c>
      <c r="E10" s="221"/>
    </row>
    <row r="11" spans="1:11" ht="27" customHeight="1" thickBot="1" x14ac:dyDescent="0.3">
      <c r="A11" s="208"/>
      <c r="B11" s="210"/>
      <c r="C11" s="184"/>
      <c r="D11" s="73" t="s">
        <v>40</v>
      </c>
      <c r="E11" s="222"/>
    </row>
    <row r="12" spans="1:11" ht="29.25" customHeight="1" x14ac:dyDescent="0.25">
      <c r="A12" s="208"/>
      <c r="B12" s="202" t="s">
        <v>100</v>
      </c>
      <c r="C12" s="223" t="e">
        <f>Dates!E3</f>
        <v>#N/A</v>
      </c>
      <c r="D12" s="103"/>
      <c r="E12" s="220"/>
    </row>
    <row r="13" spans="1:11" ht="17.25" customHeight="1" thickBot="1" x14ac:dyDescent="0.3">
      <c r="A13" s="208"/>
      <c r="B13" s="204"/>
      <c r="C13" s="224"/>
      <c r="D13" s="73" t="s">
        <v>38</v>
      </c>
      <c r="E13" s="221"/>
    </row>
    <row r="14" spans="1:11" x14ac:dyDescent="0.25">
      <c r="A14" s="208"/>
      <c r="B14" s="209" t="s">
        <v>172</v>
      </c>
      <c r="C14" s="224"/>
      <c r="D14" s="73" t="s">
        <v>39</v>
      </c>
      <c r="E14" s="221"/>
    </row>
    <row r="15" spans="1:11" ht="15.75" thickBot="1" x14ac:dyDescent="0.3">
      <c r="A15" s="208"/>
      <c r="B15" s="210"/>
      <c r="C15" s="225"/>
      <c r="D15" s="73" t="s">
        <v>40</v>
      </c>
      <c r="E15" s="222"/>
    </row>
    <row r="16" spans="1:11" ht="29.25" customHeight="1" x14ac:dyDescent="0.25">
      <c r="A16" s="208"/>
      <c r="B16" s="202" t="s">
        <v>101</v>
      </c>
      <c r="C16" s="223" t="e">
        <f>Dates!F3</f>
        <v>#N/A</v>
      </c>
      <c r="D16" s="103"/>
      <c r="E16" s="220"/>
    </row>
    <row r="17" spans="1:5" ht="15.75" thickBot="1" x14ac:dyDescent="0.3">
      <c r="A17" s="208"/>
      <c r="B17" s="203"/>
      <c r="C17" s="224"/>
      <c r="D17" s="73" t="s">
        <v>38</v>
      </c>
      <c r="E17" s="221"/>
    </row>
    <row r="18" spans="1:5" x14ac:dyDescent="0.25">
      <c r="A18" s="208"/>
      <c r="B18" s="209" t="s">
        <v>172</v>
      </c>
      <c r="C18" s="224"/>
      <c r="D18" s="73" t="s">
        <v>39</v>
      </c>
      <c r="E18" s="221"/>
    </row>
    <row r="19" spans="1:5" ht="15.75" thickBot="1" x14ac:dyDescent="0.3">
      <c r="A19" s="208"/>
      <c r="B19" s="210"/>
      <c r="C19" s="225"/>
      <c r="D19" s="73" t="s">
        <v>40</v>
      </c>
      <c r="E19" s="222"/>
    </row>
    <row r="20" spans="1:5" ht="31.5" customHeight="1" x14ac:dyDescent="0.25">
      <c r="A20" s="208"/>
      <c r="B20" s="202" t="s">
        <v>102</v>
      </c>
      <c r="C20" s="223" t="e">
        <f>Dates!G3</f>
        <v>#N/A</v>
      </c>
      <c r="D20" s="103"/>
      <c r="E20" s="220"/>
    </row>
    <row r="21" spans="1:5" ht="15.75" thickBot="1" x14ac:dyDescent="0.3">
      <c r="A21" s="208"/>
      <c r="B21" s="203"/>
      <c r="C21" s="224"/>
      <c r="D21" s="104" t="s">
        <v>38</v>
      </c>
      <c r="E21" s="221"/>
    </row>
    <row r="22" spans="1:5" x14ac:dyDescent="0.25">
      <c r="A22" s="208"/>
      <c r="B22" s="209" t="s">
        <v>172</v>
      </c>
      <c r="C22" s="224"/>
      <c r="D22" s="104" t="s">
        <v>39</v>
      </c>
      <c r="E22" s="221"/>
    </row>
    <row r="23" spans="1:5" ht="15.75" thickBot="1" x14ac:dyDescent="0.3">
      <c r="A23" s="208"/>
      <c r="B23" s="210"/>
      <c r="C23" s="225"/>
      <c r="D23" s="104" t="s">
        <v>40</v>
      </c>
      <c r="E23" s="222"/>
    </row>
    <row r="24" spans="1:5" ht="27.75" customHeight="1" x14ac:dyDescent="0.25">
      <c r="A24" s="208"/>
      <c r="B24" s="202" t="s">
        <v>103</v>
      </c>
      <c r="C24" s="182" t="e">
        <f>Dates!H3</f>
        <v>#N/A</v>
      </c>
      <c r="D24" s="103"/>
      <c r="E24" s="220"/>
    </row>
    <row r="25" spans="1:5" ht="15.75" thickBot="1" x14ac:dyDescent="0.3">
      <c r="A25" s="208"/>
      <c r="B25" s="203"/>
      <c r="C25" s="183"/>
      <c r="D25" s="104" t="s">
        <v>38</v>
      </c>
      <c r="E25" s="221"/>
    </row>
    <row r="26" spans="1:5" x14ac:dyDescent="0.25">
      <c r="A26" s="208"/>
      <c r="B26" s="209" t="s">
        <v>172</v>
      </c>
      <c r="C26" s="183"/>
      <c r="D26" s="104" t="s">
        <v>39</v>
      </c>
      <c r="E26" s="221"/>
    </row>
    <row r="27" spans="1:5" ht="15.75" thickBot="1" x14ac:dyDescent="0.3">
      <c r="A27" s="196"/>
      <c r="B27" s="210"/>
      <c r="C27" s="184"/>
      <c r="D27" s="105" t="s">
        <v>40</v>
      </c>
      <c r="E27" s="222"/>
    </row>
    <row r="28" spans="1:5" ht="44.1" customHeight="1" thickBot="1" x14ac:dyDescent="0.3">
      <c r="A28" s="35"/>
      <c r="B28" s="59" t="s">
        <v>146</v>
      </c>
      <c r="C28" s="99" t="e">
        <f>Dates!I3</f>
        <v>#N/A</v>
      </c>
      <c r="D28" s="226" t="s">
        <v>152</v>
      </c>
      <c r="E28" s="227"/>
    </row>
    <row r="29" spans="1:5" ht="15" customHeight="1" x14ac:dyDescent="0.25">
      <c r="A29" s="211" t="s">
        <v>62</v>
      </c>
      <c r="B29" s="212"/>
      <c r="C29" s="212"/>
      <c r="D29" s="212"/>
      <c r="E29" s="213"/>
    </row>
    <row r="30" spans="1:5" ht="15" customHeight="1" x14ac:dyDescent="0.25">
      <c r="A30" s="214"/>
      <c r="B30" s="215"/>
      <c r="C30" s="215"/>
      <c r="D30" s="215"/>
      <c r="E30" s="216"/>
    </row>
    <row r="31" spans="1:5" ht="15" customHeight="1" x14ac:dyDescent="0.25">
      <c r="A31" s="214"/>
      <c r="B31" s="215"/>
      <c r="C31" s="215"/>
      <c r="D31" s="215"/>
      <c r="E31" s="216"/>
    </row>
    <row r="32" spans="1:5" ht="15" customHeight="1" x14ac:dyDescent="0.25">
      <c r="A32" s="214"/>
      <c r="B32" s="215"/>
      <c r="C32" s="215"/>
      <c r="D32" s="215"/>
      <c r="E32" s="216"/>
    </row>
    <row r="33" spans="1:5" ht="15" customHeight="1" x14ac:dyDescent="0.25">
      <c r="A33" s="214"/>
      <c r="B33" s="215"/>
      <c r="C33" s="215"/>
      <c r="D33" s="215"/>
      <c r="E33" s="216"/>
    </row>
    <row r="34" spans="1:5" ht="15" customHeight="1" x14ac:dyDescent="0.25">
      <c r="A34" s="214"/>
      <c r="B34" s="215"/>
      <c r="C34" s="215"/>
      <c r="D34" s="215"/>
      <c r="E34" s="216"/>
    </row>
    <row r="35" spans="1:5" ht="15.75" thickBot="1" x14ac:dyDescent="0.3">
      <c r="A35" s="217"/>
      <c r="B35" s="218"/>
      <c r="C35" s="218"/>
      <c r="D35" s="218"/>
      <c r="E35" s="219"/>
    </row>
  </sheetData>
  <mergeCells count="33">
    <mergeCell ref="A4:A27"/>
    <mergeCell ref="B10:B11"/>
    <mergeCell ref="B24:B25"/>
    <mergeCell ref="A1:E1"/>
    <mergeCell ref="C4:C7"/>
    <mergeCell ref="D4:D7"/>
    <mergeCell ref="E4:E7"/>
    <mergeCell ref="C12:C15"/>
    <mergeCell ref="C8:C11"/>
    <mergeCell ref="B20:B21"/>
    <mergeCell ref="B22:B23"/>
    <mergeCell ref="E2:E3"/>
    <mergeCell ref="B6:B7"/>
    <mergeCell ref="B8:B9"/>
    <mergeCell ref="H1:K1"/>
    <mergeCell ref="E8:E11"/>
    <mergeCell ref="E12:E15"/>
    <mergeCell ref="B4:B5"/>
    <mergeCell ref="B18:B19"/>
    <mergeCell ref="A29:E35"/>
    <mergeCell ref="C2:C3"/>
    <mergeCell ref="C24:C27"/>
    <mergeCell ref="E16:E19"/>
    <mergeCell ref="E20:E23"/>
    <mergeCell ref="E24:E27"/>
    <mergeCell ref="C16:C19"/>
    <mergeCell ref="C20:C23"/>
    <mergeCell ref="D28:E28"/>
    <mergeCell ref="B12:B13"/>
    <mergeCell ref="B14:B15"/>
    <mergeCell ref="B16:B17"/>
    <mergeCell ref="B26:B27"/>
    <mergeCell ref="D2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topLeftCell="A26" workbookViewId="0">
      <selection activeCell="A26" sqref="A26:B26"/>
    </sheetView>
  </sheetViews>
  <sheetFormatPr defaultRowHeight="15" x14ac:dyDescent="0.25"/>
  <cols>
    <col min="1" max="1" width="34.28515625" customWidth="1"/>
    <col min="2" max="2" width="19.140625" customWidth="1"/>
    <col min="3" max="3" width="19.85546875" customWidth="1"/>
    <col min="4" max="4" width="40.42578125" customWidth="1"/>
    <col min="5" max="5" width="28.7109375" customWidth="1"/>
  </cols>
  <sheetData>
    <row r="1" spans="1:5" ht="15.75" thickBot="1" x14ac:dyDescent="0.3">
      <c r="A1" s="206" t="s">
        <v>147</v>
      </c>
      <c r="B1" s="207"/>
      <c r="C1" s="62"/>
      <c r="D1" s="63"/>
      <c r="E1" s="64"/>
    </row>
    <row r="2" spans="1:5" ht="15.75" thickBot="1" x14ac:dyDescent="0.3">
      <c r="A2" s="16" t="s">
        <v>127</v>
      </c>
      <c r="B2" s="95"/>
      <c r="D2" s="48"/>
      <c r="E2" s="65"/>
    </row>
    <row r="3" spans="1:5" ht="15.75" thickBot="1" x14ac:dyDescent="0.3">
      <c r="A3" s="16" t="s">
        <v>124</v>
      </c>
      <c r="B3" s="46">
        <v>5</v>
      </c>
      <c r="D3" s="2"/>
      <c r="E3" s="65"/>
    </row>
    <row r="4" spans="1:5" ht="15.75" thickBot="1" x14ac:dyDescent="0.3">
      <c r="A4" s="16" t="s">
        <v>129</v>
      </c>
      <c r="B4" s="96"/>
      <c r="C4" s="40" t="str">
        <f>IF(B4&gt;10000000,"Dilution Required", "")</f>
        <v/>
      </c>
      <c r="D4" s="51" t="str">
        <f>IF(C4="Dilution Required",("If between 1x10E7 and 5x10E7, dilute 1:5.  
If between 5x10E7 and 1x10E8, dilute 1:10"),"")</f>
        <v/>
      </c>
      <c r="E4" s="50" t="str">
        <f>IF(B4&lt;500000,"Too dilute","")</f>
        <v>Too dilute</v>
      </c>
    </row>
    <row r="5" spans="1:5" ht="15.75" thickBot="1" x14ac:dyDescent="0.3">
      <c r="A5" s="16" t="s">
        <v>123</v>
      </c>
      <c r="B5" s="97"/>
      <c r="E5" s="65"/>
    </row>
    <row r="6" spans="1:5" ht="15.75" thickBot="1" x14ac:dyDescent="0.3">
      <c r="A6" s="16" t="s">
        <v>130</v>
      </c>
      <c r="B6" s="98"/>
      <c r="E6" s="65"/>
    </row>
    <row r="7" spans="1:5" ht="15.75" thickBot="1" x14ac:dyDescent="0.3">
      <c r="A7" s="66"/>
      <c r="E7" s="65"/>
    </row>
    <row r="8" spans="1:5" ht="15.75" thickBot="1" x14ac:dyDescent="0.3">
      <c r="A8" s="16" t="s">
        <v>128</v>
      </c>
      <c r="B8" s="43">
        <f>IF(B3=0,"",(B3*B6))</f>
        <v>0</v>
      </c>
      <c r="E8" s="65"/>
    </row>
    <row r="9" spans="1:5" ht="15.75" thickBot="1" x14ac:dyDescent="0.3">
      <c r="A9" s="16" t="s">
        <v>125</v>
      </c>
      <c r="B9" s="47"/>
      <c r="C9" t="str">
        <f>IF(B9&gt;50%,"Pass","Fail MIRA ID")</f>
        <v>Fail MIRA ID</v>
      </c>
      <c r="E9" s="65"/>
    </row>
    <row r="10" spans="1:5" ht="15.75" thickBot="1" x14ac:dyDescent="0.3">
      <c r="A10" s="16" t="s">
        <v>154</v>
      </c>
      <c r="B10" s="45" t="str">
        <f>IF(B8=0,"",B8*B2)</f>
        <v/>
      </c>
      <c r="C10" s="2" t="str">
        <f>IF(B10&lt;6000000000,"Fail MIRA ID","")</f>
        <v/>
      </c>
      <c r="D10" t="str">
        <f>IF(B10&gt;11000000000,"Calculate Excess Cells to Discard","")</f>
        <v>Calculate Excess Cells to Discard</v>
      </c>
      <c r="E10" s="65"/>
    </row>
    <row r="11" spans="1:5" x14ac:dyDescent="0.25">
      <c r="A11" s="66"/>
      <c r="E11" s="65"/>
    </row>
    <row r="12" spans="1:5" ht="15.75" thickBot="1" x14ac:dyDescent="0.3">
      <c r="A12" s="66"/>
      <c r="E12" s="65"/>
    </row>
    <row r="13" spans="1:5" ht="15.75" thickBot="1" x14ac:dyDescent="0.3">
      <c r="A13" s="206" t="s">
        <v>135</v>
      </c>
      <c r="B13" s="207"/>
      <c r="E13" s="65"/>
    </row>
    <row r="14" spans="1:5" ht="15.75" thickBot="1" x14ac:dyDescent="0.3">
      <c r="A14" s="40" t="s">
        <v>126</v>
      </c>
      <c r="B14" s="109"/>
      <c r="E14" s="65"/>
    </row>
    <row r="15" spans="1:5" ht="15.75" thickBot="1" x14ac:dyDescent="0.3">
      <c r="A15" s="66" t="s">
        <v>136</v>
      </c>
      <c r="B15" s="56">
        <v>11000000000</v>
      </c>
      <c r="D15" s="53"/>
      <c r="E15" s="65"/>
    </row>
    <row r="16" spans="1:5" ht="15.75" thickBot="1" x14ac:dyDescent="0.3">
      <c r="A16" s="40" t="s">
        <v>137</v>
      </c>
      <c r="B16" s="110"/>
      <c r="E16" s="65"/>
    </row>
    <row r="17" spans="1:5" ht="15.75" thickBot="1" x14ac:dyDescent="0.3">
      <c r="A17" s="57" t="s">
        <v>138</v>
      </c>
      <c r="B17" s="69" t="str">
        <f>IF(B14=0,"",B14-B15/B16)</f>
        <v/>
      </c>
      <c r="C17" s="67" t="s">
        <v>139</v>
      </c>
      <c r="D17" s="67"/>
      <c r="E17" s="68"/>
    </row>
    <row r="19" spans="1:5" ht="15.75" thickBot="1" x14ac:dyDescent="0.3"/>
    <row r="20" spans="1:5" ht="15.75" thickBot="1" x14ac:dyDescent="0.3">
      <c r="A20" s="206" t="s">
        <v>149</v>
      </c>
      <c r="B20" s="207"/>
    </row>
    <row r="21" spans="1:5" ht="15.75" thickBot="1" x14ac:dyDescent="0.3">
      <c r="A21" s="16" t="s">
        <v>150</v>
      </c>
      <c r="B21" s="111"/>
    </row>
    <row r="22" spans="1:5" ht="15.75" thickBot="1" x14ac:dyDescent="0.3">
      <c r="A22" s="57" t="s">
        <v>151</v>
      </c>
      <c r="B22" s="28" t="str">
        <f>IF(B21=0,"",410-B21)</f>
        <v/>
      </c>
      <c r="C22" t="s">
        <v>139</v>
      </c>
    </row>
    <row r="25" spans="1:5" ht="15.75" thickBot="1" x14ac:dyDescent="0.3"/>
    <row r="26" spans="1:5" ht="15.75" thickBot="1" x14ac:dyDescent="0.3">
      <c r="A26" s="206" t="s">
        <v>148</v>
      </c>
      <c r="B26" s="207"/>
      <c r="C26" s="62"/>
      <c r="D26" s="63"/>
      <c r="E26" s="64"/>
    </row>
    <row r="27" spans="1:5" ht="15.75" thickBot="1" x14ac:dyDescent="0.3">
      <c r="A27" s="16" t="s">
        <v>127</v>
      </c>
      <c r="B27" s="46">
        <v>510</v>
      </c>
      <c r="D27" s="48"/>
      <c r="E27" s="65"/>
    </row>
    <row r="28" spans="1:5" ht="15.75" thickBot="1" x14ac:dyDescent="0.3">
      <c r="A28" s="16" t="s">
        <v>124</v>
      </c>
      <c r="B28" s="46">
        <v>5</v>
      </c>
      <c r="D28" s="2"/>
      <c r="E28" s="65"/>
    </row>
    <row r="29" spans="1:5" ht="15.75" thickBot="1" x14ac:dyDescent="0.3">
      <c r="A29" s="16" t="s">
        <v>129</v>
      </c>
      <c r="B29" s="96"/>
      <c r="C29" s="40" t="str">
        <f>IF(B29&gt;10000000,"Dilution Required", "")</f>
        <v/>
      </c>
      <c r="D29" s="51" t="str">
        <f>IF(C29="Dilution Required",("If between 1x10E7 and 5x10E7, dilute 1:5.  
If between 5x10E7 and 1x10E8, dilute 1:10"),"")</f>
        <v/>
      </c>
      <c r="E29" s="50" t="str">
        <f>IF(B29&lt;500000,"Too dilute","")</f>
        <v>Too dilute</v>
      </c>
    </row>
    <row r="30" spans="1:5" ht="15.75" thickBot="1" x14ac:dyDescent="0.3">
      <c r="A30" s="16" t="s">
        <v>123</v>
      </c>
      <c r="B30" s="97"/>
      <c r="E30" s="65"/>
    </row>
    <row r="31" spans="1:5" ht="15.75" thickBot="1" x14ac:dyDescent="0.3">
      <c r="A31" s="16" t="s">
        <v>130</v>
      </c>
      <c r="B31" s="98"/>
      <c r="E31" s="65"/>
    </row>
    <row r="32" spans="1:5" ht="15.75" thickBot="1" x14ac:dyDescent="0.3">
      <c r="A32" s="66"/>
      <c r="E32" s="65"/>
    </row>
    <row r="33" spans="1:5" ht="15.75" thickBot="1" x14ac:dyDescent="0.3">
      <c r="A33" s="16" t="s">
        <v>128</v>
      </c>
      <c r="B33" s="43">
        <f>IF(B28=0,"",(B28*B31))</f>
        <v>0</v>
      </c>
      <c r="E33" s="65"/>
    </row>
    <row r="34" spans="1:5" ht="15.75" thickBot="1" x14ac:dyDescent="0.3">
      <c r="A34" s="16" t="s">
        <v>125</v>
      </c>
      <c r="B34" s="47"/>
      <c r="C34" t="str">
        <f>IF(B34&gt;50%,"Pass","Fail MIRA ID")</f>
        <v>Fail MIRA ID</v>
      </c>
      <c r="E34" s="65"/>
    </row>
    <row r="35" spans="1:5" ht="15.75" thickBot="1" x14ac:dyDescent="0.3">
      <c r="A35" s="16" t="s">
        <v>154</v>
      </c>
      <c r="B35" s="45" t="str">
        <f>IF(B33=0,"",B33*B27)</f>
        <v/>
      </c>
      <c r="C35" s="2" t="str">
        <f>IF(B35&lt;3600000000,"Fail MIRA ID","")</f>
        <v/>
      </c>
      <c r="D35" t="str">
        <f>IF(B35&gt;9200000000,"Calculate Excess Cells to Discard","")</f>
        <v>Calculate Excess Cells to Discard</v>
      </c>
      <c r="E35" s="65"/>
    </row>
    <row r="36" spans="1:5" x14ac:dyDescent="0.25">
      <c r="A36" s="66"/>
      <c r="E36" s="65"/>
    </row>
    <row r="37" spans="1:5" ht="15.75" thickBot="1" x14ac:dyDescent="0.3">
      <c r="A37" s="66"/>
      <c r="E37" s="65"/>
    </row>
    <row r="38" spans="1:5" ht="15.75" thickBot="1" x14ac:dyDescent="0.3">
      <c r="A38" s="206" t="s">
        <v>135</v>
      </c>
      <c r="B38" s="207"/>
      <c r="E38" s="65"/>
    </row>
    <row r="39" spans="1:5" ht="15.75" thickBot="1" x14ac:dyDescent="0.3">
      <c r="A39" s="40" t="s">
        <v>153</v>
      </c>
      <c r="B39" s="109"/>
      <c r="E39" s="65"/>
    </row>
    <row r="40" spans="1:5" ht="15.75" thickBot="1" x14ac:dyDescent="0.3">
      <c r="A40" s="66" t="s">
        <v>136</v>
      </c>
      <c r="B40" s="56">
        <v>9200000000</v>
      </c>
      <c r="D40" s="53"/>
      <c r="E40" s="65"/>
    </row>
    <row r="41" spans="1:5" ht="15.75" thickBot="1" x14ac:dyDescent="0.3">
      <c r="A41" s="40" t="s">
        <v>137</v>
      </c>
      <c r="B41" s="110"/>
      <c r="E41" s="65"/>
    </row>
    <row r="42" spans="1:5" ht="15.75" thickBot="1" x14ac:dyDescent="0.3">
      <c r="A42" s="57" t="s">
        <v>138</v>
      </c>
      <c r="B42" s="69"/>
      <c r="C42" s="67" t="s">
        <v>139</v>
      </c>
      <c r="D42" s="67"/>
      <c r="E42" s="68"/>
    </row>
    <row r="43" spans="1:5" ht="15.75" thickBot="1" x14ac:dyDescent="0.3"/>
    <row r="44" spans="1:5" ht="15.75" thickBot="1" x14ac:dyDescent="0.3">
      <c r="A44" s="236" t="s">
        <v>160</v>
      </c>
      <c r="B44" s="237"/>
    </row>
    <row r="45" spans="1:5" ht="15.75" thickBot="1" x14ac:dyDescent="0.3">
      <c r="A45" s="16" t="s">
        <v>154</v>
      </c>
      <c r="B45" s="78" t="str">
        <f>IF(B42="",B35,B40)</f>
        <v/>
      </c>
    </row>
    <row r="46" spans="1:5" ht="15.75" thickBot="1" x14ac:dyDescent="0.3">
      <c r="A46" s="77" t="s">
        <v>159</v>
      </c>
      <c r="B46" s="79" t="e">
        <f>IF(B45=0,"",(B45/510))</f>
        <v>#VALUE!</v>
      </c>
    </row>
  </sheetData>
  <sheetProtection sheet="1" objects="1" scenarios="1"/>
  <mergeCells count="6">
    <mergeCell ref="A44:B44"/>
    <mergeCell ref="A1:B1"/>
    <mergeCell ref="A13:B13"/>
    <mergeCell ref="A26:B26"/>
    <mergeCell ref="A38:B38"/>
    <mergeCell ref="A20:B20"/>
  </mergeCells>
  <conditionalFormatting sqref="B4">
    <cfRule type="cellIs" dxfId="17" priority="12" operator="between">
      <formula>500000</formula>
      <formula>10000000</formula>
    </cfRule>
    <cfRule type="cellIs" dxfId="16" priority="13" operator="equal">
      <formula>0</formula>
    </cfRule>
    <cfRule type="cellIs" dxfId="15" priority="14" operator="lessThan">
      <formula>500000</formula>
    </cfRule>
    <cfRule type="cellIs" dxfId="14" priority="15" operator="greaterThan">
      <formula>10000000</formula>
    </cfRule>
  </conditionalFormatting>
  <conditionalFormatting sqref="B10">
    <cfRule type="cellIs" dxfId="13" priority="10" operator="between">
      <formula>1</formula>
      <formula>6000000000</formula>
    </cfRule>
    <cfRule type="cellIs" dxfId="12" priority="11" operator="between">
      <formula>6000000000</formula>
      <formula>11000000000</formula>
    </cfRule>
  </conditionalFormatting>
  <conditionalFormatting sqref="B9">
    <cfRule type="cellIs" dxfId="11" priority="8" stopIfTrue="1" operator="greaterThan">
      <formula>50%</formula>
    </cfRule>
  </conditionalFormatting>
  <conditionalFormatting sqref="B29">
    <cfRule type="cellIs" dxfId="10" priority="4" operator="between">
      <formula>500000</formula>
      <formula>10000000</formula>
    </cfRule>
    <cfRule type="cellIs" dxfId="9" priority="5" operator="equal">
      <formula>0</formula>
    </cfRule>
    <cfRule type="cellIs" dxfId="8" priority="6" operator="lessThan">
      <formula>500000</formula>
    </cfRule>
    <cfRule type="cellIs" dxfId="7" priority="7" operator="greaterThan">
      <formula>10000000</formula>
    </cfRule>
  </conditionalFormatting>
  <conditionalFormatting sqref="B35">
    <cfRule type="cellIs" dxfId="6" priority="2" operator="between">
      <formula>1</formula>
      <formula>6000000000</formula>
    </cfRule>
    <cfRule type="cellIs" dxfId="5" priority="3" operator="between">
      <formula>6000000000</formula>
      <formula>11000000000</formula>
    </cfRule>
  </conditionalFormatting>
  <conditionalFormatting sqref="B34">
    <cfRule type="cellIs" dxfId="4" priority="1" stopIfTrue="1" operator="greaterThan">
      <formula>50%</formula>
    </cfRule>
  </conditionalFormatting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6" r:id="rId4" name="Check Box 2">
              <controlPr defaultSize="0" autoFill="0" autoLine="0" autoPict="0">
                <anchor moveWithCells="1">
                  <from>
                    <xdr:col>1</xdr:col>
                    <xdr:colOff>742950</xdr:colOff>
                    <xdr:row>11</xdr:row>
                    <xdr:rowOff>171450</xdr:rowOff>
                  </from>
                  <to>
                    <xdr:col>2</xdr:col>
                    <xdr:colOff>285750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5" name="Check Box 3">
              <controlPr defaultSize="0" autoFill="0" autoLine="0" autoPict="0">
                <anchor moveWithCells="1">
                  <from>
                    <xdr:col>1</xdr:col>
                    <xdr:colOff>742950</xdr:colOff>
                    <xdr:row>36</xdr:row>
                    <xdr:rowOff>171450</xdr:rowOff>
                  </from>
                  <to>
                    <xdr:col>2</xdr:col>
                    <xdr:colOff>285750</xdr:colOff>
                    <xdr:row>37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M22"/>
  <sheetViews>
    <sheetView workbookViewId="0">
      <selection activeCell="B4" sqref="B4:B5"/>
    </sheetView>
  </sheetViews>
  <sheetFormatPr defaultRowHeight="15" x14ac:dyDescent="0.25"/>
  <cols>
    <col min="1" max="1" width="13.42578125" customWidth="1"/>
    <col min="2" max="2" width="16.5703125" customWidth="1"/>
    <col min="3" max="3" width="13.5703125" customWidth="1"/>
    <col min="4" max="4" width="8.85546875" customWidth="1"/>
    <col min="5" max="5" width="10.85546875" customWidth="1"/>
    <col min="6" max="6" width="12.5703125" customWidth="1"/>
    <col min="7" max="7" width="12.42578125" customWidth="1"/>
    <col min="10" max="10" width="13.5703125" customWidth="1"/>
    <col min="11" max="11" width="13.140625" customWidth="1"/>
    <col min="12" max="12" width="12.7109375" customWidth="1"/>
    <col min="13" max="13" width="13.42578125" customWidth="1"/>
  </cols>
  <sheetData>
    <row r="1" spans="1:13" ht="15.75" customHeight="1" thickBot="1" x14ac:dyDescent="0.3">
      <c r="A1" s="189" t="s">
        <v>93</v>
      </c>
      <c r="B1" s="190"/>
      <c r="C1" s="190"/>
      <c r="D1" s="191"/>
      <c r="E1" s="191"/>
      <c r="F1" s="191"/>
      <c r="G1" s="192"/>
      <c r="J1" s="189" t="s">
        <v>114</v>
      </c>
      <c r="K1" s="190"/>
      <c r="L1" s="190"/>
      <c r="M1" s="205"/>
    </row>
    <row r="2" spans="1:13" ht="29.45" customHeight="1" thickBot="1" x14ac:dyDescent="0.3">
      <c r="A2" s="112" t="s">
        <v>85</v>
      </c>
      <c r="B2" s="113" t="str">
        <f>IF('Experiment Request'!A3=0,"",'Experiment Request'!A3)</f>
        <v>M-101</v>
      </c>
      <c r="C2" s="114" t="s">
        <v>175</v>
      </c>
      <c r="D2" s="197" t="str">
        <f>IF('Experiment Request'!B10=0,"",'Experiment Request'!B10)</f>
        <v/>
      </c>
      <c r="E2" s="238"/>
      <c r="F2" s="115" t="s">
        <v>23</v>
      </c>
      <c r="G2" s="116" t="str">
        <f>IF('Experiment Request'!B12=0,"",'Experiment Request'!B12)</f>
        <v/>
      </c>
      <c r="J2" s="30" t="s">
        <v>110</v>
      </c>
      <c r="K2" s="28" t="s">
        <v>111</v>
      </c>
      <c r="L2" s="31" t="s">
        <v>112</v>
      </c>
      <c r="M2" s="31" t="s">
        <v>113</v>
      </c>
    </row>
    <row r="3" spans="1:13" ht="30.75" thickBot="1" x14ac:dyDescent="0.3">
      <c r="A3" s="9" t="s">
        <v>28</v>
      </c>
      <c r="B3" s="8" t="s">
        <v>29</v>
      </c>
      <c r="C3" s="239" t="s">
        <v>30</v>
      </c>
      <c r="D3" s="240"/>
      <c r="E3" s="58" t="s">
        <v>31</v>
      </c>
      <c r="F3" s="35" t="s">
        <v>32</v>
      </c>
      <c r="G3" s="35" t="s">
        <v>33</v>
      </c>
      <c r="J3" s="19" t="s">
        <v>173</v>
      </c>
      <c r="K3" s="19" t="s">
        <v>174</v>
      </c>
      <c r="L3" s="80"/>
      <c r="M3" s="81"/>
    </row>
    <row r="4" spans="1:13" ht="41.1" customHeight="1" thickBot="1" x14ac:dyDescent="0.3">
      <c r="A4" s="243" t="s">
        <v>41</v>
      </c>
      <c r="B4" s="202" t="s">
        <v>161</v>
      </c>
      <c r="C4" s="60" t="s">
        <v>157</v>
      </c>
      <c r="D4" s="76"/>
      <c r="E4" s="246" t="e">
        <f>Dates!I3</f>
        <v>#N/A</v>
      </c>
      <c r="F4" s="117"/>
      <c r="G4" s="117"/>
      <c r="J4" s="21" t="s">
        <v>107</v>
      </c>
      <c r="K4" s="22" t="s">
        <v>122</v>
      </c>
      <c r="L4" s="19"/>
      <c r="M4" s="32"/>
    </row>
    <row r="5" spans="1:13" ht="45" customHeight="1" thickBot="1" x14ac:dyDescent="0.3">
      <c r="A5" s="244"/>
      <c r="B5" s="203"/>
      <c r="C5" s="60" t="s">
        <v>156</v>
      </c>
      <c r="D5" s="10"/>
      <c r="E5" s="183"/>
      <c r="F5" s="117"/>
      <c r="G5" s="117"/>
      <c r="J5" s="19" t="s">
        <v>108</v>
      </c>
      <c r="K5" s="19" t="s">
        <v>122</v>
      </c>
      <c r="L5" s="19"/>
      <c r="M5" s="19"/>
    </row>
    <row r="6" spans="1:13" ht="47.45" customHeight="1" thickBot="1" x14ac:dyDescent="0.3">
      <c r="A6" s="244"/>
      <c r="B6" s="60" t="s">
        <v>162</v>
      </c>
      <c r="C6" s="46" t="s">
        <v>155</v>
      </c>
      <c r="D6" s="10"/>
      <c r="E6" s="183"/>
      <c r="F6" s="117"/>
      <c r="G6" s="117"/>
      <c r="J6" s="19" t="s">
        <v>177</v>
      </c>
      <c r="K6" s="19" t="s">
        <v>176</v>
      </c>
      <c r="L6" s="19"/>
      <c r="M6" s="19"/>
    </row>
    <row r="7" spans="1:13" ht="42.95" customHeight="1" thickBot="1" x14ac:dyDescent="0.3">
      <c r="A7" s="244"/>
      <c r="B7" s="202" t="s">
        <v>163</v>
      </c>
      <c r="C7" s="60" t="s">
        <v>157</v>
      </c>
      <c r="D7" s="76"/>
      <c r="E7" s="183"/>
      <c r="F7" s="117"/>
      <c r="G7" s="117"/>
      <c r="J7" s="82"/>
      <c r="K7" s="82"/>
      <c r="L7" s="82"/>
    </row>
    <row r="8" spans="1:13" ht="43.5" customHeight="1" thickBot="1" x14ac:dyDescent="0.3">
      <c r="A8" s="244"/>
      <c r="B8" s="203"/>
      <c r="C8" s="60" t="s">
        <v>164</v>
      </c>
      <c r="D8" s="10"/>
      <c r="E8" s="183"/>
      <c r="F8" s="117"/>
      <c r="G8" s="117"/>
    </row>
    <row r="9" spans="1:13" ht="65.45" customHeight="1" thickBot="1" x14ac:dyDescent="0.3">
      <c r="A9" s="244"/>
      <c r="B9" s="204"/>
      <c r="C9" s="60" t="s">
        <v>166</v>
      </c>
      <c r="D9" s="10"/>
      <c r="E9" s="183"/>
      <c r="F9" s="117"/>
      <c r="G9" s="117"/>
    </row>
    <row r="10" spans="1:13" ht="42.95" customHeight="1" thickBot="1" x14ac:dyDescent="0.3">
      <c r="A10" s="244"/>
      <c r="B10" s="202" t="s">
        <v>165</v>
      </c>
      <c r="C10" s="46" t="s">
        <v>169</v>
      </c>
      <c r="D10" s="10"/>
      <c r="E10" s="183"/>
      <c r="F10" s="117"/>
      <c r="G10" s="117"/>
    </row>
    <row r="11" spans="1:13" ht="45.6" customHeight="1" thickBot="1" x14ac:dyDescent="0.3">
      <c r="A11" s="245"/>
      <c r="B11" s="204"/>
      <c r="C11" s="60" t="s">
        <v>170</v>
      </c>
      <c r="D11" s="10"/>
      <c r="E11" s="183"/>
      <c r="F11" s="117"/>
      <c r="G11" s="117"/>
    </row>
    <row r="12" spans="1:13" ht="42.6" customHeight="1" thickBot="1" x14ac:dyDescent="0.3">
      <c r="A12" s="247" t="s">
        <v>42</v>
      </c>
      <c r="B12" s="85" t="s">
        <v>182</v>
      </c>
      <c r="C12" s="241"/>
      <c r="D12" s="242"/>
      <c r="E12" s="183"/>
      <c r="F12" s="117"/>
      <c r="G12" s="117"/>
    </row>
    <row r="13" spans="1:13" ht="60" customHeight="1" thickBot="1" x14ac:dyDescent="0.3">
      <c r="A13" s="248"/>
      <c r="B13" s="85" t="s">
        <v>184</v>
      </c>
      <c r="C13" s="60" t="s">
        <v>185</v>
      </c>
      <c r="D13" s="10"/>
      <c r="E13" s="183"/>
      <c r="F13" s="117"/>
      <c r="G13" s="117"/>
    </row>
    <row r="14" spans="1:13" ht="32.450000000000003" customHeight="1" thickBot="1" x14ac:dyDescent="0.3">
      <c r="A14" s="248"/>
      <c r="B14" s="254" t="s">
        <v>183</v>
      </c>
      <c r="C14" s="250" t="s">
        <v>172</v>
      </c>
      <c r="D14" s="251"/>
      <c r="E14" s="183"/>
      <c r="F14" s="118"/>
      <c r="G14" s="117"/>
    </row>
    <row r="15" spans="1:13" ht="31.5" customHeight="1" thickBot="1" x14ac:dyDescent="0.3">
      <c r="A15" s="249"/>
      <c r="B15" s="255"/>
      <c r="C15" s="252" t="s">
        <v>43</v>
      </c>
      <c r="D15" s="253"/>
      <c r="E15" s="184"/>
      <c r="F15" s="118"/>
      <c r="G15" s="117"/>
    </row>
    <row r="16" spans="1:13" ht="43.5" customHeight="1" x14ac:dyDescent="0.25">
      <c r="A16" s="268" t="s">
        <v>186</v>
      </c>
      <c r="B16" s="202" t="s">
        <v>181</v>
      </c>
      <c r="C16" s="260" t="s">
        <v>45</v>
      </c>
      <c r="D16" s="261"/>
      <c r="E16" s="264" t="e">
        <f>Dates!J3</f>
        <v>#N/A</v>
      </c>
      <c r="F16" s="266"/>
      <c r="G16" s="266"/>
    </row>
    <row r="17" spans="1:7" ht="15.75" thickBot="1" x14ac:dyDescent="0.3">
      <c r="A17" s="269"/>
      <c r="B17" s="204"/>
      <c r="C17" s="262"/>
      <c r="D17" s="263"/>
      <c r="E17" s="265"/>
      <c r="F17" s="267"/>
      <c r="G17" s="267"/>
    </row>
    <row r="18" spans="1:7" ht="57.6" customHeight="1" thickBot="1" x14ac:dyDescent="0.3">
      <c r="A18" s="83"/>
      <c r="B18" s="75"/>
    </row>
    <row r="19" spans="1:7" ht="30.75" thickBot="1" x14ac:dyDescent="0.3">
      <c r="A19" s="202" t="s">
        <v>140</v>
      </c>
      <c r="B19" s="202" t="s">
        <v>179</v>
      </c>
      <c r="C19" s="60" t="s">
        <v>142</v>
      </c>
      <c r="D19" s="256" t="str">
        <f>'Expanded T Cell Count'!B10</f>
        <v/>
      </c>
      <c r="E19" s="257"/>
    </row>
    <row r="20" spans="1:7" ht="15.75" thickBot="1" x14ac:dyDescent="0.3">
      <c r="A20" s="203"/>
      <c r="B20" s="204"/>
      <c r="C20" s="15" t="s">
        <v>145</v>
      </c>
      <c r="D20" s="258" t="str">
        <f>IF('Expanded T Cell Count'!B9=0,"",'Expanded T Cell Count'!B9)</f>
        <v/>
      </c>
      <c r="E20" s="259"/>
    </row>
    <row r="21" spans="1:7" ht="30.75" thickBot="1" x14ac:dyDescent="0.3">
      <c r="A21" s="203"/>
      <c r="B21" s="202" t="s">
        <v>180</v>
      </c>
      <c r="C21" s="60" t="s">
        <v>142</v>
      </c>
      <c r="D21" s="256" t="str">
        <f>'Expanded T Cell Count'!B35</f>
        <v/>
      </c>
      <c r="E21" s="259"/>
    </row>
    <row r="22" spans="1:7" ht="15.75" thickBot="1" x14ac:dyDescent="0.3">
      <c r="A22" s="204"/>
      <c r="B22" s="204"/>
      <c r="C22" s="15" t="s">
        <v>145</v>
      </c>
      <c r="D22" s="258" t="str">
        <f>IF('Expanded T Cell Count'!B34=0,"",'Expanded T Cell Count'!B34)</f>
        <v/>
      </c>
      <c r="E22" s="259"/>
    </row>
  </sheetData>
  <sheetProtection sheet="1" objects="1" scenarios="1"/>
  <mergeCells count="27">
    <mergeCell ref="C16:D17"/>
    <mergeCell ref="E16:E17"/>
    <mergeCell ref="F16:F17"/>
    <mergeCell ref="G16:G17"/>
    <mergeCell ref="A16:A17"/>
    <mergeCell ref="B16:B17"/>
    <mergeCell ref="A19:A22"/>
    <mergeCell ref="B19:B20"/>
    <mergeCell ref="B21:B22"/>
    <mergeCell ref="D19:E19"/>
    <mergeCell ref="D20:E20"/>
    <mergeCell ref="D21:E21"/>
    <mergeCell ref="D22:E22"/>
    <mergeCell ref="B10:B11"/>
    <mergeCell ref="C12:D12"/>
    <mergeCell ref="A4:A11"/>
    <mergeCell ref="E4:E15"/>
    <mergeCell ref="A12:A15"/>
    <mergeCell ref="C14:D14"/>
    <mergeCell ref="C15:D15"/>
    <mergeCell ref="B14:B15"/>
    <mergeCell ref="J1:M1"/>
    <mergeCell ref="D2:E2"/>
    <mergeCell ref="C3:D3"/>
    <mergeCell ref="B4:B5"/>
    <mergeCell ref="B7:B9"/>
    <mergeCell ref="A1:G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24" r:id="rId4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95250</xdr:rowOff>
                  </from>
                  <to>
                    <xdr:col>4</xdr:col>
                    <xdr:colOff>276225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5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323850</xdr:rowOff>
                  </from>
                  <to>
                    <xdr:col>4</xdr:col>
                    <xdr:colOff>295275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6" name="Check Box 14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95250</xdr:rowOff>
                  </from>
                  <to>
                    <xdr:col>4</xdr:col>
                    <xdr:colOff>276225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7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323850</xdr:rowOff>
                  </from>
                  <to>
                    <xdr:col>4</xdr:col>
                    <xdr:colOff>295275</xdr:colOff>
                    <xdr:row>4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8" name="Check Box 1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95250</xdr:rowOff>
                  </from>
                  <to>
                    <xdr:col>4</xdr:col>
                    <xdr:colOff>276225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9" name="Check Box 17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323850</xdr:rowOff>
                  </from>
                  <to>
                    <xdr:col>4</xdr:col>
                    <xdr:colOff>295275</xdr:colOff>
                    <xdr:row>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95250</xdr:rowOff>
                  </from>
                  <to>
                    <xdr:col>4</xdr:col>
                    <xdr:colOff>276225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1" name="Check Box 1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323850</xdr:rowOff>
                  </from>
                  <to>
                    <xdr:col>4</xdr:col>
                    <xdr:colOff>295275</xdr:colOff>
                    <xdr:row>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2" name="Check Box 2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95250</xdr:rowOff>
                  </from>
                  <to>
                    <xdr:col>4</xdr:col>
                    <xdr:colOff>276225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3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323850</xdr:rowOff>
                  </from>
                  <to>
                    <xdr:col>4</xdr:col>
                    <xdr:colOff>295275</xdr:colOff>
                    <xdr:row>7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4" name="Check Box 22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95250</xdr:rowOff>
                  </from>
                  <to>
                    <xdr:col>4</xdr:col>
                    <xdr:colOff>276225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5" name="Check Box 2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323850</xdr:rowOff>
                  </from>
                  <to>
                    <xdr:col>4</xdr:col>
                    <xdr:colOff>295275</xdr:colOff>
                    <xdr:row>8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6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581025</xdr:rowOff>
                  </from>
                  <to>
                    <xdr:col>4</xdr:col>
                    <xdr:colOff>295275</xdr:colOff>
                    <xdr:row>8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7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95250</xdr:rowOff>
                  </from>
                  <to>
                    <xdr:col>4</xdr:col>
                    <xdr:colOff>276225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8" name="Check Box 2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323850</xdr:rowOff>
                  </from>
                  <to>
                    <xdr:col>4</xdr:col>
                    <xdr:colOff>295275</xdr:colOff>
                    <xdr:row>9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9" name="Check Box 2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95250</xdr:rowOff>
                  </from>
                  <to>
                    <xdr:col>4</xdr:col>
                    <xdr:colOff>276225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20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323850</xdr:rowOff>
                  </from>
                  <to>
                    <xdr:col>4</xdr:col>
                    <xdr:colOff>295275</xdr:colOff>
                    <xdr:row>10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21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95250</xdr:rowOff>
                  </from>
                  <to>
                    <xdr:col>4</xdr:col>
                    <xdr:colOff>276225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22" name="Check Box 34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323850</xdr:rowOff>
                  </from>
                  <to>
                    <xdr:col>4</xdr:col>
                    <xdr:colOff>295275</xdr:colOff>
                    <xdr:row>12</xdr:row>
                    <xdr:rowOff>533400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N15"/>
  <sheetViews>
    <sheetView topLeftCell="A7" workbookViewId="0">
      <selection activeCell="J9" sqref="J9"/>
    </sheetView>
  </sheetViews>
  <sheetFormatPr defaultRowHeight="15" x14ac:dyDescent="0.25"/>
  <cols>
    <col min="1" max="1" width="13.5703125" customWidth="1"/>
    <col min="2" max="2" width="16.85546875" customWidth="1"/>
    <col min="3" max="3" width="1.7109375" customWidth="1"/>
    <col min="4" max="4" width="15" customWidth="1"/>
    <col min="5" max="5" width="7.5703125" style="53" customWidth="1"/>
    <col min="6" max="6" width="13.42578125" customWidth="1"/>
    <col min="7" max="7" width="12" customWidth="1"/>
    <col min="8" max="8" width="9.5703125" customWidth="1"/>
    <col min="11" max="11" width="16.140625" customWidth="1"/>
    <col min="12" max="12" width="19" customWidth="1"/>
    <col min="13" max="13" width="17.85546875" customWidth="1"/>
    <col min="14" max="14" width="12.42578125" customWidth="1"/>
  </cols>
  <sheetData>
    <row r="1" spans="1:14" ht="15.75" customHeight="1" thickBot="1" x14ac:dyDescent="0.3">
      <c r="A1" s="189" t="s">
        <v>196</v>
      </c>
      <c r="B1" s="190"/>
      <c r="C1" s="190"/>
      <c r="D1" s="190"/>
      <c r="E1" s="190"/>
      <c r="F1" s="191"/>
      <c r="G1" s="191"/>
      <c r="H1" s="192"/>
      <c r="K1" s="189" t="s">
        <v>114</v>
      </c>
      <c r="L1" s="190"/>
      <c r="M1" s="190"/>
      <c r="N1" s="205"/>
    </row>
    <row r="2" spans="1:14" ht="21.75" thickBot="1" x14ac:dyDescent="0.3">
      <c r="A2" s="193" t="s">
        <v>85</v>
      </c>
      <c r="B2" s="194"/>
      <c r="C2" s="276" t="str">
        <f>IF('Experiment Request'!A3=0,"",'Experiment Request'!A3)</f>
        <v>M-101</v>
      </c>
      <c r="D2" s="277"/>
      <c r="E2" s="278"/>
      <c r="F2" s="279" t="s">
        <v>31</v>
      </c>
      <c r="G2" s="185" t="s">
        <v>32</v>
      </c>
      <c r="H2" s="281" t="s">
        <v>33</v>
      </c>
      <c r="K2" s="30" t="s">
        <v>110</v>
      </c>
      <c r="L2" s="28" t="s">
        <v>111</v>
      </c>
      <c r="M2" s="31" t="s">
        <v>112</v>
      </c>
      <c r="N2" s="31" t="s">
        <v>113</v>
      </c>
    </row>
    <row r="3" spans="1:14" ht="16.5" thickBot="1" x14ac:dyDescent="0.3">
      <c r="A3" s="9" t="s">
        <v>28</v>
      </c>
      <c r="B3" s="168" t="s">
        <v>29</v>
      </c>
      <c r="C3" s="270"/>
      <c r="D3" s="270" t="s">
        <v>30</v>
      </c>
      <c r="E3" s="169"/>
      <c r="F3" s="280"/>
      <c r="G3" s="188"/>
      <c r="H3" s="282"/>
      <c r="K3" s="19" t="s">
        <v>193</v>
      </c>
      <c r="L3" s="20" t="s">
        <v>194</v>
      </c>
      <c r="M3" s="118"/>
      <c r="N3" s="118"/>
    </row>
    <row r="4" spans="1:14" ht="29.25" customHeight="1" thickBot="1" x14ac:dyDescent="0.3">
      <c r="A4" s="202" t="s">
        <v>44</v>
      </c>
      <c r="B4" s="272" t="s">
        <v>46</v>
      </c>
      <c r="C4" s="273"/>
      <c r="D4" s="202" t="s">
        <v>187</v>
      </c>
      <c r="E4" s="283"/>
      <c r="F4" s="182" t="e">
        <f>Dates!J3</f>
        <v>#N/A</v>
      </c>
      <c r="G4" s="199"/>
      <c r="H4" s="199"/>
      <c r="K4" s="21" t="s">
        <v>195</v>
      </c>
      <c r="L4" s="22" t="s">
        <v>194</v>
      </c>
      <c r="M4" s="118"/>
      <c r="N4" s="118"/>
    </row>
    <row r="5" spans="1:14" ht="16.5" thickBot="1" x14ac:dyDescent="0.3">
      <c r="A5" s="203"/>
      <c r="B5" s="274"/>
      <c r="C5" s="275"/>
      <c r="D5" s="201"/>
      <c r="E5" s="284"/>
      <c r="F5" s="183"/>
      <c r="G5" s="201"/>
      <c r="H5" s="201"/>
      <c r="K5" s="87" t="s">
        <v>107</v>
      </c>
      <c r="L5" s="88" t="s">
        <v>122</v>
      </c>
      <c r="M5" s="118"/>
      <c r="N5" s="118"/>
    </row>
    <row r="6" spans="1:14" ht="60" customHeight="1" thickBot="1" x14ac:dyDescent="0.3">
      <c r="A6" s="204"/>
      <c r="B6" s="226" t="s">
        <v>192</v>
      </c>
      <c r="C6" s="271"/>
      <c r="D6" s="46" t="s">
        <v>191</v>
      </c>
      <c r="E6" s="89"/>
      <c r="F6" s="183"/>
      <c r="G6" s="3"/>
      <c r="H6" s="3"/>
      <c r="K6" s="21" t="s">
        <v>198</v>
      </c>
      <c r="L6" s="88" t="s">
        <v>212</v>
      </c>
      <c r="M6" s="118"/>
      <c r="N6" s="118"/>
    </row>
    <row r="7" spans="1:14" ht="60" customHeight="1" thickBot="1" x14ac:dyDescent="0.3">
      <c r="A7" s="202" t="s">
        <v>87</v>
      </c>
      <c r="B7" s="226" t="s">
        <v>200</v>
      </c>
      <c r="C7" s="227"/>
      <c r="D7" s="84"/>
      <c r="E7" s="89"/>
      <c r="F7" s="183"/>
      <c r="G7" s="72"/>
      <c r="H7" s="72"/>
      <c r="K7" s="21" t="s">
        <v>213</v>
      </c>
      <c r="L7" s="88" t="s">
        <v>212</v>
      </c>
      <c r="M7" s="118"/>
      <c r="N7" s="118"/>
    </row>
    <row r="8" spans="1:14" ht="60" customHeight="1" thickBot="1" x14ac:dyDescent="0.3">
      <c r="A8" s="203"/>
      <c r="B8" s="226" t="s">
        <v>204</v>
      </c>
      <c r="C8" s="227"/>
      <c r="D8" s="84" t="s">
        <v>202</v>
      </c>
      <c r="E8" s="89"/>
      <c r="F8" s="183"/>
      <c r="G8" s="73"/>
      <c r="H8" s="73"/>
      <c r="K8" s="87" t="s">
        <v>207</v>
      </c>
      <c r="L8" s="88" t="s">
        <v>210</v>
      </c>
      <c r="M8" s="118"/>
      <c r="N8" s="118"/>
    </row>
    <row r="9" spans="1:14" ht="44.25" customHeight="1" thickBot="1" x14ac:dyDescent="0.3">
      <c r="A9" s="289"/>
      <c r="B9" s="226" t="s">
        <v>203</v>
      </c>
      <c r="C9" s="271"/>
      <c r="D9" s="70" t="s">
        <v>201</v>
      </c>
      <c r="E9" s="89"/>
      <c r="F9" s="183"/>
      <c r="G9" s="74"/>
      <c r="H9" s="74"/>
      <c r="K9" s="46" t="s">
        <v>208</v>
      </c>
      <c r="L9" s="46" t="s">
        <v>209</v>
      </c>
      <c r="M9" s="118"/>
      <c r="N9" s="118"/>
    </row>
    <row r="10" spans="1:14" ht="90.75" thickBot="1" x14ac:dyDescent="0.3">
      <c r="A10" s="71" t="s">
        <v>47</v>
      </c>
      <c r="B10" s="226" t="s">
        <v>205</v>
      </c>
      <c r="C10" s="227"/>
      <c r="D10" s="46" t="s">
        <v>199</v>
      </c>
      <c r="E10" s="76"/>
      <c r="F10" s="184"/>
      <c r="G10" s="16"/>
      <c r="H10" s="16"/>
    </row>
    <row r="11" spans="1:14" x14ac:dyDescent="0.25">
      <c r="A11" s="1"/>
    </row>
    <row r="12" spans="1:14" x14ac:dyDescent="0.25">
      <c r="A12" s="1"/>
    </row>
    <row r="13" spans="1:14" ht="15.75" thickBot="1" x14ac:dyDescent="0.3">
      <c r="A13" s="1"/>
    </row>
    <row r="14" spans="1:14" x14ac:dyDescent="0.25">
      <c r="A14" s="202" t="s">
        <v>140</v>
      </c>
      <c r="B14" s="202" t="s">
        <v>188</v>
      </c>
      <c r="C14" s="285"/>
      <c r="D14" s="286"/>
    </row>
    <row r="15" spans="1:14" ht="15.75" thickBot="1" x14ac:dyDescent="0.3">
      <c r="A15" s="204"/>
      <c r="B15" s="204"/>
      <c r="C15" s="287"/>
      <c r="D15" s="288"/>
    </row>
  </sheetData>
  <mergeCells count="25">
    <mergeCell ref="B14:B15"/>
    <mergeCell ref="A14:A15"/>
    <mergeCell ref="A1:H1"/>
    <mergeCell ref="A2:B2"/>
    <mergeCell ref="C2:E2"/>
    <mergeCell ref="F2:F3"/>
    <mergeCell ref="G2:G3"/>
    <mergeCell ref="H2:H3"/>
    <mergeCell ref="E4:E5"/>
    <mergeCell ref="C14:D15"/>
    <mergeCell ref="A7:A9"/>
    <mergeCell ref="F4:F10"/>
    <mergeCell ref="G4:G5"/>
    <mergeCell ref="H4:H5"/>
    <mergeCell ref="B7:C7"/>
    <mergeCell ref="B8:C8"/>
    <mergeCell ref="D4:D5"/>
    <mergeCell ref="K1:N1"/>
    <mergeCell ref="D3:E3"/>
    <mergeCell ref="A4:A6"/>
    <mergeCell ref="B10:C10"/>
    <mergeCell ref="B3:C3"/>
    <mergeCell ref="B6:C6"/>
    <mergeCell ref="B9:C9"/>
    <mergeCell ref="B4:C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9525</xdr:colOff>
                    <xdr:row>3</xdr:row>
                    <xdr:rowOff>95250</xdr:rowOff>
                  </from>
                  <to>
                    <xdr:col>5</xdr:col>
                    <xdr:colOff>390525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9525</xdr:colOff>
                    <xdr:row>3</xdr:row>
                    <xdr:rowOff>323850</xdr:rowOff>
                  </from>
                  <to>
                    <xdr:col>5</xdr:col>
                    <xdr:colOff>409575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6" name="Check Box 10">
              <controlPr defaultSize="0" autoFill="0" autoLine="0" autoPict="0">
                <anchor moveWithCells="1">
                  <from>
                    <xdr:col>4</xdr:col>
                    <xdr:colOff>9525</xdr:colOff>
                    <xdr:row>5</xdr:row>
                    <xdr:rowOff>95250</xdr:rowOff>
                  </from>
                  <to>
                    <xdr:col>5</xdr:col>
                    <xdr:colOff>390525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7" name="Check Box 11">
              <controlPr defaultSize="0" autoFill="0" autoLine="0" autoPict="0">
                <anchor moveWithCells="1">
                  <from>
                    <xdr:col>4</xdr:col>
                    <xdr:colOff>9525</xdr:colOff>
                    <xdr:row>5</xdr:row>
                    <xdr:rowOff>323850</xdr:rowOff>
                  </from>
                  <to>
                    <xdr:col>5</xdr:col>
                    <xdr:colOff>409575</xdr:colOff>
                    <xdr:row>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8" name="Check Box 12">
              <controlPr defaultSize="0" autoFill="0" autoLine="0" autoPict="0">
                <anchor moveWithCells="1">
                  <from>
                    <xdr:col>4</xdr:col>
                    <xdr:colOff>9525</xdr:colOff>
                    <xdr:row>9</xdr:row>
                    <xdr:rowOff>95250</xdr:rowOff>
                  </from>
                  <to>
                    <xdr:col>5</xdr:col>
                    <xdr:colOff>390525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9" name="Check Box 13">
              <controlPr defaultSize="0" autoFill="0" autoLine="0" autoPict="0">
                <anchor moveWithCells="1">
                  <from>
                    <xdr:col>4</xdr:col>
                    <xdr:colOff>9525</xdr:colOff>
                    <xdr:row>9</xdr:row>
                    <xdr:rowOff>323850</xdr:rowOff>
                  </from>
                  <to>
                    <xdr:col>5</xdr:col>
                    <xdr:colOff>409575</xdr:colOff>
                    <xdr:row>9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0" name="Check Box 14">
              <controlPr defaultSize="0" autoFill="0" autoLine="0" autoPict="0">
                <anchor moveWithCells="1">
                  <from>
                    <xdr:col>4</xdr:col>
                    <xdr:colOff>9525</xdr:colOff>
                    <xdr:row>8</xdr:row>
                    <xdr:rowOff>95250</xdr:rowOff>
                  </from>
                  <to>
                    <xdr:col>5</xdr:col>
                    <xdr:colOff>390525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1" name="Check Box 15">
              <controlPr defaultSize="0" autoFill="0" autoLine="0" autoPict="0">
                <anchor moveWithCells="1">
                  <from>
                    <xdr:col>4</xdr:col>
                    <xdr:colOff>9525</xdr:colOff>
                    <xdr:row>8</xdr:row>
                    <xdr:rowOff>323850</xdr:rowOff>
                  </from>
                  <to>
                    <xdr:col>5</xdr:col>
                    <xdr:colOff>409575</xdr:colOff>
                    <xdr:row>8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2" name="Check Box 16">
              <controlPr defaultSize="0" autoFill="0" autoLine="0" autoPict="0">
                <anchor moveWithCells="1">
                  <from>
                    <xdr:col>4</xdr:col>
                    <xdr:colOff>9525</xdr:colOff>
                    <xdr:row>7</xdr:row>
                    <xdr:rowOff>95250</xdr:rowOff>
                  </from>
                  <to>
                    <xdr:col>5</xdr:col>
                    <xdr:colOff>390525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3" name="Check Box 17">
              <controlPr defaultSize="0" autoFill="0" autoLine="0" autoPict="0">
                <anchor moveWithCells="1">
                  <from>
                    <xdr:col>4</xdr:col>
                    <xdr:colOff>9525</xdr:colOff>
                    <xdr:row>7</xdr:row>
                    <xdr:rowOff>323850</xdr:rowOff>
                  </from>
                  <to>
                    <xdr:col>5</xdr:col>
                    <xdr:colOff>409575</xdr:colOff>
                    <xdr:row>7</xdr:row>
                    <xdr:rowOff>533400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"/>
  <sheetViews>
    <sheetView workbookViewId="0">
      <selection activeCell="B10" sqref="B10"/>
    </sheetView>
  </sheetViews>
  <sheetFormatPr defaultRowHeight="15" x14ac:dyDescent="0.25"/>
  <cols>
    <col min="1" max="1" width="37.28515625" customWidth="1"/>
    <col min="2" max="2" width="26.42578125" customWidth="1"/>
    <col min="3" max="3" width="18" customWidth="1"/>
    <col min="4" max="4" width="30.140625" customWidth="1"/>
    <col min="5" max="5" width="26.5703125" customWidth="1"/>
  </cols>
  <sheetData>
    <row r="1" spans="1:5" ht="15.75" thickBot="1" x14ac:dyDescent="0.3">
      <c r="A1" s="206" t="s">
        <v>189</v>
      </c>
      <c r="B1" s="207"/>
      <c r="C1" s="62"/>
      <c r="D1" s="63"/>
      <c r="E1" s="64"/>
    </row>
    <row r="2" spans="1:5" ht="15.75" thickBot="1" x14ac:dyDescent="0.3">
      <c r="A2" s="16" t="s">
        <v>127</v>
      </c>
      <c r="B2" s="46">
        <v>50</v>
      </c>
      <c r="D2" s="48"/>
      <c r="E2" s="65"/>
    </row>
    <row r="3" spans="1:5" ht="15.75" thickBot="1" x14ac:dyDescent="0.3">
      <c r="A3" s="16" t="s">
        <v>124</v>
      </c>
      <c r="B3" s="95"/>
      <c r="D3" s="2"/>
      <c r="E3" s="65"/>
    </row>
    <row r="4" spans="1:5" ht="15.75" thickBot="1" x14ac:dyDescent="0.3">
      <c r="A4" s="16" t="s">
        <v>129</v>
      </c>
      <c r="B4" s="96"/>
      <c r="C4" s="40" t="str">
        <f>IF(B4&gt;10000000,"Dilution Required", "")</f>
        <v/>
      </c>
      <c r="D4" s="51" t="str">
        <f>IF(C4="Dilution Required",("If between 1x10E7 and 5x10E7, dilute 1:5.  
If between 5x10E7 and 1x10E8, dilute 1:10"),"")</f>
        <v/>
      </c>
      <c r="E4" s="50" t="str">
        <f>IF(B4&lt;500000,"Too dilute","")</f>
        <v>Too dilute</v>
      </c>
    </row>
    <row r="5" spans="1:5" ht="15.75" thickBot="1" x14ac:dyDescent="0.3">
      <c r="A5" s="16" t="s">
        <v>123</v>
      </c>
      <c r="B5" s="97"/>
      <c r="E5" s="65"/>
    </row>
    <row r="6" spans="1:5" ht="15.75" thickBot="1" x14ac:dyDescent="0.3">
      <c r="A6" s="16" t="s">
        <v>130</v>
      </c>
      <c r="B6" s="98"/>
      <c r="E6" s="65"/>
    </row>
    <row r="7" spans="1:5" ht="15.75" thickBot="1" x14ac:dyDescent="0.3">
      <c r="A7" s="66"/>
      <c r="E7" s="65"/>
    </row>
    <row r="8" spans="1:5" ht="15.75" thickBot="1" x14ac:dyDescent="0.3">
      <c r="A8" s="16" t="s">
        <v>128</v>
      </c>
      <c r="B8" s="119">
        <f>IF(B3=0,B6,B3*B6)</f>
        <v>0</v>
      </c>
      <c r="E8" s="65"/>
    </row>
    <row r="9" spans="1:5" ht="15.75" thickBot="1" x14ac:dyDescent="0.3">
      <c r="A9" s="66"/>
      <c r="E9" s="65"/>
    </row>
    <row r="10" spans="1:5" ht="15.75" thickBot="1" x14ac:dyDescent="0.3">
      <c r="A10" s="16" t="s">
        <v>190</v>
      </c>
      <c r="B10" s="120" t="str">
        <f>IF(B8=0,"",(10000000/B8))</f>
        <v/>
      </c>
      <c r="C10" s="67" t="s">
        <v>139</v>
      </c>
      <c r="D10" s="67"/>
      <c r="E10" s="68"/>
    </row>
  </sheetData>
  <sheetProtection sheet="1" objects="1" scenarios="1"/>
  <mergeCells count="1">
    <mergeCell ref="A1:B1"/>
  </mergeCells>
  <conditionalFormatting sqref="B4">
    <cfRule type="cellIs" dxfId="3" priority="4" operator="between">
      <formula>500000</formula>
      <formula>10000000</formula>
    </cfRule>
    <cfRule type="cellIs" dxfId="2" priority="5" operator="equal">
      <formula>0</formula>
    </cfRule>
    <cfRule type="cellIs" dxfId="1" priority="6" operator="lessThan">
      <formula>500000</formula>
    </cfRule>
    <cfRule type="cellIs" dxfId="0" priority="7" operator="greaterThan">
      <formula>10000000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8F046435D3B44BDA77A4EA81C2597" ma:contentTypeVersion="7" ma:contentTypeDescription="Create a new document." ma:contentTypeScope="" ma:versionID="9edbaeb3a6a30e5ae52515e37c5ddedf">
  <xsd:schema xmlns:xsd="http://www.w3.org/2001/XMLSchema" xmlns:xs="http://www.w3.org/2001/XMLSchema" xmlns:p="http://schemas.microsoft.com/office/2006/metadata/properties" xmlns:ns2="7fb4ef84-7975-49f3-93a1-3523f2ba689d" xmlns:ns3="953832ad-8a87-4d16-a14f-364d4d36311f" targetNamespace="http://schemas.microsoft.com/office/2006/metadata/properties" ma:root="true" ma:fieldsID="80eb1e9e0f0c8696fe14eddf4015f354" ns2:_="" ns3:_="">
    <xsd:import namespace="7fb4ef84-7975-49f3-93a1-3523f2ba689d"/>
    <xsd:import namespace="953832ad-8a87-4d16-a14f-364d4d363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4ef84-7975-49f3-93a1-3523f2ba68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832ad-8a87-4d16-a14f-364d4d363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B5B852-B34F-4443-A8C1-736C65DA030A}">
  <ds:schemaRefs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953832ad-8a87-4d16-a14f-364d4d36311f"/>
    <ds:schemaRef ds:uri="http://schemas.microsoft.com/office/2006/metadata/properties"/>
    <ds:schemaRef ds:uri="7fb4ef84-7975-49f3-93a1-3523f2ba689d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A0097F-20C3-49B0-905B-76291ED83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b4ef84-7975-49f3-93a1-3523f2ba689d"/>
    <ds:schemaRef ds:uri="953832ad-8a87-4d16-a14f-364d4d363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73AF1-E09E-4E19-89D2-C805887C71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Experiment Request</vt:lpstr>
      <vt:lpstr>T Cell Isolation</vt:lpstr>
      <vt:lpstr>PBMC Thaw Cell Count </vt:lpstr>
      <vt:lpstr>Naive T Cell Count</vt:lpstr>
      <vt:lpstr>T Cell Expansion</vt:lpstr>
      <vt:lpstr>Expanded T Cell Count</vt:lpstr>
      <vt:lpstr>T Cell Stimulation</vt:lpstr>
      <vt:lpstr>PE Enrichment</vt:lpstr>
      <vt:lpstr>US Pool Count</vt:lpstr>
      <vt:lpstr>T Cell Sort</vt:lpstr>
      <vt:lpstr>Cora Upload File</vt:lpstr>
      <vt:lpstr>Dates</vt:lpstr>
      <vt:lpstr>schedule lookup</vt:lpstr>
      <vt:lpstr>'Experiment Request'!Print_Area</vt:lpstr>
      <vt:lpstr>'PE Enrichment'!Print_Area</vt:lpstr>
      <vt:lpstr>'T Cell Expansion'!Print_Area</vt:lpstr>
      <vt:lpstr>'T Cell Sort'!Print_Area</vt:lpstr>
      <vt:lpstr>'T Cell Stimulation'!Print_Area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Schubert</dc:creator>
  <cp:lastModifiedBy>Spencer Fisco</cp:lastModifiedBy>
  <cp:lastPrinted>2019-02-17T04:08:28Z</cp:lastPrinted>
  <dcterms:created xsi:type="dcterms:W3CDTF">2018-10-04T15:55:33Z</dcterms:created>
  <dcterms:modified xsi:type="dcterms:W3CDTF">2019-09-05T18:42:09Z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0x0101003028F046435D3B44BDA77A4EA81C2597</vt:lpwstr>
  </property>
</Properties>
</file>