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Data Analytics\Homework\"/>
    </mc:Choice>
  </mc:AlternateContent>
  <xr:revisionPtr revIDLastSave="0" documentId="13_ncr:1_{6417CC63-EE79-44ED-B3B4-1BD0E68930EF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a" sheetId="1" r:id="rId1"/>
    <sheet name="Cat" sheetId="2" r:id="rId2"/>
    <sheet name="Sub-Cat" sheetId="3" r:id="rId3"/>
    <sheet name="State by Month" sheetId="4" r:id="rId4"/>
    <sheet name="Outcomes Analysis" sheetId="5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<sst xmlns="http://schemas.openxmlformats.org/spreadsheetml/2006/main" count="33049" uniqueCount="8400">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</sst>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9" fontId="0" fillId="0" borderId="1" xfId="1" applyFont="1" applyBorder="1"/>
    <xf numFmtId="9" fontId="0" fillId="0" borderId="6" xfId="1" applyFont="1" applyBorder="1"/>
    <xf numFmtId="9" fontId="0" fillId="0" borderId="8" xfId="1" applyFont="1" applyBorder="1"/>
    <xf numFmtId="9" fontId="0" fillId="0" borderId="9" xfId="1" applyFont="1" applyBorder="1"/>
  </cellXfs>
  <cellStyles count="2">
    <cellStyle name="Normal" xfId="0" builtinId="0"/>
    <cellStyle name="Percent" xfId="1" builtinId="5"/>
  </cellStyles>
  <dxfs count="4"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theme="5" tint="0.59996337778862885"/>
        </patternFill>
      </fill>
    </dxf>
    <dxf>
      <font>
        <b/>
        <i val="0"/>
        <color theme="4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F-4B0C-9372-C53D9D87F4CF}"/>
            </c:ext>
          </c:extLst>
        </c:ser>
        <c:ser>
          <c:idx val="1"/>
          <c:order val="1"/>
          <c:tx>
            <c:strRef>
              <c:f>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F-4B0C-9372-C53D9D87F4CF}"/>
            </c:ext>
          </c:extLst>
        </c:ser>
        <c:ser>
          <c:idx val="2"/>
          <c:order val="2"/>
          <c:tx>
            <c:strRef>
              <c:f>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F-4B0C-9372-C53D9D87F4CF}"/>
            </c:ext>
          </c:extLst>
        </c:ser>
        <c:ser>
          <c:idx val="3"/>
          <c:order val="3"/>
          <c:tx>
            <c:strRef>
              <c:f>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F-4B0C-9372-C53D9D87F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173144"/>
        <c:axId val="396117840"/>
      </c:barChart>
      <c:catAx>
        <c:axId val="30517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17840"/>
        <c:crosses val="autoZero"/>
        <c:auto val="1"/>
        <c:lblAlgn val="ctr"/>
        <c:lblOffset val="100"/>
        <c:noMultiLvlLbl val="0"/>
      </c:catAx>
      <c:valAx>
        <c:axId val="3961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7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C-46A2-9005-E70054CE6C02}"/>
            </c:ext>
          </c:extLst>
        </c:ser>
        <c:ser>
          <c:idx val="1"/>
          <c:order val="1"/>
          <c:tx>
            <c:strRef>
              <c:f>'Sub-Cat'!$C$4:$C$5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5C-46A2-9005-E70054CE6C02}"/>
            </c:ext>
          </c:extLst>
        </c:ser>
        <c:ser>
          <c:idx val="2"/>
          <c:order val="2"/>
          <c:tx>
            <c:strRef>
              <c:f>'Sub-Cat'!$D$4:$D$5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C-46A2-9005-E70054CE6C02}"/>
            </c:ext>
          </c:extLst>
        </c:ser>
        <c:ser>
          <c:idx val="3"/>
          <c:order val="3"/>
          <c:tx>
            <c:strRef>
              <c:f>'Sub-Cat'!$E$4:$E$5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C-46A2-9005-E70054CE6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173144"/>
        <c:axId val="396117840"/>
      </c:barChart>
      <c:catAx>
        <c:axId val="30517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17840"/>
        <c:crosses val="autoZero"/>
        <c:auto val="1"/>
        <c:lblAlgn val="ctr"/>
        <c:lblOffset val="100"/>
        <c:noMultiLvlLbl val="0"/>
      </c:catAx>
      <c:valAx>
        <c:axId val="3961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17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Month!PivotTable1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6-49F0-B489-64B85CE608C0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6-49F0-B489-64B85CE608C0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6-49F0-B489-64B85CE608C0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A6-49F0-B489-64B85CE60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801128"/>
        <c:axId val="414800144"/>
      </c:lineChart>
      <c:catAx>
        <c:axId val="41480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00144"/>
        <c:crosses val="autoZero"/>
        <c:auto val="1"/>
        <c:lblAlgn val="ctr"/>
        <c:lblOffset val="100"/>
        <c:noMultiLvlLbl val="0"/>
      </c:catAx>
      <c:valAx>
        <c:axId val="41480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0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Analysis'!$F$1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Analysis'!$F$2:$F$13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3-43F8-973C-F79A80BFCF16}"/>
            </c:ext>
          </c:extLst>
        </c:ser>
        <c:ser>
          <c:idx val="1"/>
          <c:order val="1"/>
          <c:tx>
            <c:strRef>
              <c:f>'Outcomes Analysis'!$G$1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Analysis'!$G$2:$G$13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3-43F8-973C-F79A80BFCF16}"/>
            </c:ext>
          </c:extLst>
        </c:ser>
        <c:ser>
          <c:idx val="2"/>
          <c:order val="2"/>
          <c:tx>
            <c:strRef>
              <c:f>'Outcomes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Analysis'!$H$2:$H$13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3-43F8-973C-F79A80BFC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599880"/>
        <c:axId val="414600208"/>
      </c:lineChart>
      <c:catAx>
        <c:axId val="41459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00208"/>
        <c:crosses val="autoZero"/>
        <c:auto val="1"/>
        <c:lblAlgn val="ctr"/>
        <c:lblOffset val="100"/>
        <c:noMultiLvlLbl val="0"/>
      </c:catAx>
      <c:valAx>
        <c:axId val="41460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9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4</xdr:row>
      <xdr:rowOff>138111</xdr:rowOff>
    </xdr:from>
    <xdr:to>
      <xdr:col>17</xdr:col>
      <xdr:colOff>590550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C012C-AD9F-484B-809A-F77BAF38F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3</xdr:row>
      <xdr:rowOff>114300</xdr:rowOff>
    </xdr:from>
    <xdr:to>
      <xdr:col>19</xdr:col>
      <xdr:colOff>104775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776AF-8EFA-4347-A7C7-1008DBACD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1</xdr:row>
      <xdr:rowOff>133350</xdr:rowOff>
    </xdr:from>
    <xdr:to>
      <xdr:col>17</xdr:col>
      <xdr:colOff>590550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BF625-6B2C-45B1-BFB4-A56A1CF0D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13</xdr:row>
      <xdr:rowOff>166687</xdr:rowOff>
    </xdr:from>
    <xdr:to>
      <xdr:col>7</xdr:col>
      <xdr:colOff>1181100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B9D7D-5011-4B46-A929-A67A8C2E5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504.687820949075" createdVersion="6" refreshedVersion="6" minRefreshableVersion="3" recordCount="4114" xr:uid="{EDAFF984-F51B-494D-9692-8F63A7AF203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505.405829398151" createdVersion="6" refreshedVersion="6" minRefreshableVersion="3" recordCount="4114" xr:uid="{AA7AD6D7-09E8-477A-848A-E1FF5B2338B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B3163-9C49-402E-85D9-41221F8E36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1BA67-2C19-4434-956A-A4D1AFE942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57E72-9D3E-4C39-9169-9740B3636CC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16.5703125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successful">
      <formula>NOT(ISERROR(SEARCH("successful",F2)))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E8773-A320-4C9C-B9E9-6BE883B82B61}">
  <dimension ref="A1:F14"/>
  <sheetViews>
    <sheetView workbookViewId="0">
      <selection activeCell="B23" sqref="B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74E91-CD2B-4DF1-9008-0C6E22EC9AB3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C682-9FB1-4D26-AB53-34D064D718E3}">
  <dimension ref="A1:F18"/>
  <sheetViews>
    <sheetView workbookViewId="0">
      <selection activeCell="T15" sqref="T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8373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5">
      <c r="A7" s="11" t="s">
        <v>8374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5">
      <c r="A8" s="11" t="s">
        <v>8375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11" t="s">
        <v>8376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5">
      <c r="A10" s="11" t="s">
        <v>8367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5">
      <c r="A11" s="11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11" t="s">
        <v>8368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11" t="s">
        <v>8369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11" t="s">
        <v>8370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11" t="s">
        <v>8371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11" t="s">
        <v>8372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5">
      <c r="A17" s="11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4B2F-B543-48D6-8574-43BA21EEC02D}">
  <dimension ref="A1:H13"/>
  <sheetViews>
    <sheetView workbookViewId="0">
      <selection activeCell="E3" sqref="E3"/>
    </sheetView>
  </sheetViews>
  <sheetFormatPr defaultRowHeight="15" x14ac:dyDescent="0.25"/>
  <cols>
    <col min="1" max="1" width="28.140625" bestFit="1" customWidth="1"/>
    <col min="2" max="8" width="20.7109375" customWidth="1"/>
  </cols>
  <sheetData>
    <row r="1" spans="1:8" x14ac:dyDescent="0.25">
      <c r="A1" s="13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5" t="s">
        <v>8387</v>
      </c>
    </row>
    <row r="2" spans="1:8" x14ac:dyDescent="0.25">
      <c r="A2" s="16" t="s">
        <v>8388</v>
      </c>
      <c r="B2" s="12">
        <f>COUNTIFS(Data!$D:$D,"&lt;1000",Data!$F:$F,"successful")</f>
        <v>322</v>
      </c>
      <c r="C2" s="12">
        <f>COUNTIFS(Data!$D:$D,"&lt;1000",Data!$F:$F,"failed")</f>
        <v>113</v>
      </c>
      <c r="D2" s="12">
        <f>COUNTIFS(Data!$D:$D,"&lt;1000",Data!$F:$F,"canceled")</f>
        <v>18</v>
      </c>
      <c r="E2" s="12">
        <f>SUM(B2:D2)</f>
        <v>453</v>
      </c>
      <c r="F2" s="19">
        <f>B2/$E2</f>
        <v>0.71081677704194257</v>
      </c>
      <c r="G2" s="19">
        <f t="shared" ref="G2:H2" si="0">C2/$E2</f>
        <v>0.24944812362030905</v>
      </c>
      <c r="H2" s="20">
        <f t="shared" si="0"/>
        <v>3.9735099337748346E-2</v>
      </c>
    </row>
    <row r="3" spans="1:8" x14ac:dyDescent="0.25">
      <c r="A3" s="16" t="s">
        <v>8389</v>
      </c>
      <c r="B3" s="12">
        <f>COUNTIFS(Data!$D:$D,"&gt;=1000",Data!$D:$D,"&lt;=4999",Data!$F:$F,"successful")</f>
        <v>932</v>
      </c>
      <c r="C3" s="12">
        <f>COUNTIFS(Data!$D:$D,"&gt;=1000",Data!$D:$D,"&lt;=4999",Data!$F:$F,"failed")</f>
        <v>420</v>
      </c>
      <c r="D3" s="12">
        <f>COUNTIFS(Data!$D:$D,"&gt;=1000",Data!$D:$D,"&lt;=4999",Data!$F:$F,"canceled")</f>
        <v>60</v>
      </c>
      <c r="E3" s="12">
        <f t="shared" ref="E3:E13" si="1">SUM(B3:D3)</f>
        <v>1412</v>
      </c>
      <c r="F3" s="19">
        <f t="shared" ref="F3:F13" si="2">B3/$E3</f>
        <v>0.66005665722379603</v>
      </c>
      <c r="G3" s="19">
        <f t="shared" ref="G3:G13" si="3">C3/$E3</f>
        <v>0.29745042492917845</v>
      </c>
      <c r="H3" s="20">
        <f t="shared" ref="H3:H13" si="4">D3/$E3</f>
        <v>4.2492917847025496E-2</v>
      </c>
    </row>
    <row r="4" spans="1:8" x14ac:dyDescent="0.25">
      <c r="A4" s="16" t="s">
        <v>8390</v>
      </c>
      <c r="B4" s="12">
        <f>COUNTIFS(Data!$D:$D,"&gt;=5000",Data!$D:$D,"&lt;=9999",Data!$F:$F,"successful")</f>
        <v>381</v>
      </c>
      <c r="C4" s="12">
        <f>COUNTIFS(Data!$D:$D,"&gt;=5000",Data!$D:$D,"&lt;=9999",Data!$F:$F,"failed")</f>
        <v>283</v>
      </c>
      <c r="D4" s="12">
        <f>COUNTIFS(Data!$D:$D,"&gt;=5000",Data!$D:$D,"&lt;=9999",Data!$F:$F,"canceled")</f>
        <v>52</v>
      </c>
      <c r="E4" s="12">
        <f t="shared" si="1"/>
        <v>716</v>
      </c>
      <c r="F4" s="19">
        <f t="shared" si="2"/>
        <v>0.53212290502793291</v>
      </c>
      <c r="G4" s="19">
        <f t="shared" si="3"/>
        <v>0.39525139664804471</v>
      </c>
      <c r="H4" s="20">
        <f t="shared" si="4"/>
        <v>7.2625698324022353E-2</v>
      </c>
    </row>
    <row r="5" spans="1:8" x14ac:dyDescent="0.25">
      <c r="A5" s="16" t="s">
        <v>8391</v>
      </c>
      <c r="B5" s="12">
        <f>COUNTIFS(Data!$D:$D,"&gt;=10000",Data!$D:$D,"&lt;=14999",Data!$F:$F,"successful")</f>
        <v>168</v>
      </c>
      <c r="C5" s="12">
        <f>COUNTIFS(Data!$D:$D,"&gt;=10000",Data!$D:$D,"&lt;=14999",Data!$F:$F,"failed")</f>
        <v>144</v>
      </c>
      <c r="D5" s="12">
        <f>COUNTIFS(Data!$D:$D,"&gt;=10000",Data!$D:$D,"&lt;=14999",Data!$F:$F,"canceled")</f>
        <v>40</v>
      </c>
      <c r="E5" s="12">
        <f t="shared" si="1"/>
        <v>352</v>
      </c>
      <c r="F5" s="19">
        <f t="shared" si="2"/>
        <v>0.47727272727272729</v>
      </c>
      <c r="G5" s="19">
        <f t="shared" si="3"/>
        <v>0.40909090909090912</v>
      </c>
      <c r="H5" s="20">
        <f t="shared" si="4"/>
        <v>0.11363636363636363</v>
      </c>
    </row>
    <row r="6" spans="1:8" x14ac:dyDescent="0.25">
      <c r="A6" s="16" t="s">
        <v>8392</v>
      </c>
      <c r="B6" s="12">
        <f>COUNTIFS(Data!$D:$D,"&gt;=15000",Data!$D:$D,"&lt;=19999",Data!$F:$F,"successful")</f>
        <v>94</v>
      </c>
      <c r="C6" s="12">
        <f>COUNTIFS(Data!$D:$D,"&gt;=15000",Data!$D:$D,"&lt;=19999",Data!$F:$F,"failed")</f>
        <v>90</v>
      </c>
      <c r="D6" s="12">
        <f>COUNTIFS(Data!$D:$D,"&gt;=15000",Data!$D:$D,"&lt;=19999",Data!$F:$F,"canceled")</f>
        <v>17</v>
      </c>
      <c r="E6" s="12">
        <f t="shared" si="1"/>
        <v>201</v>
      </c>
      <c r="F6" s="19">
        <f t="shared" si="2"/>
        <v>0.46766169154228854</v>
      </c>
      <c r="G6" s="19">
        <f t="shared" si="3"/>
        <v>0.44776119402985076</v>
      </c>
      <c r="H6" s="20">
        <f t="shared" si="4"/>
        <v>8.45771144278607E-2</v>
      </c>
    </row>
    <row r="7" spans="1:8" x14ac:dyDescent="0.25">
      <c r="A7" s="16" t="s">
        <v>8393</v>
      </c>
      <c r="B7" s="12">
        <f>COUNTIFS(Data!$D:$D,"&gt;=20000",Data!$D:$D,"&lt;=24999",Data!$F:$F,"successful")</f>
        <v>62</v>
      </c>
      <c r="C7" s="12">
        <f>COUNTIFS(Data!$D:$D,"&gt;=20000",Data!$D:$D,"&lt;=24999",Data!$F:$F,"failed")</f>
        <v>72</v>
      </c>
      <c r="D7" s="12">
        <f>COUNTIFS(Data!$D:$D,"&gt;=20000",Data!$D:$D,"&lt;=24999",Data!$F:$F,"canceled")</f>
        <v>14</v>
      </c>
      <c r="E7" s="12">
        <f t="shared" si="1"/>
        <v>148</v>
      </c>
      <c r="F7" s="19">
        <f t="shared" si="2"/>
        <v>0.41891891891891891</v>
      </c>
      <c r="G7" s="19">
        <f t="shared" si="3"/>
        <v>0.48648648648648651</v>
      </c>
      <c r="H7" s="20">
        <f t="shared" si="4"/>
        <v>9.45945945945946E-2</v>
      </c>
    </row>
    <row r="8" spans="1:8" x14ac:dyDescent="0.25">
      <c r="A8" s="16" t="s">
        <v>8394</v>
      </c>
      <c r="B8" s="12">
        <f>COUNTIFS(Data!$D:$D,"&gt;=25000",Data!$D:$D,"&lt;=29999",Data!$F:$F,"successful")</f>
        <v>55</v>
      </c>
      <c r="C8" s="12">
        <f>COUNTIFS(Data!$D:$D,"&gt;=25000",Data!$D:$D,"&lt;=29999",Data!$F:$F,"failed")</f>
        <v>64</v>
      </c>
      <c r="D8" s="12">
        <f>COUNTIFS(Data!$D:$D,"&gt;=25000",Data!$D:$D,"&lt;=29999",Data!$F:$F,"canceled")</f>
        <v>18</v>
      </c>
      <c r="E8" s="12">
        <f t="shared" si="1"/>
        <v>137</v>
      </c>
      <c r="F8" s="19">
        <f t="shared" si="2"/>
        <v>0.40145985401459855</v>
      </c>
      <c r="G8" s="19">
        <f t="shared" si="3"/>
        <v>0.46715328467153283</v>
      </c>
      <c r="H8" s="20">
        <f t="shared" si="4"/>
        <v>0.13138686131386862</v>
      </c>
    </row>
    <row r="9" spans="1:8" x14ac:dyDescent="0.25">
      <c r="A9" s="16" t="s">
        <v>8395</v>
      </c>
      <c r="B9" s="12">
        <f>COUNTIFS(Data!$D:$D,"&gt;=30000",Data!$D:$D,"&lt;=34999",Data!$F:$F,"successful")</f>
        <v>32</v>
      </c>
      <c r="C9" s="12">
        <f>COUNTIFS(Data!$D:$D,"&gt;=30000",Data!$D:$D,"&lt;=34999",Data!$F:$F,"failed")</f>
        <v>37</v>
      </c>
      <c r="D9" s="12">
        <f>COUNTIFS(Data!$D:$D,"&gt;=30000",Data!$D:$D,"&lt;=34999",Data!$F:$F,"canceled")</f>
        <v>13</v>
      </c>
      <c r="E9" s="12">
        <f t="shared" si="1"/>
        <v>82</v>
      </c>
      <c r="F9" s="19">
        <f t="shared" si="2"/>
        <v>0.3902439024390244</v>
      </c>
      <c r="G9" s="19">
        <f t="shared" si="3"/>
        <v>0.45121951219512196</v>
      </c>
      <c r="H9" s="20">
        <f t="shared" si="4"/>
        <v>0.15853658536585366</v>
      </c>
    </row>
    <row r="10" spans="1:8" x14ac:dyDescent="0.25">
      <c r="A10" s="16" t="s">
        <v>8396</v>
      </c>
      <c r="B10" s="12">
        <f>COUNTIFS(Data!$D:$D,"&gt;=35000",Data!$D:$D,"&lt;=39999",Data!$F:$F,"successful")</f>
        <v>26</v>
      </c>
      <c r="C10" s="12">
        <f>COUNTIFS(Data!$D:$D,"&gt;=35000",Data!$D:$D,"&lt;=39999",Data!$F:$F,"failed")</f>
        <v>22</v>
      </c>
      <c r="D10" s="12">
        <f>COUNTIFS(Data!$D:$D,"&gt;=35000",Data!$D:$D,"&lt;=39999",Data!$F:$F,"canceled")</f>
        <v>7</v>
      </c>
      <c r="E10" s="12">
        <f t="shared" si="1"/>
        <v>55</v>
      </c>
      <c r="F10" s="19">
        <f t="shared" si="2"/>
        <v>0.47272727272727272</v>
      </c>
      <c r="G10" s="19">
        <f t="shared" si="3"/>
        <v>0.4</v>
      </c>
      <c r="H10" s="20">
        <f t="shared" si="4"/>
        <v>0.12727272727272726</v>
      </c>
    </row>
    <row r="11" spans="1:8" x14ac:dyDescent="0.25">
      <c r="A11" s="16" t="s">
        <v>8397</v>
      </c>
      <c r="B11" s="12">
        <f>COUNTIFS(Data!$D:$D,"&gt;=40000",Data!$D:$D,"&lt;=44999",Data!$F:$F,"successful")</f>
        <v>21</v>
      </c>
      <c r="C11" s="12">
        <f>COUNTIFS(Data!$D:$D,"&gt;=40000",Data!$D:$D,"&lt;=44999",Data!$F:$F,"failed")</f>
        <v>16</v>
      </c>
      <c r="D11" s="12">
        <f>COUNTIFS(Data!$D:$D,"&gt;=40000",Data!$D:$D,"&lt;=44999",Data!$F:$F,"canceled")</f>
        <v>6</v>
      </c>
      <c r="E11" s="12">
        <f t="shared" si="1"/>
        <v>43</v>
      </c>
      <c r="F11" s="19">
        <f t="shared" si="2"/>
        <v>0.48837209302325579</v>
      </c>
      <c r="G11" s="19">
        <f t="shared" si="3"/>
        <v>0.37209302325581395</v>
      </c>
      <c r="H11" s="20">
        <f t="shared" si="4"/>
        <v>0.13953488372093023</v>
      </c>
    </row>
    <row r="12" spans="1:8" x14ac:dyDescent="0.25">
      <c r="A12" s="16" t="s">
        <v>8398</v>
      </c>
      <c r="B12" s="12">
        <f>COUNTIFS(Data!$D:$D,"&gt;=45000",Data!$D:$D,"&lt;=49999",Data!$F:$F,"successful")</f>
        <v>6</v>
      </c>
      <c r="C12" s="12">
        <f>COUNTIFS(Data!$D:$D,"&gt;=45000",Data!$D:$D,"&lt;=49999",Data!$F:$F,"failed")</f>
        <v>11</v>
      </c>
      <c r="D12" s="12">
        <f>COUNTIFS(Data!$D:$D,"&gt;=45000",Data!$D:$D,"&lt;=49999",Data!$F:$F,"canceled")</f>
        <v>4</v>
      </c>
      <c r="E12" s="12">
        <f t="shared" si="1"/>
        <v>21</v>
      </c>
      <c r="F12" s="19">
        <f t="shared" si="2"/>
        <v>0.2857142857142857</v>
      </c>
      <c r="G12" s="19">
        <f t="shared" si="3"/>
        <v>0.52380952380952384</v>
      </c>
      <c r="H12" s="20">
        <f t="shared" si="4"/>
        <v>0.19047619047619047</v>
      </c>
    </row>
    <row r="13" spans="1:8" ht="15.75" thickBot="1" x14ac:dyDescent="0.3">
      <c r="A13" s="17" t="s">
        <v>8399</v>
      </c>
      <c r="B13" s="18">
        <f>COUNTIFS(Data!$D:$D,"&gt;=50000",Data!$F:$F,"successful")</f>
        <v>86</v>
      </c>
      <c r="C13" s="18">
        <f>COUNTIFS(Data!$D:$D,"&gt;=50000",Data!$F:$F,"failed")</f>
        <v>258</v>
      </c>
      <c r="D13" s="18">
        <f>COUNTIFS(Data!$D:$D,"&gt;=50000",Data!$F:$F,"canceled")</f>
        <v>100</v>
      </c>
      <c r="E13" s="18">
        <f t="shared" si="1"/>
        <v>444</v>
      </c>
      <c r="F13" s="21">
        <f t="shared" si="2"/>
        <v>0.19369369369369369</v>
      </c>
      <c r="G13" s="21">
        <f t="shared" si="3"/>
        <v>0.58108108108108103</v>
      </c>
      <c r="H13" s="22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</vt:lpstr>
      <vt:lpstr>Sub-Cat</vt:lpstr>
      <vt:lpstr>State by Month</vt:lpstr>
      <vt:lpstr>Outcomes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2019-02-11T15:16:35Z</dcterms:modified>
</cp:coreProperties>
</file>