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annas\Dropbox\Labor law project\UK\Data\Employment tribunals\"/>
    </mc:Choice>
  </mc:AlternateContent>
  <xr:revisionPtr revIDLastSave="0" documentId="13_ncr:1_{42D8BF82-82F6-4986-9EED-7BF9A5C2A258}" xr6:coauthVersionLast="46" xr6:coauthVersionMax="46" xr10:uidLastSave="{00000000-0000-0000-0000-000000000000}"/>
  <bookViews>
    <workbookView xWindow="-120" yWindow="-120" windowWidth="29040" windowHeight="15840" activeTab="1" xr2:uid="{00000000-000D-0000-FFFF-FFFF00000000}"/>
  </bookViews>
  <sheets>
    <sheet name="Readme" sheetId="3" r:id="rId1"/>
    <sheet name="FullData" sheetId="6" r:id="rId2"/>
    <sheet name="Stats" sheetId="7" r:id="rId3"/>
  </sheets>
  <definedNames>
    <definedName name="_xlnm._FilterDatabase" localSheetId="1" hidden="1">FullData!$A$3:$AB$168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68" i="6" l="1"/>
  <c r="W167" i="6"/>
  <c r="W166" i="6"/>
  <c r="W165" i="6"/>
  <c r="W164" i="6"/>
  <c r="W163" i="6"/>
  <c r="W162" i="6"/>
  <c r="W161" i="6"/>
  <c r="W160" i="6"/>
  <c r="W159" i="6"/>
  <c r="W158" i="6"/>
  <c r="W157" i="6"/>
  <c r="W156" i="6"/>
  <c r="W155" i="6"/>
  <c r="W154" i="6"/>
  <c r="W153" i="6"/>
  <c r="W152" i="6"/>
  <c r="W151" i="6"/>
  <c r="W150" i="6"/>
  <c r="W149" i="6"/>
  <c r="W148" i="6"/>
  <c r="W147" i="6"/>
  <c r="W146" i="6"/>
  <c r="W145" i="6"/>
  <c r="W144" i="6"/>
  <c r="W143" i="6"/>
  <c r="W142" i="6"/>
  <c r="W141" i="6"/>
  <c r="W140" i="6"/>
  <c r="W139" i="6"/>
  <c r="W138" i="6"/>
  <c r="W137" i="6"/>
  <c r="W136" i="6"/>
  <c r="W135" i="6"/>
  <c r="W134" i="6"/>
  <c r="W133" i="6"/>
  <c r="W132" i="6"/>
  <c r="W131" i="6"/>
  <c r="W130" i="6"/>
  <c r="W129" i="6"/>
  <c r="W128" i="6"/>
  <c r="W127" i="6"/>
  <c r="W126" i="6"/>
  <c r="W125" i="6"/>
  <c r="W124" i="6"/>
  <c r="W123" i="6"/>
  <c r="W122" i="6"/>
  <c r="W121" i="6"/>
  <c r="W120" i="6"/>
  <c r="W119" i="6"/>
  <c r="W118" i="6"/>
  <c r="W117" i="6"/>
  <c r="W116" i="6"/>
  <c r="W115" i="6"/>
  <c r="W114" i="6"/>
  <c r="W113" i="6"/>
  <c r="W112" i="6"/>
  <c r="W111" i="6"/>
  <c r="W110" i="6"/>
  <c r="W109" i="6"/>
  <c r="W108" i="6"/>
  <c r="W107" i="6"/>
  <c r="W106" i="6"/>
  <c r="W104" i="6"/>
  <c r="W103" i="6"/>
  <c r="W102" i="6"/>
  <c r="W101" i="6"/>
  <c r="W100" i="6"/>
  <c r="W99" i="6"/>
  <c r="W98" i="6"/>
  <c r="W97" i="6"/>
  <c r="W96" i="6"/>
  <c r="W95" i="6"/>
  <c r="W94" i="6"/>
  <c r="W93" i="6"/>
  <c r="W92" i="6"/>
  <c r="W91" i="6"/>
  <c r="W90" i="6"/>
  <c r="W89" i="6"/>
  <c r="W88" i="6"/>
  <c r="W87" i="6"/>
  <c r="W86" i="6"/>
  <c r="W85" i="6"/>
  <c r="W84" i="6"/>
  <c r="W83" i="6"/>
  <c r="W82" i="6"/>
  <c r="W81" i="6"/>
  <c r="W80" i="6"/>
  <c r="W79" i="6"/>
  <c r="W78" i="6"/>
  <c r="W77" i="6"/>
  <c r="W76" i="6"/>
  <c r="W75" i="6"/>
  <c r="W74" i="6"/>
  <c r="W73" i="6"/>
  <c r="W72" i="6"/>
  <c r="W71" i="6"/>
  <c r="W69" i="6"/>
  <c r="W68" i="6"/>
  <c r="W67" i="6"/>
  <c r="W65" i="6"/>
  <c r="W64" i="6"/>
  <c r="W63" i="6"/>
  <c r="W62" i="6"/>
  <c r="W61" i="6"/>
  <c r="W60" i="6"/>
  <c r="W59" i="6"/>
  <c r="W58" i="6"/>
  <c r="W57" i="6"/>
  <c r="W56" i="6"/>
  <c r="W55" i="6"/>
  <c r="W52" i="6"/>
  <c r="W49" i="6"/>
  <c r="W48" i="6"/>
  <c r="W46" i="6"/>
  <c r="W45" i="6"/>
  <c r="W43" i="6"/>
  <c r="W42" i="6"/>
  <c r="W41" i="6"/>
  <c r="W40" i="6"/>
  <c r="W38" i="6"/>
  <c r="W35" i="6"/>
  <c r="W34" i="6"/>
  <c r="W31" i="6"/>
  <c r="W30" i="6"/>
  <c r="W29" i="6"/>
  <c r="W28" i="6"/>
  <c r="W27" i="6"/>
  <c r="W26" i="6"/>
  <c r="W24" i="6"/>
  <c r="W23" i="6"/>
  <c r="W22" i="6"/>
  <c r="W21" i="6"/>
  <c r="W20" i="6"/>
  <c r="W19" i="6"/>
  <c r="W18" i="6"/>
  <c r="W17" i="6"/>
  <c r="W15" i="6"/>
  <c r="W14" i="6"/>
  <c r="W13" i="6"/>
  <c r="W12" i="6"/>
  <c r="W11" i="6"/>
  <c r="W10" i="6"/>
  <c r="W9" i="6"/>
  <c r="W6" i="6"/>
  <c r="W5" i="6"/>
  <c r="W4" i="6"/>
  <c r="V4" i="6"/>
  <c r="V168" i="6"/>
  <c r="V167" i="6"/>
  <c r="V166" i="6"/>
  <c r="V165" i="6"/>
  <c r="V164" i="6"/>
  <c r="V163" i="6"/>
  <c r="V162" i="6"/>
  <c r="V161" i="6"/>
  <c r="V160" i="6"/>
  <c r="V159" i="6"/>
  <c r="V158" i="6"/>
  <c r="V157" i="6"/>
  <c r="V156" i="6"/>
  <c r="V155" i="6"/>
  <c r="V154" i="6"/>
  <c r="V153" i="6"/>
  <c r="V152" i="6"/>
  <c r="V151" i="6"/>
  <c r="V150" i="6"/>
  <c r="V149" i="6"/>
  <c r="V148" i="6"/>
  <c r="V147" i="6"/>
  <c r="V146" i="6"/>
  <c r="V145" i="6"/>
  <c r="V144" i="6"/>
  <c r="V143" i="6"/>
  <c r="V142" i="6"/>
  <c r="V141" i="6"/>
  <c r="V140" i="6"/>
  <c r="V139" i="6"/>
  <c r="V138" i="6"/>
  <c r="V137" i="6"/>
  <c r="V136" i="6"/>
  <c r="V135" i="6"/>
  <c r="V134" i="6"/>
  <c r="V133" i="6"/>
  <c r="V132" i="6"/>
  <c r="V131" i="6"/>
  <c r="V130" i="6"/>
  <c r="V129" i="6"/>
  <c r="V128" i="6"/>
  <c r="V127" i="6"/>
  <c r="V126" i="6"/>
  <c r="V125" i="6"/>
  <c r="V124" i="6"/>
  <c r="V123" i="6"/>
  <c r="V122" i="6"/>
  <c r="V121" i="6"/>
  <c r="V120" i="6"/>
  <c r="V119" i="6"/>
  <c r="V118" i="6"/>
  <c r="V117" i="6"/>
  <c r="V116" i="6"/>
  <c r="V115" i="6"/>
  <c r="V114" i="6"/>
  <c r="V113" i="6"/>
  <c r="V112" i="6"/>
  <c r="V111" i="6"/>
  <c r="V110" i="6"/>
  <c r="V109" i="6"/>
  <c r="V108" i="6"/>
  <c r="V107" i="6"/>
  <c r="V106" i="6"/>
  <c r="V104" i="6"/>
  <c r="V103" i="6"/>
  <c r="V102" i="6"/>
  <c r="V101" i="6"/>
  <c r="V100" i="6"/>
  <c r="V99" i="6"/>
  <c r="V98" i="6"/>
  <c r="V97" i="6"/>
  <c r="V96" i="6"/>
  <c r="V95" i="6"/>
  <c r="V94" i="6"/>
  <c r="V93" i="6"/>
  <c r="V92" i="6"/>
  <c r="V91" i="6"/>
  <c r="V90" i="6"/>
  <c r="V89" i="6"/>
  <c r="V88" i="6"/>
  <c r="V87" i="6"/>
  <c r="V86" i="6"/>
  <c r="V85" i="6"/>
  <c r="V84" i="6"/>
  <c r="V83" i="6"/>
  <c r="V82" i="6"/>
  <c r="V81" i="6"/>
  <c r="V80" i="6"/>
  <c r="V79" i="6"/>
  <c r="V78" i="6"/>
  <c r="V77" i="6"/>
  <c r="V76" i="6"/>
  <c r="V75" i="6"/>
  <c r="V74" i="6"/>
  <c r="V73" i="6"/>
  <c r="V72" i="6"/>
  <c r="V71" i="6"/>
  <c r="V69" i="6"/>
  <c r="V68" i="6"/>
  <c r="V67" i="6"/>
  <c r="V65" i="6"/>
  <c r="V64" i="6"/>
  <c r="V63" i="6"/>
  <c r="V62" i="6"/>
  <c r="V61" i="6"/>
  <c r="V60" i="6"/>
  <c r="V59" i="6"/>
  <c r="V58" i="6"/>
  <c r="V57" i="6"/>
  <c r="V56" i="6"/>
  <c r="V55" i="6"/>
  <c r="V52" i="6"/>
  <c r="V49" i="6"/>
  <c r="V48" i="6"/>
  <c r="V46" i="6"/>
  <c r="V45" i="6"/>
  <c r="V43" i="6"/>
  <c r="V42" i="6"/>
  <c r="V41" i="6"/>
  <c r="V40" i="6"/>
  <c r="V38" i="6"/>
  <c r="V35" i="6"/>
  <c r="V34" i="6"/>
  <c r="V31" i="6"/>
  <c r="V30" i="6"/>
  <c r="V29" i="6"/>
  <c r="V28" i="6"/>
  <c r="V27" i="6"/>
  <c r="V26" i="6"/>
  <c r="V24" i="6"/>
  <c r="V23" i="6"/>
  <c r="V22" i="6"/>
  <c r="V21" i="6"/>
  <c r="V20" i="6"/>
  <c r="V19" i="6"/>
  <c r="V18" i="6"/>
  <c r="V17" i="6"/>
  <c r="V15" i="6"/>
  <c r="V14" i="6"/>
  <c r="V13" i="6"/>
  <c r="V12" i="6"/>
  <c r="V11" i="6"/>
  <c r="V10" i="6"/>
  <c r="V9" i="6"/>
  <c r="V6" i="6"/>
  <c r="V5" i="6"/>
  <c r="U4" i="6"/>
  <c r="T168" i="6"/>
  <c r="T167" i="6"/>
  <c r="T166" i="6"/>
  <c r="T165" i="6"/>
  <c r="T164" i="6"/>
  <c r="T163" i="6"/>
  <c r="T162" i="6"/>
  <c r="T161" i="6"/>
  <c r="T160" i="6"/>
  <c r="T159" i="6"/>
  <c r="T158" i="6"/>
  <c r="T157" i="6"/>
  <c r="T156" i="6"/>
  <c r="T155" i="6"/>
  <c r="T154" i="6"/>
  <c r="T153" i="6"/>
  <c r="T152" i="6"/>
  <c r="T151" i="6"/>
  <c r="T150" i="6"/>
  <c r="T149" i="6"/>
  <c r="T148" i="6"/>
  <c r="T147" i="6"/>
  <c r="T146" i="6"/>
  <c r="T145" i="6"/>
  <c r="T144" i="6"/>
  <c r="T143" i="6"/>
  <c r="T142" i="6"/>
  <c r="T141" i="6"/>
  <c r="T140" i="6"/>
  <c r="T139" i="6"/>
  <c r="T138" i="6"/>
  <c r="T137" i="6"/>
  <c r="T136" i="6"/>
  <c r="T135" i="6"/>
  <c r="T134" i="6"/>
  <c r="T133" i="6"/>
  <c r="T132" i="6"/>
  <c r="T131" i="6"/>
  <c r="T130" i="6"/>
  <c r="T129" i="6"/>
  <c r="T128" i="6"/>
  <c r="T127" i="6"/>
  <c r="T126" i="6"/>
  <c r="T125" i="6"/>
  <c r="T124" i="6"/>
  <c r="T123" i="6"/>
  <c r="T122" i="6"/>
  <c r="T121" i="6"/>
  <c r="T120" i="6"/>
  <c r="T119" i="6"/>
  <c r="T118" i="6"/>
  <c r="T117" i="6"/>
  <c r="T116" i="6"/>
  <c r="T115" i="6"/>
  <c r="T114" i="6"/>
  <c r="T113" i="6"/>
  <c r="T112" i="6"/>
  <c r="T111" i="6"/>
  <c r="T110" i="6"/>
  <c r="T109" i="6"/>
  <c r="T108" i="6"/>
  <c r="T107" i="6"/>
  <c r="T106" i="6"/>
  <c r="T104" i="6"/>
  <c r="T103" i="6"/>
  <c r="T102" i="6"/>
  <c r="T101" i="6"/>
  <c r="T100" i="6"/>
  <c r="T99" i="6"/>
  <c r="T98" i="6"/>
  <c r="T97" i="6"/>
  <c r="T96" i="6"/>
  <c r="T95" i="6"/>
  <c r="T94" i="6"/>
  <c r="T93" i="6"/>
  <c r="T92" i="6"/>
  <c r="T91" i="6"/>
  <c r="T90" i="6"/>
  <c r="T89" i="6"/>
  <c r="T88" i="6"/>
  <c r="T87" i="6"/>
  <c r="T86" i="6"/>
  <c r="T85" i="6"/>
  <c r="T84" i="6"/>
  <c r="T83" i="6"/>
  <c r="T82" i="6"/>
  <c r="T81" i="6"/>
  <c r="T80" i="6"/>
  <c r="T79" i="6"/>
  <c r="T78" i="6"/>
  <c r="T77" i="6"/>
  <c r="T76" i="6"/>
  <c r="T75" i="6"/>
  <c r="T74" i="6"/>
  <c r="T73" i="6"/>
  <c r="T72" i="6"/>
  <c r="T71" i="6"/>
  <c r="T69" i="6"/>
  <c r="T68" i="6"/>
  <c r="T67" i="6"/>
  <c r="T65" i="6"/>
  <c r="T64" i="6"/>
  <c r="T63" i="6"/>
  <c r="T62" i="6"/>
  <c r="T61" i="6"/>
  <c r="T60" i="6"/>
  <c r="T59" i="6"/>
  <c r="T58" i="6"/>
  <c r="T57" i="6"/>
  <c r="T56" i="6"/>
  <c r="T55" i="6"/>
  <c r="T52" i="6"/>
  <c r="T49" i="6"/>
  <c r="T48" i="6"/>
  <c r="T46" i="6"/>
  <c r="T45" i="6"/>
  <c r="T43" i="6"/>
  <c r="T42" i="6"/>
  <c r="T41" i="6"/>
  <c r="T40" i="6"/>
  <c r="T38" i="6"/>
  <c r="T35" i="6"/>
  <c r="T34" i="6"/>
  <c r="T31" i="6"/>
  <c r="T30" i="6"/>
  <c r="T29" i="6"/>
  <c r="T28" i="6"/>
  <c r="T27" i="6"/>
  <c r="T26" i="6"/>
  <c r="T24" i="6"/>
  <c r="T23" i="6"/>
  <c r="T22" i="6"/>
  <c r="T21" i="6"/>
  <c r="T20" i="6"/>
  <c r="T19" i="6"/>
  <c r="T18" i="6"/>
  <c r="T17" i="6"/>
  <c r="T15" i="6"/>
  <c r="T14" i="6"/>
  <c r="T13" i="6"/>
  <c r="T12" i="6"/>
  <c r="T11" i="6"/>
  <c r="T10" i="6"/>
  <c r="T9" i="6"/>
  <c r="T6" i="6"/>
  <c r="T5" i="6"/>
  <c r="T4" i="6"/>
  <c r="S4" i="6"/>
  <c r="S168" i="6"/>
  <c r="S167" i="6"/>
  <c r="S166" i="6"/>
  <c r="S165" i="6"/>
  <c r="S164" i="6"/>
  <c r="S163" i="6"/>
  <c r="S162" i="6"/>
  <c r="S161" i="6"/>
  <c r="S160" i="6"/>
  <c r="S159" i="6"/>
  <c r="S158" i="6"/>
  <c r="S157" i="6"/>
  <c r="S156" i="6"/>
  <c r="S155" i="6"/>
  <c r="S154" i="6"/>
  <c r="S153" i="6"/>
  <c r="S152" i="6"/>
  <c r="S151" i="6"/>
  <c r="S150" i="6"/>
  <c r="S149" i="6"/>
  <c r="S148" i="6"/>
  <c r="S147" i="6"/>
  <c r="S146" i="6"/>
  <c r="S145" i="6"/>
  <c r="S144" i="6"/>
  <c r="S143" i="6"/>
  <c r="S142" i="6"/>
  <c r="S141" i="6"/>
  <c r="S140" i="6"/>
  <c r="S139" i="6"/>
  <c r="S138" i="6"/>
  <c r="S137" i="6"/>
  <c r="S136" i="6"/>
  <c r="S135" i="6"/>
  <c r="S134" i="6"/>
  <c r="S133" i="6"/>
  <c r="S132" i="6"/>
  <c r="S131" i="6"/>
  <c r="S130" i="6"/>
  <c r="S129" i="6"/>
  <c r="S128" i="6"/>
  <c r="S127" i="6"/>
  <c r="S126" i="6"/>
  <c r="S125" i="6"/>
  <c r="S124" i="6"/>
  <c r="S123" i="6"/>
  <c r="S122" i="6"/>
  <c r="S121" i="6"/>
  <c r="S120" i="6"/>
  <c r="S119" i="6"/>
  <c r="S118" i="6"/>
  <c r="S117" i="6"/>
  <c r="S116" i="6"/>
  <c r="S115" i="6"/>
  <c r="S114" i="6"/>
  <c r="S113" i="6"/>
  <c r="S112" i="6"/>
  <c r="S111" i="6"/>
  <c r="S110" i="6"/>
  <c r="S109" i="6"/>
  <c r="S108" i="6"/>
  <c r="S107" i="6"/>
  <c r="S106" i="6"/>
  <c r="S104" i="6"/>
  <c r="S103" i="6"/>
  <c r="S102" i="6"/>
  <c r="S101" i="6"/>
  <c r="S100" i="6"/>
  <c r="S99" i="6"/>
  <c r="S98" i="6"/>
  <c r="S97" i="6"/>
  <c r="S96" i="6"/>
  <c r="S95" i="6"/>
  <c r="S94" i="6"/>
  <c r="S93" i="6"/>
  <c r="S92" i="6"/>
  <c r="S91" i="6"/>
  <c r="S90" i="6"/>
  <c r="S89" i="6"/>
  <c r="S88" i="6"/>
  <c r="S87" i="6"/>
  <c r="S86" i="6"/>
  <c r="S85" i="6"/>
  <c r="S84" i="6"/>
  <c r="S83" i="6"/>
  <c r="S82" i="6"/>
  <c r="S81" i="6"/>
  <c r="S80" i="6"/>
  <c r="S79" i="6"/>
  <c r="S78" i="6"/>
  <c r="S77" i="6"/>
  <c r="S76" i="6"/>
  <c r="S75" i="6"/>
  <c r="S74" i="6"/>
  <c r="S73" i="6"/>
  <c r="S72" i="6"/>
  <c r="S71" i="6"/>
  <c r="S69" i="6"/>
  <c r="S68" i="6"/>
  <c r="S67" i="6"/>
  <c r="S65" i="6"/>
  <c r="S64" i="6"/>
  <c r="S63" i="6"/>
  <c r="S62" i="6"/>
  <c r="S61" i="6"/>
  <c r="S60" i="6"/>
  <c r="S59" i="6"/>
  <c r="S58" i="6"/>
  <c r="S57" i="6"/>
  <c r="S56" i="6"/>
  <c r="S55" i="6"/>
  <c r="S52" i="6"/>
  <c r="S49" i="6"/>
  <c r="S48" i="6"/>
  <c r="S46" i="6"/>
  <c r="S45" i="6"/>
  <c r="S43" i="6"/>
  <c r="S42" i="6"/>
  <c r="S41" i="6"/>
  <c r="S40" i="6"/>
  <c r="S38" i="6"/>
  <c r="S35" i="6"/>
  <c r="S34" i="6"/>
  <c r="S31" i="6"/>
  <c r="S30" i="6"/>
  <c r="S29" i="6"/>
  <c r="S28" i="6"/>
  <c r="S27" i="6"/>
  <c r="S26" i="6"/>
  <c r="S24" i="6"/>
  <c r="S23" i="6"/>
  <c r="S22" i="6"/>
  <c r="S21" i="6"/>
  <c r="S20" i="6"/>
  <c r="S19" i="6"/>
  <c r="S18" i="6"/>
  <c r="S17" i="6"/>
  <c r="S15" i="6"/>
  <c r="S14" i="6"/>
  <c r="S13" i="6"/>
  <c r="S12" i="6"/>
  <c r="S11" i="6"/>
  <c r="S10" i="6"/>
  <c r="S9" i="6"/>
  <c r="S6" i="6"/>
  <c r="S5" i="6"/>
  <c r="N168" i="6"/>
  <c r="N167" i="6"/>
  <c r="N166" i="6"/>
  <c r="N165" i="6"/>
  <c r="N164" i="6"/>
  <c r="N163" i="6"/>
  <c r="N162" i="6"/>
  <c r="N161" i="6"/>
  <c r="N160" i="6"/>
  <c r="N159" i="6"/>
  <c r="N158" i="6"/>
  <c r="N157" i="6"/>
  <c r="N156" i="6"/>
  <c r="N155" i="6"/>
  <c r="N154" i="6"/>
  <c r="N153" i="6"/>
  <c r="N152" i="6"/>
  <c r="N151" i="6"/>
  <c r="N150" i="6"/>
  <c r="N149" i="6"/>
  <c r="N148" i="6"/>
  <c r="N147" i="6"/>
  <c r="N146" i="6"/>
  <c r="N145" i="6"/>
  <c r="N144" i="6"/>
  <c r="N143" i="6"/>
  <c r="N142" i="6"/>
  <c r="N141" i="6"/>
  <c r="N140" i="6"/>
  <c r="N139" i="6"/>
  <c r="N138" i="6"/>
  <c r="N137" i="6"/>
  <c r="N136" i="6"/>
  <c r="N135" i="6"/>
  <c r="N134" i="6"/>
  <c r="N133" i="6"/>
  <c r="N132" i="6"/>
  <c r="N131" i="6"/>
  <c r="N130" i="6"/>
  <c r="N129" i="6"/>
  <c r="N128" i="6"/>
  <c r="N127" i="6"/>
  <c r="N126" i="6"/>
  <c r="N125" i="6"/>
  <c r="N124" i="6"/>
  <c r="N123" i="6"/>
  <c r="N122" i="6"/>
  <c r="N121" i="6"/>
  <c r="N120" i="6"/>
  <c r="N119" i="6"/>
  <c r="N118" i="6"/>
  <c r="N117" i="6"/>
  <c r="N116" i="6"/>
  <c r="N115" i="6"/>
  <c r="N114" i="6"/>
  <c r="N113" i="6"/>
  <c r="N112" i="6"/>
  <c r="N111" i="6"/>
  <c r="N110" i="6"/>
  <c r="N109" i="6"/>
  <c r="N108" i="6"/>
  <c r="N107" i="6"/>
  <c r="N106" i="6"/>
  <c r="N104" i="6"/>
  <c r="N103" i="6"/>
  <c r="N102" i="6"/>
  <c r="N101" i="6"/>
  <c r="N100" i="6"/>
  <c r="N99" i="6"/>
  <c r="N98" i="6"/>
  <c r="N97" i="6"/>
  <c r="N96" i="6"/>
  <c r="N95" i="6"/>
  <c r="N94" i="6"/>
  <c r="N93" i="6"/>
  <c r="N92" i="6"/>
  <c r="N91" i="6"/>
  <c r="N90" i="6"/>
  <c r="N89" i="6"/>
  <c r="N88" i="6"/>
  <c r="N87" i="6"/>
  <c r="N86" i="6"/>
  <c r="N85" i="6"/>
  <c r="N84" i="6"/>
  <c r="N83" i="6"/>
  <c r="N82" i="6"/>
  <c r="N81" i="6"/>
  <c r="N80" i="6"/>
  <c r="N79" i="6"/>
  <c r="N78" i="6"/>
  <c r="N77" i="6"/>
  <c r="N76" i="6"/>
  <c r="N75" i="6"/>
  <c r="N74" i="6"/>
  <c r="N73" i="6"/>
  <c r="N72" i="6"/>
  <c r="N71" i="6"/>
  <c r="N69" i="6"/>
  <c r="N68" i="6"/>
  <c r="N67" i="6"/>
  <c r="N65" i="6"/>
  <c r="N64" i="6"/>
  <c r="N63" i="6"/>
  <c r="N62" i="6"/>
  <c r="N61" i="6"/>
  <c r="N60" i="6"/>
  <c r="N59" i="6"/>
  <c r="N58" i="6"/>
  <c r="N57" i="6"/>
  <c r="N56" i="6"/>
  <c r="N55" i="6"/>
  <c r="N52" i="6"/>
  <c r="N49" i="6"/>
  <c r="N48" i="6"/>
  <c r="N46" i="6"/>
  <c r="N45" i="6"/>
  <c r="N43" i="6"/>
  <c r="N42" i="6"/>
  <c r="N41" i="6"/>
  <c r="N40" i="6"/>
  <c r="N38" i="6"/>
  <c r="N35" i="6"/>
  <c r="N34" i="6"/>
  <c r="N31" i="6"/>
  <c r="N30" i="6"/>
  <c r="N29" i="6"/>
  <c r="N28" i="6"/>
  <c r="N27" i="6"/>
  <c r="N26" i="6"/>
  <c r="N24" i="6"/>
  <c r="N23" i="6"/>
  <c r="N22" i="6"/>
  <c r="N21" i="6"/>
  <c r="N20" i="6"/>
  <c r="N19" i="6"/>
  <c r="N18" i="6"/>
  <c r="N17" i="6"/>
  <c r="N15" i="6"/>
  <c r="N14" i="6"/>
  <c r="N13" i="6"/>
  <c r="N12" i="6"/>
  <c r="N11" i="6"/>
  <c r="N10" i="6"/>
  <c r="N9" i="6"/>
  <c r="N6" i="6"/>
  <c r="N5" i="6"/>
  <c r="N4" i="6"/>
  <c r="O168" i="6"/>
  <c r="O167" i="6"/>
  <c r="O166" i="6"/>
  <c r="O165" i="6"/>
  <c r="O164" i="6"/>
  <c r="O163" i="6"/>
  <c r="O162" i="6"/>
  <c r="O161" i="6"/>
  <c r="O160" i="6"/>
  <c r="O159" i="6"/>
  <c r="O158" i="6"/>
  <c r="O157" i="6"/>
  <c r="O156" i="6"/>
  <c r="O155" i="6"/>
  <c r="O154" i="6"/>
  <c r="O153" i="6"/>
  <c r="O152" i="6"/>
  <c r="O151" i="6"/>
  <c r="O150" i="6"/>
  <c r="O149" i="6"/>
  <c r="O148" i="6"/>
  <c r="O147" i="6"/>
  <c r="O146" i="6"/>
  <c r="O145" i="6"/>
  <c r="O144" i="6"/>
  <c r="O143" i="6"/>
  <c r="O142" i="6"/>
  <c r="O141" i="6"/>
  <c r="O140" i="6"/>
  <c r="O139" i="6"/>
  <c r="O138" i="6"/>
  <c r="O137" i="6"/>
  <c r="O136" i="6"/>
  <c r="O135" i="6"/>
  <c r="O134" i="6"/>
  <c r="O133" i="6"/>
  <c r="O132" i="6"/>
  <c r="O131" i="6"/>
  <c r="O130" i="6"/>
  <c r="O129" i="6"/>
  <c r="O128" i="6"/>
  <c r="O127" i="6"/>
  <c r="O126" i="6"/>
  <c r="O125" i="6"/>
  <c r="O124" i="6"/>
  <c r="O123" i="6"/>
  <c r="O122" i="6"/>
  <c r="O121" i="6"/>
  <c r="O120" i="6"/>
  <c r="O119" i="6"/>
  <c r="O118" i="6"/>
  <c r="O117" i="6"/>
  <c r="O116" i="6"/>
  <c r="O115" i="6"/>
  <c r="O114" i="6"/>
  <c r="O113" i="6"/>
  <c r="O112" i="6"/>
  <c r="O111" i="6"/>
  <c r="O110" i="6"/>
  <c r="O109" i="6"/>
  <c r="O108" i="6"/>
  <c r="O107" i="6"/>
  <c r="O106" i="6"/>
  <c r="O104" i="6"/>
  <c r="O103" i="6"/>
  <c r="O102" i="6"/>
  <c r="O101" i="6"/>
  <c r="O100" i="6"/>
  <c r="O99" i="6"/>
  <c r="O98" i="6"/>
  <c r="O97" i="6"/>
  <c r="O96" i="6"/>
  <c r="O95" i="6"/>
  <c r="O94" i="6"/>
  <c r="O93" i="6"/>
  <c r="O92" i="6"/>
  <c r="O91" i="6"/>
  <c r="O90" i="6"/>
  <c r="O89" i="6"/>
  <c r="O88" i="6"/>
  <c r="O87" i="6"/>
  <c r="O86" i="6"/>
  <c r="O85" i="6"/>
  <c r="O84" i="6"/>
  <c r="O83" i="6"/>
  <c r="O82" i="6"/>
  <c r="O81" i="6"/>
  <c r="O80" i="6"/>
  <c r="O79" i="6"/>
  <c r="O78" i="6"/>
  <c r="O77" i="6"/>
  <c r="O76" i="6"/>
  <c r="O75" i="6"/>
  <c r="O74" i="6"/>
  <c r="O73" i="6"/>
  <c r="O72" i="6"/>
  <c r="O71" i="6"/>
  <c r="O69" i="6"/>
  <c r="O68" i="6"/>
  <c r="O67" i="6"/>
  <c r="O65" i="6"/>
  <c r="O64" i="6"/>
  <c r="O63" i="6"/>
  <c r="O62" i="6"/>
  <c r="O61" i="6"/>
  <c r="O60" i="6"/>
  <c r="O59" i="6"/>
  <c r="O58" i="6"/>
  <c r="O57" i="6"/>
  <c r="O56" i="6"/>
  <c r="O55" i="6"/>
  <c r="O52" i="6"/>
  <c r="O49" i="6"/>
  <c r="O48" i="6"/>
  <c r="O46" i="6"/>
  <c r="O45" i="6"/>
  <c r="O43" i="6"/>
  <c r="O42" i="6"/>
  <c r="O41" i="6"/>
  <c r="O40" i="6"/>
  <c r="O38" i="6"/>
  <c r="O35" i="6"/>
  <c r="O34" i="6"/>
  <c r="O31" i="6"/>
  <c r="O30" i="6"/>
  <c r="O29" i="6"/>
  <c r="O28" i="6"/>
  <c r="O27" i="6"/>
  <c r="O26" i="6"/>
  <c r="O24" i="6"/>
  <c r="O23" i="6"/>
  <c r="O22" i="6"/>
  <c r="O21" i="6"/>
  <c r="O20" i="6"/>
  <c r="O19" i="6"/>
  <c r="O18" i="6"/>
  <c r="O17" i="6"/>
  <c r="O15" i="6"/>
  <c r="O14" i="6"/>
  <c r="O13" i="6"/>
  <c r="O12" i="6"/>
  <c r="O11" i="6"/>
  <c r="O10" i="6"/>
  <c r="O9" i="6"/>
  <c r="O6" i="6"/>
  <c r="O5" i="6"/>
  <c r="O4" i="6"/>
  <c r="C17" i="7" l="1"/>
  <c r="C13" i="7"/>
  <c r="C14" i="7"/>
  <c r="Y64" i="6"/>
  <c r="Y24" i="6"/>
  <c r="C16" i="7"/>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6" i="6"/>
  <c r="F117" i="6"/>
  <c r="F118" i="6"/>
  <c r="F119" i="6"/>
  <c r="F120" i="6"/>
  <c r="F121" i="6"/>
  <c r="F122" i="6"/>
  <c r="F123" i="6"/>
  <c r="F124" i="6"/>
  <c r="F125" i="6"/>
  <c r="F126" i="6"/>
  <c r="F127" i="6"/>
  <c r="F128" i="6"/>
  <c r="F129" i="6"/>
  <c r="F130" i="6"/>
  <c r="F132" i="6"/>
  <c r="F134" i="6"/>
  <c r="F135" i="6"/>
  <c r="F136" i="6"/>
  <c r="F137" i="6"/>
  <c r="F138" i="6"/>
  <c r="F139" i="6"/>
  <c r="F141" i="6"/>
  <c r="F142" i="6"/>
  <c r="F144" i="6"/>
  <c r="F145" i="6"/>
  <c r="F146" i="6"/>
  <c r="F147" i="6"/>
  <c r="F148" i="6"/>
  <c r="F149" i="6"/>
  <c r="F150" i="6"/>
  <c r="F151" i="6"/>
  <c r="F152" i="6"/>
  <c r="F153" i="6"/>
  <c r="F154" i="6"/>
  <c r="F155" i="6"/>
  <c r="F156" i="6"/>
  <c r="F157" i="6"/>
  <c r="F158" i="6"/>
  <c r="F159" i="6"/>
  <c r="F160" i="6"/>
  <c r="F161" i="6"/>
  <c r="F162" i="6"/>
  <c r="F163" i="6"/>
  <c r="F164" i="6"/>
  <c r="F165" i="6"/>
  <c r="F167" i="6"/>
  <c r="F168" i="6"/>
  <c r="U5" i="6"/>
  <c r="U6" i="6"/>
  <c r="U7" i="6"/>
  <c r="U8" i="6"/>
  <c r="U9" i="6"/>
  <c r="U10" i="6"/>
  <c r="U11" i="6"/>
  <c r="U12" i="6"/>
  <c r="U13" i="6"/>
  <c r="U14" i="6"/>
  <c r="U15" i="6"/>
  <c r="U16" i="6"/>
  <c r="U17" i="6"/>
  <c r="U18" i="6"/>
  <c r="U19" i="6"/>
  <c r="U20" i="6"/>
  <c r="U21" i="6"/>
  <c r="U22" i="6"/>
  <c r="U23" i="6"/>
  <c r="U24" i="6"/>
  <c r="U25" i="6"/>
  <c r="U26" i="6"/>
  <c r="U27" i="6"/>
  <c r="U28" i="6"/>
  <c r="U29" i="6"/>
  <c r="U30" i="6"/>
  <c r="U31" i="6"/>
  <c r="U32" i="6"/>
  <c r="U33" i="6"/>
  <c r="U34" i="6"/>
  <c r="U35" i="6"/>
  <c r="U36" i="6"/>
  <c r="U37" i="6"/>
  <c r="U38" i="6"/>
  <c r="U39" i="6"/>
  <c r="U40" i="6"/>
  <c r="U41" i="6"/>
  <c r="U42" i="6"/>
  <c r="U43" i="6"/>
  <c r="U44" i="6"/>
  <c r="U45" i="6"/>
  <c r="U46" i="6"/>
  <c r="U47" i="6"/>
  <c r="U48" i="6"/>
  <c r="U49" i="6"/>
  <c r="U50" i="6"/>
  <c r="U51" i="6"/>
  <c r="U52" i="6"/>
  <c r="U53" i="6"/>
  <c r="U54" i="6"/>
  <c r="U55" i="6"/>
  <c r="U56" i="6"/>
  <c r="U57" i="6"/>
  <c r="U58" i="6"/>
  <c r="U59" i="6"/>
  <c r="U60" i="6"/>
  <c r="U61" i="6"/>
  <c r="U62" i="6"/>
  <c r="U63" i="6"/>
  <c r="U64" i="6"/>
  <c r="U65" i="6"/>
  <c r="U66" i="6"/>
  <c r="U67" i="6"/>
  <c r="U68" i="6"/>
  <c r="U69" i="6"/>
  <c r="U70" i="6"/>
  <c r="U71" i="6"/>
  <c r="U72" i="6"/>
  <c r="U73" i="6"/>
  <c r="U74" i="6"/>
  <c r="U75" i="6"/>
  <c r="U76" i="6"/>
  <c r="U77" i="6"/>
  <c r="U78" i="6"/>
  <c r="U79" i="6"/>
  <c r="U80" i="6"/>
  <c r="U81" i="6"/>
  <c r="U82" i="6"/>
  <c r="U83" i="6"/>
  <c r="U84" i="6"/>
  <c r="U85" i="6"/>
  <c r="U86" i="6"/>
  <c r="U87" i="6"/>
  <c r="U88" i="6"/>
  <c r="U89" i="6"/>
  <c r="U90" i="6"/>
  <c r="U91" i="6"/>
  <c r="U92" i="6"/>
  <c r="U93" i="6"/>
  <c r="U94" i="6"/>
  <c r="U95" i="6"/>
  <c r="U96" i="6"/>
  <c r="U97" i="6"/>
  <c r="U98" i="6"/>
  <c r="U99" i="6"/>
  <c r="U100" i="6"/>
  <c r="U101" i="6"/>
  <c r="U102" i="6"/>
  <c r="U103" i="6"/>
  <c r="U104" i="6"/>
  <c r="U105" i="6"/>
  <c r="U106" i="6"/>
  <c r="U107" i="6"/>
  <c r="U108" i="6"/>
  <c r="U109" i="6"/>
  <c r="U110" i="6"/>
  <c r="U111" i="6"/>
  <c r="U112" i="6"/>
  <c r="U113" i="6"/>
  <c r="U114" i="6"/>
  <c r="U115" i="6"/>
  <c r="U116" i="6"/>
  <c r="U117" i="6"/>
  <c r="U118" i="6"/>
  <c r="U119" i="6"/>
  <c r="U120" i="6"/>
  <c r="U121" i="6"/>
  <c r="U122" i="6"/>
  <c r="U123" i="6"/>
  <c r="U124" i="6"/>
  <c r="U125" i="6"/>
  <c r="U126" i="6"/>
  <c r="U127" i="6"/>
  <c r="U128" i="6"/>
  <c r="U129" i="6"/>
  <c r="U130" i="6"/>
  <c r="U131" i="6"/>
  <c r="U132" i="6"/>
  <c r="U133" i="6"/>
  <c r="U134" i="6"/>
  <c r="U135" i="6"/>
  <c r="U136" i="6"/>
  <c r="U137" i="6"/>
  <c r="U138" i="6"/>
  <c r="Y138" i="6" s="1"/>
  <c r="U139" i="6"/>
  <c r="U140" i="6"/>
  <c r="U141" i="6"/>
  <c r="U142" i="6"/>
  <c r="U143" i="6"/>
  <c r="U144" i="6"/>
  <c r="Y144" i="6" s="1"/>
  <c r="U145" i="6"/>
  <c r="U146" i="6"/>
  <c r="U147" i="6"/>
  <c r="U148" i="6"/>
  <c r="U149" i="6"/>
  <c r="U150" i="6"/>
  <c r="U151" i="6"/>
  <c r="U152" i="6"/>
  <c r="U153" i="6"/>
  <c r="U154" i="6"/>
  <c r="U155" i="6"/>
  <c r="U156" i="6"/>
  <c r="U157" i="6"/>
  <c r="U158" i="6"/>
  <c r="U159" i="6"/>
  <c r="U160" i="6"/>
  <c r="U161" i="6"/>
  <c r="U162" i="6"/>
  <c r="U163" i="6"/>
  <c r="U164" i="6"/>
  <c r="U165" i="6"/>
  <c r="U166" i="6"/>
  <c r="U167" i="6"/>
  <c r="U168" i="6"/>
  <c r="S7" i="6"/>
  <c r="S8" i="6"/>
  <c r="S16" i="6"/>
  <c r="S25" i="6"/>
  <c r="S32" i="6"/>
  <c r="S33" i="6"/>
  <c r="S36" i="6"/>
  <c r="S37" i="6"/>
  <c r="S39" i="6"/>
  <c r="S44" i="6"/>
  <c r="S47" i="6"/>
  <c r="S50" i="6"/>
  <c r="S51" i="6"/>
  <c r="S53" i="6"/>
  <c r="S54" i="6"/>
  <c r="S66" i="6"/>
  <c r="S70" i="6"/>
  <c r="S105" i="6"/>
  <c r="C4" i="7"/>
  <c r="M67" i="6"/>
  <c r="P67" i="6"/>
  <c r="Q67" i="6"/>
  <c r="R67" i="6"/>
  <c r="M68" i="6"/>
  <c r="P68" i="6"/>
  <c r="Y68" i="6" s="1"/>
  <c r="Q68" i="6"/>
  <c r="R68" i="6"/>
  <c r="M69" i="6"/>
  <c r="P69" i="6"/>
  <c r="Q69" i="6"/>
  <c r="R69" i="6"/>
  <c r="M70" i="6"/>
  <c r="N70" i="6"/>
  <c r="P70" i="6"/>
  <c r="Q70" i="6"/>
  <c r="R70" i="6"/>
  <c r="M71" i="6"/>
  <c r="P71" i="6"/>
  <c r="Q71" i="6"/>
  <c r="R71" i="6"/>
  <c r="M72" i="6"/>
  <c r="P72" i="6"/>
  <c r="Q72" i="6"/>
  <c r="R72" i="6"/>
  <c r="M73" i="6"/>
  <c r="P73" i="6"/>
  <c r="Q73" i="6"/>
  <c r="R73" i="6"/>
  <c r="M74" i="6"/>
  <c r="P74" i="6"/>
  <c r="Q74" i="6"/>
  <c r="R74" i="6"/>
  <c r="M75" i="6"/>
  <c r="P75" i="6"/>
  <c r="Q75" i="6"/>
  <c r="R75" i="6"/>
  <c r="M76" i="6"/>
  <c r="P76" i="6"/>
  <c r="Q76" i="6"/>
  <c r="R76" i="6"/>
  <c r="M77" i="6"/>
  <c r="P77" i="6"/>
  <c r="Q77" i="6"/>
  <c r="R77" i="6"/>
  <c r="M78" i="6"/>
  <c r="P78" i="6"/>
  <c r="Q78" i="6"/>
  <c r="R78" i="6"/>
  <c r="M79" i="6"/>
  <c r="P79" i="6"/>
  <c r="Q79" i="6"/>
  <c r="R79" i="6"/>
  <c r="M80" i="6"/>
  <c r="P80" i="6"/>
  <c r="Q80" i="6"/>
  <c r="R80" i="6"/>
  <c r="M81" i="6"/>
  <c r="P81" i="6"/>
  <c r="Q81" i="6"/>
  <c r="R81" i="6"/>
  <c r="M82" i="6"/>
  <c r="P82" i="6"/>
  <c r="Q82" i="6"/>
  <c r="R82" i="6"/>
  <c r="M83" i="6"/>
  <c r="P83" i="6"/>
  <c r="Q83" i="6"/>
  <c r="R83" i="6"/>
  <c r="M84" i="6"/>
  <c r="P84" i="6"/>
  <c r="Q84" i="6"/>
  <c r="R84" i="6"/>
  <c r="M85" i="6"/>
  <c r="P85" i="6"/>
  <c r="Q85" i="6"/>
  <c r="R85" i="6"/>
  <c r="M86" i="6"/>
  <c r="P86" i="6"/>
  <c r="Q86" i="6"/>
  <c r="R86" i="6"/>
  <c r="M87" i="6"/>
  <c r="P87" i="6"/>
  <c r="X87" i="6" s="1"/>
  <c r="Q87" i="6"/>
  <c r="R87" i="6"/>
  <c r="M88" i="6"/>
  <c r="P88" i="6"/>
  <c r="Q88" i="6"/>
  <c r="R88" i="6"/>
  <c r="M89" i="6"/>
  <c r="P89" i="6"/>
  <c r="Q89" i="6"/>
  <c r="R89" i="6"/>
  <c r="M90" i="6"/>
  <c r="P90" i="6"/>
  <c r="Q90" i="6"/>
  <c r="R90" i="6"/>
  <c r="M91" i="6"/>
  <c r="P91" i="6"/>
  <c r="Q91" i="6"/>
  <c r="R91" i="6"/>
  <c r="M92" i="6"/>
  <c r="P92" i="6"/>
  <c r="Q92" i="6"/>
  <c r="R92" i="6"/>
  <c r="M93" i="6"/>
  <c r="P93" i="6"/>
  <c r="Q93" i="6"/>
  <c r="R93" i="6"/>
  <c r="M94" i="6"/>
  <c r="P94" i="6"/>
  <c r="Q94" i="6"/>
  <c r="R94" i="6"/>
  <c r="M95" i="6"/>
  <c r="P95" i="6"/>
  <c r="Q95" i="6"/>
  <c r="R95" i="6"/>
  <c r="Y95" i="6" s="1"/>
  <c r="M96" i="6"/>
  <c r="P96" i="6"/>
  <c r="Q96" i="6"/>
  <c r="R96" i="6"/>
  <c r="M97" i="6"/>
  <c r="P97" i="6"/>
  <c r="Q97" i="6"/>
  <c r="R97" i="6"/>
  <c r="M98" i="6"/>
  <c r="P98" i="6"/>
  <c r="Q98" i="6"/>
  <c r="R98" i="6"/>
  <c r="M99" i="6"/>
  <c r="P99" i="6"/>
  <c r="Q99" i="6"/>
  <c r="R99" i="6"/>
  <c r="M100" i="6"/>
  <c r="P100" i="6"/>
  <c r="Q100" i="6"/>
  <c r="R100" i="6"/>
  <c r="M101" i="6"/>
  <c r="P101" i="6"/>
  <c r="Q101" i="6"/>
  <c r="R101" i="6"/>
  <c r="M102" i="6"/>
  <c r="P102" i="6"/>
  <c r="Q102" i="6"/>
  <c r="R102" i="6"/>
  <c r="M103" i="6"/>
  <c r="P103" i="6"/>
  <c r="Q103" i="6"/>
  <c r="R103" i="6"/>
  <c r="M104" i="6"/>
  <c r="P104" i="6"/>
  <c r="Q104" i="6"/>
  <c r="R104" i="6"/>
  <c r="M105" i="6"/>
  <c r="N105" i="6"/>
  <c r="P105" i="6"/>
  <c r="Q105" i="6"/>
  <c r="R105" i="6"/>
  <c r="M106" i="6"/>
  <c r="P106" i="6"/>
  <c r="Q106" i="6"/>
  <c r="R106" i="6"/>
  <c r="M107" i="6"/>
  <c r="P107" i="6"/>
  <c r="Q107" i="6"/>
  <c r="R107" i="6"/>
  <c r="M108" i="6"/>
  <c r="P108" i="6"/>
  <c r="Q108" i="6"/>
  <c r="X108" i="6" s="1"/>
  <c r="R108" i="6"/>
  <c r="M109" i="6"/>
  <c r="P109" i="6"/>
  <c r="Q109" i="6"/>
  <c r="R109" i="6"/>
  <c r="M110" i="6"/>
  <c r="P110" i="6"/>
  <c r="Y110" i="6" s="1"/>
  <c r="Q110" i="6"/>
  <c r="R110" i="6"/>
  <c r="M111" i="6"/>
  <c r="P111" i="6"/>
  <c r="Q111" i="6"/>
  <c r="R111" i="6"/>
  <c r="M112" i="6"/>
  <c r="P112" i="6"/>
  <c r="Q112" i="6"/>
  <c r="X112" i="6" s="1"/>
  <c r="R112" i="6"/>
  <c r="M113" i="6"/>
  <c r="P113" i="6"/>
  <c r="Q113" i="6"/>
  <c r="R113" i="6"/>
  <c r="Y113" i="6" s="1"/>
  <c r="M114" i="6"/>
  <c r="P114" i="6"/>
  <c r="Y114" i="6" s="1"/>
  <c r="Q114" i="6"/>
  <c r="R114" i="6"/>
  <c r="M115" i="6"/>
  <c r="P115" i="6"/>
  <c r="Q115" i="6"/>
  <c r="R115" i="6"/>
  <c r="M116" i="6"/>
  <c r="P116" i="6"/>
  <c r="Q116" i="6"/>
  <c r="R116" i="6"/>
  <c r="M117" i="6"/>
  <c r="P117" i="6"/>
  <c r="Q117" i="6"/>
  <c r="R117" i="6"/>
  <c r="Y117" i="6" s="1"/>
  <c r="M118" i="6"/>
  <c r="P118" i="6"/>
  <c r="Y118" i="6" s="1"/>
  <c r="Q118" i="6"/>
  <c r="X118" i="6" s="1"/>
  <c r="R118" i="6"/>
  <c r="M119" i="6"/>
  <c r="P119" i="6"/>
  <c r="Q119" i="6"/>
  <c r="R119" i="6"/>
  <c r="M120" i="6"/>
  <c r="P120" i="6"/>
  <c r="Q120" i="6"/>
  <c r="R120" i="6"/>
  <c r="M121" i="6"/>
  <c r="P121" i="6"/>
  <c r="Q121" i="6"/>
  <c r="R121" i="6"/>
  <c r="M122" i="6"/>
  <c r="P122" i="6"/>
  <c r="Q122" i="6"/>
  <c r="R122" i="6"/>
  <c r="M123" i="6"/>
  <c r="P123" i="6"/>
  <c r="Q123" i="6"/>
  <c r="R123" i="6"/>
  <c r="Y123" i="6" s="1"/>
  <c r="M124" i="6"/>
  <c r="P124" i="6"/>
  <c r="Q124" i="6"/>
  <c r="R124" i="6"/>
  <c r="M125" i="6"/>
  <c r="P125" i="6"/>
  <c r="Q125" i="6"/>
  <c r="R125" i="6"/>
  <c r="X125" i="6" s="1"/>
  <c r="M126" i="6"/>
  <c r="P126" i="6"/>
  <c r="Y126" i="6" s="1"/>
  <c r="Q126" i="6"/>
  <c r="R126" i="6"/>
  <c r="M127" i="6"/>
  <c r="P127" i="6"/>
  <c r="Q127" i="6"/>
  <c r="R127" i="6"/>
  <c r="Y127" i="6" s="1"/>
  <c r="M128" i="6"/>
  <c r="P128" i="6"/>
  <c r="Q128" i="6"/>
  <c r="R128" i="6"/>
  <c r="M129" i="6"/>
  <c r="P129" i="6"/>
  <c r="Q129" i="6"/>
  <c r="R129" i="6"/>
  <c r="M130" i="6"/>
  <c r="P130" i="6"/>
  <c r="Q130" i="6"/>
  <c r="R130" i="6"/>
  <c r="M131" i="6"/>
  <c r="P131" i="6"/>
  <c r="Q131" i="6"/>
  <c r="R131" i="6"/>
  <c r="M132" i="6"/>
  <c r="P132" i="6"/>
  <c r="Q132" i="6"/>
  <c r="R132" i="6"/>
  <c r="M133" i="6"/>
  <c r="P133" i="6"/>
  <c r="Q133" i="6"/>
  <c r="R133" i="6"/>
  <c r="Y133" i="6" s="1"/>
  <c r="M134" i="6"/>
  <c r="P134" i="6"/>
  <c r="Q134" i="6"/>
  <c r="R134" i="6"/>
  <c r="M135" i="6"/>
  <c r="P135" i="6"/>
  <c r="Q135" i="6"/>
  <c r="R135" i="6"/>
  <c r="M136" i="6"/>
  <c r="P136" i="6"/>
  <c r="Y136" i="6" s="1"/>
  <c r="Q136" i="6"/>
  <c r="R136" i="6"/>
  <c r="M137" i="6"/>
  <c r="P137" i="6"/>
  <c r="Q137" i="6"/>
  <c r="R137" i="6"/>
  <c r="Y137" i="6" s="1"/>
  <c r="M138" i="6"/>
  <c r="P138" i="6"/>
  <c r="Q138" i="6"/>
  <c r="R138" i="6"/>
  <c r="M139" i="6"/>
  <c r="P139" i="6"/>
  <c r="Q139" i="6"/>
  <c r="R139" i="6"/>
  <c r="M140" i="6"/>
  <c r="P140" i="6"/>
  <c r="Q140" i="6"/>
  <c r="R140" i="6"/>
  <c r="M141" i="6"/>
  <c r="P141" i="6"/>
  <c r="Q141" i="6"/>
  <c r="R141" i="6"/>
  <c r="M142" i="6"/>
  <c r="P142" i="6"/>
  <c r="Y142" i="6" s="1"/>
  <c r="Q142" i="6"/>
  <c r="R142" i="6"/>
  <c r="M143" i="6"/>
  <c r="P143" i="6"/>
  <c r="Q143" i="6"/>
  <c r="R143" i="6"/>
  <c r="X143" i="6" s="1"/>
  <c r="M144" i="6"/>
  <c r="P144" i="6"/>
  <c r="Q144" i="6"/>
  <c r="R144" i="6"/>
  <c r="M145" i="6"/>
  <c r="P145" i="6"/>
  <c r="Q145" i="6"/>
  <c r="R145" i="6"/>
  <c r="M146" i="6"/>
  <c r="P146" i="6"/>
  <c r="Q146" i="6"/>
  <c r="R146" i="6"/>
  <c r="M147" i="6"/>
  <c r="P147" i="6"/>
  <c r="Q147" i="6"/>
  <c r="R147" i="6"/>
  <c r="Y147" i="6" s="1"/>
  <c r="M148" i="6"/>
  <c r="P148" i="6"/>
  <c r="Q148" i="6"/>
  <c r="R148" i="6"/>
  <c r="M149" i="6"/>
  <c r="P149" i="6"/>
  <c r="Q149" i="6"/>
  <c r="R149" i="6"/>
  <c r="M150" i="6"/>
  <c r="P150" i="6"/>
  <c r="Q150" i="6"/>
  <c r="R150" i="6"/>
  <c r="M151" i="6"/>
  <c r="P151" i="6"/>
  <c r="Q151" i="6"/>
  <c r="R151" i="6"/>
  <c r="M152" i="6"/>
  <c r="P152" i="6"/>
  <c r="Q152" i="6"/>
  <c r="R152" i="6"/>
  <c r="M153" i="6"/>
  <c r="P153" i="6"/>
  <c r="Q153" i="6"/>
  <c r="R153" i="6"/>
  <c r="M154" i="6"/>
  <c r="P154" i="6"/>
  <c r="Q154" i="6"/>
  <c r="R154" i="6"/>
  <c r="M155" i="6"/>
  <c r="P155" i="6"/>
  <c r="Q155" i="6"/>
  <c r="R155" i="6"/>
  <c r="M156" i="6"/>
  <c r="P156" i="6"/>
  <c r="Q156" i="6"/>
  <c r="R156" i="6"/>
  <c r="M157" i="6"/>
  <c r="P157" i="6"/>
  <c r="Q157" i="6"/>
  <c r="R157" i="6"/>
  <c r="M158" i="6"/>
  <c r="P158" i="6"/>
  <c r="Y158" i="6" s="1"/>
  <c r="Q158" i="6"/>
  <c r="X158" i="6" s="1"/>
  <c r="R158" i="6"/>
  <c r="M159" i="6"/>
  <c r="P159" i="6"/>
  <c r="Q159" i="6"/>
  <c r="R159" i="6"/>
  <c r="X159" i="6" s="1"/>
  <c r="M160" i="6"/>
  <c r="P160" i="6"/>
  <c r="Q160" i="6"/>
  <c r="R160" i="6"/>
  <c r="M161" i="6"/>
  <c r="P161" i="6"/>
  <c r="Q161" i="6"/>
  <c r="R161" i="6"/>
  <c r="M162" i="6"/>
  <c r="P162" i="6"/>
  <c r="Q162" i="6"/>
  <c r="R162" i="6"/>
  <c r="M163" i="6"/>
  <c r="P163" i="6"/>
  <c r="Q163" i="6"/>
  <c r="R163" i="6"/>
  <c r="M164" i="6"/>
  <c r="P164" i="6"/>
  <c r="Q164" i="6"/>
  <c r="X164" i="6" s="1"/>
  <c r="R164" i="6"/>
  <c r="M165" i="6"/>
  <c r="P165" i="6"/>
  <c r="Q165" i="6"/>
  <c r="R165" i="6"/>
  <c r="X165" i="6" s="1"/>
  <c r="M166" i="6"/>
  <c r="P166" i="6"/>
  <c r="Q166" i="6"/>
  <c r="R166" i="6"/>
  <c r="M167" i="6"/>
  <c r="P167" i="6"/>
  <c r="Q167" i="6"/>
  <c r="R167" i="6"/>
  <c r="Y167" i="6" s="1"/>
  <c r="M168" i="6"/>
  <c r="P168" i="6"/>
  <c r="Q168" i="6"/>
  <c r="X168" i="6" s="1"/>
  <c r="R168" i="6"/>
  <c r="L101" i="6"/>
  <c r="L102" i="6"/>
  <c r="L103" i="6"/>
  <c r="Z103" i="6" s="1"/>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Z131" i="6" s="1"/>
  <c r="L132" i="6"/>
  <c r="L133" i="6"/>
  <c r="L134" i="6"/>
  <c r="L135" i="6"/>
  <c r="L136" i="6"/>
  <c r="L137" i="6"/>
  <c r="L138" i="6"/>
  <c r="L139" i="6"/>
  <c r="Z139" i="6" s="1"/>
  <c r="L140" i="6"/>
  <c r="L141" i="6"/>
  <c r="L142" i="6"/>
  <c r="L143" i="6"/>
  <c r="L144" i="6"/>
  <c r="L145" i="6"/>
  <c r="L146" i="6"/>
  <c r="L147" i="6"/>
  <c r="Z147" i="6" s="1"/>
  <c r="L148" i="6"/>
  <c r="L149" i="6"/>
  <c r="L150" i="6"/>
  <c r="L151" i="6"/>
  <c r="L152" i="6"/>
  <c r="L153" i="6"/>
  <c r="L154" i="6"/>
  <c r="L155" i="6"/>
  <c r="Z155" i="6" s="1"/>
  <c r="L156" i="6"/>
  <c r="L157" i="6"/>
  <c r="L158" i="6"/>
  <c r="L159" i="6"/>
  <c r="L160" i="6"/>
  <c r="L161" i="6"/>
  <c r="L162" i="6"/>
  <c r="L163" i="6"/>
  <c r="Z163" i="6" s="1"/>
  <c r="L164" i="6"/>
  <c r="L165" i="6"/>
  <c r="L166" i="6"/>
  <c r="L167" i="6"/>
  <c r="L168"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Z71" i="6" s="1"/>
  <c r="L72" i="6"/>
  <c r="L73" i="6"/>
  <c r="L74" i="6"/>
  <c r="L75" i="6"/>
  <c r="Z75" i="6" s="1"/>
  <c r="L76" i="6"/>
  <c r="L77" i="6"/>
  <c r="Z77" i="6" s="1"/>
  <c r="L78" i="6"/>
  <c r="L79" i="6"/>
  <c r="Z79" i="6" s="1"/>
  <c r="L80" i="6"/>
  <c r="L81" i="6"/>
  <c r="L82" i="6"/>
  <c r="L83" i="6"/>
  <c r="Z83" i="6" s="1"/>
  <c r="L84" i="6"/>
  <c r="L85" i="6"/>
  <c r="Z85" i="6" s="1"/>
  <c r="L86" i="6"/>
  <c r="L87" i="6"/>
  <c r="Z87" i="6" s="1"/>
  <c r="L88" i="6"/>
  <c r="L89" i="6"/>
  <c r="L90" i="6"/>
  <c r="L91" i="6"/>
  <c r="Z91" i="6" s="1"/>
  <c r="L92" i="6"/>
  <c r="L93" i="6"/>
  <c r="Z93" i="6" s="1"/>
  <c r="L94" i="6"/>
  <c r="L95" i="6"/>
  <c r="Z95" i="6" s="1"/>
  <c r="L96" i="6"/>
  <c r="L97" i="6"/>
  <c r="L98" i="6"/>
  <c r="L99" i="6"/>
  <c r="Z99" i="6" s="1"/>
  <c r="L100" i="6"/>
  <c r="L4" i="6"/>
  <c r="M4" i="6"/>
  <c r="C3" i="7"/>
  <c r="D156" i="6"/>
  <c r="H156" i="6" s="1"/>
  <c r="D140" i="6"/>
  <c r="F140" i="6" s="1"/>
  <c r="H138" i="6"/>
  <c r="D131" i="6"/>
  <c r="F131" i="6" s="1"/>
  <c r="R66" i="6"/>
  <c r="Q66" i="6"/>
  <c r="P66" i="6"/>
  <c r="N66" i="6"/>
  <c r="M66" i="6"/>
  <c r="R65" i="6"/>
  <c r="Q65" i="6"/>
  <c r="P65" i="6"/>
  <c r="M65" i="6"/>
  <c r="F65" i="6"/>
  <c r="R64" i="6"/>
  <c r="Q64" i="6"/>
  <c r="P64" i="6"/>
  <c r="M64" i="6"/>
  <c r="F64" i="6"/>
  <c r="R63" i="6"/>
  <c r="Q63" i="6"/>
  <c r="P63" i="6"/>
  <c r="M63" i="6"/>
  <c r="F63" i="6"/>
  <c r="R62" i="6"/>
  <c r="Q62" i="6"/>
  <c r="P62" i="6"/>
  <c r="Y62" i="6" s="1"/>
  <c r="M62" i="6"/>
  <c r="F62" i="6"/>
  <c r="R61" i="6"/>
  <c r="Q61" i="6"/>
  <c r="P61" i="6"/>
  <c r="M61" i="6"/>
  <c r="F61" i="6"/>
  <c r="R60" i="6"/>
  <c r="Q60" i="6"/>
  <c r="P60" i="6"/>
  <c r="M60" i="6"/>
  <c r="F60" i="6"/>
  <c r="R59" i="6"/>
  <c r="Q59" i="6"/>
  <c r="P59" i="6"/>
  <c r="M59" i="6"/>
  <c r="F59" i="6"/>
  <c r="R58" i="6"/>
  <c r="Q58" i="6"/>
  <c r="P58" i="6"/>
  <c r="M58" i="6"/>
  <c r="F58" i="6"/>
  <c r="R57" i="6"/>
  <c r="Q57" i="6"/>
  <c r="P57" i="6"/>
  <c r="M57" i="6"/>
  <c r="D57" i="6"/>
  <c r="F57" i="6" s="1"/>
  <c r="R56" i="6"/>
  <c r="Q56" i="6"/>
  <c r="P56" i="6"/>
  <c r="M56" i="6"/>
  <c r="F56" i="6"/>
  <c r="R55" i="6"/>
  <c r="Q55" i="6"/>
  <c r="P55" i="6"/>
  <c r="M55" i="6"/>
  <c r="F55" i="6"/>
  <c r="R54" i="6"/>
  <c r="Q54" i="6"/>
  <c r="P54" i="6"/>
  <c r="N54" i="6"/>
  <c r="M54" i="6"/>
  <c r="F54" i="6"/>
  <c r="R53" i="6"/>
  <c r="Q53" i="6"/>
  <c r="P53" i="6"/>
  <c r="N53" i="6"/>
  <c r="M53" i="6"/>
  <c r="F53" i="6"/>
  <c r="R52" i="6"/>
  <c r="Q52" i="6"/>
  <c r="P52" i="6"/>
  <c r="M52" i="6"/>
  <c r="F52" i="6"/>
  <c r="R51" i="6"/>
  <c r="Q51" i="6"/>
  <c r="P51" i="6"/>
  <c r="N51" i="6"/>
  <c r="M51" i="6"/>
  <c r="F51" i="6"/>
  <c r="R50" i="6"/>
  <c r="Q50" i="6"/>
  <c r="P50" i="6"/>
  <c r="N50" i="6"/>
  <c r="M50" i="6"/>
  <c r="F50" i="6"/>
  <c r="R49" i="6"/>
  <c r="Q49" i="6"/>
  <c r="P49" i="6"/>
  <c r="M49" i="6"/>
  <c r="F49" i="6"/>
  <c r="R48" i="6"/>
  <c r="Q48" i="6"/>
  <c r="P48" i="6"/>
  <c r="M48" i="6"/>
  <c r="F48" i="6"/>
  <c r="R47" i="6"/>
  <c r="Q47" i="6"/>
  <c r="P47" i="6"/>
  <c r="N47" i="6"/>
  <c r="M47" i="6"/>
  <c r="F47" i="6"/>
  <c r="R46" i="6"/>
  <c r="Q46" i="6"/>
  <c r="P46" i="6"/>
  <c r="M46" i="6"/>
  <c r="R45" i="6"/>
  <c r="Q45" i="6"/>
  <c r="P45" i="6"/>
  <c r="Y45" i="6" s="1"/>
  <c r="M45" i="6"/>
  <c r="R44" i="6"/>
  <c r="Q44" i="6"/>
  <c r="P44" i="6"/>
  <c r="N44" i="6"/>
  <c r="M44" i="6"/>
  <c r="F44" i="6"/>
  <c r="R43" i="6"/>
  <c r="Q43" i="6"/>
  <c r="P43" i="6"/>
  <c r="Y43" i="6" s="1"/>
  <c r="M43" i="6"/>
  <c r="F43" i="6"/>
  <c r="R42" i="6"/>
  <c r="Q42" i="6"/>
  <c r="P42" i="6"/>
  <c r="M42" i="6"/>
  <c r="F42" i="6"/>
  <c r="R41" i="6"/>
  <c r="Q41" i="6"/>
  <c r="P41" i="6"/>
  <c r="M41" i="6"/>
  <c r="F41" i="6"/>
  <c r="R40" i="6"/>
  <c r="Q40" i="6"/>
  <c r="P40" i="6"/>
  <c r="M40" i="6"/>
  <c r="F40" i="6"/>
  <c r="R39" i="6"/>
  <c r="Q39" i="6"/>
  <c r="P39" i="6"/>
  <c r="N39" i="6"/>
  <c r="M39" i="6"/>
  <c r="F39" i="6"/>
  <c r="R38" i="6"/>
  <c r="Q38" i="6"/>
  <c r="P38" i="6"/>
  <c r="M38" i="6"/>
  <c r="F38" i="6"/>
  <c r="R37" i="6"/>
  <c r="Q37" i="6"/>
  <c r="P37" i="6"/>
  <c r="N37" i="6"/>
  <c r="M37" i="6"/>
  <c r="F37" i="6"/>
  <c r="R36" i="6"/>
  <c r="Q36" i="6"/>
  <c r="P36" i="6"/>
  <c r="N36" i="6"/>
  <c r="M36" i="6"/>
  <c r="F36" i="6"/>
  <c r="R35" i="6"/>
  <c r="Q35" i="6"/>
  <c r="P35" i="6"/>
  <c r="Y35" i="6" s="1"/>
  <c r="M35" i="6"/>
  <c r="F35" i="6"/>
  <c r="R34" i="6"/>
  <c r="Q34" i="6"/>
  <c r="P34" i="6"/>
  <c r="Y34" i="6" s="1"/>
  <c r="M34" i="6"/>
  <c r="F34" i="6"/>
  <c r="R33" i="6"/>
  <c r="Q33" i="6"/>
  <c r="P33" i="6"/>
  <c r="N33" i="6"/>
  <c r="M33" i="6"/>
  <c r="F33" i="6"/>
  <c r="R32" i="6"/>
  <c r="Q32" i="6"/>
  <c r="P32" i="6"/>
  <c r="N32" i="6"/>
  <c r="M32" i="6"/>
  <c r="H32" i="6"/>
  <c r="F32" i="6"/>
  <c r="R31" i="6"/>
  <c r="Q31" i="6"/>
  <c r="P31" i="6"/>
  <c r="M31" i="6"/>
  <c r="F31" i="6"/>
  <c r="R30" i="6"/>
  <c r="Q30" i="6"/>
  <c r="P30" i="6"/>
  <c r="M30" i="6"/>
  <c r="F30" i="6"/>
  <c r="R29" i="6"/>
  <c r="Q29" i="6"/>
  <c r="P29" i="6"/>
  <c r="M29" i="6"/>
  <c r="F29" i="6"/>
  <c r="R28" i="6"/>
  <c r="Q28" i="6"/>
  <c r="P28" i="6"/>
  <c r="M28" i="6"/>
  <c r="F28" i="6"/>
  <c r="R27" i="6"/>
  <c r="Q27" i="6"/>
  <c r="P27" i="6"/>
  <c r="X27" i="6" s="1"/>
  <c r="M27" i="6"/>
  <c r="F27" i="6"/>
  <c r="R26" i="6"/>
  <c r="Q26" i="6"/>
  <c r="X26" i="6" s="1"/>
  <c r="P26" i="6"/>
  <c r="M26" i="6"/>
  <c r="F26" i="6"/>
  <c r="R25" i="6"/>
  <c r="Q25" i="6"/>
  <c r="P25" i="6"/>
  <c r="N25" i="6"/>
  <c r="M25" i="6"/>
  <c r="F25" i="6"/>
  <c r="R24" i="6"/>
  <c r="Q24" i="6"/>
  <c r="P24" i="6"/>
  <c r="X24" i="6" s="1"/>
  <c r="M24" i="6"/>
  <c r="D24" i="6"/>
  <c r="F24" i="6" s="1"/>
  <c r="R23" i="6"/>
  <c r="Q23" i="6"/>
  <c r="P23" i="6"/>
  <c r="Y23" i="6" s="1"/>
  <c r="M23" i="6"/>
  <c r="F23" i="6"/>
  <c r="R22" i="6"/>
  <c r="Q22" i="6"/>
  <c r="P22" i="6"/>
  <c r="Y22" i="6" s="1"/>
  <c r="M22" i="6"/>
  <c r="F22" i="6"/>
  <c r="R21" i="6"/>
  <c r="Q21" i="6"/>
  <c r="P21" i="6"/>
  <c r="M21" i="6"/>
  <c r="F21" i="6"/>
  <c r="R20" i="6"/>
  <c r="Q20" i="6"/>
  <c r="P20" i="6"/>
  <c r="M20" i="6"/>
  <c r="F20" i="6"/>
  <c r="R19" i="6"/>
  <c r="Q19" i="6"/>
  <c r="P19" i="6"/>
  <c r="M19" i="6"/>
  <c r="F19" i="6"/>
  <c r="R18" i="6"/>
  <c r="Q18" i="6"/>
  <c r="P18" i="6"/>
  <c r="M18" i="6"/>
  <c r="F18" i="6"/>
  <c r="R17" i="6"/>
  <c r="Q17" i="6"/>
  <c r="P17" i="6"/>
  <c r="M17" i="6"/>
  <c r="F17" i="6"/>
  <c r="R16" i="6"/>
  <c r="Q16" i="6"/>
  <c r="P16" i="6"/>
  <c r="N16" i="6"/>
  <c r="M16" i="6"/>
  <c r="F16" i="6"/>
  <c r="R15" i="6"/>
  <c r="X15" i="6" s="1"/>
  <c r="Q15" i="6"/>
  <c r="P15" i="6"/>
  <c r="M15" i="6"/>
  <c r="F15" i="6"/>
  <c r="R14" i="6"/>
  <c r="Q14" i="6"/>
  <c r="P14" i="6"/>
  <c r="M14" i="6"/>
  <c r="F14" i="6"/>
  <c r="R13" i="6"/>
  <c r="Q13" i="6"/>
  <c r="P13" i="6"/>
  <c r="Y13" i="6" s="1"/>
  <c r="M13" i="6"/>
  <c r="D13" i="6"/>
  <c r="F13" i="6" s="1"/>
  <c r="R12" i="6"/>
  <c r="Q12" i="6"/>
  <c r="X12" i="6" s="1"/>
  <c r="P12" i="6"/>
  <c r="M12" i="6"/>
  <c r="F12" i="6"/>
  <c r="R11" i="6"/>
  <c r="Q11" i="6"/>
  <c r="P11" i="6"/>
  <c r="Y11" i="6" s="1"/>
  <c r="M11" i="6"/>
  <c r="D11" i="6"/>
  <c r="F11" i="6" s="1"/>
  <c r="R10" i="6"/>
  <c r="Q10" i="6"/>
  <c r="P10" i="6"/>
  <c r="M10" i="6"/>
  <c r="D10" i="6"/>
  <c r="F10" i="6" s="1"/>
  <c r="R9" i="6"/>
  <c r="Q9" i="6"/>
  <c r="P9" i="6"/>
  <c r="M9" i="6"/>
  <c r="F9" i="6"/>
  <c r="R8" i="6"/>
  <c r="Q8" i="6"/>
  <c r="P8" i="6"/>
  <c r="N8" i="6"/>
  <c r="M8" i="6"/>
  <c r="F8" i="6"/>
  <c r="R7" i="6"/>
  <c r="Q7" i="6"/>
  <c r="P7" i="6"/>
  <c r="N7" i="6"/>
  <c r="M7" i="6"/>
  <c r="F7" i="6"/>
  <c r="R6" i="6"/>
  <c r="Q6" i="6"/>
  <c r="P6" i="6"/>
  <c r="M6" i="6"/>
  <c r="F6" i="6"/>
  <c r="R5" i="6"/>
  <c r="Q5" i="6"/>
  <c r="P5" i="6"/>
  <c r="M5" i="6"/>
  <c r="F5" i="6"/>
  <c r="R4" i="6"/>
  <c r="Q4" i="6"/>
  <c r="P4" i="6"/>
  <c r="Y4" i="6" s="1"/>
  <c r="D4" i="6"/>
  <c r="F4" i="6" s="1"/>
  <c r="Y65" i="6" l="1"/>
  <c r="Y10" i="6"/>
  <c r="X21" i="6"/>
  <c r="Y42" i="6"/>
  <c r="X167" i="6"/>
  <c r="Y165" i="6"/>
  <c r="Y163" i="6"/>
  <c r="Y159" i="6"/>
  <c r="Y157" i="6"/>
  <c r="X155" i="6"/>
  <c r="X151" i="6"/>
  <c r="Y149" i="6"/>
  <c r="X147" i="6"/>
  <c r="Y143" i="6"/>
  <c r="Y141" i="6"/>
  <c r="X139" i="6"/>
  <c r="X135" i="6"/>
  <c r="X133" i="6"/>
  <c r="Y131" i="6"/>
  <c r="Y129" i="6"/>
  <c r="X127" i="6"/>
  <c r="X123" i="6"/>
  <c r="Y121" i="6"/>
  <c r="X119" i="6"/>
  <c r="X117" i="6"/>
  <c r="X115" i="6"/>
  <c r="X111" i="6"/>
  <c r="Y109" i="6"/>
  <c r="X107" i="6"/>
  <c r="X58" i="6"/>
  <c r="Z68" i="6"/>
  <c r="X103" i="6"/>
  <c r="Y101" i="6"/>
  <c r="X99" i="6"/>
  <c r="X97" i="6"/>
  <c r="X95" i="6"/>
  <c r="Y93" i="6"/>
  <c r="Y91" i="6"/>
  <c r="Y89" i="6"/>
  <c r="Y87" i="6"/>
  <c r="Y85" i="6"/>
  <c r="X83" i="6"/>
  <c r="Y81" i="6"/>
  <c r="X79" i="6"/>
  <c r="Y77" i="6"/>
  <c r="Y75" i="6"/>
  <c r="X73" i="6"/>
  <c r="X71" i="6"/>
  <c r="Y73" i="6"/>
  <c r="Y71" i="6"/>
  <c r="Y57" i="6"/>
  <c r="Y12" i="6"/>
  <c r="Y26" i="6"/>
  <c r="X69" i="6"/>
  <c r="X67" i="6"/>
  <c r="X93" i="6"/>
  <c r="Z63" i="6"/>
  <c r="Z55" i="6"/>
  <c r="Z123" i="6"/>
  <c r="Z115" i="6"/>
  <c r="Z107" i="6"/>
  <c r="X138" i="6"/>
  <c r="Y102" i="6"/>
  <c r="X98" i="6"/>
  <c r="Y94" i="6"/>
  <c r="Y92" i="6"/>
  <c r="Y84" i="6"/>
  <c r="X78" i="6"/>
  <c r="X76" i="6"/>
  <c r="X74" i="6"/>
  <c r="Y72" i="6"/>
  <c r="Z62" i="6"/>
  <c r="Y168" i="6"/>
  <c r="Y166" i="6"/>
  <c r="Y162" i="6"/>
  <c r="Y146" i="6"/>
  <c r="Y122" i="6"/>
  <c r="Y112" i="6"/>
  <c r="Y108" i="6"/>
  <c r="Y99" i="6"/>
  <c r="X65" i="6"/>
  <c r="Y38" i="6"/>
  <c r="X38" i="6"/>
  <c r="X40" i="6"/>
  <c r="Y40" i="6"/>
  <c r="X60" i="6"/>
  <c r="Y60" i="6"/>
  <c r="Z76" i="6"/>
  <c r="Z60" i="6"/>
  <c r="Z52" i="6"/>
  <c r="Z20" i="6"/>
  <c r="Z168" i="6"/>
  <c r="Z144" i="6"/>
  <c r="Y31" i="6"/>
  <c r="X31" i="6"/>
  <c r="X41" i="6"/>
  <c r="Y41" i="6"/>
  <c r="Y19" i="6"/>
  <c r="X19" i="6"/>
  <c r="Z92" i="6"/>
  <c r="Z84" i="6"/>
  <c r="Z28" i="6"/>
  <c r="Y20" i="6"/>
  <c r="X20" i="6"/>
  <c r="X49" i="6"/>
  <c r="Y49" i="6"/>
  <c r="X48" i="6"/>
  <c r="Y48" i="6"/>
  <c r="Z100" i="6"/>
  <c r="Z12" i="6"/>
  <c r="Z160" i="6"/>
  <c r="Y15" i="6"/>
  <c r="Y18" i="6"/>
  <c r="X29" i="6"/>
  <c r="X59" i="6"/>
  <c r="X9" i="6"/>
  <c r="Y9" i="6"/>
  <c r="X30" i="6"/>
  <c r="Y30" i="6"/>
  <c r="X6" i="6"/>
  <c r="X56" i="6"/>
  <c r="X64" i="6"/>
  <c r="C15" i="7"/>
  <c r="Z31" i="6"/>
  <c r="Z23" i="6"/>
  <c r="Z15" i="6"/>
  <c r="Y90" i="6"/>
  <c r="X90" i="6"/>
  <c r="Y164" i="6"/>
  <c r="X154" i="6"/>
  <c r="Y148" i="6"/>
  <c r="X136" i="6"/>
  <c r="X132" i="6"/>
  <c r="X128" i="6"/>
  <c r="X120" i="6"/>
  <c r="Y46" i="6"/>
  <c r="X46" i="6"/>
  <c r="X61" i="6"/>
  <c r="Y61" i="6"/>
  <c r="Y14" i="6"/>
  <c r="X17" i="6"/>
  <c r="Y28" i="6"/>
  <c r="Y58" i="6"/>
  <c r="X160" i="6"/>
  <c r="X156" i="6"/>
  <c r="X152" i="6"/>
  <c r="X150" i="6"/>
  <c r="X144" i="6"/>
  <c r="X140" i="6"/>
  <c r="X134" i="6"/>
  <c r="X130" i="6"/>
  <c r="Y124" i="6"/>
  <c r="Y116" i="6"/>
  <c r="X114" i="6"/>
  <c r="X106" i="6"/>
  <c r="X5" i="6"/>
  <c r="X22" i="6"/>
  <c r="X43" i="6"/>
  <c r="X55" i="6"/>
  <c r="X63" i="6"/>
  <c r="X102" i="6"/>
  <c r="X100" i="6"/>
  <c r="Y98" i="6"/>
  <c r="X94" i="6"/>
  <c r="X92" i="6"/>
  <c r="X86" i="6"/>
  <c r="X84" i="6"/>
  <c r="X82" i="6"/>
  <c r="Y78" i="6"/>
  <c r="Y76" i="6"/>
  <c r="Y74" i="6"/>
  <c r="Y125" i="6"/>
  <c r="X52" i="6"/>
  <c r="Z94" i="6"/>
  <c r="Z86" i="6"/>
  <c r="Z78" i="6"/>
  <c r="Z46" i="6"/>
  <c r="Z38" i="6"/>
  <c r="Z30" i="6"/>
  <c r="Z22" i="6"/>
  <c r="Z14" i="6"/>
  <c r="Z6" i="6"/>
  <c r="Z162" i="6"/>
  <c r="Z154" i="6"/>
  <c r="Z146" i="6"/>
  <c r="Z138" i="6"/>
  <c r="Z130" i="6"/>
  <c r="Z122" i="6"/>
  <c r="Z114" i="6"/>
  <c r="Z106" i="6"/>
  <c r="X163" i="6"/>
  <c r="Y107" i="6"/>
  <c r="Y69" i="6"/>
  <c r="Y130" i="6"/>
  <c r="Y63" i="6"/>
  <c r="X11" i="6"/>
  <c r="Y152" i="6"/>
  <c r="Y103" i="6"/>
  <c r="Y6" i="6"/>
  <c r="Y119" i="6"/>
  <c r="Y160" i="6"/>
  <c r="Y79" i="6"/>
  <c r="Y17" i="6"/>
  <c r="X91" i="6"/>
  <c r="Y21" i="6"/>
  <c r="X75" i="6"/>
  <c r="Y83" i="6"/>
  <c r="X110" i="6"/>
  <c r="X34" i="6"/>
  <c r="X157" i="6"/>
  <c r="Y115" i="6"/>
  <c r="X45" i="6"/>
  <c r="Y155" i="6"/>
  <c r="X42" i="6"/>
  <c r="X131" i="6"/>
  <c r="X146" i="6"/>
  <c r="X28" i="6"/>
  <c r="Z4" i="6"/>
  <c r="Z69" i="6"/>
  <c r="Z61" i="6"/>
  <c r="Z45" i="6"/>
  <c r="Z29" i="6"/>
  <c r="Z21" i="6"/>
  <c r="Z13" i="6"/>
  <c r="Z5" i="6"/>
  <c r="Z161" i="6"/>
  <c r="Z153" i="6"/>
  <c r="Z145" i="6"/>
  <c r="Z137" i="6"/>
  <c r="Z129" i="6"/>
  <c r="Z121" i="6"/>
  <c r="Z113" i="6"/>
  <c r="X104" i="6"/>
  <c r="X96" i="6"/>
  <c r="X88" i="6"/>
  <c r="X80" i="6"/>
  <c r="X72" i="6"/>
  <c r="X122" i="6"/>
  <c r="Y140" i="6"/>
  <c r="Y55" i="6"/>
  <c r="Y156" i="6"/>
  <c r="Y52" i="6"/>
  <c r="X57" i="6"/>
  <c r="X166" i="6"/>
  <c r="X101" i="6"/>
  <c r="X23" i="6"/>
  <c r="X141" i="6"/>
  <c r="X13" i="6"/>
  <c r="Y82" i="6"/>
  <c r="Y139" i="6"/>
  <c r="Y150" i="6"/>
  <c r="X10" i="6"/>
  <c r="Y134" i="6"/>
  <c r="Y59" i="6"/>
  <c r="Z112" i="6"/>
  <c r="Z67" i="6"/>
  <c r="Z19" i="6"/>
  <c r="Z167" i="6"/>
  <c r="Z151" i="6"/>
  <c r="Z135" i="6"/>
  <c r="Z119" i="6"/>
  <c r="Z111" i="6"/>
  <c r="Y5" i="6"/>
  <c r="Y106" i="6"/>
  <c r="Y104" i="6"/>
  <c r="Y27" i="6"/>
  <c r="Y132" i="6"/>
  <c r="Y56" i="6"/>
  <c r="Y135" i="6"/>
  <c r="Y29" i="6"/>
  <c r="X85" i="6"/>
  <c r="X4" i="6"/>
  <c r="X109" i="6"/>
  <c r="X148" i="6"/>
  <c r="X149" i="6"/>
  <c r="Z152" i="6"/>
  <c r="Z136" i="6"/>
  <c r="X14" i="6"/>
  <c r="Z59" i="6"/>
  <c r="Z43" i="6"/>
  <c r="Z35" i="6"/>
  <c r="Z27" i="6"/>
  <c r="Z11" i="6"/>
  <c r="Z159" i="6"/>
  <c r="Z143" i="6"/>
  <c r="Z127" i="6"/>
  <c r="X62" i="6"/>
  <c r="Z98" i="6"/>
  <c r="Z90" i="6"/>
  <c r="Z82" i="6"/>
  <c r="Z74" i="6"/>
  <c r="Z58" i="6"/>
  <c r="Z42" i="6"/>
  <c r="Z34" i="6"/>
  <c r="Z26" i="6"/>
  <c r="Z18" i="6"/>
  <c r="Z10" i="6"/>
  <c r="Z166" i="6"/>
  <c r="Z158" i="6"/>
  <c r="Z150" i="6"/>
  <c r="Z142" i="6"/>
  <c r="Z134" i="6"/>
  <c r="Z126" i="6"/>
  <c r="Z118" i="6"/>
  <c r="Z110" i="6"/>
  <c r="Z102" i="6"/>
  <c r="X161" i="6"/>
  <c r="X153" i="6"/>
  <c r="X145" i="6"/>
  <c r="X137" i="6"/>
  <c r="X129" i="6"/>
  <c r="X121" i="6"/>
  <c r="X113" i="6"/>
  <c r="X162" i="6"/>
  <c r="Y97" i="6"/>
  <c r="Y161" i="6"/>
  <c r="Y96" i="6"/>
  <c r="Y120" i="6"/>
  <c r="Y151" i="6"/>
  <c r="Y128" i="6"/>
  <c r="Y86" i="6"/>
  <c r="X35" i="6"/>
  <c r="X142" i="6"/>
  <c r="X77" i="6"/>
  <c r="X124" i="6"/>
  <c r="X89" i="6"/>
  <c r="Z120" i="6"/>
  <c r="C7" i="7"/>
  <c r="X18" i="6"/>
  <c r="Z97" i="6"/>
  <c r="Z89" i="6"/>
  <c r="Z81" i="6"/>
  <c r="Z73" i="6"/>
  <c r="Z65" i="6"/>
  <c r="Z57" i="6"/>
  <c r="Z49" i="6"/>
  <c r="Z41" i="6"/>
  <c r="Z17" i="6"/>
  <c r="Z9" i="6"/>
  <c r="Z165" i="6"/>
  <c r="Z157" i="6"/>
  <c r="Z149" i="6"/>
  <c r="Z141" i="6"/>
  <c r="Z133" i="6"/>
  <c r="Z125" i="6"/>
  <c r="Z117" i="6"/>
  <c r="Z109" i="6"/>
  <c r="Z101" i="6"/>
  <c r="Y154" i="6"/>
  <c r="Y153" i="6"/>
  <c r="Y88" i="6"/>
  <c r="Y67" i="6"/>
  <c r="Y111" i="6"/>
  <c r="X68" i="6"/>
  <c r="X116" i="6"/>
  <c r="X81" i="6"/>
  <c r="Z128" i="6"/>
  <c r="Z104" i="6"/>
  <c r="Z96" i="6"/>
  <c r="Z88" i="6"/>
  <c r="Z80" i="6"/>
  <c r="Z72" i="6"/>
  <c r="Z64" i="6"/>
  <c r="Z56" i="6"/>
  <c r="Z48" i="6"/>
  <c r="Z40" i="6"/>
  <c r="Z24" i="6"/>
  <c r="Z164" i="6"/>
  <c r="Z156" i="6"/>
  <c r="Z148" i="6"/>
  <c r="Z140" i="6"/>
  <c r="Z132" i="6"/>
  <c r="Z124" i="6"/>
  <c r="Z116" i="6"/>
  <c r="Z108" i="6"/>
  <c r="Y145" i="6"/>
  <c r="Y80" i="6"/>
  <c r="X126" i="6"/>
  <c r="Y100" i="6"/>
  <c r="Y70" i="6"/>
  <c r="C30" i="7"/>
  <c r="C11" i="7"/>
  <c r="C29" i="7"/>
  <c r="C25" i="7"/>
  <c r="C8" i="7"/>
  <c r="C27" i="7"/>
  <c r="C6" i="7"/>
  <c r="Y33" i="6"/>
  <c r="C10" i="7"/>
  <c r="X39" i="6"/>
  <c r="C28" i="7"/>
  <c r="C12" i="7"/>
  <c r="C9" i="7"/>
  <c r="Y54" i="6"/>
  <c r="Y50" i="6"/>
  <c r="X54" i="6"/>
  <c r="Z32" i="6"/>
  <c r="Z16" i="6"/>
  <c r="X33" i="6"/>
  <c r="X7" i="6"/>
  <c r="X66" i="6"/>
  <c r="Z51" i="6"/>
  <c r="Z47" i="6"/>
  <c r="Z39" i="6"/>
  <c r="Z7" i="6"/>
  <c r="X70" i="6"/>
  <c r="Z53" i="6"/>
  <c r="Z37" i="6"/>
  <c r="Z105" i="6"/>
  <c r="Z33" i="6"/>
  <c r="Z25" i="6"/>
  <c r="X8" i="6"/>
  <c r="Y8" i="6"/>
  <c r="X16" i="6"/>
  <c r="Y16" i="6"/>
  <c r="X32" i="6"/>
  <c r="Y32" i="6"/>
  <c r="X36" i="6"/>
  <c r="Y36" i="6"/>
  <c r="X44" i="6"/>
  <c r="Y44" i="6"/>
  <c r="Y47" i="6"/>
  <c r="X47" i="6"/>
  <c r="Y51" i="6"/>
  <c r="X51" i="6"/>
  <c r="X53" i="6"/>
  <c r="Y53" i="6"/>
  <c r="Z44" i="6"/>
  <c r="Z36" i="6"/>
  <c r="Z8" i="6"/>
  <c r="Y66" i="6"/>
  <c r="X50" i="6"/>
  <c r="Y7" i="6"/>
  <c r="X25" i="6"/>
  <c r="Y25" i="6"/>
  <c r="P3" i="7"/>
  <c r="M5" i="7"/>
  <c r="L6" i="7"/>
  <c r="P2" i="7"/>
  <c r="M6" i="7"/>
  <c r="L7" i="7"/>
  <c r="M3" i="7"/>
  <c r="M7" i="7"/>
  <c r="M4" i="7"/>
  <c r="M2" i="7"/>
  <c r="L3" i="7"/>
  <c r="X37" i="6"/>
  <c r="Y37" i="6"/>
  <c r="Y39" i="6"/>
  <c r="Z70" i="6"/>
  <c r="Z66" i="6"/>
  <c r="Z54" i="6"/>
  <c r="Z50" i="6"/>
  <c r="X105" i="6"/>
  <c r="Y105" i="6"/>
  <c r="L2" i="7"/>
  <c r="L4" i="7"/>
  <c r="L5" i="7"/>
  <c r="C20" i="7" l="1"/>
  <c r="C19" i="7"/>
  <c r="C18" i="7"/>
  <c r="M8" i="7"/>
  <c r="L8" i="7"/>
  <c r="C26"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Anna.Stansbury</author>
  </authors>
  <commentList>
    <comment ref="D9" authorId="0" shapeId="0" xr:uid="{5A3C5463-D665-442B-B6E5-5D26B7B48D01}">
      <text>
        <r>
          <rPr>
            <b/>
            <sz val="9"/>
            <color indexed="81"/>
            <rFont val="Tahoma"/>
            <family val="2"/>
          </rPr>
          <t>Anna.Stansbury:</t>
        </r>
        <r>
          <rPr>
            <sz val="9"/>
            <color indexed="81"/>
            <rFont val="Tahoma"/>
            <family val="2"/>
          </rPr>
          <t xml:space="preserve">
This includes arrears and holiday pay as well as NMW underpayment</t>
        </r>
      </text>
    </comment>
    <comment ref="D10" authorId="0" shapeId="0" xr:uid="{386CDEE3-FD04-4CD3-B05E-419E13B087EF}">
      <text>
        <r>
          <rPr>
            <b/>
            <sz val="9"/>
            <color indexed="81"/>
            <rFont val="Tahoma"/>
            <family val="2"/>
          </rPr>
          <t>Anna.Stansbury:</t>
        </r>
        <r>
          <rPr>
            <sz val="9"/>
            <color indexed="81"/>
            <rFont val="Tahoma"/>
            <family val="2"/>
          </rPr>
          <t xml:space="preserve">
Total sum for unlawful deduction of wages</t>
        </r>
      </text>
    </comment>
  </commentList>
</comments>
</file>

<file path=xl/sharedStrings.xml><?xml version="1.0" encoding="utf-8"?>
<sst xmlns="http://schemas.openxmlformats.org/spreadsheetml/2006/main" count="1051" uniqueCount="632">
  <si>
    <t>Case name</t>
  </si>
  <si>
    <t>Penalty levied</t>
  </si>
  <si>
    <t>Cost order</t>
  </si>
  <si>
    <t>Hyperlink</t>
  </si>
  <si>
    <t>Type of decision</t>
  </si>
  <si>
    <t>Notes</t>
  </si>
  <si>
    <t>https://www.gov.uk/employment-tribunal-decisions/ms-l-morrison-v-carewatch-care-services-ltd-3352869-2017</t>
  </si>
  <si>
    <t>https://www.gov.uk/employment-tribunal-decisions/ms-p-pryce-v-carewatch-care-services-ltd-3352870-2017</t>
  </si>
  <si>
    <t>NMW arrears</t>
  </si>
  <si>
    <t>Workers</t>
  </si>
  <si>
    <t xml:space="preserve">Mrs J Frudd and Mr I Frudd v The Partington Group Ltd: 2406291/2015 </t>
  </si>
  <si>
    <t>https://www.gov.uk/employment-tribunal-decisions/mrs-j-frudd-and-mr-i-frudd-v-the-partington-group-ltd-2406291-2015</t>
  </si>
  <si>
    <t>Had been considered self-employed not workers (hairdressers)</t>
  </si>
  <si>
    <t>Time on call not paid (caravan park attendants)</t>
  </si>
  <si>
    <t>Y</t>
  </si>
  <si>
    <t xml:space="preserve">Miss Isabella Du Bignon and Miss Francesca Du Bignon v Hair Now (1982) Ltd: 3330961/2018 and 3331006/2018 </t>
  </si>
  <si>
    <t>https://www.gov.uk/employment-tribunal-decisions/ms-f-du-bignon-v-hair-now-1982-ltd-3331006-2018</t>
  </si>
  <si>
    <t xml:space="preserve">Reasons for the judgment having been given orally at the hearing, written reasons will not be provided </t>
  </si>
  <si>
    <t>https://www.gov.uk/employment-tribunal-decisions/miss-e-milford-v-shirley-wine-store-ltd-2421071-2017</t>
  </si>
  <si>
    <t xml:space="preserve">Miss E Milford v Shirley Wine Store Ltd: 2421071/2017 </t>
  </si>
  <si>
    <t xml:space="preserve">Mr Phillip Woods v Swissport GB Ltd: 1601440/2018 </t>
  </si>
  <si>
    <t>Awaiting remedy hearing</t>
  </si>
  <si>
    <t>https://www.gov.uk/employment-tribunal-decisions/mr-phillip-woods-v-swissport-gb-ltd-1601440-2018</t>
  </si>
  <si>
    <t>https://www.gov.uk/employment-tribunal-decisions/miss-l-klimaite-v-emmas-bakery-and-cafe-ltd-2300042-2019</t>
  </si>
  <si>
    <t xml:space="preserve">Miss L Klimaite v Emmas Bakery And Cafe Ltd: 2300042/2019 </t>
  </si>
  <si>
    <t>Compensation</t>
  </si>
  <si>
    <t>https://www.gov.uk/employment-tribunal-decisions/ms-j-wang-v-wangping-travel-ltd-4122579-2018</t>
  </si>
  <si>
    <t xml:space="preserve">Ms J Wang v Wangping Travel Ltd: 4122579/2018 </t>
  </si>
  <si>
    <t>Unfair dismissal claim with compensation, also unlawful deduction of wages may not just be NMW value. Costs award may apply to unfair dismissal as well as unlawful deduction?</t>
  </si>
  <si>
    <t>https://www.gov.uk/employment-tribunal-decisions/mr-elek-bottlik-and-ms-melinda-berecz-v-gurdial-pj-ltd-3331452-2018-and-3331453-2018</t>
  </si>
  <si>
    <t xml:space="preserve">Mr Elek Bottlik and Ms Melinda Berecz v Gurdial PJ Ltd: 3331452/2018 and 3331453/2018 </t>
  </si>
  <si>
    <t xml:space="preserve">Ms R Airey v Mr Deib and Innovative Skin Clinics Ltd T/a Supreme Skin Clinic: 1801766/2017 </t>
  </si>
  <si>
    <t>https://www.gov.uk/employment-tribunal-decisions/ms-r-airey-v-mr-deib-and-innovative-skin-clinics-ltd-t-a-supreme-skin-clinic-1801766-2017</t>
  </si>
  <si>
    <t>Case listed as under NMW jurisdiction, but not sure what exactly the issue was because no details in the judgment. Other jurisdictions listed are 
Breach of Contract, Contract of Employment, National Minimum Wage, Transfer of Undertakings, Unfair Dismissal, Unlawful Deduction from Wages</t>
  </si>
  <si>
    <t>Jurisdictions</t>
  </si>
  <si>
    <t>Accommodation deduction</t>
  </si>
  <si>
    <t xml:space="preserve">Miss I Kosiba v Allsafety Ltd: 2501655/2017 </t>
  </si>
  <si>
    <t>https://www.gov.uk/employment-tribunal-decisions/miss-i-kosiba-v-allsafety-ltd-2501655-2017</t>
  </si>
  <si>
    <t>Award is for unpaid travel time - is this a minimum wage claim? A separate minimum wage claim was apparently dismissed</t>
  </si>
  <si>
    <t>https://www.gov.uk/employment-tribunal-decisions/mrs-c-marshall-and-others-v-kgb-cleaning-support-services-ltd</t>
  </si>
  <si>
    <t xml:space="preserve">Mrs C Marshall and others v KGB Cleaning &amp; Support Services Ltd: 1600539/2017 </t>
  </si>
  <si>
    <t>https://www.gov.uk/employment-tribunal-decisions/mr-p-donohoe-v-john-parr-t-a-spotlessly-clean-2401836-2019</t>
  </si>
  <si>
    <t>No reasons given. "Rule 21"?. He is a window cleaner</t>
  </si>
  <si>
    <t xml:space="preserve">Mr P Donohoe v John Parr T/a Spotlessly Clean: 2401836/2019 </t>
  </si>
  <si>
    <t>Most of the claims brought by the claimant were dismissed</t>
  </si>
  <si>
    <t>https://www.gov.uk/employment-tribunal-decisions/mr-mf-malik-v-khans-solicitors-a-firm-3200879-2018</t>
  </si>
  <si>
    <t xml:space="preserve">Mr MF Malik v Khans Solicitors (a firm): 3200879/2018 </t>
  </si>
  <si>
    <t xml:space="preserve">Mr N Karthick v Mr Ravi Chandran Ponnampalam: 3306656/2018 </t>
  </si>
  <si>
    <t>https://www.gov.uk/employment-tribunal-decisions/mr-n-karthick-v-mr-ravi-chandran-ponnampalam-3306656-2018</t>
  </si>
  <si>
    <t>https://www.gov.uk/employment-tribunal-decisions/mr-a-a-flechas-ramirez-v-sep-uk-logistics-ltd-in-liquidation-2303647-2017</t>
  </si>
  <si>
    <t xml:space="preserve">Mr A A Flechas Ramirez v SEP UK Logistics Ltd (in liquidation): 2303647/2017 </t>
  </si>
  <si>
    <t>Classified the claimant as a worker, meaning eligible for NMW and holiday pay. Company in liquidation</t>
  </si>
  <si>
    <t xml:space="preserve">Mr Connor Mackay v Aneesa Amjad and Maza Indian Buffet Restaurant: S/4100256/2019 and S/4100257/2019 </t>
  </si>
  <si>
    <t>https://www.gov.uk/employment-tribunal-decisions/mr-connor-mackay-v-aneesa-amjad-and-maza-indian-buffet-restaurant-s-4100256-2019-and-s-4100257-2019</t>
  </si>
  <si>
    <t>https://www.gov.uk/employment-tribunal-decisions/miss-c-howe-v-ms-stacey-oliver-t-a-or-formerly-t-a-hair-boutique-1804007-2018</t>
  </si>
  <si>
    <t>Compensation for unfair dismissal, holiday pay. No details about why underpaid</t>
  </si>
  <si>
    <t xml:space="preserve">Miss C Howe v Ms Stacey Oliver T/a or formerly T/a Hair Boutique: 1804007/2018 </t>
  </si>
  <si>
    <t>Not paid NMW - short term of employment, employer promised pay but did not actually pay into account</t>
  </si>
  <si>
    <t xml:space="preserve">Mr O Voicu v Pallazi UK Ltd: 3334869/2018 </t>
  </si>
  <si>
    <t>https://www.gov.uk/employment-tribunal-decisions/mr-o-voicu-v-pallazi-uk-ltd-3334869-2018</t>
  </si>
  <si>
    <t>Also awarded holiday pay and pay in lieu of notice. No response from respondent</t>
  </si>
  <si>
    <t>Also awarded holiday pay . No response from respondent</t>
  </si>
  <si>
    <t>https://www.gov.uk/employment-tribunal-decisions/miss-s-abdul-v-romanna-bint-abubaker-2303027-2017</t>
  </si>
  <si>
    <t xml:space="preserve">Miss S Abdul v Romanna Bint Abubaker: 2303027/2017 </t>
  </si>
  <si>
    <t>Also awarded holiday pay and pay in lieu of notice. No details</t>
  </si>
  <si>
    <t>https://www.gov.uk/employment-tribunal-decisions/mr-s-munn-v-mrs-j-summers-and-mr-m-summers-t-a-msa-partnership-1304629-2018</t>
  </si>
  <si>
    <t xml:space="preserve">Mr S Munn v Mrs J Summers and Mr M Summers T/a MSA Partnership: 1304629/2018 </t>
  </si>
  <si>
    <t>https://www.gov.uk/employment-tribunal-decisions/ms-eleanor-uchewuakor-v-efficiency-for-care-ltd-3201206-2018</t>
  </si>
  <si>
    <t xml:space="preserve">Ms Eleanor Uchewuakor v Efficiency for Care Ltd: 3201206/2018 </t>
  </si>
  <si>
    <t>Simple non-payment of nmw throughout their employment at a fast food restaurant, cash in hand. Also awarded notice pay and holiday pay. Costs award was 144 for preparation time and 140 for expenses</t>
  </si>
  <si>
    <t xml:space="preserve">Mr V Atanasui and Mrs M Atanasui v Mr Samir Gad Salama: 2302880/2016 and 2302881/2016 </t>
  </si>
  <si>
    <t>https://www.gov.uk/employment-tribunal-decisions/mr-v-atanasui-and-mrs-m-atanasui-v-mr-samir-gad-salama-2302880-2016-and-2302881-2016</t>
  </si>
  <si>
    <t>https://www.gov.uk/employment-tribunal-decisions/mrs-d-king-v-care-success-solutions-ltd-3306914-2018-and-3306915-2018</t>
  </si>
  <si>
    <t xml:space="preserve">Mrs D King v Care Success Solutions Ltd: 3306914/2018 and 3306915/2018 </t>
  </si>
  <si>
    <t xml:space="preserve">Miss L Cosma v Haybat Khowaja T/a Park Street Local: 1400394/2018 </t>
  </si>
  <si>
    <t>No details</t>
  </si>
  <si>
    <t>https://www.gov.uk/employment-tribunal-decisions/miss-l-cosma-v-haybat-khowaja-t-a-park-street-local-1400394-2018</t>
  </si>
  <si>
    <t>No details: default judgment</t>
  </si>
  <si>
    <t>https://www.gov.uk/employment-tribunal-decisions/mr-r-piercey-v-select-ductwork-services-ltd-3331016-2018</t>
  </si>
  <si>
    <t xml:space="preserve">Mr R Piercey v Select Ductwork Services Ltd: 3331016/2018 </t>
  </si>
  <si>
    <t xml:space="preserve">Mr Kieran Pattni v Hitshomes Ltd and Others: 2600130/2018 </t>
  </si>
  <si>
    <t>https://www.gov.uk/employment-tribunal-decisions/mr-kieran-pattni-v-hitshomes-ltd-and-others-2600130-2018</t>
  </si>
  <si>
    <t>https://www.gov.uk/employment-tribunal-decisions/mr-j-keen-v-intelligent-office-systems-london-ltd-3331050-2018</t>
  </si>
  <si>
    <t>No details - Rule 21 judgment</t>
  </si>
  <si>
    <t>Mr J Keen v Intelligent Office Systems London Ltd: 3331050/2018</t>
  </si>
  <si>
    <t>https://www.gov.uk/employment-tribunal-decisions/mrs-g-sethi-v-kp-elite-ltd-3330731-2018</t>
  </si>
  <si>
    <t>Mrs G Sethi v KP Elite Ltd: 3330731/2018</t>
  </si>
  <si>
    <t>Miss M S Fazil v Phoenix Care (UK) Ltd: 3307133/2018</t>
  </si>
  <si>
    <t>https://www.gov.uk/employment-tribunal-decisions/miss-m-s-fazil-v-phoenix-care-uk-ltd-3307133-2018</t>
  </si>
  <si>
    <t>https://www.gov.uk/employment-tribunal-decisions/ms-c-beckford-and-others-v-premier-carewaiting-ltd-3201796-2017</t>
  </si>
  <si>
    <t>Ms C Beckford and others v Premier Carewaiting Ltd: 3201796/2017</t>
  </si>
  <si>
    <t>https://www.gov.uk/employment-tribunal-decisions/mr-c-stocks-v-glenn-carter-advance-security-2600088-2018</t>
  </si>
  <si>
    <t>Mr C Stocks v Glenn Carter (Advance Security): 2600088/2018</t>
  </si>
  <si>
    <t>https://www.gov.uk/employment-tribunal-decisions/miss-p-ross-v-mr-o-opiah-3327048-2017</t>
  </si>
  <si>
    <t>Miss P Ross v Mr O Opiah: 3327048/2017</t>
  </si>
  <si>
    <t>Mrs. J Brown v Abbey Healthcare (Aaron Court) Ltd: 2601300/2017</t>
  </si>
  <si>
    <t>https://www.gov.uk/employment-tribunal-decisions/mrs-j-brown-v-abbey-healthcare-aaron-court-ltd-2601300-2017</t>
  </si>
  <si>
    <t>Failure to provide records: awarded compensation under NMW Act 1998</t>
  </si>
  <si>
    <t>Ms L Morrison v Carewatch Care Services Ltd: 3352869/2017</t>
  </si>
  <si>
    <t>Ms P Pryce v Carewatch Care Services Ltd: 3352870/2017</t>
  </si>
  <si>
    <t>https://www.gov.uk/employment-tribunal-decisions/mr-t-court-v-norwich-bars-ltd-2601351-2017</t>
  </si>
  <si>
    <t>Mr T Court v Norwich Bars Ltd: 2601351/2017</t>
  </si>
  <si>
    <t>https://www.gov.uk/employment-tribunal-decisions/mr-n-patel-v-mrs-s-patel-and-other-1401450-2015</t>
  </si>
  <si>
    <t>Mr N Patel v Mrs S Patel and Other: 1401450/2015</t>
  </si>
  <si>
    <t>Decision date</t>
  </si>
  <si>
    <t>https://www.gov.uk/employment-tribunal-decisions/ms-l-fairfax-v-miss-f-mahmood-1303846-2017</t>
  </si>
  <si>
    <t>Ms L Fairfax v Miss F Mahmood: 1303846/2017</t>
  </si>
  <si>
    <t>No details: just remedy award of the amount "in unpaid wages"</t>
  </si>
  <si>
    <t>https://www.gov.uk/employment-tribunal-decisions/mr-k-petrov-v-lacaze-ltd-3328687-2017</t>
  </si>
  <si>
    <t>Mr K Petrov v Lacaze Ltd: 3328687/2017</t>
  </si>
  <si>
    <t>Other grounds were dismissed</t>
  </si>
  <si>
    <t>Miss J Cudmore v Dynasty Care Ltd: 2300307/2017</t>
  </si>
  <si>
    <t>https://www.gov.uk/employment-tribunal-decisions/miss-j-cudmore-v-dynasty-care-ltd-2300307-2017</t>
  </si>
  <si>
    <t>https://www.gov.uk/employment-tribunal-decisions/miss-s-shiraz-v-zoya-desserts-ltd-1800960-2017</t>
  </si>
  <si>
    <t>Miss S Shiraz v Zoya Desserts Ltd: 1800960/2017</t>
  </si>
  <si>
    <t>https://www.gov.uk/employment-tribunal-decisions/mr-w-augustine-v-econnect-cars-ltd-3200245-2017</t>
  </si>
  <si>
    <t>Mr W Augustine v eConnect Cars Ltd: 3200245/2017</t>
  </si>
  <si>
    <t>Mr M A Khan v MMBA Accountants Ltd T/a MMBA Chartered Certified Accounts and Registered Auditors: 2401596/2016</t>
  </si>
  <si>
    <t>unclear</t>
  </si>
  <si>
    <t>Past claim had succeeded for unfair dismissal, back wages etc. This was a costs hearing. Very unreasonable conduct on part of the respondent: falsification of documents, lying, tried to prevent a witness from giving evidence</t>
  </si>
  <si>
    <t>https://www.gov.uk/employment-tribunal-decisions/mr-m-a-khan-v-mmba-accountants-ltd-t-a-mmba-chartered-certified-accounts-and-registered-auditors-2401596-2016</t>
  </si>
  <si>
    <t>https://www.gov.uk/employment-tribunal-decisions/mr-a-arrowsmith-v-the-content-store-ltd-in-administration-c-o-kallis-co-2206100-2017</t>
  </si>
  <si>
    <t>Not clear how much was awarded for NMW as this was an appeal hearing</t>
  </si>
  <si>
    <t>Mr A Arrowsmith v The Content Store Ltd (in Administration) c/o Kallis &amp; Co: 2206100/2017</t>
  </si>
  <si>
    <t>https://www.gov.uk/employment-tribunal-decisions/ms-g-smith-v-diligent-care-services-ltd-3200839-2017</t>
  </si>
  <si>
    <t>Ms G Smith v Diligent Care Services Ltd: 3200839/2017</t>
  </si>
  <si>
    <t>https://www.gov.uk/employment-tribunal-decisions/mr-j-price-v-amg-property-services-north-east-ltd-2500023-2017</t>
  </si>
  <si>
    <t>Mr J Price v AMG Property Services North East Ltd: 2500023/2017</t>
  </si>
  <si>
    <t>Also award for holiday pay and the issue fee</t>
  </si>
  <si>
    <t>https://www.gov.uk/employment-tribunal-decisions/miss-l-michaels-v-linde-werdelin-2200188-2017</t>
  </si>
  <si>
    <t>Miss L Michaels v Linde Werdelin: 2200188/2017</t>
  </si>
  <si>
    <t>https://www.gov.uk/employment-tribunal-decisions/miss-m-souter-v-tosh-residential-care-home-2302106-2017</t>
  </si>
  <si>
    <t>Miss M Souter v Tosh Residential Care Home: 2302106/2017</t>
  </si>
  <si>
    <t>https://www.gov.uk/employment-tribunal-decisions/mr-m-lange-and-others-v-addison-lee-ltd-2208029-2016-others</t>
  </si>
  <si>
    <t>Mr M Lange and Others v Addison Lee Ltd: 2208029/2016 &amp; Others</t>
  </si>
  <si>
    <t>https://www.gov.uk/employment-tribunal-decisions/mr-d-fox-v-ice-commercial-ltd-2301852-2017</t>
  </si>
  <si>
    <t>Mr D Fox v Ice Commercial Ltd: 2301852/2017</t>
  </si>
  <si>
    <t>https://assets.publishing.service.gov.uk/media/59d2127de5274a449586c4b8/Mr_C_Doyle_v_Sackville_School_2301941-2017_Full.pdf</t>
  </si>
  <si>
    <t>Mr C Doyle v Sackville School: 2301941/2017</t>
  </si>
  <si>
    <t>https://www.gov.uk/employment-tribunal-decisions/ms-da-silva-v-na-accountants-ltd-and-smart-contractors-ltd-1301617-2017</t>
  </si>
  <si>
    <t>Ms Da Silva v NA Accountants Ltd and Smart Contractors Ltd: 1301617/2017</t>
  </si>
  <si>
    <t>Was contracted to work for the hotel (cleaning and kitchen duties) for 150 hours a month at the minimum wage, but she ended up working longer hours.</t>
  </si>
  <si>
    <t>https://www.gov.uk/employment-tribunal-decisions/ms-m-babula-v-holiday-com-hotels-ltd-and-mr-m-pannu-1800717-2017</t>
  </si>
  <si>
    <t>Ms M Babula v Holiday.com Hotels Ltd and Mr M Pannu: 1800717/2017</t>
  </si>
  <si>
    <t>https://www.gov.uk/employment-tribunal-decisions/mr-p-klups-v-k-and-p-logistics-ltd-1800943-2017</t>
  </si>
  <si>
    <t>Mr P Klups v K and P Logistics Ltd: 1800943/2017</t>
  </si>
  <si>
    <t>Min wage underpayment was between 3 and 3.50 per hour over four years for first respondent, and similar for the second one. Reasons not listed in this judgment because they are listed in initial judgment. Also compensation for various other things. First Respondent also ordered to pay a financial penalty of 5000 in accordance with s12A of the Employment Tribunals Act 1996. Penalty considers aggravating features: the First Respondent failed to
comply with basic, fundamental and well known right of the claimants; the First
Respondent, whilst a small-scale employer, was clearly aware of its obligations to
provide contracts, pay the minimum wage and pay for holidays as, I was told, they
did this in their other shops. Furthermore, these breaches were longstanding and
repeated. Awarded maximum penalty of 5000.</t>
  </si>
  <si>
    <t>https://www.gov.uk/employment-tribunal-decisions/don-amarasekara-and-ahangama-ahangama-v-pirathini-elanchcheliyan-and-manickam-jasokaran-1411564-2015</t>
  </si>
  <si>
    <t>Don Amarasekara and Ahangama Ahangama v Pirathini Elanchcheliyan and Manickam Jasokaran: 1411564/2015</t>
  </si>
  <si>
    <t>https://www.gov.uk/employment-tribunal-decisions/miss-g-kaminskiene-v-chrissy-s-salon-ltd-3347587-2016</t>
  </si>
  <si>
    <t>No details. 5000+ award for unfair dismissal.</t>
  </si>
  <si>
    <t>Miss G Kaminskiene v Chrissy’s Salon Ltd: 3347587/2016</t>
  </si>
  <si>
    <t>Mr S Almaquableh v Map &amp; Co Architects Ltd: 2201696/2017</t>
  </si>
  <si>
    <t>No details.</t>
  </si>
  <si>
    <t>https://www.gov.uk/employment-tribunal-decisions/mr-s-almaquableh-v-map-co-architects-ltd-2201696-2017</t>
  </si>
  <si>
    <t>https://www.gov.uk/employment-tribunal-decisions/mr-h-hardwicke-v-luminous-group-ltd-2200207-2017</t>
  </si>
  <si>
    <t>Mr H Hardwicke v Luminous Group Ltd: 2200207/2017</t>
  </si>
  <si>
    <t>NMW arrears are for general unauthorised deduction. Also got an award for reimbursement of approved expenses of 1,559.66</t>
  </si>
  <si>
    <t>https://www.gov.uk/employment-tribunal-decisions/mr-c-chick-v-skanor-group-ltd-and-mr-m-lind-2200366-2017</t>
  </si>
  <si>
    <t>Mr G Chick v Skanor Group Ltd and Mr M Lind: 2200366/2017</t>
  </si>
  <si>
    <t>She was found to be on a 10 hours per week informal contract as a kitchen assistant, but they stopped employing (and paying) her when they could no longer afford to. Also awards for unfair dismissal, statutory rights, and 590 for employment tribunal fees</t>
  </si>
  <si>
    <t>https://www.gov.uk/employment-tribunal-decisions/mrs-c-j-pau-v-mr-g-d-brannan-mrs-m-brannan-a-partnership-t-a-harbour-2406094-2016</t>
  </si>
  <si>
    <t>Mrs C J Pau v Mr G D Brannan &amp; Mrs M Brannan (A Partnership) T/a Harbour: 2406094/2016</t>
  </si>
  <si>
    <t>https://www.gov.uk/employment-tribunal-decisions/ms-j-chikale-v-ms-i-okedina-2303064-2015</t>
  </si>
  <si>
    <t>Ms J Chikale v Ms I Okedina: 2303064/2015</t>
  </si>
  <si>
    <t>Was not paid minimum wage for sleep in shifts as a care worker</t>
  </si>
  <si>
    <t>https://www.gov.uk/employment-tribunal-decisions/mr-r-negroiu-v-allied-care-ltd-2301951-2016</t>
  </si>
  <si>
    <t>Mr R Negroiu v Allied Care Ltd: 2301951/2016</t>
  </si>
  <si>
    <t>https://www.gov.uk/employment-tribunal-decisions/mrs-m-jaszkowska-v-next-move-yorkshire-ltd-1801630-2016</t>
  </si>
  <si>
    <t>Mrs M Jaszkowska v Next Move Yorkshire Ltd: 1801630/2016</t>
  </si>
  <si>
    <t>https://www.gov.uk/employment-tribunal-decisions/mr-n-patel-v-mrs-s-patel-and-mr-k-patel-1401450-2015</t>
  </si>
  <si>
    <t>Mr N Patel v Mrs S Patel and Mr K Patel: 1401450/2015</t>
  </si>
  <si>
    <t>Breach of Contract, Contract of Employment, National Minimum Wage, Unlawful Deduction from Wages, Working Time Regulations, Written Pay Statement</t>
  </si>
  <si>
    <t>Breach of Contract, National Minimum Wage, Sex Discrimination, Unlawful Deduction from Wages, Working Time Regulations</t>
  </si>
  <si>
    <t>Breach of Contract, National Minimum Wage, Unlawful Deduction from Wages, Working Time Regulations</t>
  </si>
  <si>
    <t>National Minimum Wage, Unfair Dismissal, Unlawful Deduction from Wages, Working Time Regulations</t>
  </si>
  <si>
    <t>Breach of Contract, National Minimum Wage, Unlawful Deduction from Wages</t>
  </si>
  <si>
    <t>National Minimum Wage, Working Time Regulations</t>
  </si>
  <si>
    <t>National Minimum Wage, Unlawful Deduction from Wages, Working Time Regulations</t>
  </si>
  <si>
    <t>Breach of Contract, Contract of Employment, Jurisdictional Points, National Minimum Wage, Race Discrimination, Unlawful Deduction from Wages, Working Time Regulations, Written Pay Statement</t>
  </si>
  <si>
    <t>Breach of Contract, National Minimum Wage, Working Time Regulations</t>
  </si>
  <si>
    <t>Breach of Contract, Disability Discrimination, National Minimum Wage</t>
  </si>
  <si>
    <t>Breach of Contract, National Minimum Wage, Unfair Dismissal, Unlawful Deduction from Wages, Working Time Regulations</t>
  </si>
  <si>
    <t>Breach of Contract, National Minimum Wage, Part Time Workers, Public Interest Disclosure, Unlawful Deduction from Wages, Working Time Regulations</t>
  </si>
  <si>
    <t>Breach of Contract, Contract of Employment, National Minimum Wage, Unfair Dismissal, Unlawful Deduction from Wages, Written Statements</t>
  </si>
  <si>
    <t>Breach of Contract, National Minimum Wage, Redundancy, Unfair Dismissal, Unlawful Deduction from Wages</t>
  </si>
  <si>
    <t>Breach of Contract, National Minimum Wage</t>
  </si>
  <si>
    <t>National Minimum Wage, Unlawful Deduction from Wages, Working Time Regulations, Written Statements</t>
  </si>
  <si>
    <t>Breach of Contract, National Minimum Wage, Trade Union Membership, Unfair Dismissal, Unlawful Deduction from Wages</t>
  </si>
  <si>
    <t>National Minimum Wage, Unlawful Deduction from Wages</t>
  </si>
  <si>
    <t>National Minimum Wage, Public Interest Disclosure, Unfair Dismissal, Working Time Regulations</t>
  </si>
  <si>
    <t>Breach of Contract, Contract of Employment, National Minimum Wage, Unfair Dismissal</t>
  </si>
  <si>
    <t>Breach of Contract, National Minimum Wage, Unfair Dismissal, Unlawful Deduction from Wages, Working Time Regulations, Written Pay Statement</t>
  </si>
  <si>
    <t>Breach of Contract, National Minimum Wage, Time Off, Unfair Dismissal, Unlawful Deduction from Wages, Written Statements</t>
  </si>
  <si>
    <t>Breach of Contract, National Minimum Wage, Written Statements</t>
  </si>
  <si>
    <t>Breach of Contract, National Minimum Wage, Redundancy</t>
  </si>
  <si>
    <t>National Minimum Wage, Unfair Dismissal</t>
  </si>
  <si>
    <t>Breach of Contract, Contract of Employment, National Minimum Wage, Working Time Regulations</t>
  </si>
  <si>
    <t>Contract of Employment, National Minimum Wage, Race Discrimination, Unfair Dismissal, Unlawful Deduction from Wages, Working Time Regulations</t>
  </si>
  <si>
    <t>Employment Tribunal: all National Minimum Wage Cases where the claim was upheld by the court</t>
  </si>
  <si>
    <t>Ignore all cases which:</t>
  </si>
  <si>
    <t>are brought as appeals against HM Revenue and Customs</t>
  </si>
  <si>
    <t>a.</t>
  </si>
  <si>
    <t>b.</t>
  </si>
  <si>
    <t>are withdrawn</t>
  </si>
  <si>
    <t>c.</t>
  </si>
  <si>
    <t>are struck out or dismissed</t>
  </si>
  <si>
    <t>Record outcomes of all cases where the element relating to national minimum wage underpayment is upheld. Report the total arrears  (unpaid minimum wage) assessed by the court and awarded to the Claimant.</t>
  </si>
  <si>
    <t>(Note that in some cases, the element relating to national minimum wage underpayment is not explicitly broken out. In these cases, the amount recorded as "NMW arrears" is the total amount reported for unauthorised or unlawful deduction from wages.)</t>
  </si>
  <si>
    <t>Record also whether other claims were involved in the case, and what they were (using the jurisdiction names from the ET system)</t>
  </si>
  <si>
    <t>Data dictionary</t>
  </si>
  <si>
    <t>Name of the case as recorded in the ET database</t>
  </si>
  <si>
    <t>Decision date as recorded on the landing page for the case</t>
  </si>
  <si>
    <t>This may not be properly coded - was trying to code as a success for the claimant vs. a default judgment</t>
  </si>
  <si>
    <t>In cases where the award for unpaid minimum wages was broken out specifically, that is what is recorded. In cases where a total figure is reported for unauthorised or unlawful deductions, this figure is recorded. Note that in the latter cases, this could encompass other unlawful deductions from pay, not just relating to the minimum wage.</t>
  </si>
  <si>
    <t>If the case applied to more than 1 worker, the number of workers in the case is listed here. In these cases, the amount recorded as NMW arrears is the total amount owed to all the workers in the case.</t>
  </si>
  <si>
    <t>If a penalty was levied on the employer in the case, this is recorded. Note that the penalty may not have been levied for the minimum wage offence but for another offence, if there were multiple offences in the case.</t>
  </si>
  <si>
    <t>If compensation was awarded to the worker in the case, this is recorded. Note that the compensation may not have been awarded for a minimum wage offence but for another offence, if there were multiple offences in the case.</t>
  </si>
  <si>
    <t>In cases where other employment claims were brought alongside the minimum wage violation, the jurisdictions listed for the case on the landing page are listed here</t>
  </si>
  <si>
    <t>Miscellaneous notes based on reading the case judgments</t>
  </si>
  <si>
    <t>Hyperlink to case landing page</t>
  </si>
  <si>
    <t>. NMW claim and other claims were upheld as claimant was held to be a worker not a contractor</t>
  </si>
  <si>
    <t>Default judgment. Other claim was for notice pay - also upheld</t>
  </si>
  <si>
    <t>Default judgment. No reasons given. Arrears under "unlawful deductions" in ERA but case filed under NMW, so not entirely clear which they apply to</t>
  </si>
  <si>
    <t>Default judgment. Failure to provide records: awarded compensation under NMW Act 1998</t>
  </si>
  <si>
    <t>Rule 21 judgment. Also holiday pay awarded</t>
  </si>
  <si>
    <t>Default judgment. Also holiday pay awarded</t>
  </si>
  <si>
    <t>Rule 21 judgment. Also award for unfair dismissal plus compensation, and holiday pay</t>
  </si>
  <si>
    <t>"Something of a test case", awaiting next steps. The findings are to do with the drivers (for Addison Lee) being considered workers and eligible for pay when logged on to the company's system. The next steps will require an assessment of the degree of unpaid wages, and remedy</t>
  </si>
  <si>
    <t>Rule 21 judgment. The Employment Tribunals (Interest) Order 1990 provides that sums of money payable as a result of a judgment of an Employment Tribunal (excluding sums representing costs or expenses), shall carry interest where the full amount is not paid within 14 days after the day that the document containing the tribunal’s written judgment is recorded as having been sent to parties (interest at 8%)</t>
  </si>
  <si>
    <t>Rule 21 judgment. Also awarded 1185 for unlawful deductions from wages, and failed holiday pay, written statement of employment, breachof contrac,t unfair dismissal awards, total award over 5000.</t>
  </si>
  <si>
    <t>5 claimants; 4 were awarded compensation for failure to provide records: awarded compensation under NMW Act 1998. 1st needed to prove she was a worker</t>
  </si>
  <si>
    <t>No NMW nonpayment, but failure to provide records: awarded compensation under NMW Act 1998</t>
  </si>
  <si>
    <t>Penalty</t>
  </si>
  <si>
    <t>National Minimum Wage, Unlawful Deduction from Wages, Working Time Regulations, Written Pay Statement</t>
  </si>
  <si>
    <t>Breach of Contract, Contract of Employment, National Minimum Wage, Unfair Dismissal, Unlawful Deduction from Wages, Working Time Regulations</t>
  </si>
  <si>
    <t>National Minimum Wage, Time Limits, Unlawful Deduction from Wages, Working Time Regulations</t>
  </si>
  <si>
    <t>Breach of Contract, Contract of Employment, National Minimum Wage, Public Interest Disclosure, Time Limits, Unfair Dismissal, Unlawful Deduction from Wages</t>
  </si>
  <si>
    <t>Contract of Employment, National Minimum Wage, Unlawful Deduction from Wages, Working Time Regulations, Written Pay Statement</t>
  </si>
  <si>
    <t>Contract of Employment, National Minimum Wage, Time Limits, Unfair Dismissal, Unlawful Deduction from Wages, Working Time Regulations</t>
  </si>
  <si>
    <t>Breach of Contract, Contract of Employment, National Minimum Wage, Transfer of Undertakings, Unfair Dismissal, Unlawful Deduction from Wages</t>
  </si>
  <si>
    <t>National Minimum Wage, Race Discrimination, Trade Union Rights, Written Pay Statement, Written Statements</t>
  </si>
  <si>
    <t>Breach of Contract, Contract of Employment, National Minimum Wage, Transfer of Undertakings, Unlawful Deduction from Wages</t>
  </si>
  <si>
    <t>Breach of Contract, National Minimum Wage, Sex Discrimination, Unfair Dismissal, Unlawful Deduction from Wages</t>
  </si>
  <si>
    <t>National Minimum Wage, Unlawful Deduction from Wages, Written Pay Statement</t>
  </si>
  <si>
    <t>Contract of Employment, National Minimum Wage, Unlawful Deduction from Wages, Written Pay Statement</t>
  </si>
  <si>
    <t>National Minimum Wage, Unfair Dismissal, Unlawful Deduction from Wages, Working Time Regulations</t>
  </si>
  <si>
    <t>Breach of Contract, National Minimum Wage, Time Limits, Unlawful Deduction from Wages, Working Time Regulations, Written Pay Statement</t>
  </si>
  <si>
    <t>Contract of Employment, National Minimum Wage, Unlawful Deduction from Wages, Working Time Regulations</t>
  </si>
  <si>
    <t>National Minimum Wage, Unfair Dismissal, Unlawful Deduction from Wages</t>
  </si>
  <si>
    <t>Breach of Contract, Contract of Employment, National Minimum Wage, Unfair Dismissal, Unlawful Deduction from Wages, Working Time Regulations, Written Pay Statement</t>
  </si>
  <si>
    <t>National Minimum Wage, Unlawful Deduction from Wages, Working Time Regulations</t>
  </si>
  <si>
    <t>National Minimum Wage, Unlawful Deduction from Wages, Working Time Regulations, Written Pay Statement</t>
  </si>
  <si>
    <t>Breach of Contract, National Minimum Wage, Working Time Regulations</t>
  </si>
  <si>
    <t>Breach of Contract, Fixed Term Regulations, National Minimum Wage, Unlawful Deduction from Wages, Written Statements</t>
  </si>
  <si>
    <t>Breach of Contract, National Minimum Wage, Public Interest Disclosure, Race Discrimination, Sex Discrimination, Unfair Dismissal, Unlawful Deduction from Wages</t>
  </si>
  <si>
    <t>Number of cases with positive NMW arrears assessed</t>
  </si>
  <si>
    <t>Total number of cases</t>
  </si>
  <si>
    <t>Of which, number with multiple claims</t>
  </si>
  <si>
    <t>Of which, number with any penalty</t>
  </si>
  <si>
    <t>Of which, number with costs awarded</t>
  </si>
  <si>
    <t>If a cost order was made in favour of the worker in the case, this is recorded. Note that the cost order may not have been awarded in relation to a minimum wage offence but in relation to another offence, if there were multiple offences in the case. Cost orders to refund employment tribunal fees are not noted here, but are specified in the "Notes" section</t>
  </si>
  <si>
    <t>NMW arrears are for general unauthorised deduction. 390 in costs are for Tribunal fees. Also got an award for holiday pay.</t>
  </si>
  <si>
    <t>Also awarded for holiday pay, failure to provide a written statement, and 1200 for tribunal fees</t>
  </si>
  <si>
    <t>Of which, number with compensation awarded</t>
  </si>
  <si>
    <t>NMW offence</t>
  </si>
  <si>
    <t>Failure to provide records</t>
  </si>
  <si>
    <t>Underpayment</t>
  </si>
  <si>
    <t>Compensation is under Employment Rights Act 1996 section 24(2). Other compensation ordered because failure to comply with ERA sections 1 and 4 (failure to give statement of particulars of employment), and breach of contract.</t>
  </si>
  <si>
    <t>Avg arrears per worker</t>
  </si>
  <si>
    <t>Compensation awarded for having to get credit to cover delay in payment (under Section 24(2) of the Employment
Rights Act 1996)</t>
  </si>
  <si>
    <t>Also awarded pay for night work at agreed wage, and holiday. And 1956 compensation for violation of Section 38 of the employment act: requirement to provide statement of terms and conditions of employment. Reason for NMW claim was time work -  she was required to be available to work as a carer so was paid under NMW based on actual hours worked</t>
  </si>
  <si>
    <t>2 years of underpaid minimum wage when living in the respondent's house (plus a 5% compensation uplift (3052.22) under section 207A of the TULR(c)A 1992); also award for unfair dismissal (plus 25% compensation uplift), breach of contract for notice pay, etc. Total award 72,271.20. More detailed reasons given orally.</t>
  </si>
  <si>
    <t>Min</t>
  </si>
  <si>
    <t>Max</t>
  </si>
  <si>
    <t>Total</t>
  </si>
  <si>
    <t>Number of workers with positive NMW arrears assessed</t>
  </si>
  <si>
    <t>Breach of Contract, National Minimum Wage, Redundancy, Unlawful Deduction from Wages, Working Time Regulations</t>
  </si>
  <si>
    <t>Number of underpayment cases</t>
  </si>
  <si>
    <t>Unfair dismissal?</t>
  </si>
  <si>
    <t>Discrimination?</t>
  </si>
  <si>
    <t>Median</t>
  </si>
  <si>
    <t>Mean</t>
  </si>
  <si>
    <t>Unlawful deduction from wages</t>
  </si>
  <si>
    <t>Breach of contract</t>
  </si>
  <si>
    <t>Working time regulations</t>
  </si>
  <si>
    <t>Written pay statement</t>
  </si>
  <si>
    <t>Breach of Contract, National Minimum Wage, Unfair Dismissal, Unlawful Deduction from Wages</t>
  </si>
  <si>
    <t>Any other jurisdiction except NMW or Unlawful deduction from wages</t>
  </si>
  <si>
    <t>Other jursidictions listed?</t>
  </si>
  <si>
    <t>Other jurisdictions listed?</t>
  </si>
  <si>
    <r>
      <t xml:space="preserve">If other jurisdictions were listed on the case landing page, (other than "National Minimum Wage") this is marked with "Y". Note that this does not necessarily mean separate claims brought for different violations, since unlawful deduction from wages and breach of contract could apply to the national minimum wage issue </t>
    </r>
    <r>
      <rPr>
        <i/>
        <sz val="11"/>
        <color theme="1"/>
        <rFont val="Calibri"/>
        <family val="2"/>
        <scheme val="minor"/>
      </rPr>
      <t>or</t>
    </r>
    <r>
      <rPr>
        <sz val="11"/>
        <color theme="1"/>
        <rFont val="Calibri"/>
        <family val="2"/>
        <scheme val="minor"/>
      </rPr>
      <t xml:space="preserve"> to a different issue</t>
    </r>
  </si>
  <si>
    <t>Any jurisdiction other than NMW, unlawful deduction or breach of contract</t>
  </si>
  <si>
    <t>Looks like the person was misclassified as self-employed but was in fact a worker</t>
  </si>
  <si>
    <t>Mr G S Kareer v Disha Global Ltd t/a Dublcheck Cleaning: 2601445/2016</t>
  </si>
  <si>
    <t>https://www.gov.uk/employment-tribunal-decisions/mr-g-s-kareer-v-disha-global-ltd-t-a-dublcheck-cleaning-2601445-2016</t>
  </si>
  <si>
    <t>Unauthorised deductions - seemingly no-payment for hours worked?</t>
  </si>
  <si>
    <t>https://www.gov.uk/employment-tribunal-decisions/mr-b-ivas-v-opus-vinoteche-ltd-1810848-2018</t>
  </si>
  <si>
    <t>Mr B Ivas v Opus Vinoteche Ltd: 1810848/2018</t>
  </si>
  <si>
    <t>Miss K McGregor v London Corporate Apartments Limited: 3201620/2017</t>
  </si>
  <si>
    <t>Unlawful Deduction from Wages</t>
  </si>
  <si>
    <t>https://www.gov.uk/employment-tribunal-decisions/miss-k-mcgregor-v-london-corporate-apartments-limited-3201620-2017</t>
  </si>
  <si>
    <t>Employer claimed the worker was self-employed and should have been paid just by commission. She was not genuinely self-employed.</t>
  </si>
  <si>
    <t>Compensation was 600 per worker</t>
  </si>
  <si>
    <t>https://www.gov.uk/employment-tribunal-decisions/eulalee-harris-and-others-v-kaamil-education-ltd-t-a-daryel-care-3325381-2017</t>
  </si>
  <si>
    <t>Eulalee Harris and others v Kaamil Education Ltd (T/a Daryel Care): 3325381/2017</t>
  </si>
  <si>
    <t>https://www.gov.uk/employment-tribunal-decisions/ms-m-chrominska-v-cricklewood-bagel-bakery-ltd-3303995-2018</t>
  </si>
  <si>
    <t>Ms M Chrominska v Cricklewood Bagel Bakery Ltd: 3303995/2018</t>
  </si>
  <si>
    <t>https://www.gov.uk/employment-tribunal-decisions/mr-j-jardine-v-just-pizza-uk-3329115-2017</t>
  </si>
  <si>
    <t>Gross payment over 11,000 for other deductions etc</t>
  </si>
  <si>
    <t>Mr J Jardine v Just Pizza UK: 3329115/2017</t>
  </si>
  <si>
    <t>Employer did not categorize as employee, also disputed the hours</t>
  </si>
  <si>
    <t>https://www.gov.uk/employment-tribunal-decisions/mr-a-adalat-walker-v-mr-m-patel-1810503-2018</t>
  </si>
  <si>
    <t>Mr A Adalat Walker v Mr M Patel: 1810503/2018</t>
  </si>
  <si>
    <t>Compensation is for bank charges incurred as a result of late payment of wages. Claim itself is made up of early starts, late finishes, uniform deductions, unpaid training</t>
  </si>
  <si>
    <t>https://www.gov.uk/employment-tribunal-decisions/miss-r-latif-v-eminant-childcare-limited-t-a-laugh-n-learn-1301220-2017</t>
  </si>
  <si>
    <t>Miss R Latif v Eminant Childcare Ltd T/a Laugh 'n' Learn: 1301220/2017</t>
  </si>
  <si>
    <t>Also 23k for unfair dismissal and 1k holiday pay</t>
  </si>
  <si>
    <t>https://www.gov.uk/employment-tribunal-decisions/mr-r-malcolm-v-helensburgh-tyre-service-ltd-4100398-2018</t>
  </si>
  <si>
    <t>Mr R Malcolm v Helensburgh Tyre Service Ltd: 4100398/2018</t>
  </si>
  <si>
    <t>Was hired as an apprentice but not given any training or formal apprenticeship agreement</t>
  </si>
  <si>
    <t>https://www.gov.uk/employment-tribunal-decisions/mr-m-white-v-bargains-are-here-ltd-2500904-2017</t>
  </si>
  <si>
    <t>Mr M White v Bargains Are Here Ltd: 2500904/2017</t>
  </si>
  <si>
    <t>https://www.gov.uk/employment-tribunal-decisions/mr-andris-packalns-v-nova-display-ltd-1810872-2018</t>
  </si>
  <si>
    <t>Apprentice issues</t>
  </si>
  <si>
    <t>Mr Andris Packalns v Nova Display Ltd: 1810872/2018</t>
  </si>
  <si>
    <t>https://www.gov.uk/employment-tribunal-decisions/miss-a-clark-chesaites-v-ms-louise-jones-3200498-2017</t>
  </si>
  <si>
    <t>Miss A Clark Chesaites v Ms Louise Jones 3200498/2017</t>
  </si>
  <si>
    <t>https://www.gov.uk/employment-tribunal-decisions/mr-r-balcombe-v-economic-skips-ltd-2302067-2017</t>
  </si>
  <si>
    <t>Mr R Balcombe v Economic Skips Ltd: 2302067/2017</t>
  </si>
  <si>
    <t>https://www.gov.uk/employment-tribunal-decisions/ms-c-taylor-v-delusion-lifestyle-brands-ltd-2405458-2016</t>
  </si>
  <si>
    <t>Ms C Taylor v Delusion Lifestyle Brands Ltd: 2405458/2016</t>
  </si>
  <si>
    <t>Also 3.5k for unfair dismissal</t>
  </si>
  <si>
    <t>https://www.gov.uk/employment-tribunal-decisions/mrs-maiara-ferreira-v-mr-satish-sivakumar-3201543-2018</t>
  </si>
  <si>
    <t>Mrs Maiara Ferreira v Mr Satish Sivakumar: 3201543/2018</t>
  </si>
  <si>
    <t>Also notice pay</t>
  </si>
  <si>
    <t>https://www.gov.uk/employment-tribunal-decisions/mr-m-yuce-v-atg-furniture-ltd-2421405-2017</t>
  </si>
  <si>
    <t>Mr M Yuce v ATG Furniture Ltd: 2421405/2017</t>
  </si>
  <si>
    <t>https://www.gov.uk/employment-tribunal-decisions/mr-c-crooks-v-mr-m-rahman-1301270-2018</t>
  </si>
  <si>
    <t>Misclassified as self employed</t>
  </si>
  <si>
    <t>Mr C Crooks v Mr M Rahman: 1301270/2018</t>
  </si>
  <si>
    <t>https://www.gov.uk/employment-tribunal-decisions/miss-wi-cheang-v-new-summer-palace-ltd-2405371-2017</t>
  </si>
  <si>
    <t>Miss WI Cheang v New Summer Palace Ltd: 2405371/2017</t>
  </si>
  <si>
    <t>https://www.gov.uk/employment-tribunal-decisions/ms-a-rutkowska-v-chez-jules-hanover-street-ltd-s-4113363-2018</t>
  </si>
  <si>
    <t>Ms A Rutkowska v Chez Jules Hanover Street Ltd: S/4113363/2018</t>
  </si>
  <si>
    <t>Misclassified as apprentice</t>
  </si>
  <si>
    <t>https://www.gov.uk/employment-tribunal-decisions/mr-c-dorsett-v-five-star-garage-doncaster-ltd-1800426-2019</t>
  </si>
  <si>
    <t>Mr C Dorsett v Five Star Garage Doncaster Ltd: 1800426/2019</t>
  </si>
  <si>
    <t>A few hundred for other issues</t>
  </si>
  <si>
    <t>https://www.gov.uk/employment-tribunal-decisions/ms-d-slavkova-v-dennis-o-keefe-and-scarabar-ltd-4104886-2017</t>
  </si>
  <si>
    <t>Ms D Slavkova v Dennis O’Keefe and Scarabar Ltd: 4104886/2017</t>
  </si>
  <si>
    <t>https://www.gov.uk/employment-tribunal-decisions/mr-b-harper-and-others-v-phoenix-care-uk-ltd-in-voluntary-liquidation-3304843-2018-and-others</t>
  </si>
  <si>
    <t>Mr B Harper and others v Phoenix Care (UK) Ltd (in voluntary liquidation): 3304843/2018 and others</t>
  </si>
  <si>
    <t>https://www.gov.uk/employment-tribunal-decisions/mr-c-lowery-v-tlc-building-contractors-ltd-2404180-2017</t>
  </si>
  <si>
    <t>Apprenticeship issues</t>
  </si>
  <si>
    <t>Mr C Lowery v TLC Building Contractors Ltd: 2404180/2017</t>
  </si>
  <si>
    <t>Another few hundred</t>
  </si>
  <si>
    <t>https://www.gov.uk/employment-tribunal-decisions/miss-s-de-vivo-v-miss-sarah-newsum-2302893-2016</t>
  </si>
  <si>
    <t>Miss S de Vivo v Miss Sarah Newsum: 2302893/2016</t>
  </si>
  <si>
    <t>https://www.gov.uk/employment-tribunal-decisions/miss-c-spence-v-skin-therapies-4103322-2018</t>
  </si>
  <si>
    <t>Miss C Spence v Skin Therapies: 4103322/2018</t>
  </si>
  <si>
    <t>45 interest</t>
  </si>
  <si>
    <t>https://www.gov.uk/employment-tribunal-decisions/mr-a-pattni-v-smart-currency-exchange-ltd-2200885-2018</t>
  </si>
  <si>
    <t>Mr A Pattni v Smart Currency Exchange Ltd: 2200885/2018</t>
  </si>
  <si>
    <t>Sleep-in</t>
  </si>
  <si>
    <t>https://www.gov.uk/employment-tribunal-decisions/miss-h-marsden-v-progressive-care-ltd-2601263-2018</t>
  </si>
  <si>
    <t>Miss H Marsden v Progressive Care Ltd: 2601263/2018</t>
  </si>
  <si>
    <t>Mrs D Murray v Harbourside Marina Ltd: 2420959/2017</t>
  </si>
  <si>
    <t>https://www.gov.uk/employment-tribunal-decisions/mrs-d-murray-v-harbourside-marina-ltd-2420959-2017</t>
  </si>
  <si>
    <t>https://www.gov.uk/employment-tribunal-decisions/miss-a-roberts-v-yusuf-hanif-patel-1801236-2019</t>
  </si>
  <si>
    <t>Miss A Roberts v Yusuf Hanif Patel: 1801236/2019</t>
  </si>
  <si>
    <t>Compensation for breach of contract (failure to pay minimum wage)</t>
  </si>
  <si>
    <t>https://www.gov.uk/employment-tribunal-decisions/mr-a-jones-v-sportfact-ltd-3303557-2018</t>
  </si>
  <si>
    <t>Mr A Jones v Sportfact Ltd: 3303557/2018</t>
  </si>
  <si>
    <t>https://www.gov.uk/employment-tribunal-decisions/mr-a-scott-v-sizzl-ltd-1810562-2018</t>
  </si>
  <si>
    <t>Mr A Scott v Sizzl Ltd: 1810562/2018</t>
  </si>
  <si>
    <t>https://www.gov.uk/employment-tribunal-decisions/miss-z-ashraf-v-mrs-l-fehintola-1800457-2017</t>
  </si>
  <si>
    <t>Miss Z Ashraf v Mrs L Fehintola: 1800457/2017</t>
  </si>
  <si>
    <t>Second claimant awarded 5426.16 but not clear that it was minimum wage violation</t>
  </si>
  <si>
    <t>https://www.gov.uk/employment-tribunal-decisions/miss-r-blott-and-miss-n-a-cronin-v-relate-health-care-ltd-3200881-2017-and-3200893-2017</t>
  </si>
  <si>
    <t>Miss R Blott and Miss N A Cronin v Relate Health Care Ltd: 3200881/2017 and 3200893/2017</t>
  </si>
  <si>
    <t>Note that this may not include all cases: if the judgment is not detailed, there may be cases that were underpayments of the minimum wage but just talk about "unlawful deduction of wages"</t>
  </si>
  <si>
    <t>Total award 12,721.06</t>
  </si>
  <si>
    <t>https://www.gov.uk/employment-tribunal-decisions/miss-ap-read-v-aftala-norfolk-ltd-t-a-papa-john-s-pizza-and-whitestone-norwich-ltd-t-a-papa-john-s-pizza-3400414-2017</t>
  </si>
  <si>
    <t>Miss AP Read v Aftala Norfolk Ltd T/a Papa John’s Pizza and Whitestone Norwich Ltd T/a Papa John’s Pizza: 3400414/2017</t>
  </si>
  <si>
    <t>Total award 21,423.78, including discrimination claim</t>
  </si>
  <si>
    <t>https://www.gov.uk/employment-tribunal-decisions/mr-g-jones-v-cupio-vehicle-management-ltd-2401585-2017</t>
  </si>
  <si>
    <t>Mr G Jones v Cupio Vehicle Management Ltd: 2401585/2017</t>
  </si>
  <si>
    <t>Domestic worker</t>
  </si>
  <si>
    <t>https://www.gov.uk/employment-tribunal-decisions/miss-a-peimonte-v-patrick-and-tolani-enin-2204533-2018</t>
  </si>
  <si>
    <t>Miss A Peimonte v Patrick and Tolani Enin: 2204533/2018</t>
  </si>
  <si>
    <t>Also holiday pay, sex and race discriminatoin, sexual harassment, and more - award over 40k</t>
  </si>
  <si>
    <t>https://www.gov.uk/employment-tribunal-decisions/a-v-b-and-c-2403142-2017</t>
  </si>
  <si>
    <t>A v B and C: 2403142/2017</t>
  </si>
  <si>
    <t>https://www.gov.uk/employment-tribunal-decisions/pamela-bryce-v-robert-alexander-t-a-smell-the-coffee-3306474-2018</t>
  </si>
  <si>
    <t>Pamela Bryce v Robert Alexander T/a Smell The Coffee: 3306474/2018</t>
  </si>
  <si>
    <t xml:space="preserve">Dismissed for asserting right to be paid minimum wage. No basic award for unfair dismissal. Also 1000 award for injury to feelings for discrimination. </t>
  </si>
  <si>
    <t>https://www.gov.uk/employment-tribunal-decisions/miss-e-brown-v-mr-s-kiyani-t-a-aprana-cafe-1300500-2017</t>
  </si>
  <si>
    <t>Miss E Brown v Mr S Kiyani T/a Aprana Cafe: 1300500/2017</t>
  </si>
  <si>
    <t>Dismissal for asserting right to be paid minimum wage</t>
  </si>
  <si>
    <t>https://www.gov.uk/employment-tribunal-decisions/mrs-a-gregson-v-dunscar-bridge-brewery-ltd-in-administration-2414999-2018</t>
  </si>
  <si>
    <t>Mrs A Gregson v Dunscar Bridge Brewery Ltd (in Administration): 2414999/2018</t>
  </si>
  <si>
    <t>Misclassification as apprentice</t>
  </si>
  <si>
    <t>https://www.gov.uk/employment-tribunal-decisions/miss-l-brown-v-mr-m-pirmahomed-t-a-m-and-a-stationers-2601772-2016</t>
  </si>
  <si>
    <t>Miss L Brown v Mr M Pirmahomed t/a M and A Stationers: 2601772/2016</t>
  </si>
  <si>
    <t>Mrs R McDonald v Ms Adrianna Caluta: 2501164/2017</t>
  </si>
  <si>
    <t>https://www.gov.uk/employment-tribunal-decisions/mrs-r-mcdonald-v-ms-adrianna-caluta-2501164-2017</t>
  </si>
  <si>
    <t>https://www.gov.uk/employment-tribunal-decisions/mr-g-kurek-v-kazimierz-piorrek-t-a-versatile-handyman-home-improvement-1805501-2018</t>
  </si>
  <si>
    <t>Mr G Kurek v Kazimierz Piorrek (T/a Versatile Handyman Home Improvement): 1805501/2018</t>
  </si>
  <si>
    <t>Award of 6k+ for age discrimination</t>
  </si>
  <si>
    <t>https://www.gov.uk/employment-tribunal-decisions/mr-j-picton-v-mrs-h-johal-and-others-1801645-2017-and-others</t>
  </si>
  <si>
    <t>Mr J Picton v Mrs H Johal and Others: 1801645/2017 and Others</t>
  </si>
  <si>
    <t>Family exception: nanny</t>
  </si>
  <si>
    <t>Ms Ilkay Cetin v Mr Steve Griffiths and Mrs Melanie Griffiths: 2204788/2018</t>
  </si>
  <si>
    <t>https://www.gov.uk/employment-tribunal-decisions/ms-ilkay-cetin-v-mr-steve-griffiths-and-mrs-melanie-griffiths-2204788-2018</t>
  </si>
  <si>
    <t>https://www.gov.uk/employment-tribunal-decisions/mr-s-sunmaila-v-sussex-coast-college-hastings-2300386-2017</t>
  </si>
  <si>
    <t>Mr S Sunmaila v Sussex Coast College Hastings: 2300386/2017</t>
  </si>
  <si>
    <t>https://www.gov.uk/employment-tribunal-decisions/mrs-i-coope-v-habilis-operations-ltd-2601400-2017</t>
  </si>
  <si>
    <t>Mrs I Coope v Habilis Operations Ltd: 2601400/2017</t>
  </si>
  <si>
    <t>https://www.gov.uk/employment-tribunal-decisions/mr-i-iyanda-v-viking-consultancy-uk-ltd-2404107-2018</t>
  </si>
  <si>
    <t>Mr I Iyanda v Viking Consultancy (UK) Ltd: 2404107/2018</t>
  </si>
  <si>
    <t>Total award of 98,064.00, pursued under disability discrimination but included pay below the minimum wage</t>
  </si>
  <si>
    <t>https://www.gov.uk/employment-tribunal-decisions/miss-j-gunning-v-mr-j-hussain-t-a-swift-one-hour-dry-cleaners-3303500-2015</t>
  </si>
  <si>
    <t>Miss J Gunning v Mr J Hussain (T/a Swift One Hour Dry Cleaners): 3303500/2015</t>
  </si>
  <si>
    <t>https://www.gov.uk/employment-tribunal-decisions/miss-k-price-and-mr-p-reynolds-v-nacrogate-ltd-and-fosfelle-country-house-ltd-1401640-2016</t>
  </si>
  <si>
    <t>Second claimant's claim was dismissed</t>
  </si>
  <si>
    <t>Miss K Price and Mr P Reynolds v Nacrogate Ltd and Fosfelle Country House Ltd: 1401640/2016</t>
  </si>
  <si>
    <t>Additional 150k in non-payment of salary</t>
  </si>
  <si>
    <t>https://www.gov.uk/employment-tribunal-decisions/mr-r-horne-v-checkpal-ltd-formerly-known-as-crossverify-ltd-2204928-2018</t>
  </si>
  <si>
    <t>Mr R Horne v Checkpal Ltd (formerly known as Crossverify Ltd): 2204928/2018</t>
  </si>
  <si>
    <t>15.15 for interest which would have been earned</t>
  </si>
  <si>
    <t>https://www.gov.uk/employment-tribunal-decisions/mr-k-farmer-v-mr-mark-birtwistle-2414909-2018</t>
  </si>
  <si>
    <t>Mr K Farmer v Mr Mark Birtwistle: 2414909/2018</t>
  </si>
  <si>
    <t>https://www.gov.uk/employment-tribunal-decisions/miss-a-howie-v-rbg-security-solutions-ltd-4122123-2018</t>
  </si>
  <si>
    <t>Miss A Howie v RBG Security Solutions Ltd: 4122123/2018</t>
  </si>
  <si>
    <t>https://www.gov.uk/employment-tribunal-decisions/miss-r-miller-v-north-east-dance-company-uk-ltd-2500313-2017</t>
  </si>
  <si>
    <t>Miss R Miller v North East Dance Company (UK) Ltd: 2500313/2017</t>
  </si>
  <si>
    <t>Also unfair dismissal. Compensation for missed employers pension contribution</t>
  </si>
  <si>
    <t>https://www.gov.uk/employment-tribunal-decisions/steven-beale-v-stormfront-retail-ltd-2301211-2018</t>
  </si>
  <si>
    <t>Steven Beale v Stormfront Retail Ltd: 2301211/2018</t>
  </si>
  <si>
    <t>See notes</t>
  </si>
  <si>
    <t>She was employed illegally as a live-in house worker for 120 per month on a false passport. Additional damages, compensation, interest of another 60k or so were awarded. The arrears plus lots of compensation claims were paid under discrimination and harassment law, even though the finding was that there was a 66k underpayment in minimum wage</t>
  </si>
  <si>
    <t>https://www.gov.uk/employment-tribunal-decisions/mrs-ud-ale-v-mr-arjun-chugani-and-others-2601528-2016</t>
  </si>
  <si>
    <t>Mrs UD Ale v Mr Arjun Chugani and Others: 2601528/2016</t>
  </si>
  <si>
    <t>6000 for unfair dismissal, breach of contract etc</t>
  </si>
  <si>
    <t>https://www.gov.uk/employment-tribunal-decisions/mr-a-macguire-v-angela-kaponas-2601685-2018</t>
  </si>
  <si>
    <t>Mr A MacGuire v Angela Kaponas: 2601685/2018</t>
  </si>
  <si>
    <t>https://www.gov.uk/employment-tribunal-decisions/mrs-s-barlow-v-bliss-support-ltd-2601763-2017</t>
  </si>
  <si>
    <t>Mrs S Barlow v Bliss Support Ltd: 2601763/2017</t>
  </si>
  <si>
    <t>https://www.gov.uk/employment-tribunal-decisions/mr-matthew-gilbert-v-sanghera-news-ltd-2501149-2018</t>
  </si>
  <si>
    <t>Mr Matthew Gilbert v Sanghera News Ltd: 2501149/2018</t>
  </si>
  <si>
    <t>https://www.gov.uk/employment-tribunal-decisions/miss-e-ellis-v-mt-tj-molyneux-t-a-gmb-digital-solutions-ltd-2416238-2018</t>
  </si>
  <si>
    <t>Miss E Ellis v Mt TJ Molyneux T/a GMB Digital Solutions Ltd: 2416238/2018</t>
  </si>
  <si>
    <t>https://www.gov.uk/employment-tribunal-decisions/jamie-borrino-v-franco-vittorio-bellusci-2402812-2019</t>
  </si>
  <si>
    <t>Jamie Borrino v Franco Vittorio Bellusci: 2402812/2019</t>
  </si>
  <si>
    <t>https://www.gov.uk/employment-tribunal-decisions/miss-nicola-ayers-v-mr-paul-wriglesworth-2500917-2019</t>
  </si>
  <si>
    <t>Miss Nicola Ayers v Mr Paul Wriglesworth: 2500917/2019</t>
  </si>
  <si>
    <t>https://www.gov.uk/employment-tribunal-decisions/mr-p-eboye-v-farsight-uk-security-services-ltd-1301919-2017</t>
  </si>
  <si>
    <t>Mr P Eboye v Farsight UK Security Services Ltd: 1301919/2017</t>
  </si>
  <si>
    <t>https://www.gov.uk/employment-tribunal-decisions/miss-f-velcescu-v-lifestyle-abbey-care-ltd-2501326-2017</t>
  </si>
  <si>
    <t>Miss F Velcescu v Lifestyle (Abbey Care) Ltd: 2501326/2017</t>
  </si>
  <si>
    <t>Ms E Trzecinska and Ms P Giedo v Mr Jan Papp T/a Papps Convenient Store: 2500598/2017 and 2500602/2017</t>
  </si>
  <si>
    <t>https://www.gov.uk/employment-tribunal-decisions/ms-e-trzecinska-and-ms-p-giedo-v-mr-jan-papp-t-a-papps-convenient-store-2500598-2017-and-2500602-2017</t>
  </si>
  <si>
    <t>https://www.gov.uk/employment-tribunal-decisions/mr-s-young-v-b-eco-smart-ltd-2500017-2018</t>
  </si>
  <si>
    <t>Includes also some unpaid commissions and other amounts, not just NMW</t>
  </si>
  <si>
    <t>Mr S Young v B Eco Smart Ltd: 2500017/2018</t>
  </si>
  <si>
    <t>https://www.gov.uk/employment-tribunal-decisions/carole-williams-v-hafod-care-organisation-ltd-1302993-2016</t>
  </si>
  <si>
    <t>Carole Williams v Hafod Care Organisation Ltd: 1302993/2016</t>
  </si>
  <si>
    <t>https://www.gov.uk/employment-tribunal-decisions/mr-s-williams-v-tcb-leisure-ltd-t-a-the-potters-wheel-2503454-2018</t>
  </si>
  <si>
    <t>Mr S Williams v TCB Leisure Ltd T/a The Potters Wheel: 2503454/2018</t>
  </si>
  <si>
    <t>https://www.gov.uk/employment-tribunal-decisions/mr-r-henry-donahue-v-delex-logistics-ltd-1400697-2018</t>
  </si>
  <si>
    <t>Mr R Henry-Donahue v Delex Logistics Ltd: 1400697/2018</t>
  </si>
  <si>
    <t>https://www.gov.uk/employment-tribunal-decisions/mr-nathan-bennett-v-rackstar-ltd-in-creditors-voluntary-liquidation-2501162-2018</t>
  </si>
  <si>
    <t>Mr Nathan Bennett v Rackstar Ltd (in creditors voluntary liquidation): 2501162/2018</t>
  </si>
  <si>
    <t>https://www.gov.uk/employment-tribunal-decisions/mr-s-korda-v-win-2-ltd-1400560-2016</t>
  </si>
  <si>
    <t>Mr S Korda v Win 2 Ltd: 1400560/2016</t>
  </si>
  <si>
    <t>25% uplift applied to the whole award, including unpaid overtime, holiday pay, and written employment particulars (ACAS Code of Practice failure)</t>
  </si>
  <si>
    <t>https://www.gov.uk/employment-tribunal-decisions/mr-d-hughes-v-mr-colin-rodgers-t-a-god-bless-hair-2404224-2018</t>
  </si>
  <si>
    <t>Mr D Hughes v Mr Colin Rodgers T/a God Bless Hair: 2404224/2018</t>
  </si>
  <si>
    <t>Mr J Thomas v What Money Buys Ltd: 1600953/2018</t>
  </si>
  <si>
    <t>https://www.gov.uk/employment-tribunal-decisions/mr-j-thomas-v-what-money-buys-ltd-1600953-2018</t>
  </si>
  <si>
    <t>https://www.gov.uk/employment-tribunal-decisions/miss-h-blyszko-and-mrs-j-blyszko-v-shax-uk-ltd-1809816-2018-and-1809817-2018</t>
  </si>
  <si>
    <t>Miss H Blyszko and Mrs J Blyszko v Shax (UK) Ltd: 1809816/2018 and 1809817/2018</t>
  </si>
  <si>
    <t>https://www.gov.uk/employment-tribunal-decisions/ms-shavonne-johnson-v-mr-greenwood-t-a-the-dolphin-2503601-2018</t>
  </si>
  <si>
    <t>Ms Shavonne Johnson v Mr Greenwood T/a The Dolphin: 2503601/2018</t>
  </si>
  <si>
    <t>No reasons given for compensation: under section 24(2) of ERA 1996</t>
  </si>
  <si>
    <t>https://www.gov.uk/employment-tribunal-decisions/miss-d-summersett-v-churchill-contract-services-ltd-2300426-2017</t>
  </si>
  <si>
    <t>Asked them to figure out a remedy between them</t>
  </si>
  <si>
    <t>Unclear</t>
  </si>
  <si>
    <t>Miss D Summersett v Churchill Contract Services Ltd: 2300426/2017</t>
  </si>
  <si>
    <t>https://www.gov.uk/employment-tribunal-decisions/mrs-b-belkadi-v-edward-jones-estate-agents-and-others-2601614-2018</t>
  </si>
  <si>
    <t>Mrs B Belkadi v Edward Jones Estate Agents and others: 2601614/2018</t>
  </si>
  <si>
    <t>Worked far more hours than in contract. Hairdresser.</t>
  </si>
  <si>
    <t>https://www.gov.uk/employment-tribunal-decisions/miss-s-hamilton-v-zoe-loftus-t-a-love2dye-2405174-2016</t>
  </si>
  <si>
    <t>Miss S Hamilton v Zoe Loftus T/a Love2dye: 2405174/2016</t>
  </si>
  <si>
    <t>https://www.gov.uk/employment-tribunal-decisions/mr-d-khan-v-united-cargo-shipping-ltd-1301988-2018</t>
  </si>
  <si>
    <t>Mr D Khan v United Cargo Shipping Ltd: 1301988/2018</t>
  </si>
  <si>
    <t>https://www.gov.uk/employment-tribunal-decisions/miss-k-kroenenberg-v-mr-r-hutchings-1303521-2018</t>
  </si>
  <si>
    <t>Miss K Kroenenberg v Mr R Hutchings: 1303521/2018</t>
  </si>
  <si>
    <t>Mrs K Shand v Stand Strong Ltd: S/4122814/2018</t>
  </si>
  <si>
    <t>https://www.gov.uk/employment-tribunal-decisions/mrs-k-shand-v-stand-strong-ltd-s-4122814-2018</t>
  </si>
  <si>
    <t>https://www.gov.uk/employment-tribunal-decisions/j-gargantos-v-club-mumbai-2500165-2019</t>
  </si>
  <si>
    <t>J Gargantos v Club Mumbai: 2500165/2019</t>
  </si>
  <si>
    <t>https://www.gov.uk/employment-tribunal-decisions/mr-n-cox-v-kent-autoparts-ltd-2300791-2018</t>
  </si>
  <si>
    <t>Mr N Cox v Kent Autoparts Ltd: 2300791/2018</t>
  </si>
  <si>
    <t>https://www.gov.uk/employment-tribunal-decisions/mr-d-glover-v-carrington-blake-recruitment-ltd-and-others-3400975-2016</t>
  </si>
  <si>
    <t>Mr D Glover v Carrington Blake Recruitment Ltd and Payroll Village Holdings Ltd: 3400975/2016</t>
  </si>
  <si>
    <t>https://www.gov.uk/employment-tribunal-decisions/miss-denise-nunes-v-acorn-training-and-education-ltd-3307227-2018</t>
  </si>
  <si>
    <t>Miss Denise Nunes v Acorn Training and Education Ltd: 3307227/2018</t>
  </si>
  <si>
    <t>https://www.gov.uk/employment-tribunal-decisions/mr-e-bah-v-security-guards-uk-ltd-and-others-1301724-2017</t>
  </si>
  <si>
    <t>Mr E Bah v Security Guards UK Ltd and others: 1301724/2017</t>
  </si>
  <si>
    <t>https://www.gov.uk/employment-tribunal-decisions/mr-m-prystupa-v-iplan-umbrella-solutions-ltd-2206551-2016</t>
  </si>
  <si>
    <t>Mr M Prystupa v Iplan Umbrella Solutions Ltd: 2206551/2016</t>
  </si>
  <si>
    <t xml:space="preserve">Compensation under section 24(2) of ERA 1996 for costs incurred taking photographs and sending recorded delivery letters to proceed with case; and preparation time order of 66. </t>
  </si>
  <si>
    <t>https://www.gov.uk/employment-tribunal-decisions/ms-d-rose-v-paula-deans-s-4117252-2018</t>
  </si>
  <si>
    <t>Ms D Rose v Paula Deans: S/4117252/2018</t>
  </si>
  <si>
    <t>25% uplift under section 28(3) of employment act</t>
  </si>
  <si>
    <t>https://www.gov.uk/employment-tribunal-decisions/mr-b-plant-v-mexican-express-ltd-and-others-2200008-2017</t>
  </si>
  <si>
    <t>Mr B Plant v Mexican Express Ltd and Others: 2200008/2017</t>
  </si>
  <si>
    <t>Plus other awards, and 25% uplift for faillure to comply with ACAS code of practice. Only the 25% of the unpaid wages is included here</t>
  </si>
  <si>
    <t>https://www.gov.uk/employment-tribunal-decisions/mrs-j-brazier-and-others-v-tennants-craft-bakery-and-others-1301817-2016</t>
  </si>
  <si>
    <t>Mrs J Brazier and others v Tennants Craft Bakery and others: 1301817/2016</t>
  </si>
  <si>
    <t>https://www.gov.uk/employment-tribunal-decisions/mr-s-hasan-v-haris-younas-ltd-3346916-2016</t>
  </si>
  <si>
    <t>Mr S Hasan v Haris Younas Ltd: 3346916/2016</t>
  </si>
  <si>
    <t>https://www.gov.uk/employment-tribunal-decisions/mr-k-knott-v-k-j-group-ltd-2403345-2018</t>
  </si>
  <si>
    <t>Mr K Knott v K &amp; J Group Ltd: 2403345/2018</t>
  </si>
  <si>
    <t>Compensation under section 24(2) of ERA 1996 for bank charges overdraft charges and credit card charges incurred by unpaid wages</t>
  </si>
  <si>
    <t>https://www.gov.uk/employment-tribunal-decisions/mr-g-warley-v-metro-lodgings-ltd-2501301-2018</t>
  </si>
  <si>
    <t>Mr G Warley v Metro Lodgings Ltd: 2501301/2018</t>
  </si>
  <si>
    <t>https://www.gov.uk/employment-tribunal-decisions/ms-m-lockey-v-mr-jake-dodd-t-a-alex-edward-salon-2501100-2018</t>
  </si>
  <si>
    <t>Ms M Lockey v Mr Jake Dodd T/a Alex Edward Salon: 2501100/2018</t>
  </si>
  <si>
    <t>https://www.gov.uk/employment-tribunal-decisions/mr-a-singh-v-mr-yaser-iqbal-t-a-smokin-rooster-1400258-2018</t>
  </si>
  <si>
    <t>Mr A Singh v Mr Yaser Iqbal T/a Smokin’ Rooster: 1400258/2018</t>
  </si>
  <si>
    <t>https://www.gov.uk/employment-tribunal-decisions/mr-oe-zolna-v-aj-worldwide-services-ltd-3327826-2017</t>
  </si>
  <si>
    <t>Mr OE Zolna v AJ Worldwide Services Ltd: 3327826/2017</t>
  </si>
  <si>
    <t>Miss S Settersfield v Pine View Care Homes Ltd T/a Groby Lodge: 2600178/2018</t>
  </si>
  <si>
    <t>https://www.gov.uk/employment-tribunal-decisions/miss-s-settersfield-v-pine-view-care-homes-ltd-t-a-groby-lodge-2600178-2018</t>
  </si>
  <si>
    <t>https://www.gov.uk/employment-tribunal-decisions/mr-maninder-singh-v-first-stop-wombourne-common-road-ltd-1301376-2017</t>
  </si>
  <si>
    <t>Mr Maninder Singh v First Stop (Wombourne Common Road) Ltd: 1301376/2017</t>
  </si>
  <si>
    <t>https://www.gov.uk/employment-tribunal-decisions/mrs-s-barnes-cannadine-v-jl-health-and-beauty-ltd-t-a-sheffield-sports-medicine-1810115-2018</t>
  </si>
  <si>
    <t>Mrs S Barnes Cannadine v JL Health and Beauty Ltd T/a Sheffield Sports Medicine: 1810115/2018</t>
  </si>
  <si>
    <t>Mr A Goodman v Fairfield Farm Produce Ltd: 2411553/2018</t>
  </si>
  <si>
    <t>https://www.gov.uk/employment-tribunal-decisions/mr-a-goodman-v-fairfield-farm-produce-ltd-2411553-2018</t>
  </si>
  <si>
    <t>15% uplift due to failure to comly with Acas code of practivce</t>
  </si>
  <si>
    <t>https://www.gov.uk/employment-tribunal-decisions/mrs-c-hall-v-prudhoe-and-mickley-unionist-club-2500258-2018</t>
  </si>
  <si>
    <t>Mrs C Hall v Prudhoe and Mickley Unionist Club: 2500258/2018</t>
  </si>
  <si>
    <t>Note also that none of these include other unlawful deductions of pay, including unpaid holiday pay or notice pay, or unpaid pay above the minimum wage</t>
  </si>
  <si>
    <t>https://www.gov.uk/employment-tribunal-decisions/ms-s-j-kent-v-w-m-morrisons-plc-and-mr-kelly-heads-2500744-2018</t>
  </si>
  <si>
    <t>Ms S J Kent v W M Morrisons plc and Mr Kelly Heads: 2500744/2018</t>
  </si>
  <si>
    <t>Unfair Dismissal, Unlawful Deduction from Wages, Working Time Regulations</t>
  </si>
  <si>
    <t>Unlawful Deduction from Wages, Working Time Regulations</t>
  </si>
  <si>
    <t>Breach of Contract, Unfair Dismissal, Unlawful Deduction from Wages, Working Time Regulations</t>
  </si>
  <si>
    <t>Breach of Contract, Working Time Regulations</t>
  </si>
  <si>
    <t>Breach of Contract, Unlawful Deduction from Wages, Written Pay Statement</t>
  </si>
  <si>
    <t>Unfair Dismissal, Unlawful Deduction from Wages</t>
  </si>
  <si>
    <t>Contract of Employment, Unlawful Deduction from Wages, Written Pay Statement</t>
  </si>
  <si>
    <t>Breach of Contract, Unfair Dismissal, Unlawful Deduction from Wages, Working Time Regulations, Written Pay Statement</t>
  </si>
  <si>
    <t>Breach of Contract, Unlawful Deduction from Wages, Working Time Regulations</t>
  </si>
  <si>
    <t>Unfair Dismissal, Unlawful Deduction from Wages, Working Time Regulations, Written Pay Statement</t>
  </si>
  <si>
    <t>Breach of Contract, Unlawful Deduction from Wages</t>
  </si>
  <si>
    <t>Breach of Contract, Race Discrimination, Unlawful Deduction from Wages</t>
  </si>
  <si>
    <t>Breach of Contract, Unfair Dismissal, Unlawful Deduction from Wages</t>
  </si>
  <si>
    <t>Breach of Contract, Working Time Regulations, Written Pay Statement, Written Statements</t>
  </si>
  <si>
    <t>Breach of Contract, Redundancy, Unlawful Deduction from Wages</t>
  </si>
  <si>
    <t>Maternity and Pregnancy Rights, Religion or Belief Discrimination, Sex Discrimination, Unfair Dismissal, Unlawful Deduction from Wages, Working Time Regulations</t>
  </si>
  <si>
    <t>Race Discrimination, Sex Discrimination, Unfair Dismissal, Unlawful Deduction from Wages, Working Time Regulations, Written Pay Statement</t>
  </si>
  <si>
    <t>Religion or Belief Discrimination, Unfair Dismissal</t>
  </si>
  <si>
    <t>Sex Discrimination, Unlawful Deduction from Wages</t>
  </si>
  <si>
    <t>Contract of Employment, Unlawful Deduction from Wages, Working Time Regulations</t>
  </si>
  <si>
    <t>Age Discrimination, Unlawful Deduction from Wages</t>
  </si>
  <si>
    <t>Race Discrimination, Unfair Dismissal, Unlawful Deduction from Wages</t>
  </si>
  <si>
    <t>Breach of Contract, Disability Discrimination, Time Off, Unfair Dismissal, Unlawful Deduction from Wages, Working Time Regulations, Written Pay Statement</t>
  </si>
  <si>
    <t>Transfer of Undertakings, Unlawful Deduction from Wages</t>
  </si>
  <si>
    <t>Breach of Contract, Contract of Employment, Unlawful Deduction from Wages, Working Time Regulations</t>
  </si>
  <si>
    <t>Unlawful Deduction from Wages, Written Pay Statement</t>
  </si>
  <si>
    <t>Protective Award, Race Discrimination, Sex Discrimination, Time Limits, Unfair Dismissal, Unlawful Deduction from Wages, Working Time Regulations, Written Statements</t>
  </si>
  <si>
    <t>Breach of Contract, Contract of Employment, Redundancy, Sexual Orientation Discrimination/Transexualism, Unfair Dismissal, Unlawful Deduction from Wages, Victimisation Discrimination, Working Time Regulations</t>
  </si>
  <si>
    <t>Breach of Contract, Unfair Dismissal, Working Time Regulations</t>
  </si>
  <si>
    <t>Contract of Employment, Unlawful Deduction from Wages, Working Time Regulations, Written Pay Statement</t>
  </si>
  <si>
    <t>Disability Discrimination, Unlawful Deduction from Wages</t>
  </si>
  <si>
    <t>Breach of Contract, Maternity and Pregnancy Rights, Race Discrimination, Sex Discrimination, Time Limits, Unfair Dismissal, Unlawful Deduction from Wages, Working Time Regulations, Written Statements</t>
  </si>
  <si>
    <t>Disability Discrimination, Unfair Dismissal, Unlawful Deduction from Wages, Written Statements</t>
  </si>
  <si>
    <t>Breach of Contract, Unlawful Deduction from Wages, Working Time Regulations, Written Statements</t>
  </si>
  <si>
    <t>Breach of Contract, Redundancy, Unlawful Deduction from Wages, Working Time Regulations</t>
  </si>
  <si>
    <t>Breach of Contract, Maternity and Pregnancy Rights, Sex Discrimination, Unfair Dismissal, Unlawful Deduction from Wages, Written Pay Statement, Written Statements</t>
  </si>
  <si>
    <t>Contract of Employment, Unlawful Deduction from Wages</t>
  </si>
  <si>
    <t>Breach of Contract, Time Off, Unlawful Deduction from Wages</t>
  </si>
  <si>
    <t>Breach of Contract, Unfair Dismissal, Unlawful Deduction from Wages, Written Pay Statement</t>
  </si>
  <si>
    <t>Unfair Dismissal, Unlawful Deduction from Wages, Written Statements</t>
  </si>
  <si>
    <t>Race Discrimination, Unfair Dismissal, Unlawful Deduction from Wages, Working Time Regulations</t>
  </si>
  <si>
    <t>Maternity and Pregnancy Rights, Sex Discrimination, Unfair Dismissal, Unlawful Deduction from Wages</t>
  </si>
  <si>
    <t>Disability Discrimination, Sex Discrimination, Unlawful Deduction from Wages, Working Time Regulations</t>
  </si>
  <si>
    <t>Breach of Contract, Disability Discrimination, Unfair Dismissal, Working Time Regulations</t>
  </si>
  <si>
    <r>
      <t>Breach of Contract</t>
    </r>
    <r>
      <rPr>
        <b/>
        <sz val="9"/>
        <color rgb="FFFFFFFF"/>
        <rFont val="Calibri"/>
        <family val="2"/>
        <scheme val="minor"/>
      </rPr>
      <t>, </t>
    </r>
    <r>
      <rPr>
        <b/>
        <u/>
        <sz val="9"/>
        <color rgb="FFFFFFFF"/>
        <rFont val="Calibri"/>
        <family val="2"/>
        <scheme val="minor"/>
      </rPr>
      <t>Unlawful Deduction from Wages</t>
    </r>
    <r>
      <rPr>
        <b/>
        <sz val="9"/>
        <color rgb="FFFFFFFF"/>
        <rFont val="Calibri"/>
        <family val="2"/>
        <scheme val="minor"/>
      </rPr>
      <t>, </t>
    </r>
    <r>
      <rPr>
        <b/>
        <u/>
        <sz val="9"/>
        <color rgb="FFFFFFFF"/>
        <rFont val="Calibri"/>
        <family val="2"/>
        <scheme val="minor"/>
      </rPr>
      <t>Working Time Regulations</t>
    </r>
  </si>
  <si>
    <t>d.</t>
  </si>
  <si>
    <t>FULL DATA SET (Data1 and Data2 combined)</t>
  </si>
  <si>
    <t>National Minimum Wage</t>
  </si>
  <si>
    <t>Number of jurisdictions</t>
  </si>
  <si>
    <t>Of which:</t>
  </si>
  <si>
    <t>Unfair dismissal</t>
  </si>
  <si>
    <t>Discrimination</t>
  </si>
  <si>
    <t>Working Time Regulations</t>
  </si>
  <si>
    <t>Contract of employment</t>
  </si>
  <si>
    <t>Written statements</t>
  </si>
  <si>
    <t>Maternity and Pregnancy rights</t>
  </si>
  <si>
    <t>Maternity and pregnancy rights</t>
  </si>
  <si>
    <t>Time off</t>
  </si>
  <si>
    <t>Redundancy</t>
  </si>
  <si>
    <t>More than one jurisdiction listed</t>
  </si>
  <si>
    <t xml:space="preserve">This data was collected from online Employment Tribunal decisions database by Anna Stansbury, last updated on August 16th 2019. </t>
  </si>
  <si>
    <t>The Employment Tribunals database contains all ET decisions in England, Wales, and Scotland since February 2017 and can be found here: https://www.gov.uk/employment-tribunal-decisions</t>
  </si>
  <si>
    <t>This spreadsheet (FullData) contains all ET decisions in the database which related to national minimum wage underpayment, manually identified as described below.</t>
  </si>
  <si>
    <t>Cases were identified as follows:</t>
  </si>
  <si>
    <t>This data was prepared for the Resolution Foundation Briefing Note "Under the Wage Floor", authored by Lindsay Judge and Anna Stansbury and available at: https://www.resolutionfoundation.org/publications/under-the-wage-floor/</t>
  </si>
  <si>
    <t>Please contact Anna Stansbury at annastansbury@scholar.harvard.edu if you find any errors or have any questions!</t>
  </si>
  <si>
    <t>Access online Employment Tribunal decisions database at https://www.gov.uk/employment-tribunal-decisions (this was done on July 17th and 18th, 2019 and on August 16th 2019). A total of 38,813 decisions are listed in the database.</t>
  </si>
  <si>
    <t>Search for "minimum wage" in the database.</t>
  </si>
  <si>
    <t>Do not have either "National Minimum Wage", "unlawful deduction from wages" or "breach of contract" in the jurisdiction</t>
  </si>
  <si>
    <t>Less than 100</t>
  </si>
  <si>
    <t>100-249</t>
  </si>
  <si>
    <t>250-499</t>
  </si>
  <si>
    <t>500-999</t>
  </si>
  <si>
    <t>1000-4999</t>
  </si>
  <si>
    <t>Greater than 5000</t>
  </si>
  <si>
    <t>TOTAL</t>
  </si>
  <si>
    <t>Cases</t>
  </si>
  <si>
    <t>Arrears per worker (GBP)</t>
  </si>
  <si>
    <t>Arrears per worker (across cases)</t>
  </si>
  <si>
    <t>Any other jurisdiction which is not NMW or unlawful deductions</t>
  </si>
  <si>
    <t>Any other jurisidction which is not NMW, unlawful deductions, or breach of contract</t>
  </si>
  <si>
    <t>Summary statistics on number of cases which involved minimum wage underpayment, by jurisdiction listed (cases can list multiple jurisdictions)</t>
  </si>
  <si>
    <t>Summary statistics on cases with positive NMW arrears assessed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</si>
</sst>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b/>
      <sz val="14"/>
      <color theme="1"/>
      <name val="Calibri"/>
      <family val="2"/>
      <scheme val="minor"/>
    </font>
    <font>
      <sz val="9"/>
      <color indexed="81"/>
      <name val="Tahoma"/>
      <family val="2"/>
    </font>
    <font>
      <b/>
      <sz val="9"/>
      <color indexed="81"/>
      <name val="Tahoma"/>
      <family val="2"/>
    </font>
    <font>
      <u/>
      <sz val="11"/>
      <color theme="10"/>
      <name val="Calibri"/>
      <family val="2"/>
      <scheme val="minor"/>
    </font>
    <font>
      <b/>
      <sz val="9"/>
      <color theme="1"/>
      <name val="Calibri"/>
      <family val="2"/>
      <scheme val="minor"/>
    </font>
    <font>
      <sz val="9"/>
      <color theme="1"/>
      <name val="Calibri"/>
      <family val="2"/>
      <scheme val="minor"/>
    </font>
    <font>
      <u/>
      <sz val="9"/>
      <color theme="10"/>
      <name val="Calibri"/>
      <family val="2"/>
      <scheme val="minor"/>
    </font>
    <font>
      <sz val="9"/>
      <name val="Calibri"/>
      <family val="2"/>
      <scheme val="minor"/>
    </font>
    <font>
      <sz val="8"/>
      <name val="Arial"/>
      <family val="2"/>
    </font>
    <font>
      <i/>
      <sz val="11"/>
      <color theme="1"/>
      <name val="Calibri"/>
      <family val="2"/>
      <scheme val="minor"/>
    </font>
    <font>
      <sz val="9"/>
      <color rgb="FF0B0C0C"/>
      <name val="Calibri"/>
      <family val="2"/>
      <scheme val="minor"/>
    </font>
    <font>
      <b/>
      <u/>
      <sz val="9"/>
      <color rgb="FFFFFFFF"/>
      <name val="Calibri"/>
      <family val="2"/>
      <scheme val="minor"/>
    </font>
    <font>
      <b/>
      <sz val="9"/>
      <color rgb="FFFFFFFF"/>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9">
    <xf numFmtId="0" fontId="0" fillId="0" borderId="0" xfId="0"/>
    <xf numFmtId="0" fontId="1" fillId="0" borderId="0" xfId="0" applyFont="1"/>
    <xf numFmtId="0" fontId="1" fillId="0" borderId="0" xfId="0" applyFont="1" applyAlignment="1"/>
    <xf numFmtId="0" fontId="7" fillId="0" borderId="0" xfId="0" applyFont="1"/>
    <xf numFmtId="0" fontId="7" fillId="0" borderId="0" xfId="0" applyFont="1" applyAlignment="1"/>
    <xf numFmtId="0" fontId="8" fillId="0" borderId="0" xfId="1" applyFont="1"/>
    <xf numFmtId="15" fontId="9" fillId="0" borderId="0" xfId="0" applyNumberFormat="1" applyFont="1"/>
    <xf numFmtId="0" fontId="9" fillId="0" borderId="0" xfId="0" applyFont="1"/>
    <xf numFmtId="14" fontId="9" fillId="0" borderId="0" xfId="0" applyNumberFormat="1" applyFont="1"/>
    <xf numFmtId="0" fontId="9" fillId="0" borderId="0" xfId="0" applyFont="1" applyAlignment="1"/>
    <xf numFmtId="4" fontId="9" fillId="0" borderId="0" xfId="0" applyNumberFormat="1" applyFont="1"/>
    <xf numFmtId="0" fontId="9" fillId="0" borderId="0" xfId="0" applyFont="1" applyAlignment="1">
      <alignment vertical="center"/>
    </xf>
    <xf numFmtId="0" fontId="0" fillId="0" borderId="0" xfId="0" applyFont="1" applyAlignment="1"/>
    <xf numFmtId="0" fontId="0" fillId="0" borderId="0" xfId="0" applyFont="1"/>
    <xf numFmtId="0" fontId="1" fillId="2" borderId="0" xfId="0" applyFont="1" applyFill="1" applyAlignment="1"/>
    <xf numFmtId="0" fontId="0" fillId="2" borderId="0" xfId="0" applyFont="1" applyFill="1"/>
    <xf numFmtId="0" fontId="0" fillId="2" borderId="0" xfId="0" applyFill="1"/>
    <xf numFmtId="0" fontId="1" fillId="2" borderId="0" xfId="0" applyFont="1" applyFill="1"/>
    <xf numFmtId="0" fontId="2" fillId="2" borderId="0" xfId="0" applyFont="1" applyFill="1" applyAlignment="1"/>
    <xf numFmtId="15" fontId="9" fillId="0" borderId="0" xfId="0" applyNumberFormat="1" applyFont="1" applyAlignment="1">
      <alignment horizontal="left" vertical="center" wrapText="1"/>
    </xf>
    <xf numFmtId="0" fontId="9" fillId="0" borderId="0" xfId="0" applyFont="1" applyAlignment="1">
      <alignment horizontal="left" vertical="center"/>
    </xf>
    <xf numFmtId="15" fontId="10" fillId="0" borderId="0" xfId="0" applyNumberFormat="1" applyFont="1"/>
    <xf numFmtId="0" fontId="5" fillId="0" borderId="0" xfId="1"/>
    <xf numFmtId="0" fontId="10" fillId="0" borderId="0" xfId="0" applyFont="1"/>
    <xf numFmtId="4" fontId="0" fillId="0" borderId="0" xfId="0" applyNumberFormat="1"/>
    <xf numFmtId="0" fontId="6" fillId="0" borderId="0" xfId="0" applyFont="1" applyAlignment="1">
      <alignment wrapText="1"/>
    </xf>
    <xf numFmtId="4" fontId="7" fillId="0" borderId="0" xfId="0" applyNumberFormat="1" applyFont="1" applyAlignment="1"/>
    <xf numFmtId="0" fontId="8" fillId="0" borderId="0" xfId="1" applyFont="1" applyAlignment="1"/>
    <xf numFmtId="4" fontId="7" fillId="0" borderId="0" xfId="0" applyNumberFormat="1" applyFont="1"/>
    <xf numFmtId="3" fontId="7" fillId="0" borderId="0" xfId="0" applyNumberFormat="1" applyFont="1"/>
    <xf numFmtId="0" fontId="9" fillId="0" borderId="0" xfId="1" applyFont="1"/>
    <xf numFmtId="0" fontId="12" fillId="0" borderId="0" xfId="0" applyFont="1" applyAlignment="1">
      <alignment vertical="center"/>
    </xf>
    <xf numFmtId="15" fontId="9" fillId="0" borderId="0" xfId="0" applyNumberFormat="1" applyFont="1" applyAlignment="1"/>
    <xf numFmtId="0" fontId="13" fillId="0" borderId="0" xfId="0" applyFont="1"/>
    <xf numFmtId="15" fontId="9" fillId="0" borderId="0" xfId="0" applyNumberFormat="1" applyFont="1" applyAlignment="1">
      <alignment vertical="center" wrapText="1"/>
    </xf>
    <xf numFmtId="0" fontId="0" fillId="0" borderId="0" xfId="0" applyAlignment="1">
      <alignment wrapText="1"/>
    </xf>
    <xf numFmtId="0" fontId="11" fillId="0" borderId="0" xfId="0" applyFont="1"/>
    <xf numFmtId="0" fontId="11" fillId="0" borderId="0" xfId="0" applyFont="1" applyAlignment="1"/>
    <xf numFmtId="0" fontId="1"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www.gov.uk/employment-tribunal-decisions/mr-g-kurek-v-kazimierz-piorrek-t-a-versatile-handyman-home-improvement-1805501-2018" TargetMode="External"/><Relationship Id="rId21" Type="http://schemas.openxmlformats.org/officeDocument/2006/relationships/hyperlink" Target="https://www.gov.uk/employment-tribunal-decisions/miss-l-michaels-v-linde-werdelin-2200188-2017" TargetMode="External"/><Relationship Id="rId42" Type="http://schemas.openxmlformats.org/officeDocument/2006/relationships/hyperlink" Target="https://www.gov.uk/employment-tribunal-decisions/mr-phillip-woods-v-swissport-gb-ltd-1601440-2018" TargetMode="External"/><Relationship Id="rId63" Type="http://schemas.openxmlformats.org/officeDocument/2006/relationships/hyperlink" Target="https://www.gov.uk/employment-tribunal-decisions?tribunal_decision_categories%5B%5D=unlawful-deduction-from-wages" TargetMode="External"/><Relationship Id="rId84" Type="http://schemas.openxmlformats.org/officeDocument/2006/relationships/hyperlink" Target="https://www.gov.uk/employment-tribunal-decisions/mr-m-white-v-bargains-are-here-ltd-2500904-2017" TargetMode="External"/><Relationship Id="rId138" Type="http://schemas.openxmlformats.org/officeDocument/2006/relationships/hyperlink" Target="https://www.gov.uk/employment-tribunal-decisions/miss-f-velcescu-v-lifestyle-abbey-care-ltd-2501326-2017" TargetMode="External"/><Relationship Id="rId159" Type="http://schemas.openxmlformats.org/officeDocument/2006/relationships/hyperlink" Target="https://www.gov.uk/employment-tribunal-decisions/miss-denise-nunes-v-acorn-training-and-education-ltd-3307227-2018" TargetMode="External"/><Relationship Id="rId170" Type="http://schemas.openxmlformats.org/officeDocument/2006/relationships/hyperlink" Target="https://www.gov.uk/employment-tribunal-decisions/mr-oe-zolna-v-aj-worldwide-services-ltd-3327826-2017" TargetMode="External"/><Relationship Id="rId107" Type="http://schemas.openxmlformats.org/officeDocument/2006/relationships/hyperlink" Target="https://www.gov.uk/employment-tribunal-decisions/miss-r-blott-and-miss-n-a-cronin-v-relate-health-care-ltd-3200881-2017-and-3200893-2017" TargetMode="External"/><Relationship Id="rId11" Type="http://schemas.openxmlformats.org/officeDocument/2006/relationships/hyperlink" Target="https://www.gov.uk/employment-tribunal-decisions/mr-n-patel-v-mrs-s-patel-and-other-1401450-2015" TargetMode="External"/><Relationship Id="rId32" Type="http://schemas.openxmlformats.org/officeDocument/2006/relationships/hyperlink" Target="https://www.gov.uk/employment-tribunal-decisions/mr-h-hardwicke-v-luminous-group-ltd-2200207-2017" TargetMode="External"/><Relationship Id="rId53" Type="http://schemas.openxmlformats.org/officeDocument/2006/relationships/hyperlink" Target="https://www.gov.uk/employment-tribunal-decisions?tribunal_decision_categories%5B%5D=unlawful-deduction-from-wages" TargetMode="External"/><Relationship Id="rId74" Type="http://schemas.openxmlformats.org/officeDocument/2006/relationships/hyperlink" Target="https://www.gov.uk/employment-tribunal-decisions?tribunal_decision_categories%5B%5D=unlawful-deduction-from-wages" TargetMode="External"/><Relationship Id="rId128" Type="http://schemas.openxmlformats.org/officeDocument/2006/relationships/hyperlink" Target="https://www.gov.uk/employment-tribunal-decisions/miss-r-miller-v-north-east-dance-company-uk-ltd-2500313-2017" TargetMode="External"/><Relationship Id="rId149" Type="http://schemas.openxmlformats.org/officeDocument/2006/relationships/hyperlink" Target="https://www.gov.uk/employment-tribunal-decisions/ms-shavonne-johnson-v-mr-greenwood-t-a-the-dolphin-2503601-2018" TargetMode="External"/><Relationship Id="rId5" Type="http://schemas.openxmlformats.org/officeDocument/2006/relationships/hyperlink" Target="https://www.gov.uk/employment-tribunal-decisions/mr-c-stocks-v-glenn-carter-advance-security-2600088-2018" TargetMode="External"/><Relationship Id="rId95" Type="http://schemas.openxmlformats.org/officeDocument/2006/relationships/hyperlink" Target="https://www.gov.uk/employment-tribunal-decisions/ms-d-slavkova-v-dennis-o-keefe-and-scarabar-ltd-4104886-2017" TargetMode="External"/><Relationship Id="rId160" Type="http://schemas.openxmlformats.org/officeDocument/2006/relationships/hyperlink" Target="https://www.gov.uk/employment-tribunal-decisions/mr-e-bah-v-security-guards-uk-ltd-and-others-1301724-2017" TargetMode="External"/><Relationship Id="rId22" Type="http://schemas.openxmlformats.org/officeDocument/2006/relationships/hyperlink" Target="https://www.gov.uk/employment-tribunal-decisions/miss-m-souter-v-tosh-residential-care-home-2302106-2017" TargetMode="External"/><Relationship Id="rId43" Type="http://schemas.openxmlformats.org/officeDocument/2006/relationships/hyperlink" Target="https://www.gov.uk/employment-tribunal-decisions/miss-l-klimaite-v-emmas-bakery-and-cafe-ltd-2300042-2019" TargetMode="External"/><Relationship Id="rId64" Type="http://schemas.openxmlformats.org/officeDocument/2006/relationships/hyperlink" Target="https://www.gov.uk/employment-tribunal-decisions?tribunal_decision_categories%5B%5D=unlawful-deduction-from-wages" TargetMode="External"/><Relationship Id="rId118" Type="http://schemas.openxmlformats.org/officeDocument/2006/relationships/hyperlink" Target="https://www.gov.uk/employment-tribunal-decisions/mr-j-picton-v-mrs-h-johal-and-others-1801645-2017-and-others" TargetMode="External"/><Relationship Id="rId139" Type="http://schemas.openxmlformats.org/officeDocument/2006/relationships/hyperlink" Target="https://www.gov.uk/employment-tribunal-decisions/ms-e-trzecinska-and-ms-p-giedo-v-mr-jan-papp-t-a-papps-convenient-store-2500598-2017-and-2500602-2017" TargetMode="External"/><Relationship Id="rId85" Type="http://schemas.openxmlformats.org/officeDocument/2006/relationships/hyperlink" Target="https://www.gov.uk/employment-tribunal-decisions/mr-andris-packalns-v-nova-display-ltd-1810872-2018" TargetMode="External"/><Relationship Id="rId150" Type="http://schemas.openxmlformats.org/officeDocument/2006/relationships/hyperlink" Target="https://www.gov.uk/employment-tribunal-decisions/miss-d-summersett-v-churchill-contract-services-ltd-2300426-2017" TargetMode="External"/><Relationship Id="rId171" Type="http://schemas.openxmlformats.org/officeDocument/2006/relationships/hyperlink" Target="https://www.gov.uk/employment-tribunal-decisions/miss-s-settersfield-v-pine-view-care-homes-ltd-t-a-groby-lodge-2600178-2018" TargetMode="External"/><Relationship Id="rId12" Type="http://schemas.openxmlformats.org/officeDocument/2006/relationships/hyperlink" Target="https://www.gov.uk/employment-tribunal-decisions/ms-l-fairfax-v-miss-f-mahmood-1303846-2017" TargetMode="External"/><Relationship Id="rId33" Type="http://schemas.openxmlformats.org/officeDocument/2006/relationships/hyperlink" Target="https://www.gov.uk/employment-tribunal-decisions/mr-c-chick-v-skanor-group-ltd-and-mr-m-lind-2200366-2017" TargetMode="External"/><Relationship Id="rId108" Type="http://schemas.openxmlformats.org/officeDocument/2006/relationships/hyperlink" Target="https://www.gov.uk/employment-tribunal-decisions/miss-ap-read-v-aftala-norfolk-ltd-t-a-papa-john-s-pizza-and-whitestone-norwich-ltd-t-a-papa-john-s-pizza-3400414-2017" TargetMode="External"/><Relationship Id="rId129" Type="http://schemas.openxmlformats.org/officeDocument/2006/relationships/hyperlink" Target="https://www.gov.uk/employment-tribunal-decisions/steven-beale-v-stormfront-retail-ltd-2301211-2018" TargetMode="External"/><Relationship Id="rId54" Type="http://schemas.openxmlformats.org/officeDocument/2006/relationships/hyperlink" Target="https://www.gov.uk/employment-tribunal-decisions?tribunal_decision_categories%5B%5D=unlawful-deduction-from-wages" TargetMode="External"/><Relationship Id="rId75" Type="http://schemas.openxmlformats.org/officeDocument/2006/relationships/hyperlink" Target="https://www.gov.uk/employment-tribunal-decisions/mr-g-s-kareer-v-disha-global-ltd-t-a-dublcheck-cleaning-2601445-2016" TargetMode="External"/><Relationship Id="rId96" Type="http://schemas.openxmlformats.org/officeDocument/2006/relationships/hyperlink" Target="https://www.gov.uk/employment-tribunal-decisions/mr-b-harper-and-others-v-phoenix-care-uk-ltd-in-voluntary-liquidation-3304843-2018-and-others" TargetMode="External"/><Relationship Id="rId140" Type="http://schemas.openxmlformats.org/officeDocument/2006/relationships/hyperlink" Target="https://www.gov.uk/employment-tribunal-decisions/mr-s-young-v-b-eco-smart-ltd-2500017-2018" TargetMode="External"/><Relationship Id="rId161" Type="http://schemas.openxmlformats.org/officeDocument/2006/relationships/hyperlink" Target="https://www.gov.uk/employment-tribunal-decisions/mr-m-prystupa-v-iplan-umbrella-solutions-ltd-2206551-2016" TargetMode="External"/><Relationship Id="rId6" Type="http://schemas.openxmlformats.org/officeDocument/2006/relationships/hyperlink" Target="https://www.gov.uk/employment-tribunal-decisions/miss-p-ross-v-mr-o-opiah-3327048-2017" TargetMode="External"/><Relationship Id="rId23" Type="http://schemas.openxmlformats.org/officeDocument/2006/relationships/hyperlink" Target="https://www.gov.uk/employment-tribunal-decisions/mr-m-lange-and-others-v-addison-lee-ltd-2208029-2016-others" TargetMode="External"/><Relationship Id="rId28" Type="http://schemas.openxmlformats.org/officeDocument/2006/relationships/hyperlink" Target="https://www.gov.uk/employment-tribunal-decisions/mr-p-klups-v-k-and-p-logistics-ltd-1800943-2017" TargetMode="External"/><Relationship Id="rId49" Type="http://schemas.openxmlformats.org/officeDocument/2006/relationships/hyperlink" Target="https://www.gov.uk/employment-tribunal-decisions/mr-v-atanasui-and-mrs-m-atanasui-v-mr-samir-gad-salama-2302880-2016-and-2302881-2016" TargetMode="External"/><Relationship Id="rId114" Type="http://schemas.openxmlformats.org/officeDocument/2006/relationships/hyperlink" Target="https://www.gov.uk/employment-tribunal-decisions/mrs-a-gregson-v-dunscar-bridge-brewery-ltd-in-administration-2414999-2018" TargetMode="External"/><Relationship Id="rId119" Type="http://schemas.openxmlformats.org/officeDocument/2006/relationships/hyperlink" Target="https://www.gov.uk/employment-tribunal-decisions/ms-ilkay-cetin-v-mr-steve-griffiths-and-mrs-melanie-griffiths-2204788-2018" TargetMode="External"/><Relationship Id="rId44" Type="http://schemas.openxmlformats.org/officeDocument/2006/relationships/hyperlink" Target="https://www.gov.uk/employment-tribunal-decisions/ms-j-wang-v-wangping-travel-ltd-4122579-2018" TargetMode="External"/><Relationship Id="rId60" Type="http://schemas.openxmlformats.org/officeDocument/2006/relationships/hyperlink" Target="https://www.gov.uk/employment-tribunal-decisions?tribunal_decision_categories%5B%5D=unlawful-deduction-from-wages" TargetMode="External"/><Relationship Id="rId65" Type="http://schemas.openxmlformats.org/officeDocument/2006/relationships/hyperlink" Target="https://www.gov.uk/employment-tribunal-decisions?tribunal_decision_categories%5B%5D=unlawful-deduction-from-wages" TargetMode="External"/><Relationship Id="rId81" Type="http://schemas.openxmlformats.org/officeDocument/2006/relationships/hyperlink" Target="https://www.gov.uk/employment-tribunal-decisions/mr-a-adalat-walker-v-mr-m-patel-1810503-2018" TargetMode="External"/><Relationship Id="rId86" Type="http://schemas.openxmlformats.org/officeDocument/2006/relationships/hyperlink" Target="https://www.gov.uk/employment-tribunal-decisions/miss-a-clark-chesaites-v-ms-louise-jones-3200498-2017" TargetMode="External"/><Relationship Id="rId130" Type="http://schemas.openxmlformats.org/officeDocument/2006/relationships/hyperlink" Target="https://www.gov.uk/employment-tribunal-decisions/mrs-ud-ale-v-mr-arjun-chugani-and-others-2601528-2016" TargetMode="External"/><Relationship Id="rId135" Type="http://schemas.openxmlformats.org/officeDocument/2006/relationships/hyperlink" Target="https://www.gov.uk/employment-tribunal-decisions/jamie-borrino-v-franco-vittorio-bellusci-2402812-2019" TargetMode="External"/><Relationship Id="rId151" Type="http://schemas.openxmlformats.org/officeDocument/2006/relationships/hyperlink" Target="https://www.gov.uk/employment-tribunal-decisions/mrs-b-belkadi-v-edward-jones-estate-agents-and-others-2601614-2018" TargetMode="External"/><Relationship Id="rId156" Type="http://schemas.openxmlformats.org/officeDocument/2006/relationships/hyperlink" Target="https://www.gov.uk/employment-tribunal-decisions/j-gargantos-v-club-mumbai-2500165-2019" TargetMode="External"/><Relationship Id="rId177" Type="http://schemas.openxmlformats.org/officeDocument/2006/relationships/vmlDrawing" Target="../drawings/vmlDrawing1.vml"/><Relationship Id="rId172" Type="http://schemas.openxmlformats.org/officeDocument/2006/relationships/hyperlink" Target="https://www.gov.uk/employment-tribunal-decisions/mr-maninder-singh-v-first-stop-wombourne-common-road-ltd-1301376-2017" TargetMode="External"/><Relationship Id="rId13" Type="http://schemas.openxmlformats.org/officeDocument/2006/relationships/hyperlink" Target="https://www.gov.uk/employment-tribunal-decisions/mr-k-petrov-v-lacaze-ltd-3328687-2017" TargetMode="External"/><Relationship Id="rId18" Type="http://schemas.openxmlformats.org/officeDocument/2006/relationships/hyperlink" Target="https://www.gov.uk/employment-tribunal-decisions/mr-a-arrowsmith-v-the-content-store-ltd-in-administration-c-o-kallis-co-2206100-2017" TargetMode="External"/><Relationship Id="rId39" Type="http://schemas.openxmlformats.org/officeDocument/2006/relationships/hyperlink" Target="https://www.gov.uk/employment-tribunal-decisions/mrs-j-frudd-and-mr-i-frudd-v-the-partington-group-ltd-2406291-2015" TargetMode="External"/><Relationship Id="rId109" Type="http://schemas.openxmlformats.org/officeDocument/2006/relationships/hyperlink" Target="https://www.gov.uk/employment-tribunal-decisions/mr-g-jones-v-cupio-vehicle-management-ltd-2401585-2017" TargetMode="External"/><Relationship Id="rId34" Type="http://schemas.openxmlformats.org/officeDocument/2006/relationships/hyperlink" Target="https://www.gov.uk/employment-tribunal-decisions/mrs-c-j-pau-v-mr-g-d-brannan-mrs-m-brannan-a-partnership-t-a-harbour-2406094-2016" TargetMode="External"/><Relationship Id="rId50" Type="http://schemas.openxmlformats.org/officeDocument/2006/relationships/hyperlink" Target="https://www.gov.uk/employment-tribunal-decisions/miss-l-cosma-v-haybat-khowaja-t-a-park-street-local-1400394-2018" TargetMode="External"/><Relationship Id="rId55" Type="http://schemas.openxmlformats.org/officeDocument/2006/relationships/hyperlink" Target="https://www.gov.uk/employment-tribunal-decisions?tribunal_decision_categories%5B%5D=unlawful-deduction-from-wages" TargetMode="External"/><Relationship Id="rId76" Type="http://schemas.openxmlformats.org/officeDocument/2006/relationships/hyperlink" Target="https://www.gov.uk/employment-tribunal-decisions/mr-b-ivas-v-opus-vinoteche-ltd-1810848-2018" TargetMode="External"/><Relationship Id="rId97" Type="http://schemas.openxmlformats.org/officeDocument/2006/relationships/hyperlink" Target="https://www.gov.uk/employment-tribunal-decisions/mr-c-lowery-v-tlc-building-contractors-ltd-2404180-2017" TargetMode="External"/><Relationship Id="rId104" Type="http://schemas.openxmlformats.org/officeDocument/2006/relationships/hyperlink" Target="https://www.gov.uk/employment-tribunal-decisions/mr-a-jones-v-sportfact-ltd-3303557-2018" TargetMode="External"/><Relationship Id="rId120" Type="http://schemas.openxmlformats.org/officeDocument/2006/relationships/hyperlink" Target="https://www.gov.uk/employment-tribunal-decisions/mr-s-sunmaila-v-sussex-coast-college-hastings-2300386-2017" TargetMode="External"/><Relationship Id="rId125" Type="http://schemas.openxmlformats.org/officeDocument/2006/relationships/hyperlink" Target="https://www.gov.uk/employment-tribunal-decisions/mr-r-horne-v-checkpal-ltd-formerly-known-as-crossverify-ltd-2204928-2018" TargetMode="External"/><Relationship Id="rId141" Type="http://schemas.openxmlformats.org/officeDocument/2006/relationships/hyperlink" Target="https://www.gov.uk/employment-tribunal-decisions/carole-williams-v-hafod-care-organisation-ltd-1302993-2016" TargetMode="External"/><Relationship Id="rId146" Type="http://schemas.openxmlformats.org/officeDocument/2006/relationships/hyperlink" Target="https://www.gov.uk/employment-tribunal-decisions/mr-d-hughes-v-mr-colin-rodgers-t-a-god-bless-hair-2404224-2018" TargetMode="External"/><Relationship Id="rId167" Type="http://schemas.openxmlformats.org/officeDocument/2006/relationships/hyperlink" Target="https://www.gov.uk/employment-tribunal-decisions/mr-g-warley-v-metro-lodgings-ltd-2501301-2018" TargetMode="External"/><Relationship Id="rId7" Type="http://schemas.openxmlformats.org/officeDocument/2006/relationships/hyperlink" Target="https://www.gov.uk/employment-tribunal-decisions/mrs-j-brown-v-abbey-healthcare-aaron-court-ltd-2601300-2017" TargetMode="External"/><Relationship Id="rId71" Type="http://schemas.openxmlformats.org/officeDocument/2006/relationships/hyperlink" Target="https://www.gov.uk/employment-tribunal-decisions?tribunal_decision_categories%5B%5D=unlawful-deduction-from-wages" TargetMode="External"/><Relationship Id="rId92" Type="http://schemas.openxmlformats.org/officeDocument/2006/relationships/hyperlink" Target="https://www.gov.uk/employment-tribunal-decisions/miss-wi-cheang-v-new-summer-palace-ltd-2405371-2017" TargetMode="External"/><Relationship Id="rId162" Type="http://schemas.openxmlformats.org/officeDocument/2006/relationships/hyperlink" Target="https://www.gov.uk/employment-tribunal-decisions/ms-d-rose-v-paula-deans-s-4117252-2018" TargetMode="External"/><Relationship Id="rId2" Type="http://schemas.openxmlformats.org/officeDocument/2006/relationships/hyperlink" Target="https://www.gov.uk/employment-tribunal-decisions/mrs-g-sethi-v-kp-elite-ltd-3330731-2018" TargetMode="External"/><Relationship Id="rId29" Type="http://schemas.openxmlformats.org/officeDocument/2006/relationships/hyperlink" Target="https://www.gov.uk/employment-tribunal-decisions/don-amarasekara-and-ahangama-ahangama-v-pirathini-elanchcheliyan-and-manickam-jasokaran-1411564-2015" TargetMode="External"/><Relationship Id="rId24" Type="http://schemas.openxmlformats.org/officeDocument/2006/relationships/hyperlink" Target="https://www.gov.uk/employment-tribunal-decisions/mr-d-fox-v-ice-commercial-ltd-2301852-2017" TargetMode="External"/><Relationship Id="rId40" Type="http://schemas.openxmlformats.org/officeDocument/2006/relationships/hyperlink" Target="https://www.gov.uk/employment-tribunal-decisions/ms-f-du-bignon-v-hair-now-1982-ltd-3331006-2018" TargetMode="External"/><Relationship Id="rId45" Type="http://schemas.openxmlformats.org/officeDocument/2006/relationships/hyperlink" Target="https://www.gov.uk/employment-tribunal-decisions/mr-elek-bottlik-and-ms-melinda-berecz-v-gurdial-pj-ltd-3331452-2018-and-3331453-2018" TargetMode="External"/><Relationship Id="rId66" Type="http://schemas.openxmlformats.org/officeDocument/2006/relationships/hyperlink" Target="https://www.gov.uk/employment-tribunal-decisions?tribunal_decision_categories%5B%5D=unlawful-deduction-from-wages" TargetMode="External"/><Relationship Id="rId87" Type="http://schemas.openxmlformats.org/officeDocument/2006/relationships/hyperlink" Target="https://www.gov.uk/employment-tribunal-decisions/mr-r-balcombe-v-economic-skips-ltd-2302067-2017" TargetMode="External"/><Relationship Id="rId110" Type="http://schemas.openxmlformats.org/officeDocument/2006/relationships/hyperlink" Target="https://www.gov.uk/employment-tribunal-decisions/miss-a-peimonte-v-patrick-and-tolani-enin-2204533-2018" TargetMode="External"/><Relationship Id="rId115" Type="http://schemas.openxmlformats.org/officeDocument/2006/relationships/hyperlink" Target="https://www.gov.uk/employment-tribunal-decisions/miss-l-brown-v-mr-m-pirmahomed-t-a-m-and-a-stationers-2601772-2016" TargetMode="External"/><Relationship Id="rId131" Type="http://schemas.openxmlformats.org/officeDocument/2006/relationships/hyperlink" Target="https://www.gov.uk/employment-tribunal-decisions/mr-a-macguire-v-angela-kaponas-2601685-2018" TargetMode="External"/><Relationship Id="rId136" Type="http://schemas.openxmlformats.org/officeDocument/2006/relationships/hyperlink" Target="https://www.gov.uk/employment-tribunal-decisions/miss-nicola-ayers-v-mr-paul-wriglesworth-2500917-2019" TargetMode="External"/><Relationship Id="rId157" Type="http://schemas.openxmlformats.org/officeDocument/2006/relationships/hyperlink" Target="https://www.gov.uk/employment-tribunal-decisions/mr-n-cox-v-kent-autoparts-ltd-2300791-2018" TargetMode="External"/><Relationship Id="rId178" Type="http://schemas.openxmlformats.org/officeDocument/2006/relationships/comments" Target="../comments1.xml"/><Relationship Id="rId61" Type="http://schemas.openxmlformats.org/officeDocument/2006/relationships/hyperlink" Target="https://www.gov.uk/employment-tribunal-decisions?tribunal_decision_categories%5B%5D=unlawful-deduction-from-wages" TargetMode="External"/><Relationship Id="rId82" Type="http://schemas.openxmlformats.org/officeDocument/2006/relationships/hyperlink" Target="https://www.gov.uk/employment-tribunal-decisions/miss-r-latif-v-eminant-childcare-limited-t-a-laugh-n-learn-1301220-2017" TargetMode="External"/><Relationship Id="rId152" Type="http://schemas.openxmlformats.org/officeDocument/2006/relationships/hyperlink" Target="https://www.gov.uk/employment-tribunal-decisions/miss-s-hamilton-v-zoe-loftus-t-a-love2dye-2405174-2016" TargetMode="External"/><Relationship Id="rId173" Type="http://schemas.openxmlformats.org/officeDocument/2006/relationships/hyperlink" Target="https://www.gov.uk/employment-tribunal-decisions/mrs-s-barnes-cannadine-v-jl-health-and-beauty-ltd-t-a-sheffield-sports-medicine-1810115-2018" TargetMode="External"/><Relationship Id="rId19" Type="http://schemas.openxmlformats.org/officeDocument/2006/relationships/hyperlink" Target="https://www.gov.uk/employment-tribunal-decisions/ms-g-smith-v-diligent-care-services-ltd-3200839-2017" TargetMode="External"/><Relationship Id="rId14" Type="http://schemas.openxmlformats.org/officeDocument/2006/relationships/hyperlink" Target="https://www.gov.uk/employment-tribunal-decisions/miss-j-cudmore-v-dynasty-care-ltd-2300307-2017" TargetMode="External"/><Relationship Id="rId30" Type="http://schemas.openxmlformats.org/officeDocument/2006/relationships/hyperlink" Target="https://www.gov.uk/employment-tribunal-decisions/miss-g-kaminskiene-v-chrissy-s-salon-ltd-3347587-2016" TargetMode="External"/><Relationship Id="rId35" Type="http://schemas.openxmlformats.org/officeDocument/2006/relationships/hyperlink" Target="https://www.gov.uk/employment-tribunal-decisions/ms-j-chikale-v-ms-i-okedina-2303064-2015" TargetMode="External"/><Relationship Id="rId56" Type="http://schemas.openxmlformats.org/officeDocument/2006/relationships/hyperlink" Target="https://www.gov.uk/employment-tribunal-decisions?tribunal_decision_categories%5B%5D=unlawful-deduction-from-wages" TargetMode="External"/><Relationship Id="rId77" Type="http://schemas.openxmlformats.org/officeDocument/2006/relationships/hyperlink" Target="https://www.gov.uk/employment-tribunal-decisions/miss-k-mcgregor-v-london-corporate-apartments-limited-3201620-2017" TargetMode="External"/><Relationship Id="rId100" Type="http://schemas.openxmlformats.org/officeDocument/2006/relationships/hyperlink" Target="https://www.gov.uk/employment-tribunal-decisions/mr-a-pattni-v-smart-currency-exchange-ltd-2200885-2018" TargetMode="External"/><Relationship Id="rId105" Type="http://schemas.openxmlformats.org/officeDocument/2006/relationships/hyperlink" Target="https://www.gov.uk/employment-tribunal-decisions/mr-a-scott-v-sizzl-ltd-1810562-2018" TargetMode="External"/><Relationship Id="rId126" Type="http://schemas.openxmlformats.org/officeDocument/2006/relationships/hyperlink" Target="https://www.gov.uk/employment-tribunal-decisions/mr-k-farmer-v-mr-mark-birtwistle-2414909-2018" TargetMode="External"/><Relationship Id="rId147" Type="http://schemas.openxmlformats.org/officeDocument/2006/relationships/hyperlink" Target="https://www.gov.uk/employment-tribunal-decisions/mr-j-thomas-v-what-money-buys-ltd-1600953-2018" TargetMode="External"/><Relationship Id="rId168" Type="http://schemas.openxmlformats.org/officeDocument/2006/relationships/hyperlink" Target="https://www.gov.uk/employment-tribunal-decisions/ms-m-lockey-v-mr-jake-dodd-t-a-alex-edward-salon-2501100-2018" TargetMode="External"/><Relationship Id="rId8" Type="http://schemas.openxmlformats.org/officeDocument/2006/relationships/hyperlink" Target="https://www.gov.uk/employment-tribunal-decisions/ms-l-morrison-v-carewatch-care-services-ltd-3352869-2017" TargetMode="External"/><Relationship Id="rId51" Type="http://schemas.openxmlformats.org/officeDocument/2006/relationships/hyperlink" Target="https://www.gov.uk/employment-tribunal-decisions/mr-r-piercey-v-select-ductwork-services-ltd-3331016-2018" TargetMode="External"/><Relationship Id="rId72" Type="http://schemas.openxmlformats.org/officeDocument/2006/relationships/hyperlink" Target="https://www.gov.uk/employment-tribunal-decisions?tribunal_decision_categories%5B%5D=unlawful-deduction-from-wages" TargetMode="External"/><Relationship Id="rId93" Type="http://schemas.openxmlformats.org/officeDocument/2006/relationships/hyperlink" Target="https://www.gov.uk/employment-tribunal-decisions/ms-a-rutkowska-v-chez-jules-hanover-street-ltd-s-4113363-2018" TargetMode="External"/><Relationship Id="rId98" Type="http://schemas.openxmlformats.org/officeDocument/2006/relationships/hyperlink" Target="https://www.gov.uk/employment-tribunal-decisions/miss-s-de-vivo-v-miss-sarah-newsum-2302893-2016" TargetMode="External"/><Relationship Id="rId121" Type="http://schemas.openxmlformats.org/officeDocument/2006/relationships/hyperlink" Target="https://www.gov.uk/employment-tribunal-decisions/mrs-i-coope-v-habilis-operations-ltd-2601400-2017" TargetMode="External"/><Relationship Id="rId142" Type="http://schemas.openxmlformats.org/officeDocument/2006/relationships/hyperlink" Target="https://www.gov.uk/employment-tribunal-decisions/mr-s-williams-v-tcb-leisure-ltd-t-a-the-potters-wheel-2503454-2018" TargetMode="External"/><Relationship Id="rId163" Type="http://schemas.openxmlformats.org/officeDocument/2006/relationships/hyperlink" Target="https://www.gov.uk/employment-tribunal-decisions/mr-b-plant-v-mexican-express-ltd-and-others-2200008-2017" TargetMode="External"/><Relationship Id="rId3" Type="http://schemas.openxmlformats.org/officeDocument/2006/relationships/hyperlink" Target="https://www.gov.uk/employment-tribunal-decisions/miss-m-s-fazil-v-phoenix-care-uk-ltd-3307133-2018" TargetMode="External"/><Relationship Id="rId25" Type="http://schemas.openxmlformats.org/officeDocument/2006/relationships/hyperlink" Target="https://assets.publishing.service.gov.uk/media/59d2127de5274a449586c4b8/Mr_C_Doyle_v_Sackville_School_2301941-2017_Full.pdf" TargetMode="External"/><Relationship Id="rId46" Type="http://schemas.openxmlformats.org/officeDocument/2006/relationships/hyperlink" Target="https://www.gov.uk/employment-tribunal-decisions/ms-r-airey-v-mr-deib-and-innovative-skin-clinics-ltd-t-a-supreme-skin-clinic-1801766-2017" TargetMode="External"/><Relationship Id="rId67" Type="http://schemas.openxmlformats.org/officeDocument/2006/relationships/hyperlink" Target="https://www.gov.uk/employment-tribunal-decisions?tribunal_decision_categories%5B%5D=unlawful-deduction-from-wages" TargetMode="External"/><Relationship Id="rId116" Type="http://schemas.openxmlformats.org/officeDocument/2006/relationships/hyperlink" Target="https://www.gov.uk/employment-tribunal-decisions/mrs-r-mcdonald-v-ms-adrianna-caluta-2501164-2017" TargetMode="External"/><Relationship Id="rId137" Type="http://schemas.openxmlformats.org/officeDocument/2006/relationships/hyperlink" Target="https://www.gov.uk/employment-tribunal-decisions/mr-p-eboye-v-farsight-uk-security-services-ltd-1301919-2017" TargetMode="External"/><Relationship Id="rId158" Type="http://schemas.openxmlformats.org/officeDocument/2006/relationships/hyperlink" Target="https://www.gov.uk/employment-tribunal-decisions/mr-d-glover-v-carrington-blake-recruitment-ltd-and-others-3400975-2016" TargetMode="External"/><Relationship Id="rId20" Type="http://schemas.openxmlformats.org/officeDocument/2006/relationships/hyperlink" Target="https://www.gov.uk/employment-tribunal-decisions/mr-j-price-v-amg-property-services-north-east-ltd-2500023-2017" TargetMode="External"/><Relationship Id="rId41" Type="http://schemas.openxmlformats.org/officeDocument/2006/relationships/hyperlink" Target="https://www.gov.uk/employment-tribunal-decisions/miss-e-milford-v-shirley-wine-store-ltd-2421071-2017" TargetMode="External"/><Relationship Id="rId62" Type="http://schemas.openxmlformats.org/officeDocument/2006/relationships/hyperlink" Target="https://www.gov.uk/employment-tribunal-decisions?tribunal_decision_categories%5B%5D=unlawful-deduction-from-wages" TargetMode="External"/><Relationship Id="rId83" Type="http://schemas.openxmlformats.org/officeDocument/2006/relationships/hyperlink" Target="https://www.gov.uk/employment-tribunal-decisions/mr-r-malcolm-v-helensburgh-tyre-service-ltd-4100398-2018" TargetMode="External"/><Relationship Id="rId88" Type="http://schemas.openxmlformats.org/officeDocument/2006/relationships/hyperlink" Target="https://www.gov.uk/employment-tribunal-decisions/ms-c-taylor-v-delusion-lifestyle-brands-ltd-2405458-2016" TargetMode="External"/><Relationship Id="rId111" Type="http://schemas.openxmlformats.org/officeDocument/2006/relationships/hyperlink" Target="https://www.gov.uk/employment-tribunal-decisions/a-v-b-and-c-2403142-2017" TargetMode="External"/><Relationship Id="rId132" Type="http://schemas.openxmlformats.org/officeDocument/2006/relationships/hyperlink" Target="https://www.gov.uk/employment-tribunal-decisions/mrs-s-barlow-v-bliss-support-ltd-2601763-2017" TargetMode="External"/><Relationship Id="rId153" Type="http://schemas.openxmlformats.org/officeDocument/2006/relationships/hyperlink" Target="https://www.gov.uk/employment-tribunal-decisions/mr-d-khan-v-united-cargo-shipping-ltd-1301988-2018" TargetMode="External"/><Relationship Id="rId174" Type="http://schemas.openxmlformats.org/officeDocument/2006/relationships/hyperlink" Target="https://www.gov.uk/employment-tribunal-decisions/mr-a-goodman-v-fairfield-farm-produce-ltd-2411553-2018" TargetMode="External"/><Relationship Id="rId15" Type="http://schemas.openxmlformats.org/officeDocument/2006/relationships/hyperlink" Target="https://www.gov.uk/employment-tribunal-decisions/miss-s-shiraz-v-zoya-desserts-ltd-1800960-2017" TargetMode="External"/><Relationship Id="rId36" Type="http://schemas.openxmlformats.org/officeDocument/2006/relationships/hyperlink" Target="https://www.gov.uk/employment-tribunal-decisions/mr-r-negroiu-v-allied-care-ltd-2301951-2016" TargetMode="External"/><Relationship Id="rId57" Type="http://schemas.openxmlformats.org/officeDocument/2006/relationships/hyperlink" Target="https://www.gov.uk/employment-tribunal-decisions?tribunal_decision_categories%5B%5D=unlawful-deduction-from-wages" TargetMode="External"/><Relationship Id="rId106" Type="http://schemas.openxmlformats.org/officeDocument/2006/relationships/hyperlink" Target="https://www.gov.uk/employment-tribunal-decisions/miss-z-ashraf-v-mrs-l-fehintola-1800457-2017" TargetMode="External"/><Relationship Id="rId127" Type="http://schemas.openxmlformats.org/officeDocument/2006/relationships/hyperlink" Target="https://www.gov.uk/employment-tribunal-decisions/miss-a-howie-v-rbg-security-solutions-ltd-4122123-2018" TargetMode="External"/><Relationship Id="rId10" Type="http://schemas.openxmlformats.org/officeDocument/2006/relationships/hyperlink" Target="https://www.gov.uk/employment-tribunal-decisions/mr-t-court-v-norwich-bars-ltd-2601351-2017" TargetMode="External"/><Relationship Id="rId31" Type="http://schemas.openxmlformats.org/officeDocument/2006/relationships/hyperlink" Target="https://www.gov.uk/employment-tribunal-decisions/mr-s-almaquableh-v-map-co-architects-ltd-2201696-2017" TargetMode="External"/><Relationship Id="rId52" Type="http://schemas.openxmlformats.org/officeDocument/2006/relationships/hyperlink" Target="https://www.gov.uk/employment-tribunal-decisions?tribunal_decision_categories%5B%5D=unlawful-deduction-from-wages" TargetMode="External"/><Relationship Id="rId73" Type="http://schemas.openxmlformats.org/officeDocument/2006/relationships/hyperlink" Target="https://www.gov.uk/employment-tribunal-decisions?tribunal_decision_categories%5B%5D=unlawful-deduction-from-wages" TargetMode="External"/><Relationship Id="rId78" Type="http://schemas.openxmlformats.org/officeDocument/2006/relationships/hyperlink" Target="https://www.gov.uk/employment-tribunal-decisions/eulalee-harris-and-others-v-kaamil-education-ltd-t-a-daryel-care-3325381-2017" TargetMode="External"/><Relationship Id="rId94" Type="http://schemas.openxmlformats.org/officeDocument/2006/relationships/hyperlink" Target="https://www.gov.uk/employment-tribunal-decisions/mr-c-dorsett-v-five-star-garage-doncaster-ltd-1800426-2019" TargetMode="External"/><Relationship Id="rId99" Type="http://schemas.openxmlformats.org/officeDocument/2006/relationships/hyperlink" Target="https://www.gov.uk/employment-tribunal-decisions/miss-c-spence-v-skin-therapies-4103322-2018" TargetMode="External"/><Relationship Id="rId101" Type="http://schemas.openxmlformats.org/officeDocument/2006/relationships/hyperlink" Target="https://www.gov.uk/employment-tribunal-decisions/miss-h-marsden-v-progressive-care-ltd-2601263-2018" TargetMode="External"/><Relationship Id="rId122" Type="http://schemas.openxmlformats.org/officeDocument/2006/relationships/hyperlink" Target="https://www.gov.uk/employment-tribunal-decisions/mr-i-iyanda-v-viking-consultancy-uk-ltd-2404107-2018" TargetMode="External"/><Relationship Id="rId143" Type="http://schemas.openxmlformats.org/officeDocument/2006/relationships/hyperlink" Target="https://www.gov.uk/employment-tribunal-decisions/mr-r-henry-donahue-v-delex-logistics-ltd-1400697-2018" TargetMode="External"/><Relationship Id="rId148" Type="http://schemas.openxmlformats.org/officeDocument/2006/relationships/hyperlink" Target="https://www.gov.uk/employment-tribunal-decisions/miss-h-blyszko-and-mrs-j-blyszko-v-shax-uk-ltd-1809816-2018-and-1809817-2018" TargetMode="External"/><Relationship Id="rId164" Type="http://schemas.openxmlformats.org/officeDocument/2006/relationships/hyperlink" Target="https://www.gov.uk/employment-tribunal-decisions/mrs-j-brazier-and-others-v-tennants-craft-bakery-and-others-1301817-2016" TargetMode="External"/><Relationship Id="rId169" Type="http://schemas.openxmlformats.org/officeDocument/2006/relationships/hyperlink" Target="https://www.gov.uk/employment-tribunal-decisions/mr-a-singh-v-mr-yaser-iqbal-t-a-smokin-rooster-1400258-2018" TargetMode="External"/><Relationship Id="rId4" Type="http://schemas.openxmlformats.org/officeDocument/2006/relationships/hyperlink" Target="https://www.gov.uk/employment-tribunal-decisions/ms-c-beckford-and-others-v-premier-carewaiting-ltd-3201796-2017" TargetMode="External"/><Relationship Id="rId9" Type="http://schemas.openxmlformats.org/officeDocument/2006/relationships/hyperlink" Target="https://www.gov.uk/employment-tribunal-decisions/ms-p-pryce-v-carewatch-care-services-ltd-3352870-2017" TargetMode="External"/><Relationship Id="rId26" Type="http://schemas.openxmlformats.org/officeDocument/2006/relationships/hyperlink" Target="https://www.gov.uk/employment-tribunal-decisions/ms-da-silva-v-na-accountants-ltd-and-smart-contractors-ltd-1301617-2017" TargetMode="External"/><Relationship Id="rId47" Type="http://schemas.openxmlformats.org/officeDocument/2006/relationships/hyperlink" Target="https://www.gov.uk/employment-tribunal-decisions/ms-eleanor-uchewuakor-v-efficiency-for-care-ltd-3201206-2018" TargetMode="External"/><Relationship Id="rId68" Type="http://schemas.openxmlformats.org/officeDocument/2006/relationships/hyperlink" Target="https://www.gov.uk/employment-tribunal-decisions?tribunal_decision_categories%5B%5D=unlawful-deduction-from-wages" TargetMode="External"/><Relationship Id="rId89" Type="http://schemas.openxmlformats.org/officeDocument/2006/relationships/hyperlink" Target="https://www.gov.uk/employment-tribunal-decisions/mrs-maiara-ferreira-v-mr-satish-sivakumar-3201543-2018" TargetMode="External"/><Relationship Id="rId112" Type="http://schemas.openxmlformats.org/officeDocument/2006/relationships/hyperlink" Target="https://www.gov.uk/employment-tribunal-decisions/pamela-bryce-v-robert-alexander-t-a-smell-the-coffee-3306474-2018" TargetMode="External"/><Relationship Id="rId133" Type="http://schemas.openxmlformats.org/officeDocument/2006/relationships/hyperlink" Target="https://www.gov.uk/employment-tribunal-decisions/mr-matthew-gilbert-v-sanghera-news-ltd-2501149-2018" TargetMode="External"/><Relationship Id="rId154" Type="http://schemas.openxmlformats.org/officeDocument/2006/relationships/hyperlink" Target="https://www.gov.uk/employment-tribunal-decisions/miss-k-kroenenberg-v-mr-r-hutchings-1303521-2018" TargetMode="External"/><Relationship Id="rId175" Type="http://schemas.openxmlformats.org/officeDocument/2006/relationships/hyperlink" Target="https://www.gov.uk/employment-tribunal-decisions/mrs-c-hall-v-prudhoe-and-mickley-unionist-club-2500258-2018" TargetMode="External"/><Relationship Id="rId16" Type="http://schemas.openxmlformats.org/officeDocument/2006/relationships/hyperlink" Target="https://www.gov.uk/employment-tribunal-decisions/mr-w-augustine-v-econnect-cars-ltd-3200245-2017" TargetMode="External"/><Relationship Id="rId37" Type="http://schemas.openxmlformats.org/officeDocument/2006/relationships/hyperlink" Target="https://www.gov.uk/employment-tribunal-decisions/mrs-m-jaszkowska-v-next-move-yorkshire-ltd-1801630-2016" TargetMode="External"/><Relationship Id="rId58" Type="http://schemas.openxmlformats.org/officeDocument/2006/relationships/hyperlink" Target="https://www.gov.uk/employment-tribunal-decisions?tribunal_decision_categories%5B%5D=unlawful-deduction-from-wages" TargetMode="External"/><Relationship Id="rId79" Type="http://schemas.openxmlformats.org/officeDocument/2006/relationships/hyperlink" Target="https://www.gov.uk/employment-tribunal-decisions/ms-m-chrominska-v-cricklewood-bagel-bakery-ltd-3303995-2018" TargetMode="External"/><Relationship Id="rId102" Type="http://schemas.openxmlformats.org/officeDocument/2006/relationships/hyperlink" Target="https://www.gov.uk/employment-tribunal-decisions/mrs-d-murray-v-harbourside-marina-ltd-2420959-2017" TargetMode="External"/><Relationship Id="rId123" Type="http://schemas.openxmlformats.org/officeDocument/2006/relationships/hyperlink" Target="https://www.gov.uk/employment-tribunal-decisions/miss-j-gunning-v-mr-j-hussain-t-a-swift-one-hour-dry-cleaners-3303500-2015" TargetMode="External"/><Relationship Id="rId144" Type="http://schemas.openxmlformats.org/officeDocument/2006/relationships/hyperlink" Target="https://www.gov.uk/employment-tribunal-decisions/mr-nathan-bennett-v-rackstar-ltd-in-creditors-voluntary-liquidation-2501162-2018" TargetMode="External"/><Relationship Id="rId90" Type="http://schemas.openxmlformats.org/officeDocument/2006/relationships/hyperlink" Target="https://www.gov.uk/employment-tribunal-decisions/mr-m-yuce-v-atg-furniture-ltd-2421405-2017" TargetMode="External"/><Relationship Id="rId165" Type="http://schemas.openxmlformats.org/officeDocument/2006/relationships/hyperlink" Target="https://www.gov.uk/employment-tribunal-decisions/mr-s-hasan-v-haris-younas-ltd-3346916-2016" TargetMode="External"/><Relationship Id="rId27" Type="http://schemas.openxmlformats.org/officeDocument/2006/relationships/hyperlink" Target="https://www.gov.uk/employment-tribunal-decisions/ms-m-babula-v-holiday-com-hotels-ltd-and-mr-m-pannu-1800717-2017" TargetMode="External"/><Relationship Id="rId48" Type="http://schemas.openxmlformats.org/officeDocument/2006/relationships/hyperlink" Target="https://www.gov.uk/employment-tribunal-decisions/mr-kieran-pattni-v-hitshomes-ltd-and-others-2600130-2018" TargetMode="External"/><Relationship Id="rId69" Type="http://schemas.openxmlformats.org/officeDocument/2006/relationships/hyperlink" Target="https://www.gov.uk/employment-tribunal-decisions?tribunal_decision_categories%5B%5D=unlawful-deduction-from-wages" TargetMode="External"/><Relationship Id="rId113" Type="http://schemas.openxmlformats.org/officeDocument/2006/relationships/hyperlink" Target="https://www.gov.uk/employment-tribunal-decisions/miss-e-brown-v-mr-s-kiyani-t-a-aprana-cafe-1300500-2017" TargetMode="External"/><Relationship Id="rId134" Type="http://schemas.openxmlformats.org/officeDocument/2006/relationships/hyperlink" Target="https://www.gov.uk/employment-tribunal-decisions/miss-e-ellis-v-mt-tj-molyneux-t-a-gmb-digital-solutions-ltd-2416238-2018" TargetMode="External"/><Relationship Id="rId80" Type="http://schemas.openxmlformats.org/officeDocument/2006/relationships/hyperlink" Target="https://www.gov.uk/employment-tribunal-decisions/mr-j-jardine-v-just-pizza-uk-3329115-2017" TargetMode="External"/><Relationship Id="rId155" Type="http://schemas.openxmlformats.org/officeDocument/2006/relationships/hyperlink" Target="https://www.gov.uk/employment-tribunal-decisions/mrs-k-shand-v-stand-strong-ltd-s-4122814-2018" TargetMode="External"/><Relationship Id="rId176" Type="http://schemas.openxmlformats.org/officeDocument/2006/relationships/hyperlink" Target="https://www.gov.uk/employment-tribunal-decisions/ms-s-j-kent-v-w-m-morrisons-plc-and-mr-kelly-heads-2500744-2018" TargetMode="External"/><Relationship Id="rId17" Type="http://schemas.openxmlformats.org/officeDocument/2006/relationships/hyperlink" Target="https://www.gov.uk/employment-tribunal-decisions/mr-m-a-khan-v-mmba-accountants-ltd-t-a-mmba-chartered-certified-accounts-and-registered-auditors-2401596-2016" TargetMode="External"/><Relationship Id="rId38" Type="http://schemas.openxmlformats.org/officeDocument/2006/relationships/hyperlink" Target="https://www.gov.uk/employment-tribunal-decisions/mr-n-patel-v-mrs-s-patel-and-mr-k-patel-1401450-2015" TargetMode="External"/><Relationship Id="rId59" Type="http://schemas.openxmlformats.org/officeDocument/2006/relationships/hyperlink" Target="https://www.gov.uk/employment-tribunal-decisions?tribunal_decision_categories%5B%5D=unlawful-deduction-from-wages" TargetMode="External"/><Relationship Id="rId103" Type="http://schemas.openxmlformats.org/officeDocument/2006/relationships/hyperlink" Target="https://www.gov.uk/employment-tribunal-decisions/miss-a-roberts-v-yusuf-hanif-patel-1801236-2019" TargetMode="External"/><Relationship Id="rId124" Type="http://schemas.openxmlformats.org/officeDocument/2006/relationships/hyperlink" Target="https://www.gov.uk/employment-tribunal-decisions/miss-k-price-and-mr-p-reynolds-v-nacrogate-ltd-and-fosfelle-country-house-ltd-1401640-2016" TargetMode="External"/><Relationship Id="rId70" Type="http://schemas.openxmlformats.org/officeDocument/2006/relationships/hyperlink" Target="https://www.gov.uk/employment-tribunal-decisions?tribunal_decision_categories%5B%5D=unlawful-deduction-from-wages" TargetMode="External"/><Relationship Id="rId91" Type="http://schemas.openxmlformats.org/officeDocument/2006/relationships/hyperlink" Target="https://www.gov.uk/employment-tribunal-decisions/mr-c-crooks-v-mr-m-rahman-1301270-2018" TargetMode="External"/><Relationship Id="rId145" Type="http://schemas.openxmlformats.org/officeDocument/2006/relationships/hyperlink" Target="https://www.gov.uk/employment-tribunal-decisions/mr-s-korda-v-win-2-ltd-1400560-2016" TargetMode="External"/><Relationship Id="rId166" Type="http://schemas.openxmlformats.org/officeDocument/2006/relationships/hyperlink" Target="https://www.gov.uk/employment-tribunal-decisions/mr-k-knott-v-k-j-group-ltd-2403345-2018" TargetMode="External"/><Relationship Id="rId1" Type="http://schemas.openxmlformats.org/officeDocument/2006/relationships/hyperlink" Target="https://www.gov.uk/employment-tribunal-decisions/mr-j-keen-v-intelligent-office-systems-london-ltd-3331050-20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DFD18-22BA-4484-80E2-BDC13D76E665}">
  <dimension ref="A1:E37"/>
  <sheetViews>
    <sheetView workbookViewId="0">
      <selection activeCell="C14" sqref="C14"/>
    </sheetView>
  </sheetViews>
  <sheetFormatPr defaultRowHeight="15" x14ac:dyDescent="0.25"/>
  <cols>
    <col min="1" max="1" width="2.85546875" customWidth="1"/>
    <col min="2" max="2" width="2.28515625" customWidth="1"/>
    <col min="3" max="3" width="25.140625" customWidth="1"/>
  </cols>
  <sheetData>
    <row r="1" spans="1:5" s="16" customFormat="1" ht="18.75" x14ac:dyDescent="0.3">
      <c r="A1" s="18" t="s">
        <v>199</v>
      </c>
    </row>
    <row r="2" spans="1:5" x14ac:dyDescent="0.25">
      <c r="A2" s="12" t="s">
        <v>609</v>
      </c>
      <c r="B2" s="13"/>
      <c r="C2" s="13"/>
      <c r="D2" s="13"/>
      <c r="E2" s="13"/>
    </row>
    <row r="3" spans="1:5" x14ac:dyDescent="0.25">
      <c r="A3" s="12" t="s">
        <v>613</v>
      </c>
      <c r="B3" s="13"/>
      <c r="C3" s="13"/>
      <c r="D3" s="13"/>
      <c r="E3" s="13"/>
    </row>
    <row r="4" spans="1:5" x14ac:dyDescent="0.25">
      <c r="A4" s="12" t="s">
        <v>610</v>
      </c>
      <c r="B4" s="13"/>
      <c r="C4" s="13"/>
      <c r="D4" s="13"/>
      <c r="E4" s="13"/>
    </row>
    <row r="5" spans="1:5" x14ac:dyDescent="0.25">
      <c r="A5" s="12" t="s">
        <v>614</v>
      </c>
      <c r="B5" s="13"/>
      <c r="C5" s="13"/>
      <c r="D5" s="13"/>
      <c r="E5" s="13"/>
    </row>
    <row r="6" spans="1:5" x14ac:dyDescent="0.25">
      <c r="A6" s="12"/>
      <c r="B6" s="13"/>
      <c r="C6" s="13"/>
      <c r="D6" s="13"/>
      <c r="E6" s="13"/>
    </row>
    <row r="7" spans="1:5" x14ac:dyDescent="0.25">
      <c r="A7" s="12"/>
      <c r="B7" s="13"/>
      <c r="C7" s="13"/>
      <c r="D7" s="13"/>
      <c r="E7" s="13"/>
    </row>
    <row r="8" spans="1:5" x14ac:dyDescent="0.25">
      <c r="A8" s="12" t="s">
        <v>611</v>
      </c>
      <c r="B8" s="13"/>
      <c r="C8" s="13"/>
      <c r="D8" s="13"/>
      <c r="E8" s="13"/>
    </row>
    <row r="9" spans="1:5" s="16" customFormat="1" x14ac:dyDescent="0.25">
      <c r="A9" s="17" t="s">
        <v>612</v>
      </c>
      <c r="B9" s="15"/>
      <c r="C9" s="15"/>
      <c r="D9" s="15"/>
      <c r="E9" s="15"/>
    </row>
    <row r="10" spans="1:5" x14ac:dyDescent="0.25">
      <c r="A10" s="1">
        <v>1</v>
      </c>
      <c r="B10" t="s">
        <v>615</v>
      </c>
    </row>
    <row r="11" spans="1:5" x14ac:dyDescent="0.25">
      <c r="A11" s="1">
        <v>2</v>
      </c>
      <c r="B11" t="s">
        <v>616</v>
      </c>
    </row>
    <row r="12" spans="1:5" x14ac:dyDescent="0.25">
      <c r="A12" s="1">
        <v>3</v>
      </c>
      <c r="B12" t="s">
        <v>200</v>
      </c>
    </row>
    <row r="13" spans="1:5" x14ac:dyDescent="0.25">
      <c r="A13" s="1"/>
      <c r="B13" s="1" t="s">
        <v>202</v>
      </c>
      <c r="C13" t="s">
        <v>201</v>
      </c>
    </row>
    <row r="14" spans="1:5" x14ac:dyDescent="0.25">
      <c r="A14" s="1"/>
      <c r="B14" s="1" t="s">
        <v>203</v>
      </c>
      <c r="C14" t="s">
        <v>204</v>
      </c>
    </row>
    <row r="15" spans="1:5" x14ac:dyDescent="0.25">
      <c r="A15" s="1"/>
      <c r="B15" s="1" t="s">
        <v>205</v>
      </c>
      <c r="C15" t="s">
        <v>206</v>
      </c>
    </row>
    <row r="16" spans="1:5" x14ac:dyDescent="0.25">
      <c r="A16" s="1"/>
      <c r="B16" s="1" t="s">
        <v>594</v>
      </c>
      <c r="C16" t="s">
        <v>617</v>
      </c>
    </row>
    <row r="17" spans="1:5" x14ac:dyDescent="0.25">
      <c r="A17" s="1">
        <v>4</v>
      </c>
      <c r="B17" t="s">
        <v>207</v>
      </c>
    </row>
    <row r="18" spans="1:5" x14ac:dyDescent="0.25">
      <c r="A18" s="1"/>
      <c r="B18" t="s">
        <v>208</v>
      </c>
    </row>
    <row r="19" spans="1:5" x14ac:dyDescent="0.25">
      <c r="A19" s="1"/>
      <c r="B19" t="s">
        <v>209</v>
      </c>
    </row>
    <row r="20" spans="1:5" x14ac:dyDescent="0.25">
      <c r="A20" s="12"/>
      <c r="C20" s="13"/>
      <c r="D20" s="13"/>
      <c r="E20" s="13"/>
    </row>
    <row r="21" spans="1:5" x14ac:dyDescent="0.25">
      <c r="A21" s="36" t="s">
        <v>381</v>
      </c>
      <c r="B21" s="13"/>
      <c r="C21" s="13"/>
      <c r="D21" s="13"/>
      <c r="E21" s="13"/>
    </row>
    <row r="22" spans="1:5" x14ac:dyDescent="0.25">
      <c r="A22" s="37" t="s">
        <v>546</v>
      </c>
      <c r="B22" s="13"/>
      <c r="C22" s="13"/>
      <c r="D22" s="13"/>
      <c r="E22" s="13"/>
    </row>
    <row r="23" spans="1:5" x14ac:dyDescent="0.25">
      <c r="A23" s="12"/>
      <c r="B23" s="13"/>
      <c r="C23" s="13"/>
      <c r="D23" s="13"/>
      <c r="E23" s="13"/>
    </row>
    <row r="24" spans="1:5" s="16" customFormat="1" x14ac:dyDescent="0.25">
      <c r="A24" s="14" t="s">
        <v>210</v>
      </c>
      <c r="B24" s="15"/>
      <c r="C24" s="15"/>
      <c r="D24" s="15"/>
      <c r="E24" s="15"/>
    </row>
    <row r="25" spans="1:5" x14ac:dyDescent="0.25">
      <c r="A25" s="2" t="s">
        <v>0</v>
      </c>
      <c r="B25" s="13"/>
      <c r="C25" s="13"/>
      <c r="D25" s="13" t="s">
        <v>211</v>
      </c>
      <c r="E25" s="13"/>
    </row>
    <row r="26" spans="1:5" x14ac:dyDescent="0.25">
      <c r="A26" s="1" t="s">
        <v>104</v>
      </c>
      <c r="B26" s="13"/>
      <c r="C26" s="13"/>
      <c r="D26" s="13" t="s">
        <v>212</v>
      </c>
      <c r="E26" s="13"/>
    </row>
    <row r="27" spans="1:5" x14ac:dyDescent="0.25">
      <c r="A27" s="1" t="s">
        <v>4</v>
      </c>
      <c r="B27" s="13"/>
      <c r="C27" s="13"/>
      <c r="D27" s="13" t="s">
        <v>213</v>
      </c>
      <c r="E27" s="13"/>
    </row>
    <row r="28" spans="1:5" x14ac:dyDescent="0.25">
      <c r="A28" s="1" t="s">
        <v>8</v>
      </c>
      <c r="B28" s="13"/>
      <c r="C28" s="13"/>
      <c r="D28" s="13" t="s">
        <v>214</v>
      </c>
      <c r="E28" s="13"/>
    </row>
    <row r="29" spans="1:5" x14ac:dyDescent="0.25">
      <c r="A29" s="1" t="s">
        <v>9</v>
      </c>
      <c r="B29" s="13"/>
      <c r="C29" s="13"/>
      <c r="D29" s="13" t="s">
        <v>215</v>
      </c>
      <c r="E29" s="13"/>
    </row>
    <row r="30" spans="1:5" x14ac:dyDescent="0.25">
      <c r="A30" s="1" t="s">
        <v>1</v>
      </c>
      <c r="B30" s="13"/>
      <c r="C30" s="13"/>
      <c r="D30" s="13" t="s">
        <v>216</v>
      </c>
      <c r="E30" s="13"/>
    </row>
    <row r="31" spans="1:5" x14ac:dyDescent="0.25">
      <c r="A31" s="1" t="s">
        <v>25</v>
      </c>
      <c r="B31" s="13"/>
      <c r="C31" s="13"/>
      <c r="D31" s="13" t="s">
        <v>217</v>
      </c>
      <c r="E31" s="13"/>
    </row>
    <row r="32" spans="1:5" x14ac:dyDescent="0.25">
      <c r="A32" s="1" t="s">
        <v>2</v>
      </c>
      <c r="B32" s="13"/>
      <c r="C32" s="13"/>
      <c r="D32" s="13" t="s">
        <v>261</v>
      </c>
      <c r="E32" s="13"/>
    </row>
    <row r="33" spans="1:5" x14ac:dyDescent="0.25">
      <c r="A33" s="1" t="s">
        <v>290</v>
      </c>
      <c r="D33" s="13" t="s">
        <v>291</v>
      </c>
      <c r="E33" s="13"/>
    </row>
    <row r="34" spans="1:5" x14ac:dyDescent="0.25">
      <c r="A34" s="1" t="s">
        <v>34</v>
      </c>
      <c r="B34" s="13"/>
      <c r="C34" s="13"/>
      <c r="D34" s="13" t="s">
        <v>218</v>
      </c>
      <c r="E34" s="13"/>
    </row>
    <row r="35" spans="1:5" x14ac:dyDescent="0.25">
      <c r="A35" s="1" t="s">
        <v>5</v>
      </c>
      <c r="B35" s="13"/>
      <c r="C35" s="13"/>
      <c r="D35" s="13" t="s">
        <v>219</v>
      </c>
      <c r="E35" s="13"/>
    </row>
    <row r="36" spans="1:5" x14ac:dyDescent="0.25">
      <c r="A36" s="1" t="s">
        <v>3</v>
      </c>
      <c r="B36" s="13"/>
      <c r="C36" s="13"/>
      <c r="D36" s="13" t="s">
        <v>220</v>
      </c>
      <c r="E36" s="13"/>
    </row>
    <row r="37" spans="1:5" x14ac:dyDescent="0.25">
      <c r="A37" s="13"/>
      <c r="B37" s="13"/>
      <c r="C37" s="13"/>
      <c r="D37" s="13"/>
      <c r="E37" s="13"/>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67415-D738-4CBC-B832-6DF8AB9EEFC9}">
  <dimension ref="A1:AB168"/>
  <sheetViews>
    <sheetView tabSelected="1" topLeftCell="A3" workbookViewId="0">
      <pane ySplit="1" topLeftCell="A4" activePane="bottomLeft" state="frozen"/>
      <selection activeCell="A3" sqref="A3"/>
      <selection pane="bottomLeft" activeCell="A11" sqref="A11"/>
    </sheetView>
  </sheetViews>
  <sheetFormatPr defaultRowHeight="15" x14ac:dyDescent="0.25"/>
  <cols>
    <col min="1" max="1" width="26.140625" customWidth="1"/>
    <col min="10" max="26" width="8.7109375" customWidth="1"/>
  </cols>
  <sheetData>
    <row r="1" spans="1:28" x14ac:dyDescent="0.25">
      <c r="A1" s="1" t="s">
        <v>595</v>
      </c>
    </row>
    <row r="3" spans="1:28" s="35" customFormat="1" ht="61.5" customHeight="1" x14ac:dyDescent="0.25">
      <c r="A3" s="25" t="s">
        <v>0</v>
      </c>
      <c r="B3" s="25" t="s">
        <v>104</v>
      </c>
      <c r="C3" s="25" t="s">
        <v>265</v>
      </c>
      <c r="D3" s="25" t="s">
        <v>8</v>
      </c>
      <c r="E3" s="25" t="s">
        <v>9</v>
      </c>
      <c r="F3" s="25" t="s">
        <v>269</v>
      </c>
      <c r="G3" s="25" t="s">
        <v>233</v>
      </c>
      <c r="H3" s="25" t="s">
        <v>25</v>
      </c>
      <c r="I3" s="25" t="s">
        <v>2</v>
      </c>
      <c r="J3" s="25" t="s">
        <v>289</v>
      </c>
      <c r="K3" s="25" t="s">
        <v>34</v>
      </c>
      <c r="L3" s="25" t="s">
        <v>596</v>
      </c>
      <c r="M3" s="25" t="s">
        <v>283</v>
      </c>
      <c r="N3" s="25" t="s">
        <v>279</v>
      </c>
      <c r="O3" s="25" t="s">
        <v>602</v>
      </c>
      <c r="P3" s="25" t="s">
        <v>280</v>
      </c>
      <c r="Q3" s="25" t="s">
        <v>284</v>
      </c>
      <c r="R3" s="25" t="s">
        <v>285</v>
      </c>
      <c r="S3" s="25" t="s">
        <v>286</v>
      </c>
      <c r="T3" s="25" t="s">
        <v>603</v>
      </c>
      <c r="U3" s="25" t="s">
        <v>604</v>
      </c>
      <c r="V3" s="25" t="s">
        <v>606</v>
      </c>
      <c r="W3" s="25" t="s">
        <v>607</v>
      </c>
      <c r="X3" s="25" t="s">
        <v>288</v>
      </c>
      <c r="Y3" s="25" t="s">
        <v>292</v>
      </c>
      <c r="Z3" s="25" t="s">
        <v>597</v>
      </c>
      <c r="AA3" s="25" t="s">
        <v>5</v>
      </c>
      <c r="AB3" s="25" t="s">
        <v>3</v>
      </c>
    </row>
    <row r="4" spans="1:28" x14ac:dyDescent="0.25">
      <c r="A4" s="9" t="s">
        <v>10</v>
      </c>
      <c r="B4" s="6">
        <v>43346</v>
      </c>
      <c r="C4" s="6" t="s">
        <v>267</v>
      </c>
      <c r="D4" s="10">
        <f>5194.8+2170.1</f>
        <v>7364.9</v>
      </c>
      <c r="E4" s="7">
        <v>2</v>
      </c>
      <c r="F4" s="7">
        <f>IF(D4/E4&gt;0,D4/E4,"")</f>
        <v>3682.45</v>
      </c>
      <c r="G4" s="10"/>
      <c r="H4" s="10"/>
      <c r="I4" s="10"/>
      <c r="J4" s="7" t="s">
        <v>14</v>
      </c>
      <c r="K4" s="7" t="s">
        <v>234</v>
      </c>
      <c r="L4" s="7">
        <f>IF(ISNUMBER(SEARCH("National Minimum Wage",K4)),1,0)</f>
        <v>1</v>
      </c>
      <c r="M4" s="7">
        <f>IF(ISNUMBER(SEARCH("Unlawful deduction",K4)),1,0)</f>
        <v>1</v>
      </c>
      <c r="N4" s="7">
        <f>IF(ISNUMBER(SEARCH("Unfair dismissal",K4)),1,0)</f>
        <v>0</v>
      </c>
      <c r="O4" s="7">
        <f>IF(ISNUMBER(SEARCH("Contract of employment",K4)),1,0)</f>
        <v>0</v>
      </c>
      <c r="P4" s="7">
        <f t="shared" ref="P4:P66" si="0">IF(ISNUMBER(SEARCH("discrimination",K4)),1,0)</f>
        <v>0</v>
      </c>
      <c r="Q4" s="3">
        <f>IF(ISNUMBER(SEARCH("Breach",K4)),1,0)</f>
        <v>0</v>
      </c>
      <c r="R4" s="7">
        <f>IF(ISNUMBER(SEARCH("Working time",K4)),1,0)</f>
        <v>1</v>
      </c>
      <c r="S4" s="7">
        <f>IF(ISNUMBER(SEARCH("Written pay statement",K4)),1,0)</f>
        <v>1</v>
      </c>
      <c r="T4" s="7">
        <f>IF(ISNUMBER(SEARCH("Written statements",K4)),1,0)</f>
        <v>0</v>
      </c>
      <c r="U4" s="7">
        <f t="shared" ref="U4:U35" si="1">IF(ISNUMBER(SEARCH("Maternity",K4)),1,0)</f>
        <v>0</v>
      </c>
      <c r="V4" s="7">
        <f>IF(ISNUMBER(SEARCH("Time off",K4)),1,0)</f>
        <v>0</v>
      </c>
      <c r="W4" s="7">
        <f>IF(ISNUMBER(SEARCH("Redundancy",K4)),1,0)</f>
        <v>0</v>
      </c>
      <c r="X4" s="7">
        <f>IF(SUM(N4:W4)&gt;0,1,0)</f>
        <v>1</v>
      </c>
      <c r="Y4" s="7">
        <f>IF(SUM(N4:P4,R4:W4)&gt;0,1,0)</f>
        <v>1</v>
      </c>
      <c r="Z4" s="7">
        <f>SUM(L4:W4)</f>
        <v>4</v>
      </c>
      <c r="AA4" s="7" t="s">
        <v>13</v>
      </c>
      <c r="AB4" s="5" t="s">
        <v>11</v>
      </c>
    </row>
    <row r="5" spans="1:28" x14ac:dyDescent="0.25">
      <c r="A5" s="9" t="s">
        <v>15</v>
      </c>
      <c r="B5" s="8">
        <v>43644</v>
      </c>
      <c r="C5" s="6" t="s">
        <v>267</v>
      </c>
      <c r="D5" s="10">
        <v>2165.4499999999998</v>
      </c>
      <c r="E5" s="7">
        <v>2</v>
      </c>
      <c r="F5" s="7">
        <f t="shared" ref="F5:F68" si="2">IF(D5/E5&gt;0,D5/E5,"")</f>
        <v>1082.7249999999999</v>
      </c>
      <c r="G5" s="10"/>
      <c r="H5" s="10"/>
      <c r="I5" s="10"/>
      <c r="J5" s="7" t="s">
        <v>14</v>
      </c>
      <c r="K5" s="7" t="s">
        <v>235</v>
      </c>
      <c r="L5" s="7">
        <f t="shared" ref="L5:L68" si="3">IF(ISNUMBER(SEARCH("National Minimum Wage",K5)),1,0)</f>
        <v>1</v>
      </c>
      <c r="M5" s="7">
        <f t="shared" ref="M5:M66" si="4">IF(ISNUMBER(SEARCH("Unlawful deduction",K5)),1,0)</f>
        <v>1</v>
      </c>
      <c r="N5" s="7">
        <f t="shared" ref="N5:N6" si="5">IF(ISNUMBER(SEARCH("Unfair dismissal",K5)),1,0)</f>
        <v>1</v>
      </c>
      <c r="O5" s="7">
        <f t="shared" ref="O5:O6" si="6">IF(ISNUMBER(SEARCH("Contract of employment",K5)),1,0)</f>
        <v>1</v>
      </c>
      <c r="P5" s="7">
        <f t="shared" si="0"/>
        <v>0</v>
      </c>
      <c r="Q5" s="3">
        <f t="shared" ref="Q5:Q66" si="7">IF(ISNUMBER(SEARCH("Breach",K5)),1,0)</f>
        <v>1</v>
      </c>
      <c r="R5" s="7">
        <f t="shared" ref="R5:R66" si="8">IF(ISNUMBER(SEARCH("Working time",K5)),1,0)</f>
        <v>1</v>
      </c>
      <c r="S5" s="7">
        <f t="shared" ref="S5:S6" si="9">IF(ISNUMBER(SEARCH("Written pay statement",K5)),1,0)</f>
        <v>0</v>
      </c>
      <c r="T5" s="7">
        <f t="shared" ref="T5:T6" si="10">IF(ISNUMBER(SEARCH("Written statements",K5)),1,0)</f>
        <v>0</v>
      </c>
      <c r="U5" s="7">
        <f t="shared" si="1"/>
        <v>0</v>
      </c>
      <c r="V5" s="7">
        <f t="shared" ref="V5:V6" si="11">IF(ISNUMBER(SEARCH("Time off",K5)),1,0)</f>
        <v>0</v>
      </c>
      <c r="W5" s="7">
        <f t="shared" ref="W5:W6" si="12">IF(ISNUMBER(SEARCH("Redundancy",K5)),1,0)</f>
        <v>0</v>
      </c>
      <c r="X5" s="7">
        <f t="shared" ref="X5:X6" si="13">IF(SUM(N5:W5)&gt;0,1,0)</f>
        <v>1</v>
      </c>
      <c r="Y5" s="7">
        <f t="shared" ref="Y5:Y6" si="14">IF(SUM(N5:P5,R5:W5)&gt;0,1,0)</f>
        <v>1</v>
      </c>
      <c r="Z5" s="7">
        <f t="shared" ref="Z5:Z6" si="15">SUM(L5:W5)</f>
        <v>6</v>
      </c>
      <c r="AA5" s="7" t="s">
        <v>12</v>
      </c>
      <c r="AB5" s="5" t="s">
        <v>16</v>
      </c>
    </row>
    <row r="6" spans="1:28" x14ac:dyDescent="0.25">
      <c r="A6" s="9" t="s">
        <v>19</v>
      </c>
      <c r="B6" s="6">
        <v>43615</v>
      </c>
      <c r="C6" s="6" t="s">
        <v>267</v>
      </c>
      <c r="D6" s="10">
        <v>56593.8</v>
      </c>
      <c r="E6" s="7">
        <v>1</v>
      </c>
      <c r="F6" s="7">
        <f t="shared" si="2"/>
        <v>56593.8</v>
      </c>
      <c r="G6" s="10"/>
      <c r="H6" s="10"/>
      <c r="I6" s="10"/>
      <c r="J6" s="7" t="s">
        <v>14</v>
      </c>
      <c r="K6" s="7" t="s">
        <v>236</v>
      </c>
      <c r="L6" s="7">
        <f t="shared" si="3"/>
        <v>1</v>
      </c>
      <c r="M6" s="7">
        <f t="shared" si="4"/>
        <v>1</v>
      </c>
      <c r="N6" s="7">
        <f t="shared" si="5"/>
        <v>0</v>
      </c>
      <c r="O6" s="7">
        <f t="shared" si="6"/>
        <v>0</v>
      </c>
      <c r="P6" s="7">
        <f t="shared" si="0"/>
        <v>0</v>
      </c>
      <c r="Q6" s="3">
        <f t="shared" si="7"/>
        <v>0</v>
      </c>
      <c r="R6" s="7">
        <f t="shared" si="8"/>
        <v>1</v>
      </c>
      <c r="S6" s="7">
        <f t="shared" si="9"/>
        <v>0</v>
      </c>
      <c r="T6" s="7">
        <f t="shared" si="10"/>
        <v>0</v>
      </c>
      <c r="U6" s="7">
        <f t="shared" si="1"/>
        <v>0</v>
      </c>
      <c r="V6" s="7">
        <f t="shared" si="11"/>
        <v>0</v>
      </c>
      <c r="W6" s="7">
        <f t="shared" si="12"/>
        <v>0</v>
      </c>
      <c r="X6" s="7">
        <f t="shared" si="13"/>
        <v>1</v>
      </c>
      <c r="Y6" s="7">
        <f t="shared" si="14"/>
        <v>1</v>
      </c>
      <c r="Z6" s="7">
        <f t="shared" si="15"/>
        <v>3</v>
      </c>
      <c r="AA6" s="7" t="s">
        <v>17</v>
      </c>
      <c r="AB6" s="5" t="s">
        <v>18</v>
      </c>
    </row>
    <row r="7" spans="1:28" x14ac:dyDescent="0.25">
      <c r="A7" s="9" t="s">
        <v>20</v>
      </c>
      <c r="B7" s="6">
        <v>43626</v>
      </c>
      <c r="C7" s="6" t="s">
        <v>267</v>
      </c>
      <c r="D7" s="10"/>
      <c r="E7" s="7">
        <v>1</v>
      </c>
      <c r="F7" s="7" t="str">
        <f t="shared" si="2"/>
        <v/>
      </c>
      <c r="G7" s="10"/>
      <c r="H7" s="10"/>
      <c r="I7" s="10"/>
      <c r="J7" s="7" t="s">
        <v>14</v>
      </c>
      <c r="K7" s="7" t="s">
        <v>237</v>
      </c>
      <c r="L7" s="7">
        <f t="shared" si="3"/>
        <v>1</v>
      </c>
      <c r="M7" s="7">
        <f t="shared" si="4"/>
        <v>1</v>
      </c>
      <c r="N7" s="7">
        <f t="shared" ref="N7:N66" si="16">IF(ISNUMBER(SEARCH("dismissal",K7)),1,0)</f>
        <v>1</v>
      </c>
      <c r="O7" s="7"/>
      <c r="P7" s="7">
        <f t="shared" si="0"/>
        <v>0</v>
      </c>
      <c r="Q7" s="3">
        <f t="shared" si="7"/>
        <v>1</v>
      </c>
      <c r="R7" s="7">
        <f t="shared" si="8"/>
        <v>0</v>
      </c>
      <c r="S7" s="7">
        <f t="shared" ref="S7:S66" si="17">IF(ISNUMBER(SEARCH("Written",K7)),1,0)</f>
        <v>0</v>
      </c>
      <c r="T7" s="7"/>
      <c r="U7" s="7">
        <f t="shared" si="1"/>
        <v>0</v>
      </c>
      <c r="V7" s="7"/>
      <c r="W7" s="7"/>
      <c r="X7" s="7">
        <f>IF(SUM(N7:U7)&gt;0,1,0)</f>
        <v>1</v>
      </c>
      <c r="Y7" s="7">
        <f>IF(SUM(N7:P7,R7:U7)&gt;0,1,0)</f>
        <v>1</v>
      </c>
      <c r="Z7" s="7">
        <f>SUM(L7:U7)</f>
        <v>4</v>
      </c>
      <c r="AA7" s="7" t="s">
        <v>21</v>
      </c>
      <c r="AB7" s="5" t="s">
        <v>22</v>
      </c>
    </row>
    <row r="8" spans="1:28" x14ac:dyDescent="0.25">
      <c r="A8" s="9" t="s">
        <v>24</v>
      </c>
      <c r="B8" s="6">
        <v>43623</v>
      </c>
      <c r="C8" s="6" t="s">
        <v>267</v>
      </c>
      <c r="D8" s="10"/>
      <c r="E8" s="7">
        <v>1</v>
      </c>
      <c r="F8" s="7" t="str">
        <f t="shared" si="2"/>
        <v/>
      </c>
      <c r="G8" s="10"/>
      <c r="H8" s="10"/>
      <c r="I8" s="10"/>
      <c r="J8" s="7" t="s">
        <v>14</v>
      </c>
      <c r="K8" s="7" t="s">
        <v>175</v>
      </c>
      <c r="L8" s="7">
        <f t="shared" si="3"/>
        <v>1</v>
      </c>
      <c r="M8" s="7">
        <f t="shared" si="4"/>
        <v>1</v>
      </c>
      <c r="N8" s="7">
        <f t="shared" si="16"/>
        <v>1</v>
      </c>
      <c r="O8" s="7"/>
      <c r="P8" s="7">
        <f t="shared" si="0"/>
        <v>0</v>
      </c>
      <c r="Q8" s="3">
        <f t="shared" si="7"/>
        <v>0</v>
      </c>
      <c r="R8" s="7">
        <f t="shared" si="8"/>
        <v>1</v>
      </c>
      <c r="S8" s="7">
        <f t="shared" si="17"/>
        <v>0</v>
      </c>
      <c r="T8" s="7"/>
      <c r="U8" s="7">
        <f t="shared" si="1"/>
        <v>0</v>
      </c>
      <c r="V8" s="7"/>
      <c r="W8" s="7"/>
      <c r="X8" s="7">
        <f>IF(SUM(N8:U8)&gt;0,1,0)</f>
        <v>1</v>
      </c>
      <c r="Y8" s="7">
        <f>IF(SUM(N8:P8,R8:U8)&gt;0,1,0)</f>
        <v>1</v>
      </c>
      <c r="Z8" s="7">
        <f>SUM(L8:U8)</f>
        <v>4</v>
      </c>
      <c r="AA8" s="7" t="s">
        <v>21</v>
      </c>
      <c r="AB8" s="5" t="s">
        <v>23</v>
      </c>
    </row>
    <row r="9" spans="1:28" x14ac:dyDescent="0.25">
      <c r="A9" s="9" t="s">
        <v>27</v>
      </c>
      <c r="B9" s="6">
        <v>43620</v>
      </c>
      <c r="C9" s="6" t="s">
        <v>267</v>
      </c>
      <c r="D9" s="10">
        <v>1806.14</v>
      </c>
      <c r="E9" s="7">
        <v>1</v>
      </c>
      <c r="F9" s="7">
        <f t="shared" si="2"/>
        <v>1806.14</v>
      </c>
      <c r="G9" s="10"/>
      <c r="H9" s="10">
        <v>100</v>
      </c>
      <c r="I9" s="10"/>
      <c r="J9" s="7" t="s">
        <v>14</v>
      </c>
      <c r="K9" s="7" t="s">
        <v>238</v>
      </c>
      <c r="L9" s="7">
        <f t="shared" si="3"/>
        <v>1</v>
      </c>
      <c r="M9" s="7">
        <f t="shared" si="4"/>
        <v>1</v>
      </c>
      <c r="N9" s="7">
        <f t="shared" ref="N9:N15" si="18">IF(ISNUMBER(SEARCH("Unfair dismissal",K9)),1,0)</f>
        <v>0</v>
      </c>
      <c r="O9" s="7">
        <f t="shared" ref="O9:O15" si="19">IF(ISNUMBER(SEARCH("Contract of employment",K9)),1,0)</f>
        <v>1</v>
      </c>
      <c r="P9" s="7">
        <f t="shared" si="0"/>
        <v>0</v>
      </c>
      <c r="Q9" s="3">
        <f t="shared" si="7"/>
        <v>0</v>
      </c>
      <c r="R9" s="7">
        <f t="shared" si="8"/>
        <v>1</v>
      </c>
      <c r="S9" s="7">
        <f t="shared" ref="S9:S15" si="20">IF(ISNUMBER(SEARCH("Written pay statement",K9)),1,0)</f>
        <v>1</v>
      </c>
      <c r="T9" s="7">
        <f t="shared" ref="T9:T15" si="21">IF(ISNUMBER(SEARCH("Written statements",K9)),1,0)</f>
        <v>0</v>
      </c>
      <c r="U9" s="7">
        <f t="shared" si="1"/>
        <v>0</v>
      </c>
      <c r="V9" s="7">
        <f t="shared" ref="V9:V15" si="22">IF(ISNUMBER(SEARCH("Time off",K9)),1,0)</f>
        <v>0</v>
      </c>
      <c r="W9" s="7">
        <f t="shared" ref="W9:W15" si="23">IF(ISNUMBER(SEARCH("Redundancy",K9)),1,0)</f>
        <v>0</v>
      </c>
      <c r="X9" s="7">
        <f t="shared" ref="X9:X15" si="24">IF(SUM(N9:W9)&gt;0,1,0)</f>
        <v>1</v>
      </c>
      <c r="Y9" s="7">
        <f t="shared" ref="Y9:Y15" si="25">IF(SUM(N9:P9,R9:W9)&gt;0,1,0)</f>
        <v>1</v>
      </c>
      <c r="Z9" s="7">
        <f t="shared" ref="Z9:Z15" si="26">SUM(L9:W9)</f>
        <v>5</v>
      </c>
      <c r="AA9" s="9" t="s">
        <v>270</v>
      </c>
      <c r="AB9" s="5" t="s">
        <v>26</v>
      </c>
    </row>
    <row r="10" spans="1:28" x14ac:dyDescent="0.25">
      <c r="A10" s="9" t="s">
        <v>30</v>
      </c>
      <c r="B10" s="6">
        <v>43608</v>
      </c>
      <c r="C10" s="6" t="s">
        <v>267</v>
      </c>
      <c r="D10" s="10">
        <f>13966+15016</f>
        <v>28982</v>
      </c>
      <c r="E10" s="7">
        <v>2</v>
      </c>
      <c r="F10" s="7">
        <f t="shared" si="2"/>
        <v>14491</v>
      </c>
      <c r="G10" s="10"/>
      <c r="H10" s="10"/>
      <c r="I10" s="10">
        <v>8000</v>
      </c>
      <c r="J10" s="7" t="s">
        <v>14</v>
      </c>
      <c r="K10" s="7" t="s">
        <v>239</v>
      </c>
      <c r="L10" s="7">
        <f t="shared" si="3"/>
        <v>1</v>
      </c>
      <c r="M10" s="7">
        <f t="shared" si="4"/>
        <v>1</v>
      </c>
      <c r="N10" s="7">
        <f t="shared" si="18"/>
        <v>1</v>
      </c>
      <c r="O10" s="7">
        <f t="shared" si="19"/>
        <v>1</v>
      </c>
      <c r="P10" s="7">
        <f t="shared" si="0"/>
        <v>0</v>
      </c>
      <c r="Q10" s="3">
        <f t="shared" si="7"/>
        <v>0</v>
      </c>
      <c r="R10" s="7">
        <f t="shared" si="8"/>
        <v>1</v>
      </c>
      <c r="S10" s="7">
        <f t="shared" si="20"/>
        <v>0</v>
      </c>
      <c r="T10" s="7">
        <f t="shared" si="21"/>
        <v>0</v>
      </c>
      <c r="U10" s="7">
        <f t="shared" si="1"/>
        <v>0</v>
      </c>
      <c r="V10" s="7">
        <f t="shared" si="22"/>
        <v>0</v>
      </c>
      <c r="W10" s="7">
        <f t="shared" si="23"/>
        <v>0</v>
      </c>
      <c r="X10" s="7">
        <f t="shared" si="24"/>
        <v>1</v>
      </c>
      <c r="Y10" s="7">
        <f t="shared" si="25"/>
        <v>1</v>
      </c>
      <c r="Z10" s="7">
        <f t="shared" si="26"/>
        <v>5</v>
      </c>
      <c r="AA10" s="7" t="s">
        <v>28</v>
      </c>
      <c r="AB10" s="5" t="s">
        <v>29</v>
      </c>
    </row>
    <row r="11" spans="1:28" x14ac:dyDescent="0.25">
      <c r="A11" s="9" t="s">
        <v>31</v>
      </c>
      <c r="B11" s="6">
        <v>43412</v>
      </c>
      <c r="C11" s="6" t="s">
        <v>267</v>
      </c>
      <c r="D11" s="10">
        <f>1482+3369.1</f>
        <v>4851.1000000000004</v>
      </c>
      <c r="E11" s="7">
        <v>1</v>
      </c>
      <c r="F11" s="7">
        <f t="shared" si="2"/>
        <v>4851.1000000000004</v>
      </c>
      <c r="G11" s="10"/>
      <c r="H11" s="10"/>
      <c r="I11" s="10"/>
      <c r="J11" s="7" t="s">
        <v>14</v>
      </c>
      <c r="K11" s="7" t="s">
        <v>240</v>
      </c>
      <c r="L11" s="7">
        <f t="shared" si="3"/>
        <v>1</v>
      </c>
      <c r="M11" s="7">
        <f t="shared" si="4"/>
        <v>1</v>
      </c>
      <c r="N11" s="7">
        <f t="shared" si="18"/>
        <v>1</v>
      </c>
      <c r="O11" s="7">
        <f t="shared" si="19"/>
        <v>1</v>
      </c>
      <c r="P11" s="7">
        <f t="shared" si="0"/>
        <v>0</v>
      </c>
      <c r="Q11" s="3">
        <f t="shared" si="7"/>
        <v>1</v>
      </c>
      <c r="R11" s="7">
        <f t="shared" si="8"/>
        <v>0</v>
      </c>
      <c r="S11" s="7">
        <f t="shared" si="20"/>
        <v>0</v>
      </c>
      <c r="T11" s="7">
        <f t="shared" si="21"/>
        <v>0</v>
      </c>
      <c r="U11" s="7">
        <f t="shared" si="1"/>
        <v>0</v>
      </c>
      <c r="V11" s="7">
        <f t="shared" si="22"/>
        <v>0</v>
      </c>
      <c r="W11" s="7">
        <f t="shared" si="23"/>
        <v>0</v>
      </c>
      <c r="X11" s="7">
        <f t="shared" si="24"/>
        <v>1</v>
      </c>
      <c r="Y11" s="7">
        <f t="shared" si="25"/>
        <v>1</v>
      </c>
      <c r="Z11" s="7">
        <f t="shared" si="26"/>
        <v>5</v>
      </c>
      <c r="AA11" s="9" t="s">
        <v>33</v>
      </c>
      <c r="AB11" s="5" t="s">
        <v>32</v>
      </c>
    </row>
    <row r="12" spans="1:28" x14ac:dyDescent="0.25">
      <c r="A12" s="9" t="s">
        <v>36</v>
      </c>
      <c r="B12" s="6">
        <v>43326</v>
      </c>
      <c r="C12" s="6" t="s">
        <v>267</v>
      </c>
      <c r="D12" s="10">
        <v>988.7</v>
      </c>
      <c r="E12" s="7">
        <v>1</v>
      </c>
      <c r="F12" s="7">
        <f t="shared" si="2"/>
        <v>988.7</v>
      </c>
      <c r="G12" s="10"/>
      <c r="H12" s="10"/>
      <c r="I12" s="10"/>
      <c r="J12" s="7" t="s">
        <v>14</v>
      </c>
      <c r="K12" s="7" t="s">
        <v>243</v>
      </c>
      <c r="L12" s="7">
        <f t="shared" si="3"/>
        <v>1</v>
      </c>
      <c r="M12" s="7">
        <f t="shared" si="4"/>
        <v>1</v>
      </c>
      <c r="N12" s="7">
        <f t="shared" si="18"/>
        <v>1</v>
      </c>
      <c r="O12" s="7">
        <f t="shared" si="19"/>
        <v>0</v>
      </c>
      <c r="P12" s="7">
        <f t="shared" si="0"/>
        <v>1</v>
      </c>
      <c r="Q12" s="3">
        <f t="shared" si="7"/>
        <v>1</v>
      </c>
      <c r="R12" s="7">
        <f t="shared" si="8"/>
        <v>0</v>
      </c>
      <c r="S12" s="7">
        <f t="shared" si="20"/>
        <v>0</v>
      </c>
      <c r="T12" s="7">
        <f t="shared" si="21"/>
        <v>0</v>
      </c>
      <c r="U12" s="7">
        <f t="shared" si="1"/>
        <v>0</v>
      </c>
      <c r="V12" s="7">
        <f t="shared" si="22"/>
        <v>0</v>
      </c>
      <c r="W12" s="7">
        <f t="shared" si="23"/>
        <v>0</v>
      </c>
      <c r="X12" s="7">
        <f t="shared" si="24"/>
        <v>1</v>
      </c>
      <c r="Y12" s="7">
        <f t="shared" si="25"/>
        <v>1</v>
      </c>
      <c r="Z12" s="7">
        <f t="shared" si="26"/>
        <v>5</v>
      </c>
      <c r="AA12" s="9" t="s">
        <v>35</v>
      </c>
      <c r="AB12" s="3" t="s">
        <v>37</v>
      </c>
    </row>
    <row r="13" spans="1:28" x14ac:dyDescent="0.25">
      <c r="A13" s="9" t="s">
        <v>40</v>
      </c>
      <c r="B13" s="19">
        <v>43171</v>
      </c>
      <c r="C13" s="6" t="s">
        <v>267</v>
      </c>
      <c r="D13" s="10">
        <f>323.05+780.65+751.4+748.15+741.98+691.28+821.93+716.63+774.8</f>
        <v>6349.8700000000008</v>
      </c>
      <c r="E13" s="7">
        <v>8</v>
      </c>
      <c r="F13" s="7">
        <f t="shared" si="2"/>
        <v>793.7337500000001</v>
      </c>
      <c r="G13" s="10"/>
      <c r="H13" s="10"/>
      <c r="I13" s="10"/>
      <c r="J13" s="7" t="s">
        <v>14</v>
      </c>
      <c r="K13" s="7" t="s">
        <v>244</v>
      </c>
      <c r="L13" s="7">
        <f t="shared" si="3"/>
        <v>1</v>
      </c>
      <c r="M13" s="7">
        <f t="shared" si="4"/>
        <v>1</v>
      </c>
      <c r="N13" s="7">
        <f t="shared" si="18"/>
        <v>0</v>
      </c>
      <c r="O13" s="7">
        <f t="shared" si="19"/>
        <v>0</v>
      </c>
      <c r="P13" s="7">
        <f t="shared" si="0"/>
        <v>0</v>
      </c>
      <c r="Q13" s="3">
        <f t="shared" si="7"/>
        <v>0</v>
      </c>
      <c r="R13" s="7">
        <f t="shared" si="8"/>
        <v>0</v>
      </c>
      <c r="S13" s="7">
        <f t="shared" si="20"/>
        <v>1</v>
      </c>
      <c r="T13" s="7">
        <f t="shared" si="21"/>
        <v>0</v>
      </c>
      <c r="U13" s="7">
        <f t="shared" si="1"/>
        <v>0</v>
      </c>
      <c r="V13" s="7">
        <f t="shared" si="22"/>
        <v>0</v>
      </c>
      <c r="W13" s="7">
        <f t="shared" si="23"/>
        <v>0</v>
      </c>
      <c r="X13" s="7">
        <f t="shared" si="24"/>
        <v>1</v>
      </c>
      <c r="Y13" s="7">
        <f t="shared" si="25"/>
        <v>1</v>
      </c>
      <c r="Z13" s="7">
        <f t="shared" si="26"/>
        <v>3</v>
      </c>
      <c r="AA13" s="9" t="s">
        <v>38</v>
      </c>
      <c r="AB13" s="3" t="s">
        <v>39</v>
      </c>
    </row>
    <row r="14" spans="1:28" x14ac:dyDescent="0.25">
      <c r="A14" s="9" t="s">
        <v>43</v>
      </c>
      <c r="B14" s="6">
        <v>43572</v>
      </c>
      <c r="C14" s="6" t="s">
        <v>267</v>
      </c>
      <c r="D14" s="10">
        <v>10831.72</v>
      </c>
      <c r="E14" s="7">
        <v>1</v>
      </c>
      <c r="F14" s="7">
        <f t="shared" si="2"/>
        <v>10831.72</v>
      </c>
      <c r="G14" s="10"/>
      <c r="H14" s="10"/>
      <c r="I14" s="10"/>
      <c r="J14" s="7" t="s">
        <v>14</v>
      </c>
      <c r="K14" s="7" t="s">
        <v>245</v>
      </c>
      <c r="L14" s="7">
        <f t="shared" si="3"/>
        <v>1</v>
      </c>
      <c r="M14" s="7">
        <f t="shared" si="4"/>
        <v>1</v>
      </c>
      <c r="N14" s="7">
        <f t="shared" si="18"/>
        <v>0</v>
      </c>
      <c r="O14" s="7">
        <f t="shared" si="19"/>
        <v>1</v>
      </c>
      <c r="P14" s="7">
        <f t="shared" si="0"/>
        <v>0</v>
      </c>
      <c r="Q14" s="3">
        <f t="shared" si="7"/>
        <v>0</v>
      </c>
      <c r="R14" s="7">
        <f t="shared" si="8"/>
        <v>0</v>
      </c>
      <c r="S14" s="7">
        <f t="shared" si="20"/>
        <v>1</v>
      </c>
      <c r="T14" s="7">
        <f t="shared" si="21"/>
        <v>0</v>
      </c>
      <c r="U14" s="7">
        <f t="shared" si="1"/>
        <v>0</v>
      </c>
      <c r="V14" s="7">
        <f t="shared" si="22"/>
        <v>0</v>
      </c>
      <c r="W14" s="7">
        <f t="shared" si="23"/>
        <v>0</v>
      </c>
      <c r="X14" s="7">
        <f t="shared" si="24"/>
        <v>1</v>
      </c>
      <c r="Y14" s="7">
        <f t="shared" si="25"/>
        <v>1</v>
      </c>
      <c r="Z14" s="7">
        <f t="shared" si="26"/>
        <v>4</v>
      </c>
      <c r="AA14" s="9" t="s">
        <v>42</v>
      </c>
      <c r="AB14" s="3" t="s">
        <v>41</v>
      </c>
    </row>
    <row r="15" spans="1:28" x14ac:dyDescent="0.25">
      <c r="A15" s="9" t="s">
        <v>46</v>
      </c>
      <c r="B15" s="6">
        <v>43565</v>
      </c>
      <c r="C15" s="6" t="s">
        <v>267</v>
      </c>
      <c r="D15" s="10">
        <v>278.2</v>
      </c>
      <c r="E15" s="7">
        <v>1</v>
      </c>
      <c r="F15" s="7">
        <f t="shared" si="2"/>
        <v>278.2</v>
      </c>
      <c r="G15" s="10"/>
      <c r="H15" s="10"/>
      <c r="I15" s="10"/>
      <c r="J15" s="7" t="s">
        <v>14</v>
      </c>
      <c r="K15" s="7" t="s">
        <v>246</v>
      </c>
      <c r="L15" s="7">
        <f t="shared" si="3"/>
        <v>1</v>
      </c>
      <c r="M15" s="7">
        <f t="shared" si="4"/>
        <v>1</v>
      </c>
      <c r="N15" s="7">
        <f t="shared" si="18"/>
        <v>1</v>
      </c>
      <c r="O15" s="7">
        <f t="shared" si="19"/>
        <v>0</v>
      </c>
      <c r="P15" s="7">
        <f t="shared" si="0"/>
        <v>0</v>
      </c>
      <c r="Q15" s="3">
        <f t="shared" si="7"/>
        <v>0</v>
      </c>
      <c r="R15" s="7">
        <f t="shared" si="8"/>
        <v>1</v>
      </c>
      <c r="S15" s="7">
        <f t="shared" si="20"/>
        <v>0</v>
      </c>
      <c r="T15" s="7">
        <f t="shared" si="21"/>
        <v>0</v>
      </c>
      <c r="U15" s="7">
        <f t="shared" si="1"/>
        <v>0</v>
      </c>
      <c r="V15" s="7">
        <f t="shared" si="22"/>
        <v>0</v>
      </c>
      <c r="W15" s="7">
        <f t="shared" si="23"/>
        <v>0</v>
      </c>
      <c r="X15" s="7">
        <f t="shared" si="24"/>
        <v>1</v>
      </c>
      <c r="Y15" s="7">
        <f t="shared" si="25"/>
        <v>1</v>
      </c>
      <c r="Z15" s="7">
        <f t="shared" si="26"/>
        <v>4</v>
      </c>
      <c r="AA15" s="9" t="s">
        <v>44</v>
      </c>
      <c r="AB15" s="3" t="s">
        <v>45</v>
      </c>
    </row>
    <row r="16" spans="1:28" x14ac:dyDescent="0.25">
      <c r="A16" s="9" t="s">
        <v>47</v>
      </c>
      <c r="B16" s="6">
        <v>43556</v>
      </c>
      <c r="C16" s="6" t="s">
        <v>267</v>
      </c>
      <c r="D16" s="10"/>
      <c r="E16" s="7">
        <v>1</v>
      </c>
      <c r="F16" s="7" t="str">
        <f t="shared" si="2"/>
        <v/>
      </c>
      <c r="G16" s="10"/>
      <c r="H16" s="10"/>
      <c r="I16" s="10"/>
      <c r="J16" s="7" t="s">
        <v>14</v>
      </c>
      <c r="K16" s="7" t="s">
        <v>247</v>
      </c>
      <c r="L16" s="7">
        <f t="shared" si="3"/>
        <v>1</v>
      </c>
      <c r="M16" s="7">
        <f t="shared" si="4"/>
        <v>1</v>
      </c>
      <c r="N16" s="7">
        <f t="shared" si="16"/>
        <v>0</v>
      </c>
      <c r="O16" s="7"/>
      <c r="P16" s="7">
        <f t="shared" si="0"/>
        <v>0</v>
      </c>
      <c r="Q16" s="3">
        <f t="shared" si="7"/>
        <v>1</v>
      </c>
      <c r="R16" s="7">
        <f t="shared" si="8"/>
        <v>1</v>
      </c>
      <c r="S16" s="7">
        <f t="shared" si="17"/>
        <v>1</v>
      </c>
      <c r="T16" s="7"/>
      <c r="U16" s="7">
        <f t="shared" si="1"/>
        <v>0</v>
      </c>
      <c r="V16" s="7"/>
      <c r="W16" s="7"/>
      <c r="X16" s="7">
        <f>IF(SUM(N16:U16)&gt;0,1,0)</f>
        <v>1</v>
      </c>
      <c r="Y16" s="7">
        <f>IF(SUM(N16:P16,R16:U16)&gt;0,1,0)</f>
        <v>1</v>
      </c>
      <c r="Z16" s="7">
        <f>SUM(L16:U16)</f>
        <v>5</v>
      </c>
      <c r="AA16" s="7" t="s">
        <v>21</v>
      </c>
      <c r="AB16" s="3" t="s">
        <v>48</v>
      </c>
    </row>
    <row r="17" spans="1:28" x14ac:dyDescent="0.25">
      <c r="A17" s="9" t="s">
        <v>50</v>
      </c>
      <c r="B17" s="6">
        <v>43488</v>
      </c>
      <c r="C17" s="6" t="s">
        <v>267</v>
      </c>
      <c r="D17" s="10">
        <v>2213.56</v>
      </c>
      <c r="E17" s="7">
        <v>1</v>
      </c>
      <c r="F17" s="7">
        <f t="shared" si="2"/>
        <v>2213.56</v>
      </c>
      <c r="G17" s="10"/>
      <c r="H17" s="10"/>
      <c r="I17" s="10"/>
      <c r="J17" s="7" t="s">
        <v>14</v>
      </c>
      <c r="K17" s="7" t="s">
        <v>248</v>
      </c>
      <c r="L17" s="7">
        <f t="shared" si="3"/>
        <v>1</v>
      </c>
      <c r="M17" s="7">
        <f t="shared" si="4"/>
        <v>1</v>
      </c>
      <c r="N17" s="7">
        <f t="shared" ref="N17:N24" si="27">IF(ISNUMBER(SEARCH("Unfair dismissal",K17)),1,0)</f>
        <v>0</v>
      </c>
      <c r="O17" s="7">
        <f t="shared" ref="O17:O24" si="28">IF(ISNUMBER(SEARCH("Contract of employment",K17)),1,0)</f>
        <v>1</v>
      </c>
      <c r="P17" s="7">
        <f t="shared" si="0"/>
        <v>0</v>
      </c>
      <c r="Q17" s="3">
        <f t="shared" si="7"/>
        <v>0</v>
      </c>
      <c r="R17" s="7">
        <f t="shared" si="8"/>
        <v>1</v>
      </c>
      <c r="S17" s="7">
        <f t="shared" ref="S17:S24" si="29">IF(ISNUMBER(SEARCH("Written pay statement",K17)),1,0)</f>
        <v>0</v>
      </c>
      <c r="T17" s="7">
        <f t="shared" ref="T17:T24" si="30">IF(ISNUMBER(SEARCH("Written statements",K17)),1,0)</f>
        <v>0</v>
      </c>
      <c r="U17" s="7">
        <f t="shared" si="1"/>
        <v>0</v>
      </c>
      <c r="V17" s="7">
        <f t="shared" ref="V17:V24" si="31">IF(ISNUMBER(SEARCH("Time off",K17)),1,0)</f>
        <v>0</v>
      </c>
      <c r="W17" s="7">
        <f t="shared" ref="W17:W24" si="32">IF(ISNUMBER(SEARCH("Redundancy",K17)),1,0)</f>
        <v>0</v>
      </c>
      <c r="X17" s="7">
        <f t="shared" ref="X17:X24" si="33">IF(SUM(N17:W17)&gt;0,1,0)</f>
        <v>1</v>
      </c>
      <c r="Y17" s="7">
        <f t="shared" ref="Y17:Y24" si="34">IF(SUM(N17:P17,R17:W17)&gt;0,1,0)</f>
        <v>1</v>
      </c>
      <c r="Z17" s="7">
        <f t="shared" ref="Z17:Z24" si="35">SUM(L17:W17)</f>
        <v>4</v>
      </c>
      <c r="AA17" s="7" t="s">
        <v>51</v>
      </c>
      <c r="AB17" s="3" t="s">
        <v>49</v>
      </c>
    </row>
    <row r="18" spans="1:28" x14ac:dyDescent="0.25">
      <c r="A18" s="9" t="s">
        <v>52</v>
      </c>
      <c r="B18" s="19">
        <v>43545</v>
      </c>
      <c r="C18" s="6" t="s">
        <v>267</v>
      </c>
      <c r="D18" s="10">
        <v>2014.12</v>
      </c>
      <c r="E18" s="7">
        <v>1</v>
      </c>
      <c r="F18" s="7">
        <f t="shared" si="2"/>
        <v>2014.12</v>
      </c>
      <c r="G18" s="10"/>
      <c r="H18" s="10"/>
      <c r="I18" s="10"/>
      <c r="J18" s="7" t="s">
        <v>14</v>
      </c>
      <c r="K18" s="7" t="s">
        <v>249</v>
      </c>
      <c r="L18" s="7">
        <f t="shared" si="3"/>
        <v>1</v>
      </c>
      <c r="M18" s="7">
        <f t="shared" si="4"/>
        <v>1</v>
      </c>
      <c r="N18" s="7">
        <f t="shared" si="27"/>
        <v>1</v>
      </c>
      <c r="O18" s="7">
        <f t="shared" si="28"/>
        <v>0</v>
      </c>
      <c r="P18" s="7">
        <f t="shared" si="0"/>
        <v>0</v>
      </c>
      <c r="Q18" s="3">
        <f t="shared" si="7"/>
        <v>0</v>
      </c>
      <c r="R18" s="7">
        <f t="shared" si="8"/>
        <v>0</v>
      </c>
      <c r="S18" s="7">
        <f t="shared" si="29"/>
        <v>0</v>
      </c>
      <c r="T18" s="7">
        <f t="shared" si="30"/>
        <v>0</v>
      </c>
      <c r="U18" s="7">
        <f t="shared" si="1"/>
        <v>0</v>
      </c>
      <c r="V18" s="7">
        <f t="shared" si="31"/>
        <v>0</v>
      </c>
      <c r="W18" s="7">
        <f t="shared" si="32"/>
        <v>0</v>
      </c>
      <c r="X18" s="7">
        <f t="shared" si="33"/>
        <v>1</v>
      </c>
      <c r="Y18" s="7">
        <f t="shared" si="34"/>
        <v>1</v>
      </c>
      <c r="Z18" s="7">
        <f t="shared" si="35"/>
        <v>3</v>
      </c>
      <c r="AA18" s="7" t="s">
        <v>57</v>
      </c>
      <c r="AB18" s="3" t="s">
        <v>53</v>
      </c>
    </row>
    <row r="19" spans="1:28" x14ac:dyDescent="0.25">
      <c r="A19" s="9" t="s">
        <v>56</v>
      </c>
      <c r="B19" s="6">
        <v>43259</v>
      </c>
      <c r="C19" s="6" t="s">
        <v>267</v>
      </c>
      <c r="D19" s="10">
        <v>1250</v>
      </c>
      <c r="E19" s="7">
        <v>1</v>
      </c>
      <c r="F19" s="7">
        <f t="shared" si="2"/>
        <v>1250</v>
      </c>
      <c r="G19" s="10"/>
      <c r="H19" s="10"/>
      <c r="I19" s="10"/>
      <c r="J19" s="7" t="s">
        <v>14</v>
      </c>
      <c r="K19" s="7" t="s">
        <v>250</v>
      </c>
      <c r="L19" s="7">
        <f t="shared" si="3"/>
        <v>1</v>
      </c>
      <c r="M19" s="7">
        <f t="shared" si="4"/>
        <v>1</v>
      </c>
      <c r="N19" s="7">
        <f t="shared" si="27"/>
        <v>1</v>
      </c>
      <c r="O19" s="7">
        <f t="shared" si="28"/>
        <v>1</v>
      </c>
      <c r="P19" s="7">
        <f t="shared" si="0"/>
        <v>0</v>
      </c>
      <c r="Q19" s="3">
        <f t="shared" si="7"/>
        <v>1</v>
      </c>
      <c r="R19" s="7">
        <f t="shared" si="8"/>
        <v>1</v>
      </c>
      <c r="S19" s="7">
        <f t="shared" si="29"/>
        <v>1</v>
      </c>
      <c r="T19" s="7">
        <f t="shared" si="30"/>
        <v>0</v>
      </c>
      <c r="U19" s="7">
        <f t="shared" si="1"/>
        <v>0</v>
      </c>
      <c r="V19" s="7">
        <f t="shared" si="31"/>
        <v>0</v>
      </c>
      <c r="W19" s="7">
        <f t="shared" si="32"/>
        <v>0</v>
      </c>
      <c r="X19" s="7">
        <f t="shared" si="33"/>
        <v>1</v>
      </c>
      <c r="Y19" s="7">
        <f t="shared" si="34"/>
        <v>1</v>
      </c>
      <c r="Z19" s="7">
        <f t="shared" si="35"/>
        <v>7</v>
      </c>
      <c r="AA19" s="7" t="s">
        <v>55</v>
      </c>
      <c r="AB19" s="3" t="s">
        <v>54</v>
      </c>
    </row>
    <row r="20" spans="1:28" x14ac:dyDescent="0.25">
      <c r="A20" s="9" t="s">
        <v>58</v>
      </c>
      <c r="B20" s="6">
        <v>43515</v>
      </c>
      <c r="C20" s="6" t="s">
        <v>267</v>
      </c>
      <c r="D20" s="10">
        <v>1201.4100000000001</v>
      </c>
      <c r="E20" s="7">
        <v>1</v>
      </c>
      <c r="F20" s="7">
        <f t="shared" si="2"/>
        <v>1201.4100000000001</v>
      </c>
      <c r="G20" s="10"/>
      <c r="H20" s="10"/>
      <c r="I20" s="10"/>
      <c r="J20" s="7" t="s">
        <v>14</v>
      </c>
      <c r="K20" s="7" t="s">
        <v>172</v>
      </c>
      <c r="L20" s="7">
        <f t="shared" si="3"/>
        <v>1</v>
      </c>
      <c r="M20" s="7">
        <f t="shared" si="4"/>
        <v>1</v>
      </c>
      <c r="N20" s="7">
        <f t="shared" si="27"/>
        <v>0</v>
      </c>
      <c r="O20" s="7">
        <f t="shared" si="28"/>
        <v>1</v>
      </c>
      <c r="P20" s="7">
        <f t="shared" si="0"/>
        <v>0</v>
      </c>
      <c r="Q20" s="3">
        <f t="shared" si="7"/>
        <v>1</v>
      </c>
      <c r="R20" s="7">
        <f t="shared" si="8"/>
        <v>1</v>
      </c>
      <c r="S20" s="7">
        <f t="shared" si="29"/>
        <v>1</v>
      </c>
      <c r="T20" s="7">
        <f t="shared" si="30"/>
        <v>0</v>
      </c>
      <c r="U20" s="7">
        <f t="shared" si="1"/>
        <v>0</v>
      </c>
      <c r="V20" s="7">
        <f t="shared" si="31"/>
        <v>0</v>
      </c>
      <c r="W20" s="7">
        <f t="shared" si="32"/>
        <v>0</v>
      </c>
      <c r="X20" s="7">
        <f t="shared" si="33"/>
        <v>1</v>
      </c>
      <c r="Y20" s="7">
        <f t="shared" si="34"/>
        <v>1</v>
      </c>
      <c r="Z20" s="7">
        <f t="shared" si="35"/>
        <v>6</v>
      </c>
      <c r="AA20" s="7" t="s">
        <v>60</v>
      </c>
      <c r="AB20" s="3" t="s">
        <v>59</v>
      </c>
    </row>
    <row r="21" spans="1:28" x14ac:dyDescent="0.25">
      <c r="A21" s="9" t="s">
        <v>63</v>
      </c>
      <c r="B21" s="6">
        <v>43375</v>
      </c>
      <c r="C21" s="6" t="s">
        <v>267</v>
      </c>
      <c r="D21" s="10">
        <v>490</v>
      </c>
      <c r="E21" s="7">
        <v>1</v>
      </c>
      <c r="F21" s="7">
        <f t="shared" si="2"/>
        <v>490</v>
      </c>
      <c r="G21" s="10"/>
      <c r="H21" s="10"/>
      <c r="I21" s="10"/>
      <c r="J21" s="7" t="s">
        <v>14</v>
      </c>
      <c r="K21" s="7" t="s">
        <v>251</v>
      </c>
      <c r="L21" s="7">
        <f t="shared" si="3"/>
        <v>1</v>
      </c>
      <c r="M21" s="7">
        <f t="shared" si="4"/>
        <v>1</v>
      </c>
      <c r="N21" s="7">
        <f t="shared" si="27"/>
        <v>0</v>
      </c>
      <c r="O21" s="7">
        <f t="shared" si="28"/>
        <v>0</v>
      </c>
      <c r="P21" s="7">
        <f t="shared" si="0"/>
        <v>0</v>
      </c>
      <c r="Q21" s="3">
        <f t="shared" si="7"/>
        <v>0</v>
      </c>
      <c r="R21" s="7">
        <f t="shared" si="8"/>
        <v>1</v>
      </c>
      <c r="S21" s="7">
        <f t="shared" si="29"/>
        <v>0</v>
      </c>
      <c r="T21" s="7">
        <f t="shared" si="30"/>
        <v>0</v>
      </c>
      <c r="U21" s="7">
        <f t="shared" si="1"/>
        <v>0</v>
      </c>
      <c r="V21" s="7">
        <f t="shared" si="31"/>
        <v>0</v>
      </c>
      <c r="W21" s="7">
        <f t="shared" si="32"/>
        <v>0</v>
      </c>
      <c r="X21" s="7">
        <f t="shared" si="33"/>
        <v>1</v>
      </c>
      <c r="Y21" s="7">
        <f t="shared" si="34"/>
        <v>1</v>
      </c>
      <c r="Z21" s="7">
        <f t="shared" si="35"/>
        <v>3</v>
      </c>
      <c r="AA21" s="7" t="s">
        <v>61</v>
      </c>
      <c r="AB21" s="3" t="s">
        <v>62</v>
      </c>
    </row>
    <row r="22" spans="1:28" x14ac:dyDescent="0.25">
      <c r="A22" s="9" t="s">
        <v>66</v>
      </c>
      <c r="B22" s="6">
        <v>43502</v>
      </c>
      <c r="C22" s="6" t="s">
        <v>267</v>
      </c>
      <c r="D22" s="10">
        <v>1600</v>
      </c>
      <c r="E22" s="7">
        <v>1</v>
      </c>
      <c r="F22" s="7">
        <f t="shared" si="2"/>
        <v>1600</v>
      </c>
      <c r="G22" s="10"/>
      <c r="H22" s="10"/>
      <c r="I22" s="10"/>
      <c r="J22" s="7" t="s">
        <v>14</v>
      </c>
      <c r="K22" s="20" t="s">
        <v>172</v>
      </c>
      <c r="L22" s="7">
        <f t="shared" si="3"/>
        <v>1</v>
      </c>
      <c r="M22" s="7">
        <f t="shared" si="4"/>
        <v>1</v>
      </c>
      <c r="N22" s="7">
        <f t="shared" si="27"/>
        <v>0</v>
      </c>
      <c r="O22" s="7">
        <f t="shared" si="28"/>
        <v>1</v>
      </c>
      <c r="P22" s="7">
        <f t="shared" si="0"/>
        <v>0</v>
      </c>
      <c r="Q22" s="3">
        <f t="shared" si="7"/>
        <v>1</v>
      </c>
      <c r="R22" s="7">
        <f t="shared" si="8"/>
        <v>1</v>
      </c>
      <c r="S22" s="7">
        <f t="shared" si="29"/>
        <v>1</v>
      </c>
      <c r="T22" s="7">
        <f t="shared" si="30"/>
        <v>0</v>
      </c>
      <c r="U22" s="7">
        <f t="shared" si="1"/>
        <v>0</v>
      </c>
      <c r="V22" s="7">
        <f t="shared" si="31"/>
        <v>0</v>
      </c>
      <c r="W22" s="7">
        <f t="shared" si="32"/>
        <v>0</v>
      </c>
      <c r="X22" s="7">
        <f t="shared" si="33"/>
        <v>1</v>
      </c>
      <c r="Y22" s="7">
        <f t="shared" si="34"/>
        <v>1</v>
      </c>
      <c r="Z22" s="7">
        <f t="shared" si="35"/>
        <v>6</v>
      </c>
      <c r="AA22" s="7" t="s">
        <v>64</v>
      </c>
      <c r="AB22" s="3" t="s">
        <v>65</v>
      </c>
    </row>
    <row r="23" spans="1:28" x14ac:dyDescent="0.25">
      <c r="A23" s="9" t="s">
        <v>68</v>
      </c>
      <c r="B23" s="6">
        <v>43431</v>
      </c>
      <c r="C23" s="6" t="s">
        <v>267</v>
      </c>
      <c r="D23" s="10">
        <v>4752</v>
      </c>
      <c r="E23" s="7">
        <v>1</v>
      </c>
      <c r="F23" s="7">
        <f t="shared" si="2"/>
        <v>4752</v>
      </c>
      <c r="G23" s="3"/>
      <c r="H23" s="10"/>
      <c r="I23" s="10"/>
      <c r="J23" s="7" t="s">
        <v>14</v>
      </c>
      <c r="K23" s="7" t="s">
        <v>252</v>
      </c>
      <c r="L23" s="7">
        <f t="shared" si="3"/>
        <v>1</v>
      </c>
      <c r="M23" s="7">
        <f t="shared" si="4"/>
        <v>1</v>
      </c>
      <c r="N23" s="7">
        <f t="shared" si="27"/>
        <v>0</v>
      </c>
      <c r="O23" s="7">
        <f t="shared" si="28"/>
        <v>0</v>
      </c>
      <c r="P23" s="7">
        <f t="shared" si="0"/>
        <v>0</v>
      </c>
      <c r="Q23" s="3">
        <f t="shared" si="7"/>
        <v>0</v>
      </c>
      <c r="R23" s="7">
        <f t="shared" si="8"/>
        <v>1</v>
      </c>
      <c r="S23" s="7">
        <f t="shared" si="29"/>
        <v>1</v>
      </c>
      <c r="T23" s="7">
        <f t="shared" si="30"/>
        <v>0</v>
      </c>
      <c r="U23" s="7">
        <f t="shared" si="1"/>
        <v>0</v>
      </c>
      <c r="V23" s="7">
        <f t="shared" si="31"/>
        <v>0</v>
      </c>
      <c r="W23" s="7">
        <f t="shared" si="32"/>
        <v>0</v>
      </c>
      <c r="X23" s="7">
        <f t="shared" si="33"/>
        <v>1</v>
      </c>
      <c r="Y23" s="7">
        <f t="shared" si="34"/>
        <v>1</v>
      </c>
      <c r="Z23" s="7">
        <f t="shared" si="35"/>
        <v>4</v>
      </c>
      <c r="AA23" s="7" t="s">
        <v>271</v>
      </c>
      <c r="AB23" s="22" t="s">
        <v>67</v>
      </c>
    </row>
    <row r="24" spans="1:28" x14ac:dyDescent="0.25">
      <c r="A24" s="9" t="s">
        <v>70</v>
      </c>
      <c r="B24" s="6">
        <v>43390</v>
      </c>
      <c r="C24" s="6" t="s">
        <v>267</v>
      </c>
      <c r="D24" s="10">
        <f>1163.4 +289.7</f>
        <v>1453.1000000000001</v>
      </c>
      <c r="E24" s="7">
        <v>2</v>
      </c>
      <c r="F24" s="7">
        <f t="shared" si="2"/>
        <v>726.55000000000007</v>
      </c>
      <c r="G24" s="10"/>
      <c r="H24" s="3"/>
      <c r="I24" s="10">
        <v>284</v>
      </c>
      <c r="J24" s="7" t="s">
        <v>14</v>
      </c>
      <c r="K24" s="20" t="s">
        <v>173</v>
      </c>
      <c r="L24" s="7">
        <f t="shared" si="3"/>
        <v>1</v>
      </c>
      <c r="M24" s="7">
        <f t="shared" si="4"/>
        <v>1</v>
      </c>
      <c r="N24" s="7">
        <f t="shared" si="27"/>
        <v>0</v>
      </c>
      <c r="O24" s="7">
        <f t="shared" si="28"/>
        <v>0</v>
      </c>
      <c r="P24" s="7">
        <f t="shared" si="0"/>
        <v>1</v>
      </c>
      <c r="Q24" s="3">
        <f t="shared" si="7"/>
        <v>1</v>
      </c>
      <c r="R24" s="7">
        <f t="shared" si="8"/>
        <v>1</v>
      </c>
      <c r="S24" s="7">
        <f t="shared" si="29"/>
        <v>0</v>
      </c>
      <c r="T24" s="7">
        <f t="shared" si="30"/>
        <v>0</v>
      </c>
      <c r="U24" s="7">
        <f t="shared" si="1"/>
        <v>0</v>
      </c>
      <c r="V24" s="7">
        <f t="shared" si="31"/>
        <v>0</v>
      </c>
      <c r="W24" s="7">
        <f t="shared" si="32"/>
        <v>0</v>
      </c>
      <c r="X24" s="7">
        <f t="shared" si="33"/>
        <v>1</v>
      </c>
      <c r="Y24" s="7">
        <f t="shared" si="34"/>
        <v>1</v>
      </c>
      <c r="Z24" s="7">
        <f t="shared" si="35"/>
        <v>5</v>
      </c>
      <c r="AA24" s="7" t="s">
        <v>69</v>
      </c>
      <c r="AB24" s="22" t="s">
        <v>71</v>
      </c>
    </row>
    <row r="25" spans="1:28" x14ac:dyDescent="0.25">
      <c r="A25" s="9" t="s">
        <v>73</v>
      </c>
      <c r="B25" s="6">
        <v>43413</v>
      </c>
      <c r="C25" s="6" t="s">
        <v>266</v>
      </c>
      <c r="D25" s="10"/>
      <c r="E25" s="7">
        <v>1</v>
      </c>
      <c r="F25" s="7" t="str">
        <f t="shared" si="2"/>
        <v/>
      </c>
      <c r="G25" s="10"/>
      <c r="H25" s="10">
        <v>626.4</v>
      </c>
      <c r="I25" s="10"/>
      <c r="J25" s="7" t="s">
        <v>14</v>
      </c>
      <c r="K25" s="7" t="s">
        <v>253</v>
      </c>
      <c r="L25" s="7">
        <f t="shared" si="3"/>
        <v>1</v>
      </c>
      <c r="M25" s="7">
        <f t="shared" si="4"/>
        <v>0</v>
      </c>
      <c r="N25" s="7">
        <f t="shared" si="16"/>
        <v>0</v>
      </c>
      <c r="O25" s="7"/>
      <c r="P25" s="7">
        <f t="shared" si="0"/>
        <v>0</v>
      </c>
      <c r="Q25" s="3">
        <f t="shared" si="7"/>
        <v>1</v>
      </c>
      <c r="R25" s="7">
        <f t="shared" si="8"/>
        <v>1</v>
      </c>
      <c r="S25" s="7">
        <f t="shared" si="17"/>
        <v>0</v>
      </c>
      <c r="T25" s="7"/>
      <c r="U25" s="7">
        <f t="shared" si="1"/>
        <v>0</v>
      </c>
      <c r="V25" s="7"/>
      <c r="W25" s="7"/>
      <c r="X25" s="7">
        <f>IF(SUM(N25:U25)&gt;0,1,0)</f>
        <v>1</v>
      </c>
      <c r="Y25" s="7">
        <f>IF(SUM(N25:P25,R25:U25)&gt;0,1,0)</f>
        <v>1</v>
      </c>
      <c r="Z25" s="7">
        <f>SUM(L25:U25)</f>
        <v>3</v>
      </c>
      <c r="AA25" s="7" t="s">
        <v>232</v>
      </c>
      <c r="AB25" s="3" t="s">
        <v>72</v>
      </c>
    </row>
    <row r="26" spans="1:28" x14ac:dyDescent="0.25">
      <c r="A26" s="9" t="s">
        <v>74</v>
      </c>
      <c r="B26" s="6">
        <v>43230</v>
      </c>
      <c r="C26" s="6" t="s">
        <v>267</v>
      </c>
      <c r="D26" s="10">
        <v>525</v>
      </c>
      <c r="E26" s="7">
        <v>1</v>
      </c>
      <c r="F26" s="7">
        <f t="shared" si="2"/>
        <v>525</v>
      </c>
      <c r="G26" s="10"/>
      <c r="H26" s="10"/>
      <c r="I26" s="10"/>
      <c r="J26" s="7"/>
      <c r="K26" s="7"/>
      <c r="L26" s="7">
        <f t="shared" si="3"/>
        <v>0</v>
      </c>
      <c r="M26" s="7">
        <f t="shared" si="4"/>
        <v>0</v>
      </c>
      <c r="N26" s="7">
        <f t="shared" ref="N26:N31" si="36">IF(ISNUMBER(SEARCH("Unfair dismissal",K26)),1,0)</f>
        <v>0</v>
      </c>
      <c r="O26" s="7">
        <f t="shared" ref="O26:O31" si="37">IF(ISNUMBER(SEARCH("Contract of employment",K26)),1,0)</f>
        <v>0</v>
      </c>
      <c r="P26" s="7">
        <f t="shared" si="0"/>
        <v>0</v>
      </c>
      <c r="Q26" s="3">
        <f t="shared" si="7"/>
        <v>0</v>
      </c>
      <c r="R26" s="7">
        <f t="shared" si="8"/>
        <v>0</v>
      </c>
      <c r="S26" s="7">
        <f t="shared" ref="S26:S31" si="38">IF(ISNUMBER(SEARCH("Written pay statement",K26)),1,0)</f>
        <v>0</v>
      </c>
      <c r="T26" s="7">
        <f t="shared" ref="T26:T31" si="39">IF(ISNUMBER(SEARCH("Written statements",K26)),1,0)</f>
        <v>0</v>
      </c>
      <c r="U26" s="7">
        <f t="shared" si="1"/>
        <v>0</v>
      </c>
      <c r="V26" s="7">
        <f t="shared" ref="V26:V31" si="40">IF(ISNUMBER(SEARCH("Time off",K26)),1,0)</f>
        <v>0</v>
      </c>
      <c r="W26" s="7">
        <f t="shared" ref="W26:W31" si="41">IF(ISNUMBER(SEARCH("Redundancy",K26)),1,0)</f>
        <v>0</v>
      </c>
      <c r="X26" s="7">
        <f t="shared" ref="X26:X31" si="42">IF(SUM(N26:W26)&gt;0,1,0)</f>
        <v>0</v>
      </c>
      <c r="Y26" s="7">
        <f t="shared" ref="Y26:Y31" si="43">IF(SUM(N26:P26,R26:W26)&gt;0,1,0)</f>
        <v>0</v>
      </c>
      <c r="Z26" s="7">
        <f t="shared" ref="Z26:Z31" si="44">SUM(L26:W26)</f>
        <v>0</v>
      </c>
      <c r="AA26" s="7" t="s">
        <v>75</v>
      </c>
      <c r="AB26" s="22" t="s">
        <v>76</v>
      </c>
    </row>
    <row r="27" spans="1:28" x14ac:dyDescent="0.25">
      <c r="A27" s="9" t="s">
        <v>79</v>
      </c>
      <c r="B27" s="6">
        <v>43405</v>
      </c>
      <c r="C27" s="6" t="s">
        <v>267</v>
      </c>
      <c r="D27" s="10">
        <v>2250</v>
      </c>
      <c r="E27" s="7">
        <v>1</v>
      </c>
      <c r="F27" s="7">
        <f t="shared" si="2"/>
        <v>2250</v>
      </c>
      <c r="G27" s="10"/>
      <c r="H27" s="10"/>
      <c r="I27" s="10"/>
      <c r="J27" s="7" t="s">
        <v>14</v>
      </c>
      <c r="K27" s="7" t="s">
        <v>277</v>
      </c>
      <c r="L27" s="7">
        <f t="shared" si="3"/>
        <v>1</v>
      </c>
      <c r="M27" s="7">
        <f t="shared" si="4"/>
        <v>1</v>
      </c>
      <c r="N27" s="7">
        <f t="shared" si="36"/>
        <v>0</v>
      </c>
      <c r="O27" s="7">
        <f t="shared" si="37"/>
        <v>0</v>
      </c>
      <c r="P27" s="7">
        <f t="shared" si="0"/>
        <v>0</v>
      </c>
      <c r="Q27" s="3">
        <f t="shared" si="7"/>
        <v>1</v>
      </c>
      <c r="R27" s="7">
        <f t="shared" si="8"/>
        <v>1</v>
      </c>
      <c r="S27" s="7">
        <f t="shared" si="38"/>
        <v>0</v>
      </c>
      <c r="T27" s="7">
        <f t="shared" si="39"/>
        <v>0</v>
      </c>
      <c r="U27" s="7">
        <f t="shared" si="1"/>
        <v>0</v>
      </c>
      <c r="V27" s="7">
        <f t="shared" si="40"/>
        <v>0</v>
      </c>
      <c r="W27" s="7">
        <f t="shared" si="41"/>
        <v>1</v>
      </c>
      <c r="X27" s="7">
        <f t="shared" si="42"/>
        <v>1</v>
      </c>
      <c r="Y27" s="7">
        <f t="shared" si="43"/>
        <v>1</v>
      </c>
      <c r="Z27" s="7">
        <f t="shared" si="44"/>
        <v>5</v>
      </c>
      <c r="AA27" s="7" t="s">
        <v>77</v>
      </c>
      <c r="AB27" s="22" t="s">
        <v>78</v>
      </c>
    </row>
    <row r="28" spans="1:28" x14ac:dyDescent="0.25">
      <c r="A28" s="9" t="s">
        <v>80</v>
      </c>
      <c r="B28" s="6">
        <v>43274</v>
      </c>
      <c r="C28" s="6" t="s">
        <v>267</v>
      </c>
      <c r="D28" s="10">
        <v>3287.4</v>
      </c>
      <c r="E28" s="7">
        <v>1</v>
      </c>
      <c r="F28" s="7">
        <f t="shared" si="2"/>
        <v>3287.4</v>
      </c>
      <c r="G28" s="10"/>
      <c r="H28" s="10">
        <v>106.84</v>
      </c>
      <c r="I28" s="10"/>
      <c r="J28" s="7" t="s">
        <v>14</v>
      </c>
      <c r="K28" s="7" t="s">
        <v>254</v>
      </c>
      <c r="L28" s="7">
        <f t="shared" si="3"/>
        <v>1</v>
      </c>
      <c r="M28" s="7">
        <f t="shared" si="4"/>
        <v>1</v>
      </c>
      <c r="N28" s="7">
        <f t="shared" si="36"/>
        <v>0</v>
      </c>
      <c r="O28" s="7">
        <f t="shared" si="37"/>
        <v>0</v>
      </c>
      <c r="P28" s="7">
        <f t="shared" si="0"/>
        <v>0</v>
      </c>
      <c r="Q28" s="3">
        <f t="shared" si="7"/>
        <v>1</v>
      </c>
      <c r="R28" s="7">
        <f t="shared" si="8"/>
        <v>0</v>
      </c>
      <c r="S28" s="7">
        <f t="shared" si="38"/>
        <v>0</v>
      </c>
      <c r="T28" s="7">
        <f t="shared" si="39"/>
        <v>1</v>
      </c>
      <c r="U28" s="7">
        <f t="shared" si="1"/>
        <v>0</v>
      </c>
      <c r="V28" s="7">
        <f t="shared" si="40"/>
        <v>0</v>
      </c>
      <c r="W28" s="7">
        <f t="shared" si="41"/>
        <v>0</v>
      </c>
      <c r="X28" s="7">
        <f t="shared" si="42"/>
        <v>1</v>
      </c>
      <c r="Y28" s="7">
        <f t="shared" si="43"/>
        <v>1</v>
      </c>
      <c r="Z28" s="7">
        <f t="shared" si="44"/>
        <v>4</v>
      </c>
      <c r="AA28" s="7" t="s">
        <v>268</v>
      </c>
      <c r="AB28" s="22" t="s">
        <v>81</v>
      </c>
    </row>
    <row r="29" spans="1:28" x14ac:dyDescent="0.25">
      <c r="A29" s="11" t="s">
        <v>84</v>
      </c>
      <c r="B29" s="6">
        <v>43409</v>
      </c>
      <c r="C29" s="6" t="s">
        <v>267</v>
      </c>
      <c r="D29" s="10">
        <v>16464.47</v>
      </c>
      <c r="E29" s="7">
        <v>1</v>
      </c>
      <c r="F29" s="7">
        <f t="shared" si="2"/>
        <v>16464.47</v>
      </c>
      <c r="G29" s="10"/>
      <c r="H29" s="10"/>
      <c r="I29" s="10"/>
      <c r="J29" s="7" t="s">
        <v>14</v>
      </c>
      <c r="K29" s="7" t="s">
        <v>174</v>
      </c>
      <c r="L29" s="7">
        <f t="shared" si="3"/>
        <v>1</v>
      </c>
      <c r="M29" s="7">
        <f t="shared" si="4"/>
        <v>1</v>
      </c>
      <c r="N29" s="7">
        <f t="shared" si="36"/>
        <v>0</v>
      </c>
      <c r="O29" s="7">
        <f t="shared" si="37"/>
        <v>0</v>
      </c>
      <c r="P29" s="7">
        <f t="shared" si="0"/>
        <v>0</v>
      </c>
      <c r="Q29" s="3">
        <f t="shared" si="7"/>
        <v>1</v>
      </c>
      <c r="R29" s="7">
        <f t="shared" si="8"/>
        <v>1</v>
      </c>
      <c r="S29" s="7">
        <f t="shared" si="38"/>
        <v>0</v>
      </c>
      <c r="T29" s="7">
        <f t="shared" si="39"/>
        <v>0</v>
      </c>
      <c r="U29" s="7">
        <f t="shared" si="1"/>
        <v>0</v>
      </c>
      <c r="V29" s="7">
        <f t="shared" si="40"/>
        <v>0</v>
      </c>
      <c r="W29" s="7">
        <f t="shared" si="41"/>
        <v>0</v>
      </c>
      <c r="X29" s="7">
        <f t="shared" si="42"/>
        <v>1</v>
      </c>
      <c r="Y29" s="7">
        <f t="shared" si="43"/>
        <v>1</v>
      </c>
      <c r="Z29" s="7">
        <f t="shared" si="44"/>
        <v>4</v>
      </c>
      <c r="AA29" s="7" t="s">
        <v>83</v>
      </c>
      <c r="AB29" s="5" t="s">
        <v>82</v>
      </c>
    </row>
    <row r="30" spans="1:28" x14ac:dyDescent="0.25">
      <c r="A30" s="11" t="s">
        <v>86</v>
      </c>
      <c r="B30" s="6">
        <v>43395</v>
      </c>
      <c r="C30" s="6" t="s">
        <v>267</v>
      </c>
      <c r="D30" s="10">
        <v>982.8</v>
      </c>
      <c r="E30" s="7">
        <v>1</v>
      </c>
      <c r="F30" s="7">
        <f t="shared" si="2"/>
        <v>982.8</v>
      </c>
      <c r="G30" s="10"/>
      <c r="H30" s="10"/>
      <c r="I30" s="10"/>
      <c r="J30" s="7" t="s">
        <v>14</v>
      </c>
      <c r="K30" s="7" t="s">
        <v>175</v>
      </c>
      <c r="L30" s="7">
        <f t="shared" si="3"/>
        <v>1</v>
      </c>
      <c r="M30" s="7">
        <f t="shared" si="4"/>
        <v>1</v>
      </c>
      <c r="N30" s="7">
        <f t="shared" si="36"/>
        <v>1</v>
      </c>
      <c r="O30" s="7">
        <f t="shared" si="37"/>
        <v>0</v>
      </c>
      <c r="P30" s="7">
        <f t="shared" si="0"/>
        <v>0</v>
      </c>
      <c r="Q30" s="3">
        <f t="shared" si="7"/>
        <v>0</v>
      </c>
      <c r="R30" s="7">
        <f t="shared" si="8"/>
        <v>1</v>
      </c>
      <c r="S30" s="7">
        <f t="shared" si="38"/>
        <v>0</v>
      </c>
      <c r="T30" s="7">
        <f t="shared" si="39"/>
        <v>0</v>
      </c>
      <c r="U30" s="7">
        <f t="shared" si="1"/>
        <v>0</v>
      </c>
      <c r="V30" s="7">
        <f t="shared" si="40"/>
        <v>0</v>
      </c>
      <c r="W30" s="7">
        <f t="shared" si="41"/>
        <v>0</v>
      </c>
      <c r="X30" s="7">
        <f t="shared" si="42"/>
        <v>1</v>
      </c>
      <c r="Y30" s="7">
        <f t="shared" si="43"/>
        <v>1</v>
      </c>
      <c r="Z30" s="7">
        <f t="shared" si="44"/>
        <v>4</v>
      </c>
      <c r="AA30" s="7" t="s">
        <v>83</v>
      </c>
      <c r="AB30" s="5" t="s">
        <v>85</v>
      </c>
    </row>
    <row r="31" spans="1:28" x14ac:dyDescent="0.25">
      <c r="A31" s="11" t="s">
        <v>87</v>
      </c>
      <c r="B31" s="6">
        <v>43369</v>
      </c>
      <c r="C31" s="6" t="s">
        <v>267</v>
      </c>
      <c r="D31" s="10">
        <v>2587</v>
      </c>
      <c r="E31" s="7">
        <v>1</v>
      </c>
      <c r="F31" s="7">
        <f t="shared" si="2"/>
        <v>2587</v>
      </c>
      <c r="G31" s="10"/>
      <c r="H31" s="10"/>
      <c r="I31" s="10"/>
      <c r="J31" s="7" t="s">
        <v>14</v>
      </c>
      <c r="K31" s="7" t="s">
        <v>174</v>
      </c>
      <c r="L31" s="7">
        <f t="shared" si="3"/>
        <v>1</v>
      </c>
      <c r="M31" s="7">
        <f t="shared" si="4"/>
        <v>1</v>
      </c>
      <c r="N31" s="7">
        <f t="shared" si="36"/>
        <v>0</v>
      </c>
      <c r="O31" s="7">
        <f t="shared" si="37"/>
        <v>0</v>
      </c>
      <c r="P31" s="7">
        <f t="shared" si="0"/>
        <v>0</v>
      </c>
      <c r="Q31" s="3">
        <f t="shared" si="7"/>
        <v>1</v>
      </c>
      <c r="R31" s="7">
        <f t="shared" si="8"/>
        <v>1</v>
      </c>
      <c r="S31" s="7">
        <f t="shared" si="38"/>
        <v>0</v>
      </c>
      <c r="T31" s="7">
        <f t="shared" si="39"/>
        <v>0</v>
      </c>
      <c r="U31" s="7">
        <f t="shared" si="1"/>
        <v>0</v>
      </c>
      <c r="V31" s="7">
        <f t="shared" si="40"/>
        <v>0</v>
      </c>
      <c r="W31" s="7">
        <f t="shared" si="41"/>
        <v>0</v>
      </c>
      <c r="X31" s="7">
        <f t="shared" si="42"/>
        <v>1</v>
      </c>
      <c r="Y31" s="7">
        <f t="shared" si="43"/>
        <v>1</v>
      </c>
      <c r="Z31" s="7">
        <f t="shared" si="44"/>
        <v>4</v>
      </c>
      <c r="AA31" s="7" t="s">
        <v>83</v>
      </c>
      <c r="AB31" s="5" t="s">
        <v>88</v>
      </c>
    </row>
    <row r="32" spans="1:28" x14ac:dyDescent="0.25">
      <c r="A32" s="11" t="s">
        <v>90</v>
      </c>
      <c r="B32" s="6">
        <v>43305</v>
      </c>
      <c r="C32" s="6" t="s">
        <v>266</v>
      </c>
      <c r="D32" s="10"/>
      <c r="E32" s="7">
        <v>4</v>
      </c>
      <c r="F32" s="7" t="str">
        <f t="shared" si="2"/>
        <v/>
      </c>
      <c r="G32" s="10"/>
      <c r="H32" s="10">
        <f>626.4*4</f>
        <v>2505.6</v>
      </c>
      <c r="I32" s="10"/>
      <c r="J32" s="7"/>
      <c r="K32" s="7"/>
      <c r="L32" s="7">
        <f t="shared" si="3"/>
        <v>0</v>
      </c>
      <c r="M32" s="7">
        <f t="shared" si="4"/>
        <v>0</v>
      </c>
      <c r="N32" s="7">
        <f t="shared" si="16"/>
        <v>0</v>
      </c>
      <c r="O32" s="7"/>
      <c r="P32" s="7">
        <f t="shared" si="0"/>
        <v>0</v>
      </c>
      <c r="Q32" s="3">
        <f t="shared" si="7"/>
        <v>0</v>
      </c>
      <c r="R32" s="7">
        <f t="shared" si="8"/>
        <v>0</v>
      </c>
      <c r="S32" s="7">
        <f t="shared" si="17"/>
        <v>0</v>
      </c>
      <c r="T32" s="7"/>
      <c r="U32" s="7">
        <f t="shared" si="1"/>
        <v>0</v>
      </c>
      <c r="V32" s="7"/>
      <c r="W32" s="7"/>
      <c r="X32" s="7">
        <f>IF(SUM(N32:U32)&gt;0,1,0)</f>
        <v>0</v>
      </c>
      <c r="Y32" s="7">
        <f>IF(SUM(N32:P32,R32:U32)&gt;0,1,0)</f>
        <v>0</v>
      </c>
      <c r="Z32" s="7">
        <f>SUM(L32:U32)</f>
        <v>0</v>
      </c>
      <c r="AA32" s="7" t="s">
        <v>231</v>
      </c>
      <c r="AB32" s="5" t="s">
        <v>89</v>
      </c>
    </row>
    <row r="33" spans="1:28" x14ac:dyDescent="0.25">
      <c r="A33" s="11" t="s">
        <v>92</v>
      </c>
      <c r="B33" s="6">
        <v>43217</v>
      </c>
      <c r="C33" s="6" t="s">
        <v>267</v>
      </c>
      <c r="D33" s="10"/>
      <c r="E33" s="7">
        <v>1</v>
      </c>
      <c r="F33" s="7" t="str">
        <f t="shared" si="2"/>
        <v/>
      </c>
      <c r="G33" s="10"/>
      <c r="H33" s="10"/>
      <c r="I33" s="10"/>
      <c r="J33" s="7" t="s">
        <v>14</v>
      </c>
      <c r="K33" s="7" t="s">
        <v>176</v>
      </c>
      <c r="L33" s="7">
        <f t="shared" si="3"/>
        <v>1</v>
      </c>
      <c r="M33" s="7">
        <f t="shared" si="4"/>
        <v>1</v>
      </c>
      <c r="N33" s="7">
        <f t="shared" si="16"/>
        <v>0</v>
      </c>
      <c r="O33" s="7"/>
      <c r="P33" s="7">
        <f t="shared" si="0"/>
        <v>0</v>
      </c>
      <c r="Q33" s="3">
        <f t="shared" si="7"/>
        <v>1</v>
      </c>
      <c r="R33" s="7">
        <f t="shared" si="8"/>
        <v>0</v>
      </c>
      <c r="S33" s="7">
        <f t="shared" si="17"/>
        <v>0</v>
      </c>
      <c r="T33" s="7"/>
      <c r="U33" s="7">
        <f t="shared" si="1"/>
        <v>0</v>
      </c>
      <c r="V33" s="7"/>
      <c r="W33" s="7"/>
      <c r="X33" s="7">
        <f>IF(SUM(N33:U33)&gt;0,1,0)</f>
        <v>1</v>
      </c>
      <c r="Y33" s="7">
        <f>IF(SUM(N33:P33,R33:U33)&gt;0,1,0)</f>
        <v>0</v>
      </c>
      <c r="Z33" s="7">
        <f>SUM(L33:U33)</f>
        <v>3</v>
      </c>
      <c r="AA33" s="7" t="s">
        <v>21</v>
      </c>
      <c r="AB33" s="5" t="s">
        <v>91</v>
      </c>
    </row>
    <row r="34" spans="1:28" x14ac:dyDescent="0.25">
      <c r="A34" s="11" t="s">
        <v>94</v>
      </c>
      <c r="B34" s="6">
        <v>43276</v>
      </c>
      <c r="C34" s="6" t="s">
        <v>267</v>
      </c>
      <c r="D34" s="10">
        <v>2349.6</v>
      </c>
      <c r="E34" s="7">
        <v>1</v>
      </c>
      <c r="F34" s="7">
        <f t="shared" si="2"/>
        <v>2349.6</v>
      </c>
      <c r="G34" s="10"/>
      <c r="H34" s="10"/>
      <c r="I34" s="10"/>
      <c r="J34" s="7" t="s">
        <v>14</v>
      </c>
      <c r="K34" s="23" t="s">
        <v>287</v>
      </c>
      <c r="L34" s="7">
        <f t="shared" si="3"/>
        <v>1</v>
      </c>
      <c r="M34" s="7">
        <f t="shared" si="4"/>
        <v>1</v>
      </c>
      <c r="N34" s="7">
        <f t="shared" ref="N34:N35" si="45">IF(ISNUMBER(SEARCH("Unfair dismissal",K34)),1,0)</f>
        <v>1</v>
      </c>
      <c r="O34" s="7">
        <f t="shared" ref="O34:O35" si="46">IF(ISNUMBER(SEARCH("Contract of employment",K34)),1,0)</f>
        <v>0</v>
      </c>
      <c r="P34" s="7">
        <f t="shared" si="0"/>
        <v>0</v>
      </c>
      <c r="Q34" s="3">
        <f t="shared" si="7"/>
        <v>1</v>
      </c>
      <c r="R34" s="7">
        <f t="shared" si="8"/>
        <v>0</v>
      </c>
      <c r="S34" s="7">
        <f t="shared" ref="S34:S35" si="47">IF(ISNUMBER(SEARCH("Written pay statement",K34)),1,0)</f>
        <v>0</v>
      </c>
      <c r="T34" s="7">
        <f t="shared" ref="T34:T35" si="48">IF(ISNUMBER(SEARCH("Written statements",K34)),1,0)</f>
        <v>0</v>
      </c>
      <c r="U34" s="7">
        <f t="shared" si="1"/>
        <v>0</v>
      </c>
      <c r="V34" s="7">
        <f t="shared" ref="V34:V35" si="49">IF(ISNUMBER(SEARCH("Time off",K34)),1,0)</f>
        <v>0</v>
      </c>
      <c r="W34" s="7">
        <f t="shared" ref="W34:W35" si="50">IF(ISNUMBER(SEARCH("Redundancy",K34)),1,0)</f>
        <v>0</v>
      </c>
      <c r="X34" s="7">
        <f t="shared" ref="X34:X35" si="51">IF(SUM(N34:W34)&gt;0,1,0)</f>
        <v>1</v>
      </c>
      <c r="Y34" s="7">
        <f t="shared" ref="Y34:Y35" si="52">IF(SUM(N34:P34,R34:W34)&gt;0,1,0)</f>
        <v>1</v>
      </c>
      <c r="Z34" s="7">
        <f t="shared" ref="Z34:Z35" si="53">SUM(L34:W34)</f>
        <v>4</v>
      </c>
      <c r="AA34" s="7" t="s">
        <v>222</v>
      </c>
      <c r="AB34" s="22" t="s">
        <v>93</v>
      </c>
    </row>
    <row r="35" spans="1:28" x14ac:dyDescent="0.25">
      <c r="A35" s="11" t="s">
        <v>95</v>
      </c>
      <c r="B35" s="6">
        <v>43130</v>
      </c>
      <c r="C35" s="6" t="s">
        <v>267</v>
      </c>
      <c r="D35" s="10">
        <v>1774.2</v>
      </c>
      <c r="E35" s="7">
        <v>1</v>
      </c>
      <c r="F35" s="7">
        <f t="shared" si="2"/>
        <v>1774.2</v>
      </c>
      <c r="G35" s="10"/>
      <c r="H35" s="10"/>
      <c r="I35" s="10"/>
      <c r="J35" s="7" t="s">
        <v>14</v>
      </c>
      <c r="K35" s="7" t="s">
        <v>177</v>
      </c>
      <c r="L35" s="7">
        <f t="shared" si="3"/>
        <v>1</v>
      </c>
      <c r="M35" s="7">
        <f t="shared" si="4"/>
        <v>0</v>
      </c>
      <c r="N35" s="7">
        <f t="shared" si="45"/>
        <v>0</v>
      </c>
      <c r="O35" s="7">
        <f t="shared" si="46"/>
        <v>0</v>
      </c>
      <c r="P35" s="7">
        <f t="shared" si="0"/>
        <v>0</v>
      </c>
      <c r="Q35" s="3">
        <f t="shared" si="7"/>
        <v>0</v>
      </c>
      <c r="R35" s="7">
        <f t="shared" si="8"/>
        <v>1</v>
      </c>
      <c r="S35" s="7">
        <f t="shared" si="47"/>
        <v>0</v>
      </c>
      <c r="T35" s="7">
        <f t="shared" si="48"/>
        <v>0</v>
      </c>
      <c r="U35" s="7">
        <f t="shared" si="1"/>
        <v>0</v>
      </c>
      <c r="V35" s="7">
        <f t="shared" si="49"/>
        <v>0</v>
      </c>
      <c r="W35" s="7">
        <f t="shared" si="50"/>
        <v>0</v>
      </c>
      <c r="X35" s="7">
        <f t="shared" si="51"/>
        <v>1</v>
      </c>
      <c r="Y35" s="7">
        <f t="shared" si="52"/>
        <v>1</v>
      </c>
      <c r="Z35" s="7">
        <f t="shared" si="53"/>
        <v>2</v>
      </c>
      <c r="AA35" s="7" t="s">
        <v>223</v>
      </c>
      <c r="AB35" s="5" t="s">
        <v>96</v>
      </c>
    </row>
    <row r="36" spans="1:28" x14ac:dyDescent="0.25">
      <c r="A36" s="11" t="s">
        <v>98</v>
      </c>
      <c r="B36" s="6">
        <v>43242</v>
      </c>
      <c r="C36" s="6" t="s">
        <v>266</v>
      </c>
      <c r="D36" s="10"/>
      <c r="E36" s="7">
        <v>1</v>
      </c>
      <c r="F36" s="7" t="str">
        <f t="shared" si="2"/>
        <v/>
      </c>
      <c r="G36" s="10"/>
      <c r="H36" s="10">
        <v>626.4</v>
      </c>
      <c r="I36" s="10"/>
      <c r="J36" s="7"/>
      <c r="K36" s="7"/>
      <c r="L36" s="7">
        <f t="shared" si="3"/>
        <v>0</v>
      </c>
      <c r="M36" s="7">
        <f t="shared" si="4"/>
        <v>0</v>
      </c>
      <c r="N36" s="7">
        <f t="shared" si="16"/>
        <v>0</v>
      </c>
      <c r="O36" s="7"/>
      <c r="P36" s="7">
        <f t="shared" si="0"/>
        <v>0</v>
      </c>
      <c r="Q36" s="3">
        <f t="shared" si="7"/>
        <v>0</v>
      </c>
      <c r="R36" s="7">
        <f t="shared" si="8"/>
        <v>0</v>
      </c>
      <c r="S36" s="7">
        <f t="shared" si="17"/>
        <v>0</v>
      </c>
      <c r="T36" s="7"/>
      <c r="U36" s="7">
        <f t="shared" ref="U36:U67" si="54">IF(ISNUMBER(SEARCH("Maternity",K36)),1,0)</f>
        <v>0</v>
      </c>
      <c r="V36" s="7"/>
      <c r="W36" s="7"/>
      <c r="X36" s="7">
        <f>IF(SUM(N36:U36)&gt;0,1,0)</f>
        <v>0</v>
      </c>
      <c r="Y36" s="7">
        <f>IF(SUM(N36:P36,R36:U36)&gt;0,1,0)</f>
        <v>0</v>
      </c>
      <c r="Z36" s="7">
        <f>SUM(L36:U36)</f>
        <v>0</v>
      </c>
      <c r="AA36" s="7" t="s">
        <v>224</v>
      </c>
      <c r="AB36" s="5" t="s">
        <v>6</v>
      </c>
    </row>
    <row r="37" spans="1:28" x14ac:dyDescent="0.25">
      <c r="A37" s="11" t="s">
        <v>99</v>
      </c>
      <c r="B37" s="6">
        <v>43242</v>
      </c>
      <c r="C37" s="6" t="s">
        <v>266</v>
      </c>
      <c r="D37" s="10"/>
      <c r="E37" s="7">
        <v>1</v>
      </c>
      <c r="F37" s="7" t="str">
        <f t="shared" si="2"/>
        <v/>
      </c>
      <c r="G37" s="10"/>
      <c r="H37" s="10">
        <v>626.4</v>
      </c>
      <c r="I37" s="10"/>
      <c r="J37" s="7"/>
      <c r="K37" s="7"/>
      <c r="L37" s="7">
        <f t="shared" si="3"/>
        <v>0</v>
      </c>
      <c r="M37" s="7">
        <f t="shared" si="4"/>
        <v>0</v>
      </c>
      <c r="N37" s="7">
        <f t="shared" si="16"/>
        <v>0</v>
      </c>
      <c r="O37" s="7"/>
      <c r="P37" s="7">
        <f t="shared" si="0"/>
        <v>0</v>
      </c>
      <c r="Q37" s="3">
        <f t="shared" si="7"/>
        <v>0</v>
      </c>
      <c r="R37" s="7">
        <f t="shared" si="8"/>
        <v>0</v>
      </c>
      <c r="S37" s="7">
        <f t="shared" si="17"/>
        <v>0</v>
      </c>
      <c r="T37" s="7"/>
      <c r="U37" s="7">
        <f t="shared" si="54"/>
        <v>0</v>
      </c>
      <c r="V37" s="7"/>
      <c r="W37" s="7"/>
      <c r="X37" s="7">
        <f>IF(SUM(N37:U37)&gt;0,1,0)</f>
        <v>0</v>
      </c>
      <c r="Y37" s="7">
        <f>IF(SUM(N37:P37,R37:U37)&gt;0,1,0)</f>
        <v>0</v>
      </c>
      <c r="Z37" s="7">
        <f>SUM(L37:U37)</f>
        <v>0</v>
      </c>
      <c r="AA37" s="7" t="s">
        <v>224</v>
      </c>
      <c r="AB37" s="5" t="s">
        <v>7</v>
      </c>
    </row>
    <row r="38" spans="1:28" x14ac:dyDescent="0.25">
      <c r="A38" s="11" t="s">
        <v>101</v>
      </c>
      <c r="B38" s="6">
        <v>43081</v>
      </c>
      <c r="C38" s="6" t="s">
        <v>267</v>
      </c>
      <c r="D38" s="10">
        <v>3640</v>
      </c>
      <c r="E38" s="7">
        <v>1</v>
      </c>
      <c r="F38" s="7">
        <f t="shared" si="2"/>
        <v>3640</v>
      </c>
      <c r="G38" s="10"/>
      <c r="H38" s="10"/>
      <c r="I38" s="10"/>
      <c r="J38" s="7" t="s">
        <v>14</v>
      </c>
      <c r="K38" s="7" t="s">
        <v>178</v>
      </c>
      <c r="L38" s="7">
        <f t="shared" si="3"/>
        <v>1</v>
      </c>
      <c r="M38" s="7">
        <f t="shared" si="4"/>
        <v>1</v>
      </c>
      <c r="N38" s="7">
        <f>IF(ISNUMBER(SEARCH("Unfair dismissal",K38)),1,0)</f>
        <v>0</v>
      </c>
      <c r="O38" s="7">
        <f>IF(ISNUMBER(SEARCH("Contract of employment",K38)),1,0)</f>
        <v>0</v>
      </c>
      <c r="P38" s="7">
        <f t="shared" si="0"/>
        <v>0</v>
      </c>
      <c r="Q38" s="3">
        <f t="shared" si="7"/>
        <v>0</v>
      </c>
      <c r="R38" s="7">
        <f t="shared" si="8"/>
        <v>1</v>
      </c>
      <c r="S38" s="7">
        <f>IF(ISNUMBER(SEARCH("Written pay statement",K38)),1,0)</f>
        <v>0</v>
      </c>
      <c r="T38" s="7">
        <f>IF(ISNUMBER(SEARCH("Written statements",K38)),1,0)</f>
        <v>0</v>
      </c>
      <c r="U38" s="7">
        <f t="shared" si="54"/>
        <v>0</v>
      </c>
      <c r="V38" s="7">
        <f>IF(ISNUMBER(SEARCH("Time off",K38)),1,0)</f>
        <v>0</v>
      </c>
      <c r="W38" s="7">
        <f>IF(ISNUMBER(SEARCH("Redundancy",K38)),1,0)</f>
        <v>0</v>
      </c>
      <c r="X38" s="7">
        <f>IF(SUM(N38:W38)&gt;0,1,0)</f>
        <v>1</v>
      </c>
      <c r="Y38" s="7">
        <f>IF(SUM(N38:P38,R38:W38)&gt;0,1,0)</f>
        <v>1</v>
      </c>
      <c r="Z38" s="7">
        <f>SUM(L38:W38)</f>
        <v>3</v>
      </c>
      <c r="AA38" s="7" t="s">
        <v>225</v>
      </c>
      <c r="AB38" s="5" t="s">
        <v>100</v>
      </c>
    </row>
    <row r="39" spans="1:28" x14ac:dyDescent="0.25">
      <c r="A39" s="11" t="s">
        <v>103</v>
      </c>
      <c r="B39" s="6">
        <v>42583</v>
      </c>
      <c r="C39" s="6" t="s">
        <v>267</v>
      </c>
      <c r="D39" s="10"/>
      <c r="E39" s="7">
        <v>1</v>
      </c>
      <c r="F39" s="7" t="str">
        <f t="shared" si="2"/>
        <v/>
      </c>
      <c r="G39" s="10"/>
      <c r="H39" s="10"/>
      <c r="I39" s="10"/>
      <c r="J39" s="7" t="s">
        <v>14</v>
      </c>
      <c r="K39" s="7" t="s">
        <v>179</v>
      </c>
      <c r="L39" s="7">
        <f t="shared" si="3"/>
        <v>1</v>
      </c>
      <c r="M39" s="7">
        <f t="shared" si="4"/>
        <v>1</v>
      </c>
      <c r="N39" s="7">
        <f t="shared" si="16"/>
        <v>0</v>
      </c>
      <c r="O39" s="7"/>
      <c r="P39" s="7">
        <f t="shared" si="0"/>
        <v>1</v>
      </c>
      <c r="Q39" s="3">
        <f t="shared" si="7"/>
        <v>1</v>
      </c>
      <c r="R39" s="7">
        <f t="shared" si="8"/>
        <v>1</v>
      </c>
      <c r="S39" s="7">
        <f t="shared" si="17"/>
        <v>1</v>
      </c>
      <c r="T39" s="7"/>
      <c r="U39" s="7">
        <f t="shared" si="54"/>
        <v>0</v>
      </c>
      <c r="V39" s="7"/>
      <c r="W39" s="7"/>
      <c r="X39" s="7">
        <f>IF(SUM(N39:U39)&gt;0,1,0)</f>
        <v>1</v>
      </c>
      <c r="Y39" s="7">
        <f>IF(SUM(N39:P39,R39:U39)&gt;0,1,0)</f>
        <v>1</v>
      </c>
      <c r="Z39" s="7">
        <f>SUM(L39:U39)</f>
        <v>6</v>
      </c>
      <c r="AA39" s="7" t="s">
        <v>21</v>
      </c>
      <c r="AB39" s="5" t="s">
        <v>102</v>
      </c>
    </row>
    <row r="40" spans="1:28" x14ac:dyDescent="0.25">
      <c r="A40" s="11" t="s">
        <v>106</v>
      </c>
      <c r="B40" s="6">
        <v>43194</v>
      </c>
      <c r="C40" s="6" t="s">
        <v>267</v>
      </c>
      <c r="D40" s="10">
        <v>130.5</v>
      </c>
      <c r="E40" s="7">
        <v>1</v>
      </c>
      <c r="F40" s="7">
        <f t="shared" si="2"/>
        <v>130.5</v>
      </c>
      <c r="G40" s="10"/>
      <c r="H40" s="10"/>
      <c r="I40" s="10"/>
      <c r="J40" s="7" t="s">
        <v>14</v>
      </c>
      <c r="K40" s="23" t="s">
        <v>189</v>
      </c>
      <c r="L40" s="7">
        <f t="shared" si="3"/>
        <v>1</v>
      </c>
      <c r="M40" s="7">
        <f t="shared" si="4"/>
        <v>1</v>
      </c>
      <c r="N40" s="7">
        <f t="shared" ref="N40:N43" si="55">IF(ISNUMBER(SEARCH("Unfair dismissal",K40)),1,0)</f>
        <v>0</v>
      </c>
      <c r="O40" s="7">
        <f t="shared" ref="O40:O43" si="56">IF(ISNUMBER(SEARCH("Contract of employment",K40)),1,0)</f>
        <v>0</v>
      </c>
      <c r="P40" s="7">
        <f t="shared" si="0"/>
        <v>0</v>
      </c>
      <c r="Q40" s="3">
        <f t="shared" si="7"/>
        <v>0</v>
      </c>
      <c r="R40" s="7">
        <f t="shared" si="8"/>
        <v>0</v>
      </c>
      <c r="S40" s="7">
        <f t="shared" ref="S40:S43" si="57">IF(ISNUMBER(SEARCH("Written pay statement",K40)),1,0)</f>
        <v>0</v>
      </c>
      <c r="T40" s="7">
        <f t="shared" ref="T40:T43" si="58">IF(ISNUMBER(SEARCH("Written statements",K40)),1,0)</f>
        <v>0</v>
      </c>
      <c r="U40" s="7">
        <f t="shared" si="54"/>
        <v>0</v>
      </c>
      <c r="V40" s="7">
        <f t="shared" ref="V40:V43" si="59">IF(ISNUMBER(SEARCH("Time off",K40)),1,0)</f>
        <v>0</v>
      </c>
      <c r="W40" s="7">
        <f t="shared" ref="W40:W43" si="60">IF(ISNUMBER(SEARCH("Redundancy",K40)),1,0)</f>
        <v>0</v>
      </c>
      <c r="X40" s="7">
        <f t="shared" ref="X40:X43" si="61">IF(SUM(N40:W40)&gt;0,1,0)</f>
        <v>0</v>
      </c>
      <c r="Y40" s="7">
        <f t="shared" ref="Y40:Y43" si="62">IF(SUM(N40:P40,R40:W40)&gt;0,1,0)</f>
        <v>0</v>
      </c>
      <c r="Z40" s="7">
        <f t="shared" ref="Z40:Z43" si="63">SUM(L40:W40)</f>
        <v>2</v>
      </c>
      <c r="AA40" s="7" t="s">
        <v>226</v>
      </c>
      <c r="AB40" s="22" t="s">
        <v>105</v>
      </c>
    </row>
    <row r="41" spans="1:28" x14ac:dyDescent="0.25">
      <c r="A41" s="11" t="s">
        <v>109</v>
      </c>
      <c r="B41" s="6">
        <v>43171</v>
      </c>
      <c r="C41" s="6" t="s">
        <v>267</v>
      </c>
      <c r="D41" s="10">
        <v>8240.0300000000007</v>
      </c>
      <c r="E41" s="7">
        <v>1</v>
      </c>
      <c r="F41" s="7">
        <f t="shared" si="2"/>
        <v>8240.0300000000007</v>
      </c>
      <c r="G41" s="10"/>
      <c r="H41" s="10"/>
      <c r="I41" s="10"/>
      <c r="J41" s="7" t="s">
        <v>14</v>
      </c>
      <c r="K41" s="7" t="s">
        <v>180</v>
      </c>
      <c r="L41" s="7">
        <f t="shared" si="3"/>
        <v>1</v>
      </c>
      <c r="M41" s="7">
        <f t="shared" si="4"/>
        <v>0</v>
      </c>
      <c r="N41" s="7">
        <f t="shared" si="55"/>
        <v>0</v>
      </c>
      <c r="O41" s="7">
        <f t="shared" si="56"/>
        <v>0</v>
      </c>
      <c r="P41" s="7">
        <f t="shared" si="0"/>
        <v>0</v>
      </c>
      <c r="Q41" s="3">
        <f t="shared" si="7"/>
        <v>1</v>
      </c>
      <c r="R41" s="7">
        <f t="shared" si="8"/>
        <v>1</v>
      </c>
      <c r="S41" s="7">
        <f t="shared" si="57"/>
        <v>0</v>
      </c>
      <c r="T41" s="7">
        <f t="shared" si="58"/>
        <v>0</v>
      </c>
      <c r="U41" s="7">
        <f t="shared" si="54"/>
        <v>0</v>
      </c>
      <c r="V41" s="7">
        <f t="shared" si="59"/>
        <v>0</v>
      </c>
      <c r="W41" s="7">
        <f t="shared" si="60"/>
        <v>0</v>
      </c>
      <c r="X41" s="7">
        <f t="shared" si="61"/>
        <v>1</v>
      </c>
      <c r="Y41" s="7">
        <f t="shared" si="62"/>
        <v>1</v>
      </c>
      <c r="Z41" s="7">
        <f t="shared" si="63"/>
        <v>3</v>
      </c>
      <c r="AA41" s="7" t="s">
        <v>107</v>
      </c>
      <c r="AB41" s="5" t="s">
        <v>108</v>
      </c>
    </row>
    <row r="42" spans="1:28" x14ac:dyDescent="0.25">
      <c r="A42" s="11" t="s">
        <v>111</v>
      </c>
      <c r="B42" s="6">
        <v>43003</v>
      </c>
      <c r="C42" s="6" t="s">
        <v>267</v>
      </c>
      <c r="D42" s="10">
        <v>189</v>
      </c>
      <c r="E42" s="7">
        <v>1</v>
      </c>
      <c r="F42" s="7">
        <f t="shared" si="2"/>
        <v>189</v>
      </c>
      <c r="G42" s="10"/>
      <c r="H42" s="10"/>
      <c r="I42" s="10"/>
      <c r="J42" s="7" t="s">
        <v>14</v>
      </c>
      <c r="K42" s="7" t="s">
        <v>181</v>
      </c>
      <c r="L42" s="7">
        <f t="shared" si="3"/>
        <v>1</v>
      </c>
      <c r="M42" s="7">
        <f t="shared" si="4"/>
        <v>0</v>
      </c>
      <c r="N42" s="7">
        <f t="shared" si="55"/>
        <v>0</v>
      </c>
      <c r="O42" s="7">
        <f t="shared" si="56"/>
        <v>0</v>
      </c>
      <c r="P42" s="7">
        <f t="shared" si="0"/>
        <v>1</v>
      </c>
      <c r="Q42" s="3">
        <f t="shared" si="7"/>
        <v>1</v>
      </c>
      <c r="R42" s="7">
        <f t="shared" si="8"/>
        <v>0</v>
      </c>
      <c r="S42" s="7">
        <f t="shared" si="57"/>
        <v>0</v>
      </c>
      <c r="T42" s="7">
        <f t="shared" si="58"/>
        <v>0</v>
      </c>
      <c r="U42" s="7">
        <f t="shared" si="54"/>
        <v>0</v>
      </c>
      <c r="V42" s="7">
        <f t="shared" si="59"/>
        <v>0</v>
      </c>
      <c r="W42" s="7">
        <f t="shared" si="60"/>
        <v>0</v>
      </c>
      <c r="X42" s="7">
        <f t="shared" si="61"/>
        <v>1</v>
      </c>
      <c r="Y42" s="7">
        <f t="shared" si="62"/>
        <v>1</v>
      </c>
      <c r="Z42" s="7">
        <f t="shared" si="63"/>
        <v>3</v>
      </c>
      <c r="AA42" s="7" t="s">
        <v>110</v>
      </c>
      <c r="AB42" s="5" t="s">
        <v>112</v>
      </c>
    </row>
    <row r="43" spans="1:28" x14ac:dyDescent="0.25">
      <c r="A43" s="11" t="s">
        <v>114</v>
      </c>
      <c r="B43" s="6">
        <v>43103</v>
      </c>
      <c r="C43" s="6" t="s">
        <v>267</v>
      </c>
      <c r="D43" s="10">
        <v>600</v>
      </c>
      <c r="E43" s="7">
        <v>1</v>
      </c>
      <c r="F43" s="7">
        <f t="shared" si="2"/>
        <v>600</v>
      </c>
      <c r="G43" s="10"/>
      <c r="H43" s="10"/>
      <c r="I43" s="10"/>
      <c r="J43" s="7" t="s">
        <v>14</v>
      </c>
      <c r="K43" s="7" t="s">
        <v>182</v>
      </c>
      <c r="L43" s="7">
        <f t="shared" si="3"/>
        <v>1</v>
      </c>
      <c r="M43" s="7">
        <f t="shared" si="4"/>
        <v>1</v>
      </c>
      <c r="N43" s="7">
        <f t="shared" si="55"/>
        <v>1</v>
      </c>
      <c r="O43" s="7">
        <f t="shared" si="56"/>
        <v>0</v>
      </c>
      <c r="P43" s="7">
        <f t="shared" si="0"/>
        <v>0</v>
      </c>
      <c r="Q43" s="3">
        <f t="shared" si="7"/>
        <v>1</v>
      </c>
      <c r="R43" s="7">
        <f t="shared" si="8"/>
        <v>1</v>
      </c>
      <c r="S43" s="7">
        <f t="shared" si="57"/>
        <v>0</v>
      </c>
      <c r="T43" s="7">
        <f t="shared" si="58"/>
        <v>0</v>
      </c>
      <c r="U43" s="7">
        <f t="shared" si="54"/>
        <v>0</v>
      </c>
      <c r="V43" s="7">
        <f t="shared" si="59"/>
        <v>0</v>
      </c>
      <c r="W43" s="7">
        <f t="shared" si="60"/>
        <v>0</v>
      </c>
      <c r="X43" s="7">
        <f t="shared" si="61"/>
        <v>1</v>
      </c>
      <c r="Y43" s="7">
        <f t="shared" si="62"/>
        <v>1</v>
      </c>
      <c r="Z43" s="7">
        <f t="shared" si="63"/>
        <v>5</v>
      </c>
      <c r="AA43" s="7"/>
      <c r="AB43" s="5" t="s">
        <v>113</v>
      </c>
    </row>
    <row r="44" spans="1:28" x14ac:dyDescent="0.25">
      <c r="A44" s="11" t="s">
        <v>116</v>
      </c>
      <c r="B44" s="6">
        <v>43098</v>
      </c>
      <c r="C44" s="6" t="s">
        <v>267</v>
      </c>
      <c r="D44" s="10"/>
      <c r="E44" s="7">
        <v>1</v>
      </c>
      <c r="F44" s="7" t="str">
        <f t="shared" si="2"/>
        <v/>
      </c>
      <c r="G44" s="10"/>
      <c r="H44" s="10"/>
      <c r="I44" s="10"/>
      <c r="J44" s="7" t="s">
        <v>14</v>
      </c>
      <c r="K44" s="7" t="s">
        <v>183</v>
      </c>
      <c r="L44" s="7">
        <f t="shared" si="3"/>
        <v>1</v>
      </c>
      <c r="M44" s="7">
        <f t="shared" si="4"/>
        <v>1</v>
      </c>
      <c r="N44" s="7">
        <f t="shared" si="16"/>
        <v>0</v>
      </c>
      <c r="O44" s="7"/>
      <c r="P44" s="7">
        <f t="shared" si="0"/>
        <v>0</v>
      </c>
      <c r="Q44" s="3">
        <f t="shared" si="7"/>
        <v>1</v>
      </c>
      <c r="R44" s="7">
        <f t="shared" si="8"/>
        <v>1</v>
      </c>
      <c r="S44" s="7">
        <f t="shared" si="17"/>
        <v>0</v>
      </c>
      <c r="T44" s="7"/>
      <c r="U44" s="7">
        <f t="shared" si="54"/>
        <v>0</v>
      </c>
      <c r="V44" s="7"/>
      <c r="W44" s="7"/>
      <c r="X44" s="7">
        <f>IF(SUM(N44:U44)&gt;0,1,0)</f>
        <v>1</v>
      </c>
      <c r="Y44" s="7">
        <f>IF(SUM(N44:P44,R44:U44)&gt;0,1,0)</f>
        <v>1</v>
      </c>
      <c r="Z44" s="7">
        <f>SUM(L44:U44)</f>
        <v>4</v>
      </c>
      <c r="AA44" s="7" t="s">
        <v>221</v>
      </c>
      <c r="AB44" s="5" t="s">
        <v>115</v>
      </c>
    </row>
    <row r="45" spans="1:28" x14ac:dyDescent="0.25">
      <c r="A45" s="11" t="s">
        <v>117</v>
      </c>
      <c r="B45" s="6">
        <v>42828</v>
      </c>
      <c r="C45" s="6" t="s">
        <v>267</v>
      </c>
      <c r="D45" s="10" t="s">
        <v>118</v>
      </c>
      <c r="E45" s="7">
        <v>1</v>
      </c>
      <c r="F45" s="7"/>
      <c r="G45" s="10"/>
      <c r="H45" s="10"/>
      <c r="I45" s="10">
        <v>5112</v>
      </c>
      <c r="J45" s="7" t="s">
        <v>14</v>
      </c>
      <c r="K45" s="7" t="s">
        <v>184</v>
      </c>
      <c r="L45" s="7">
        <f t="shared" si="3"/>
        <v>1</v>
      </c>
      <c r="M45" s="7">
        <f t="shared" si="4"/>
        <v>1</v>
      </c>
      <c r="N45" s="7">
        <f t="shared" ref="N45:N46" si="64">IF(ISNUMBER(SEARCH("Unfair dismissal",K45)),1,0)</f>
        <v>1</v>
      </c>
      <c r="O45" s="7">
        <f t="shared" ref="O45:O46" si="65">IF(ISNUMBER(SEARCH("Contract of employment",K45)),1,0)</f>
        <v>1</v>
      </c>
      <c r="P45" s="7">
        <f t="shared" si="0"/>
        <v>0</v>
      </c>
      <c r="Q45" s="3">
        <f t="shared" si="7"/>
        <v>1</v>
      </c>
      <c r="R45" s="7">
        <f t="shared" si="8"/>
        <v>0</v>
      </c>
      <c r="S45" s="7">
        <f t="shared" ref="S45:S46" si="66">IF(ISNUMBER(SEARCH("Written pay statement",K45)),1,0)</f>
        <v>0</v>
      </c>
      <c r="T45" s="7">
        <f t="shared" ref="T45:T46" si="67">IF(ISNUMBER(SEARCH("Written statements",K45)),1,0)</f>
        <v>1</v>
      </c>
      <c r="U45" s="7">
        <f t="shared" si="54"/>
        <v>0</v>
      </c>
      <c r="V45" s="7">
        <f t="shared" ref="V45:V46" si="68">IF(ISNUMBER(SEARCH("Time off",K45)),1,0)</f>
        <v>0</v>
      </c>
      <c r="W45" s="7">
        <f t="shared" ref="W45:W46" si="69">IF(ISNUMBER(SEARCH("Redundancy",K45)),1,0)</f>
        <v>0</v>
      </c>
      <c r="X45" s="7">
        <f t="shared" ref="X45:X46" si="70">IF(SUM(N45:W45)&gt;0,1,0)</f>
        <v>1</v>
      </c>
      <c r="Y45" s="7">
        <f t="shared" ref="Y45:Y46" si="71">IF(SUM(N45:P45,R45:W45)&gt;0,1,0)</f>
        <v>1</v>
      </c>
      <c r="Z45" s="7">
        <f t="shared" ref="Z45:Z46" si="72">SUM(L45:W45)</f>
        <v>6</v>
      </c>
      <c r="AA45" s="7" t="s">
        <v>119</v>
      </c>
      <c r="AB45" s="5" t="s">
        <v>120</v>
      </c>
    </row>
    <row r="46" spans="1:28" x14ac:dyDescent="0.25">
      <c r="A46" s="11" t="s">
        <v>123</v>
      </c>
      <c r="B46" s="6">
        <v>43041</v>
      </c>
      <c r="C46" s="6" t="s">
        <v>267</v>
      </c>
      <c r="D46" s="10" t="s">
        <v>118</v>
      </c>
      <c r="E46" s="7">
        <v>1</v>
      </c>
      <c r="F46" s="7"/>
      <c r="G46" s="10"/>
      <c r="H46" s="10"/>
      <c r="I46" s="10"/>
      <c r="J46" s="7" t="s">
        <v>14</v>
      </c>
      <c r="K46" s="7" t="s">
        <v>185</v>
      </c>
      <c r="L46" s="7">
        <f t="shared" si="3"/>
        <v>1</v>
      </c>
      <c r="M46" s="7">
        <f t="shared" si="4"/>
        <v>1</v>
      </c>
      <c r="N46" s="7">
        <f t="shared" si="64"/>
        <v>1</v>
      </c>
      <c r="O46" s="7">
        <f t="shared" si="65"/>
        <v>0</v>
      </c>
      <c r="P46" s="7">
        <f t="shared" si="0"/>
        <v>0</v>
      </c>
      <c r="Q46" s="3">
        <f t="shared" si="7"/>
        <v>1</v>
      </c>
      <c r="R46" s="7">
        <f t="shared" si="8"/>
        <v>0</v>
      </c>
      <c r="S46" s="7">
        <f t="shared" si="66"/>
        <v>0</v>
      </c>
      <c r="T46" s="7">
        <f t="shared" si="67"/>
        <v>0</v>
      </c>
      <c r="U46" s="7">
        <f t="shared" si="54"/>
        <v>0</v>
      </c>
      <c r="V46" s="7">
        <f t="shared" si="68"/>
        <v>0</v>
      </c>
      <c r="W46" s="7">
        <f t="shared" si="69"/>
        <v>1</v>
      </c>
      <c r="X46" s="7">
        <f t="shared" si="70"/>
        <v>1</v>
      </c>
      <c r="Y46" s="7">
        <f t="shared" si="71"/>
        <v>1</v>
      </c>
      <c r="Z46" s="7">
        <f t="shared" si="72"/>
        <v>5</v>
      </c>
      <c r="AA46" s="7" t="s">
        <v>122</v>
      </c>
      <c r="AB46" s="5" t="s">
        <v>121</v>
      </c>
    </row>
    <row r="47" spans="1:28" x14ac:dyDescent="0.25">
      <c r="A47" s="11" t="s">
        <v>125</v>
      </c>
      <c r="B47" s="6">
        <v>43003</v>
      </c>
      <c r="C47" s="6" t="s">
        <v>266</v>
      </c>
      <c r="D47" s="10"/>
      <c r="E47" s="7">
        <v>1</v>
      </c>
      <c r="F47" s="7" t="str">
        <f t="shared" si="2"/>
        <v/>
      </c>
      <c r="G47" s="10"/>
      <c r="H47" s="10">
        <v>600</v>
      </c>
      <c r="I47" s="10"/>
      <c r="J47" s="7"/>
      <c r="K47" s="7"/>
      <c r="L47" s="7">
        <f t="shared" si="3"/>
        <v>0</v>
      </c>
      <c r="M47" s="7">
        <f t="shared" si="4"/>
        <v>0</v>
      </c>
      <c r="N47" s="7">
        <f t="shared" si="16"/>
        <v>0</v>
      </c>
      <c r="O47" s="7"/>
      <c r="P47" s="7">
        <f t="shared" si="0"/>
        <v>0</v>
      </c>
      <c r="Q47" s="3">
        <f t="shared" si="7"/>
        <v>0</v>
      </c>
      <c r="R47" s="7">
        <f t="shared" si="8"/>
        <v>0</v>
      </c>
      <c r="S47" s="7">
        <f t="shared" si="17"/>
        <v>0</v>
      </c>
      <c r="T47" s="7"/>
      <c r="U47" s="7">
        <f t="shared" si="54"/>
        <v>0</v>
      </c>
      <c r="V47" s="7"/>
      <c r="W47" s="7"/>
      <c r="X47" s="7">
        <f>IF(SUM(N47:U47)&gt;0,1,0)</f>
        <v>0</v>
      </c>
      <c r="Y47" s="7">
        <f>IF(SUM(N47:P47,R47:U47)&gt;0,1,0)</f>
        <v>0</v>
      </c>
      <c r="Z47" s="7">
        <f>SUM(L47:U47)</f>
        <v>0</v>
      </c>
      <c r="AA47" s="7" t="s">
        <v>97</v>
      </c>
      <c r="AB47" s="5" t="s">
        <v>124</v>
      </c>
    </row>
    <row r="48" spans="1:28" x14ac:dyDescent="0.25">
      <c r="A48" s="11" t="s">
        <v>127</v>
      </c>
      <c r="B48" s="6">
        <v>42780</v>
      </c>
      <c r="C48" s="6" t="s">
        <v>267</v>
      </c>
      <c r="D48" s="10">
        <v>445.44</v>
      </c>
      <c r="E48" s="7">
        <v>1</v>
      </c>
      <c r="F48" s="7">
        <f t="shared" si="2"/>
        <v>445.44</v>
      </c>
      <c r="G48" s="10"/>
      <c r="H48" s="10"/>
      <c r="I48" s="10"/>
      <c r="J48" s="7" t="s">
        <v>14</v>
      </c>
      <c r="K48" s="7" t="s">
        <v>182</v>
      </c>
      <c r="L48" s="7">
        <f t="shared" si="3"/>
        <v>1</v>
      </c>
      <c r="M48" s="7">
        <f t="shared" si="4"/>
        <v>1</v>
      </c>
      <c r="N48" s="7">
        <f t="shared" ref="N48:N49" si="73">IF(ISNUMBER(SEARCH("Unfair dismissal",K48)),1,0)</f>
        <v>1</v>
      </c>
      <c r="O48" s="7">
        <f t="shared" ref="O48:O49" si="74">IF(ISNUMBER(SEARCH("Contract of employment",K48)),1,0)</f>
        <v>0</v>
      </c>
      <c r="P48" s="7">
        <f t="shared" si="0"/>
        <v>0</v>
      </c>
      <c r="Q48" s="3">
        <f t="shared" si="7"/>
        <v>1</v>
      </c>
      <c r="R48" s="7">
        <f t="shared" si="8"/>
        <v>1</v>
      </c>
      <c r="S48" s="7">
        <f t="shared" ref="S48:S49" si="75">IF(ISNUMBER(SEARCH("Written pay statement",K48)),1,0)</f>
        <v>0</v>
      </c>
      <c r="T48" s="7">
        <f t="shared" ref="T48:T49" si="76">IF(ISNUMBER(SEARCH("Written statements",K48)),1,0)</f>
        <v>0</v>
      </c>
      <c r="U48" s="7">
        <f t="shared" si="54"/>
        <v>0</v>
      </c>
      <c r="V48" s="7">
        <f t="shared" ref="V48:V49" si="77">IF(ISNUMBER(SEARCH("Time off",K48)),1,0)</f>
        <v>0</v>
      </c>
      <c r="W48" s="7">
        <f t="shared" ref="W48:W49" si="78">IF(ISNUMBER(SEARCH("Redundancy",K48)),1,0)</f>
        <v>0</v>
      </c>
      <c r="X48" s="7">
        <f t="shared" ref="X48:X49" si="79">IF(SUM(N48:W48)&gt;0,1,0)</f>
        <v>1</v>
      </c>
      <c r="Y48" s="7">
        <f t="shared" ref="Y48:Y49" si="80">IF(SUM(N48:P48,R48:W48)&gt;0,1,0)</f>
        <v>1</v>
      </c>
      <c r="Z48" s="7">
        <f t="shared" ref="Z48:Z49" si="81">SUM(L48:W48)</f>
        <v>5</v>
      </c>
      <c r="AA48" s="7" t="s">
        <v>227</v>
      </c>
      <c r="AB48" s="5" t="s">
        <v>126</v>
      </c>
    </row>
    <row r="49" spans="1:28" x14ac:dyDescent="0.25">
      <c r="A49" s="11" t="s">
        <v>130</v>
      </c>
      <c r="B49" s="6">
        <v>42867</v>
      </c>
      <c r="C49" s="6" t="s">
        <v>267</v>
      </c>
      <c r="D49" s="10">
        <v>1333.33</v>
      </c>
      <c r="E49" s="7">
        <v>1</v>
      </c>
      <c r="F49" s="7">
        <f t="shared" si="2"/>
        <v>1333.33</v>
      </c>
      <c r="G49" s="10"/>
      <c r="H49" s="10"/>
      <c r="I49" s="10"/>
      <c r="J49" s="7" t="s">
        <v>14</v>
      </c>
      <c r="K49" s="7" t="s">
        <v>186</v>
      </c>
      <c r="L49" s="7">
        <f t="shared" si="3"/>
        <v>1</v>
      </c>
      <c r="M49" s="7">
        <f t="shared" si="4"/>
        <v>0</v>
      </c>
      <c r="N49" s="7">
        <f t="shared" si="73"/>
        <v>0</v>
      </c>
      <c r="O49" s="7">
        <f t="shared" si="74"/>
        <v>0</v>
      </c>
      <c r="P49" s="7">
        <f t="shared" si="0"/>
        <v>0</v>
      </c>
      <c r="Q49" s="3">
        <f t="shared" si="7"/>
        <v>1</v>
      </c>
      <c r="R49" s="7">
        <f t="shared" si="8"/>
        <v>0</v>
      </c>
      <c r="S49" s="7">
        <f t="shared" si="75"/>
        <v>0</v>
      </c>
      <c r="T49" s="7">
        <f t="shared" si="76"/>
        <v>0</v>
      </c>
      <c r="U49" s="7">
        <f t="shared" si="54"/>
        <v>0</v>
      </c>
      <c r="V49" s="7">
        <f t="shared" si="77"/>
        <v>0</v>
      </c>
      <c r="W49" s="7">
        <f t="shared" si="78"/>
        <v>0</v>
      </c>
      <c r="X49" s="7">
        <f t="shared" si="79"/>
        <v>1</v>
      </c>
      <c r="Y49" s="7">
        <f t="shared" si="80"/>
        <v>0</v>
      </c>
      <c r="Z49" s="7">
        <f t="shared" si="81"/>
        <v>2</v>
      </c>
      <c r="AA49" s="7" t="s">
        <v>128</v>
      </c>
      <c r="AB49" s="5" t="s">
        <v>129</v>
      </c>
    </row>
    <row r="50" spans="1:28" x14ac:dyDescent="0.25">
      <c r="A50" s="11" t="s">
        <v>132</v>
      </c>
      <c r="B50" s="6">
        <v>43011</v>
      </c>
      <c r="C50" s="6" t="s">
        <v>267</v>
      </c>
      <c r="D50" s="10"/>
      <c r="E50" s="7">
        <v>1</v>
      </c>
      <c r="F50" s="7" t="str">
        <f t="shared" si="2"/>
        <v/>
      </c>
      <c r="G50" s="10"/>
      <c r="H50" s="10"/>
      <c r="I50" s="10"/>
      <c r="J50" s="7" t="s">
        <v>14</v>
      </c>
      <c r="K50" s="7" t="s">
        <v>187</v>
      </c>
      <c r="L50" s="7">
        <f t="shared" si="3"/>
        <v>1</v>
      </c>
      <c r="M50" s="7">
        <f t="shared" si="4"/>
        <v>1</v>
      </c>
      <c r="N50" s="7">
        <f t="shared" si="16"/>
        <v>0</v>
      </c>
      <c r="O50" s="7"/>
      <c r="P50" s="7">
        <f t="shared" si="0"/>
        <v>0</v>
      </c>
      <c r="Q50" s="3">
        <f t="shared" si="7"/>
        <v>0</v>
      </c>
      <c r="R50" s="7">
        <f t="shared" si="8"/>
        <v>1</v>
      </c>
      <c r="S50" s="7">
        <f t="shared" si="17"/>
        <v>1</v>
      </c>
      <c r="T50" s="7"/>
      <c r="U50" s="7">
        <f t="shared" si="54"/>
        <v>0</v>
      </c>
      <c r="V50" s="7"/>
      <c r="W50" s="7"/>
      <c r="X50" s="7">
        <f>IF(SUM(N50:U50)&gt;0,1,0)</f>
        <v>1</v>
      </c>
      <c r="Y50" s="7">
        <f>IF(SUM(N50:P50,R50:U50)&gt;0,1,0)</f>
        <v>1</v>
      </c>
      <c r="Z50" s="7">
        <f>SUM(L50:U50)</f>
        <v>4</v>
      </c>
      <c r="AA50" s="7" t="s">
        <v>21</v>
      </c>
      <c r="AB50" s="5" t="s">
        <v>131</v>
      </c>
    </row>
    <row r="51" spans="1:28" x14ac:dyDescent="0.25">
      <c r="A51" s="11" t="s">
        <v>134</v>
      </c>
      <c r="B51" s="6">
        <v>43003</v>
      </c>
      <c r="C51" s="6" t="s">
        <v>267</v>
      </c>
      <c r="D51" s="10"/>
      <c r="E51" s="7">
        <v>1</v>
      </c>
      <c r="F51" s="7" t="str">
        <f t="shared" si="2"/>
        <v/>
      </c>
      <c r="G51" s="10"/>
      <c r="H51" s="10"/>
      <c r="I51" s="10"/>
      <c r="J51" s="7" t="s">
        <v>14</v>
      </c>
      <c r="K51" s="7" t="s">
        <v>188</v>
      </c>
      <c r="L51" s="7">
        <f t="shared" si="3"/>
        <v>1</v>
      </c>
      <c r="M51" s="7">
        <f t="shared" si="4"/>
        <v>1</v>
      </c>
      <c r="N51" s="7">
        <f t="shared" si="16"/>
        <v>1</v>
      </c>
      <c r="O51" s="7"/>
      <c r="P51" s="7">
        <f t="shared" si="0"/>
        <v>0</v>
      </c>
      <c r="Q51" s="3">
        <f t="shared" si="7"/>
        <v>1</v>
      </c>
      <c r="R51" s="7">
        <f t="shared" si="8"/>
        <v>0</v>
      </c>
      <c r="S51" s="7">
        <f t="shared" si="17"/>
        <v>0</v>
      </c>
      <c r="T51" s="7"/>
      <c r="U51" s="7">
        <f t="shared" si="54"/>
        <v>0</v>
      </c>
      <c r="V51" s="7"/>
      <c r="W51" s="7"/>
      <c r="X51" s="7">
        <f>IF(SUM(N51:U51)&gt;0,1,0)</f>
        <v>1</v>
      </c>
      <c r="Y51" s="7">
        <f>IF(SUM(N51:P51,R51:U51)&gt;0,1,0)</f>
        <v>1</v>
      </c>
      <c r="Z51" s="7">
        <f>SUM(L51:U51)</f>
        <v>4</v>
      </c>
      <c r="AA51" s="7" t="s">
        <v>228</v>
      </c>
      <c r="AB51" s="5" t="s">
        <v>133</v>
      </c>
    </row>
    <row r="52" spans="1:28" x14ac:dyDescent="0.25">
      <c r="A52" s="11" t="s">
        <v>136</v>
      </c>
      <c r="B52" s="6">
        <v>42990</v>
      </c>
      <c r="C52" s="6" t="s">
        <v>267</v>
      </c>
      <c r="D52" s="10">
        <v>3167.26</v>
      </c>
      <c r="E52" s="7">
        <v>1</v>
      </c>
      <c r="F52" s="7">
        <f t="shared" si="2"/>
        <v>3167.26</v>
      </c>
      <c r="G52" s="10"/>
      <c r="H52" s="10"/>
      <c r="I52" s="10"/>
      <c r="J52" s="7" t="s">
        <v>14</v>
      </c>
      <c r="K52" s="7" t="s">
        <v>189</v>
      </c>
      <c r="L52" s="7">
        <f t="shared" si="3"/>
        <v>1</v>
      </c>
      <c r="M52" s="7">
        <f t="shared" si="4"/>
        <v>1</v>
      </c>
      <c r="N52" s="7">
        <f>IF(ISNUMBER(SEARCH("Unfair dismissal",K52)),1,0)</f>
        <v>0</v>
      </c>
      <c r="O52" s="7">
        <f>IF(ISNUMBER(SEARCH("Contract of employment",K52)),1,0)</f>
        <v>0</v>
      </c>
      <c r="P52" s="7">
        <f t="shared" si="0"/>
        <v>0</v>
      </c>
      <c r="Q52" s="3">
        <f t="shared" si="7"/>
        <v>0</v>
      </c>
      <c r="R52" s="7">
        <f t="shared" si="8"/>
        <v>0</v>
      </c>
      <c r="S52" s="7">
        <f>IF(ISNUMBER(SEARCH("Written pay statement",K52)),1,0)</f>
        <v>0</v>
      </c>
      <c r="T52" s="7">
        <f>IF(ISNUMBER(SEARCH("Written statements",K52)),1,0)</f>
        <v>0</v>
      </c>
      <c r="U52" s="7">
        <f t="shared" si="54"/>
        <v>0</v>
      </c>
      <c r="V52" s="7">
        <f>IF(ISNUMBER(SEARCH("Time off",K52)),1,0)</f>
        <v>0</v>
      </c>
      <c r="W52" s="7">
        <f>IF(ISNUMBER(SEARCH("Redundancy",K52)),1,0)</f>
        <v>0</v>
      </c>
      <c r="X52" s="7">
        <f>IF(SUM(N52:W52)&gt;0,1,0)</f>
        <v>0</v>
      </c>
      <c r="Y52" s="7">
        <f>IF(SUM(N52:P52,R52:W52)&gt;0,1,0)</f>
        <v>0</v>
      </c>
      <c r="Z52" s="7">
        <f>SUM(L52:W52)</f>
        <v>2</v>
      </c>
      <c r="AA52" s="7" t="s">
        <v>229</v>
      </c>
      <c r="AB52" s="5" t="s">
        <v>135</v>
      </c>
    </row>
    <row r="53" spans="1:28" x14ac:dyDescent="0.25">
      <c r="A53" s="11" t="s">
        <v>138</v>
      </c>
      <c r="B53" s="6">
        <v>43005</v>
      </c>
      <c r="C53" s="6" t="s">
        <v>267</v>
      </c>
      <c r="D53" s="10"/>
      <c r="E53" s="7">
        <v>1</v>
      </c>
      <c r="F53" s="7" t="str">
        <f t="shared" si="2"/>
        <v/>
      </c>
      <c r="G53" s="10"/>
      <c r="H53" s="10"/>
      <c r="I53" s="10"/>
      <c r="J53" s="7" t="s">
        <v>14</v>
      </c>
      <c r="K53" s="7" t="s">
        <v>190</v>
      </c>
      <c r="L53" s="7">
        <f t="shared" si="3"/>
        <v>1</v>
      </c>
      <c r="M53" s="7">
        <f t="shared" si="4"/>
        <v>0</v>
      </c>
      <c r="N53" s="7">
        <f t="shared" si="16"/>
        <v>1</v>
      </c>
      <c r="O53" s="7"/>
      <c r="P53" s="7">
        <f t="shared" si="0"/>
        <v>0</v>
      </c>
      <c r="Q53" s="3">
        <f t="shared" si="7"/>
        <v>0</v>
      </c>
      <c r="R53" s="7">
        <f t="shared" si="8"/>
        <v>1</v>
      </c>
      <c r="S53" s="7">
        <f t="shared" si="17"/>
        <v>0</v>
      </c>
      <c r="T53" s="7"/>
      <c r="U53" s="7">
        <f t="shared" si="54"/>
        <v>0</v>
      </c>
      <c r="V53" s="7"/>
      <c r="W53" s="7"/>
      <c r="X53" s="7">
        <f>IF(SUM(N53:U53)&gt;0,1,0)</f>
        <v>1</v>
      </c>
      <c r="Y53" s="7">
        <f>IF(SUM(N53:P53,R53:U53)&gt;0,1,0)</f>
        <v>1</v>
      </c>
      <c r="Z53" s="7">
        <f>SUM(L53:U53)</f>
        <v>3</v>
      </c>
      <c r="AA53" s="7" t="s">
        <v>21</v>
      </c>
      <c r="AB53" s="5" t="s">
        <v>137</v>
      </c>
    </row>
    <row r="54" spans="1:28" x14ac:dyDescent="0.25">
      <c r="A54" s="11" t="s">
        <v>140</v>
      </c>
      <c r="B54" s="6">
        <v>42992</v>
      </c>
      <c r="C54" s="6" t="s">
        <v>267</v>
      </c>
      <c r="D54" s="10"/>
      <c r="E54" s="7">
        <v>1</v>
      </c>
      <c r="F54" s="7" t="str">
        <f t="shared" si="2"/>
        <v/>
      </c>
      <c r="G54" s="10"/>
      <c r="H54" s="10"/>
      <c r="I54" s="10"/>
      <c r="J54" s="7" t="s">
        <v>14</v>
      </c>
      <c r="K54" s="7" t="s">
        <v>255</v>
      </c>
      <c r="L54" s="7">
        <f t="shared" si="3"/>
        <v>1</v>
      </c>
      <c r="M54" s="7">
        <f t="shared" si="4"/>
        <v>1</v>
      </c>
      <c r="N54" s="7">
        <f t="shared" si="16"/>
        <v>1</v>
      </c>
      <c r="O54" s="7"/>
      <c r="P54" s="7">
        <f t="shared" si="0"/>
        <v>1</v>
      </c>
      <c r="Q54" s="3">
        <f t="shared" si="7"/>
        <v>1</v>
      </c>
      <c r="R54" s="7">
        <f t="shared" si="8"/>
        <v>0</v>
      </c>
      <c r="S54" s="7">
        <f t="shared" si="17"/>
        <v>0</v>
      </c>
      <c r="T54" s="7"/>
      <c r="U54" s="7">
        <f t="shared" si="54"/>
        <v>0</v>
      </c>
      <c r="V54" s="7"/>
      <c r="W54" s="7"/>
      <c r="X54" s="7">
        <f>IF(SUM(N54:U54)&gt;0,1,0)</f>
        <v>1</v>
      </c>
      <c r="Y54" s="7">
        <f>IF(SUM(N54:P54,R54:U54)&gt;0,1,0)</f>
        <v>1</v>
      </c>
      <c r="Z54" s="7">
        <f>SUM(L54:U54)</f>
        <v>5</v>
      </c>
      <c r="AA54" s="7" t="s">
        <v>21</v>
      </c>
      <c r="AB54" s="5" t="s">
        <v>139</v>
      </c>
    </row>
    <row r="55" spans="1:28" x14ac:dyDescent="0.25">
      <c r="A55" s="11" t="s">
        <v>143</v>
      </c>
      <c r="B55" s="6">
        <v>42998</v>
      </c>
      <c r="C55" s="6" t="s">
        <v>267</v>
      </c>
      <c r="D55" s="10">
        <v>5373.75</v>
      </c>
      <c r="E55" s="7">
        <v>1</v>
      </c>
      <c r="F55" s="7">
        <f t="shared" si="2"/>
        <v>5373.75</v>
      </c>
      <c r="G55" s="10"/>
      <c r="H55" s="10"/>
      <c r="I55" s="10"/>
      <c r="J55" s="7" t="s">
        <v>14</v>
      </c>
      <c r="K55" s="7" t="s">
        <v>191</v>
      </c>
      <c r="L55" s="7">
        <f t="shared" si="3"/>
        <v>1</v>
      </c>
      <c r="M55" s="7">
        <f t="shared" si="4"/>
        <v>0</v>
      </c>
      <c r="N55" s="7">
        <f t="shared" ref="N55:N65" si="82">IF(ISNUMBER(SEARCH("Unfair dismissal",K55)),1,0)</f>
        <v>1</v>
      </c>
      <c r="O55" s="7">
        <f t="shared" ref="O55:O65" si="83">IF(ISNUMBER(SEARCH("Contract of employment",K55)),1,0)</f>
        <v>1</v>
      </c>
      <c r="P55" s="7">
        <f t="shared" si="0"/>
        <v>0</v>
      </c>
      <c r="Q55" s="3">
        <f t="shared" si="7"/>
        <v>1</v>
      </c>
      <c r="R55" s="7">
        <f t="shared" si="8"/>
        <v>0</v>
      </c>
      <c r="S55" s="7">
        <f t="shared" ref="S55:S65" si="84">IF(ISNUMBER(SEARCH("Written pay statement",K55)),1,0)</f>
        <v>0</v>
      </c>
      <c r="T55" s="7">
        <f t="shared" ref="T55:T65" si="85">IF(ISNUMBER(SEARCH("Written statements",K55)),1,0)</f>
        <v>0</v>
      </c>
      <c r="U55" s="7">
        <f t="shared" si="54"/>
        <v>0</v>
      </c>
      <c r="V55" s="7">
        <f t="shared" ref="V55:V65" si="86">IF(ISNUMBER(SEARCH("Time off",K55)),1,0)</f>
        <v>0</v>
      </c>
      <c r="W55" s="7">
        <f t="shared" ref="W55:W65" si="87">IF(ISNUMBER(SEARCH("Redundancy",K55)),1,0)</f>
        <v>0</v>
      </c>
      <c r="X55" s="7">
        <f t="shared" ref="X55:X65" si="88">IF(SUM(N55:W55)&gt;0,1,0)</f>
        <v>1</v>
      </c>
      <c r="Y55" s="7">
        <f t="shared" ref="Y55:Y65" si="89">IF(SUM(N55:P55,R55:W55)&gt;0,1,0)</f>
        <v>1</v>
      </c>
      <c r="Z55" s="7">
        <f t="shared" ref="Z55:Z65" si="90">SUM(L55:W55)</f>
        <v>4</v>
      </c>
      <c r="AA55" s="7" t="s">
        <v>141</v>
      </c>
      <c r="AB55" s="5" t="s">
        <v>142</v>
      </c>
    </row>
    <row r="56" spans="1:28" x14ac:dyDescent="0.25">
      <c r="A56" s="11" t="s">
        <v>145</v>
      </c>
      <c r="B56" s="6">
        <v>42968</v>
      </c>
      <c r="C56" s="6" t="s">
        <v>267</v>
      </c>
      <c r="D56" s="10">
        <v>1131.3</v>
      </c>
      <c r="E56" s="7">
        <v>1</v>
      </c>
      <c r="F56" s="7">
        <f t="shared" si="2"/>
        <v>1131.3</v>
      </c>
      <c r="G56" s="10"/>
      <c r="H56" s="10"/>
      <c r="I56" s="10"/>
      <c r="J56" s="7" t="s">
        <v>14</v>
      </c>
      <c r="K56" s="7" t="s">
        <v>192</v>
      </c>
      <c r="L56" s="7">
        <f t="shared" si="3"/>
        <v>1</v>
      </c>
      <c r="M56" s="7">
        <f t="shared" si="4"/>
        <v>1</v>
      </c>
      <c r="N56" s="7">
        <f t="shared" si="82"/>
        <v>1</v>
      </c>
      <c r="O56" s="7">
        <f t="shared" si="83"/>
        <v>0</v>
      </c>
      <c r="P56" s="7">
        <f t="shared" si="0"/>
        <v>0</v>
      </c>
      <c r="Q56" s="3">
        <f t="shared" si="7"/>
        <v>1</v>
      </c>
      <c r="R56" s="7">
        <f t="shared" si="8"/>
        <v>1</v>
      </c>
      <c r="S56" s="7">
        <f t="shared" si="84"/>
        <v>1</v>
      </c>
      <c r="T56" s="7">
        <f t="shared" si="85"/>
        <v>0</v>
      </c>
      <c r="U56" s="7">
        <f t="shared" si="54"/>
        <v>0</v>
      </c>
      <c r="V56" s="7">
        <f t="shared" si="86"/>
        <v>0</v>
      </c>
      <c r="W56" s="7">
        <f t="shared" si="87"/>
        <v>0</v>
      </c>
      <c r="X56" s="7">
        <f t="shared" si="88"/>
        <v>1</v>
      </c>
      <c r="Y56" s="7">
        <f t="shared" si="89"/>
        <v>1</v>
      </c>
      <c r="Z56" s="7">
        <f t="shared" si="90"/>
        <v>6</v>
      </c>
      <c r="AA56" s="7" t="s">
        <v>230</v>
      </c>
      <c r="AB56" s="5" t="s">
        <v>144</v>
      </c>
    </row>
    <row r="57" spans="1:28" x14ac:dyDescent="0.25">
      <c r="A57" s="11" t="s">
        <v>148</v>
      </c>
      <c r="B57" s="6">
        <v>42965</v>
      </c>
      <c r="C57" s="6" t="s">
        <v>267</v>
      </c>
      <c r="D57" s="10">
        <f>12986.15+21530</f>
        <v>34516.15</v>
      </c>
      <c r="E57" s="7">
        <v>2</v>
      </c>
      <c r="F57" s="7">
        <f t="shared" si="2"/>
        <v>17258.075000000001</v>
      </c>
      <c r="G57" s="10">
        <v>5000</v>
      </c>
      <c r="H57" s="10"/>
      <c r="I57" s="10"/>
      <c r="J57" s="7" t="s">
        <v>14</v>
      </c>
      <c r="K57" s="7" t="s">
        <v>242</v>
      </c>
      <c r="L57" s="7">
        <f t="shared" si="3"/>
        <v>1</v>
      </c>
      <c r="M57" s="7">
        <f t="shared" si="4"/>
        <v>1</v>
      </c>
      <c r="N57" s="7">
        <f t="shared" si="82"/>
        <v>0</v>
      </c>
      <c r="O57" s="7">
        <f t="shared" si="83"/>
        <v>1</v>
      </c>
      <c r="P57" s="7">
        <f t="shared" si="0"/>
        <v>0</v>
      </c>
      <c r="Q57" s="3">
        <f t="shared" si="7"/>
        <v>1</v>
      </c>
      <c r="R57" s="7">
        <f t="shared" si="8"/>
        <v>0</v>
      </c>
      <c r="S57" s="7">
        <f t="shared" si="84"/>
        <v>0</v>
      </c>
      <c r="T57" s="7">
        <f t="shared" si="85"/>
        <v>0</v>
      </c>
      <c r="U57" s="7">
        <f t="shared" si="54"/>
        <v>0</v>
      </c>
      <c r="V57" s="7">
        <f t="shared" si="86"/>
        <v>0</v>
      </c>
      <c r="W57" s="7">
        <f t="shared" si="87"/>
        <v>0</v>
      </c>
      <c r="X57" s="7">
        <f t="shared" si="88"/>
        <v>1</v>
      </c>
      <c r="Y57" s="7">
        <f t="shared" si="89"/>
        <v>1</v>
      </c>
      <c r="Z57" s="7">
        <f t="shared" si="90"/>
        <v>4</v>
      </c>
      <c r="AA57" s="9" t="s">
        <v>146</v>
      </c>
      <c r="AB57" s="5" t="s">
        <v>147</v>
      </c>
    </row>
    <row r="58" spans="1:28" x14ac:dyDescent="0.25">
      <c r="A58" s="11" t="s">
        <v>151</v>
      </c>
      <c r="B58" s="6">
        <v>42978</v>
      </c>
      <c r="C58" s="6" t="s">
        <v>267</v>
      </c>
      <c r="D58" s="10">
        <v>140.80000000000001</v>
      </c>
      <c r="E58" s="7">
        <v>1</v>
      </c>
      <c r="F58" s="7">
        <f t="shared" si="2"/>
        <v>140.80000000000001</v>
      </c>
      <c r="G58" s="10"/>
      <c r="H58" s="10"/>
      <c r="I58" s="10"/>
      <c r="J58" s="7" t="s">
        <v>14</v>
      </c>
      <c r="K58" s="7" t="s">
        <v>193</v>
      </c>
      <c r="L58" s="7">
        <f t="shared" si="3"/>
        <v>1</v>
      </c>
      <c r="M58" s="7">
        <f t="shared" si="4"/>
        <v>1</v>
      </c>
      <c r="N58" s="7">
        <f t="shared" si="82"/>
        <v>1</v>
      </c>
      <c r="O58" s="7">
        <f t="shared" si="83"/>
        <v>0</v>
      </c>
      <c r="P58" s="7">
        <f t="shared" si="0"/>
        <v>0</v>
      </c>
      <c r="Q58" s="3">
        <f t="shared" si="7"/>
        <v>1</v>
      </c>
      <c r="R58" s="7">
        <f t="shared" si="8"/>
        <v>0</v>
      </c>
      <c r="S58" s="7">
        <f t="shared" si="84"/>
        <v>0</v>
      </c>
      <c r="T58" s="7">
        <f t="shared" si="85"/>
        <v>1</v>
      </c>
      <c r="U58" s="7">
        <f t="shared" si="54"/>
        <v>0</v>
      </c>
      <c r="V58" s="7">
        <f t="shared" si="86"/>
        <v>1</v>
      </c>
      <c r="W58" s="7">
        <f t="shared" si="87"/>
        <v>0</v>
      </c>
      <c r="X58" s="7">
        <f t="shared" si="88"/>
        <v>1</v>
      </c>
      <c r="Y58" s="7">
        <f t="shared" si="89"/>
        <v>1</v>
      </c>
      <c r="Z58" s="7">
        <f t="shared" si="90"/>
        <v>6</v>
      </c>
      <c r="AA58" s="9" t="s">
        <v>150</v>
      </c>
      <c r="AB58" s="5" t="s">
        <v>149</v>
      </c>
    </row>
    <row r="59" spans="1:28" x14ac:dyDescent="0.25">
      <c r="A59" s="11" t="s">
        <v>152</v>
      </c>
      <c r="B59" s="6">
        <v>42971</v>
      </c>
      <c r="C59" s="6" t="s">
        <v>267</v>
      </c>
      <c r="D59" s="10">
        <v>1398.4</v>
      </c>
      <c r="E59" s="7">
        <v>1</v>
      </c>
      <c r="F59" s="7">
        <f t="shared" si="2"/>
        <v>1398.4</v>
      </c>
      <c r="G59" s="10"/>
      <c r="H59" s="10"/>
      <c r="I59" s="10"/>
      <c r="J59" s="7" t="s">
        <v>14</v>
      </c>
      <c r="K59" s="7" t="s">
        <v>194</v>
      </c>
      <c r="L59" s="7">
        <f t="shared" si="3"/>
        <v>1</v>
      </c>
      <c r="M59" s="7">
        <f t="shared" si="4"/>
        <v>0</v>
      </c>
      <c r="N59" s="7">
        <f t="shared" si="82"/>
        <v>0</v>
      </c>
      <c r="O59" s="7">
        <f t="shared" si="83"/>
        <v>0</v>
      </c>
      <c r="P59" s="7">
        <f t="shared" si="0"/>
        <v>0</v>
      </c>
      <c r="Q59" s="3">
        <f t="shared" si="7"/>
        <v>1</v>
      </c>
      <c r="R59" s="7">
        <f t="shared" si="8"/>
        <v>0</v>
      </c>
      <c r="S59" s="7">
        <f t="shared" si="84"/>
        <v>0</v>
      </c>
      <c r="T59" s="7">
        <f t="shared" si="85"/>
        <v>1</v>
      </c>
      <c r="U59" s="7">
        <f t="shared" si="54"/>
        <v>0</v>
      </c>
      <c r="V59" s="7">
        <f t="shared" si="86"/>
        <v>0</v>
      </c>
      <c r="W59" s="7">
        <f t="shared" si="87"/>
        <v>0</v>
      </c>
      <c r="X59" s="7">
        <f t="shared" si="88"/>
        <v>1</v>
      </c>
      <c r="Y59" s="7">
        <f t="shared" si="89"/>
        <v>1</v>
      </c>
      <c r="Z59" s="7">
        <f t="shared" si="90"/>
        <v>3</v>
      </c>
      <c r="AA59" s="9" t="s">
        <v>153</v>
      </c>
      <c r="AB59" s="5" t="s">
        <v>154</v>
      </c>
    </row>
    <row r="60" spans="1:28" x14ac:dyDescent="0.25">
      <c r="A60" s="11" t="s">
        <v>156</v>
      </c>
      <c r="B60" s="6">
        <v>42908</v>
      </c>
      <c r="C60" s="6" t="s">
        <v>267</v>
      </c>
      <c r="D60" s="10">
        <v>1211.49</v>
      </c>
      <c r="E60" s="7">
        <v>1</v>
      </c>
      <c r="F60" s="7">
        <f t="shared" si="2"/>
        <v>1211.49</v>
      </c>
      <c r="G60" s="10"/>
      <c r="H60" s="10"/>
      <c r="I60" s="10"/>
      <c r="J60" s="7" t="s">
        <v>14</v>
      </c>
      <c r="K60" s="7" t="s">
        <v>195</v>
      </c>
      <c r="L60" s="7">
        <f t="shared" si="3"/>
        <v>1</v>
      </c>
      <c r="M60" s="7">
        <f t="shared" si="4"/>
        <v>0</v>
      </c>
      <c r="N60" s="7">
        <f t="shared" si="82"/>
        <v>0</v>
      </c>
      <c r="O60" s="7">
        <f t="shared" si="83"/>
        <v>0</v>
      </c>
      <c r="P60" s="7">
        <f t="shared" si="0"/>
        <v>0</v>
      </c>
      <c r="Q60" s="3">
        <f t="shared" si="7"/>
        <v>1</v>
      </c>
      <c r="R60" s="7">
        <f t="shared" si="8"/>
        <v>0</v>
      </c>
      <c r="S60" s="7">
        <f t="shared" si="84"/>
        <v>0</v>
      </c>
      <c r="T60" s="7">
        <f t="shared" si="85"/>
        <v>0</v>
      </c>
      <c r="U60" s="7">
        <f t="shared" si="54"/>
        <v>0</v>
      </c>
      <c r="V60" s="7">
        <f t="shared" si="86"/>
        <v>0</v>
      </c>
      <c r="W60" s="7">
        <f t="shared" si="87"/>
        <v>1</v>
      </c>
      <c r="X60" s="7">
        <f t="shared" si="88"/>
        <v>1</v>
      </c>
      <c r="Y60" s="7">
        <f t="shared" si="89"/>
        <v>1</v>
      </c>
      <c r="Z60" s="7">
        <f t="shared" si="90"/>
        <v>3</v>
      </c>
      <c r="AA60" s="9" t="s">
        <v>262</v>
      </c>
      <c r="AB60" s="5" t="s">
        <v>155</v>
      </c>
    </row>
    <row r="61" spans="1:28" x14ac:dyDescent="0.25">
      <c r="A61" s="11" t="s">
        <v>159</v>
      </c>
      <c r="B61" s="6">
        <v>42914</v>
      </c>
      <c r="C61" s="6" t="s">
        <v>267</v>
      </c>
      <c r="D61" s="10">
        <v>4703.24</v>
      </c>
      <c r="E61" s="7">
        <v>1</v>
      </c>
      <c r="F61" s="7">
        <f t="shared" si="2"/>
        <v>4703.24</v>
      </c>
      <c r="G61" s="10"/>
      <c r="H61" s="10"/>
      <c r="I61" s="10"/>
      <c r="J61" s="7" t="s">
        <v>14</v>
      </c>
      <c r="K61" s="7" t="s">
        <v>181</v>
      </c>
      <c r="L61" s="7">
        <f t="shared" si="3"/>
        <v>1</v>
      </c>
      <c r="M61" s="7">
        <f t="shared" si="4"/>
        <v>0</v>
      </c>
      <c r="N61" s="7">
        <f t="shared" si="82"/>
        <v>0</v>
      </c>
      <c r="O61" s="7">
        <f t="shared" si="83"/>
        <v>0</v>
      </c>
      <c r="P61" s="7">
        <f t="shared" si="0"/>
        <v>1</v>
      </c>
      <c r="Q61" s="3">
        <f t="shared" si="7"/>
        <v>1</v>
      </c>
      <c r="R61" s="7">
        <f t="shared" si="8"/>
        <v>0</v>
      </c>
      <c r="S61" s="7">
        <f t="shared" si="84"/>
        <v>0</v>
      </c>
      <c r="T61" s="7">
        <f t="shared" si="85"/>
        <v>0</v>
      </c>
      <c r="U61" s="7">
        <f t="shared" si="54"/>
        <v>0</v>
      </c>
      <c r="V61" s="7">
        <f t="shared" si="86"/>
        <v>0</v>
      </c>
      <c r="W61" s="7">
        <f t="shared" si="87"/>
        <v>0</v>
      </c>
      <c r="X61" s="7">
        <f t="shared" si="88"/>
        <v>1</v>
      </c>
      <c r="Y61" s="7">
        <f t="shared" si="89"/>
        <v>1</v>
      </c>
      <c r="Z61" s="7">
        <f t="shared" si="90"/>
        <v>3</v>
      </c>
      <c r="AA61" s="9" t="s">
        <v>157</v>
      </c>
      <c r="AB61" s="5" t="s">
        <v>158</v>
      </c>
    </row>
    <row r="62" spans="1:28" x14ac:dyDescent="0.25">
      <c r="A62" s="11" t="s">
        <v>162</v>
      </c>
      <c r="B62" s="6">
        <v>42878</v>
      </c>
      <c r="C62" s="6" t="s">
        <v>267</v>
      </c>
      <c r="D62" s="10">
        <v>1199.5999999999999</v>
      </c>
      <c r="E62" s="7">
        <v>1</v>
      </c>
      <c r="F62" s="7">
        <f t="shared" si="2"/>
        <v>1199.5999999999999</v>
      </c>
      <c r="G62" s="10"/>
      <c r="H62" s="10"/>
      <c r="I62" s="10"/>
      <c r="J62" s="7" t="s">
        <v>14</v>
      </c>
      <c r="K62" s="7" t="s">
        <v>196</v>
      </c>
      <c r="L62" s="7">
        <f t="shared" si="3"/>
        <v>1</v>
      </c>
      <c r="M62" s="7">
        <f t="shared" si="4"/>
        <v>0</v>
      </c>
      <c r="N62" s="7">
        <f t="shared" si="82"/>
        <v>1</v>
      </c>
      <c r="O62" s="7">
        <f t="shared" si="83"/>
        <v>0</v>
      </c>
      <c r="P62" s="7">
        <f t="shared" si="0"/>
        <v>0</v>
      </c>
      <c r="Q62" s="3">
        <f t="shared" si="7"/>
        <v>0</v>
      </c>
      <c r="R62" s="7">
        <f t="shared" si="8"/>
        <v>0</v>
      </c>
      <c r="S62" s="7">
        <f t="shared" si="84"/>
        <v>0</v>
      </c>
      <c r="T62" s="7">
        <f t="shared" si="85"/>
        <v>0</v>
      </c>
      <c r="U62" s="7">
        <f t="shared" si="54"/>
        <v>0</v>
      </c>
      <c r="V62" s="7">
        <f t="shared" si="86"/>
        <v>0</v>
      </c>
      <c r="W62" s="7">
        <f t="shared" si="87"/>
        <v>0</v>
      </c>
      <c r="X62" s="7">
        <f t="shared" si="88"/>
        <v>1</v>
      </c>
      <c r="Y62" s="7">
        <f t="shared" si="89"/>
        <v>1</v>
      </c>
      <c r="Z62" s="7">
        <f t="shared" si="90"/>
        <v>2</v>
      </c>
      <c r="AA62" s="9" t="s">
        <v>160</v>
      </c>
      <c r="AB62" s="5" t="s">
        <v>161</v>
      </c>
    </row>
    <row r="63" spans="1:28" x14ac:dyDescent="0.25">
      <c r="A63" s="11" t="s">
        <v>164</v>
      </c>
      <c r="B63" s="6">
        <v>42857</v>
      </c>
      <c r="C63" s="6" t="s">
        <v>267</v>
      </c>
      <c r="D63" s="10">
        <v>61044.44</v>
      </c>
      <c r="E63" s="7">
        <v>1</v>
      </c>
      <c r="F63" s="7">
        <f t="shared" si="2"/>
        <v>61044.44</v>
      </c>
      <c r="G63" s="10"/>
      <c r="H63" s="10"/>
      <c r="I63" s="10"/>
      <c r="J63" s="7" t="s">
        <v>14</v>
      </c>
      <c r="K63" s="7" t="s">
        <v>241</v>
      </c>
      <c r="L63" s="7">
        <f t="shared" si="3"/>
        <v>1</v>
      </c>
      <c r="M63" s="7">
        <f t="shared" si="4"/>
        <v>0</v>
      </c>
      <c r="N63" s="7">
        <f t="shared" si="82"/>
        <v>0</v>
      </c>
      <c r="O63" s="7">
        <f t="shared" si="83"/>
        <v>0</v>
      </c>
      <c r="P63" s="7">
        <f t="shared" si="0"/>
        <v>1</v>
      </c>
      <c r="Q63" s="3">
        <f t="shared" si="7"/>
        <v>0</v>
      </c>
      <c r="R63" s="7">
        <f t="shared" si="8"/>
        <v>0</v>
      </c>
      <c r="S63" s="7">
        <f t="shared" si="84"/>
        <v>1</v>
      </c>
      <c r="T63" s="7">
        <f t="shared" si="85"/>
        <v>1</v>
      </c>
      <c r="U63" s="7">
        <f t="shared" si="54"/>
        <v>0</v>
      </c>
      <c r="V63" s="7">
        <f t="shared" si="86"/>
        <v>0</v>
      </c>
      <c r="W63" s="7">
        <f t="shared" si="87"/>
        <v>0</v>
      </c>
      <c r="X63" s="7">
        <f t="shared" si="88"/>
        <v>1</v>
      </c>
      <c r="Y63" s="7">
        <f t="shared" si="89"/>
        <v>1</v>
      </c>
      <c r="Z63" s="7">
        <f t="shared" si="90"/>
        <v>4</v>
      </c>
      <c r="AA63" s="9" t="s">
        <v>272</v>
      </c>
      <c r="AB63" s="5" t="s">
        <v>163</v>
      </c>
    </row>
    <row r="64" spans="1:28" x14ac:dyDescent="0.25">
      <c r="A64" s="11" t="s">
        <v>167</v>
      </c>
      <c r="B64" s="21">
        <v>42845</v>
      </c>
      <c r="C64" s="6" t="s">
        <v>267</v>
      </c>
      <c r="D64" s="10">
        <v>12172.69</v>
      </c>
      <c r="E64" s="7">
        <v>1</v>
      </c>
      <c r="F64" s="7">
        <f t="shared" si="2"/>
        <v>12172.69</v>
      </c>
      <c r="G64" s="10"/>
      <c r="H64" s="10"/>
      <c r="I64" s="10"/>
      <c r="J64" s="7" t="s">
        <v>14</v>
      </c>
      <c r="K64" s="7" t="s">
        <v>189</v>
      </c>
      <c r="L64" s="7">
        <f t="shared" si="3"/>
        <v>1</v>
      </c>
      <c r="M64" s="7">
        <f t="shared" si="4"/>
        <v>1</v>
      </c>
      <c r="N64" s="7">
        <f t="shared" si="82"/>
        <v>0</v>
      </c>
      <c r="O64" s="7">
        <f t="shared" si="83"/>
        <v>0</v>
      </c>
      <c r="P64" s="7">
        <f t="shared" si="0"/>
        <v>0</v>
      </c>
      <c r="Q64" s="3">
        <f t="shared" si="7"/>
        <v>0</v>
      </c>
      <c r="R64" s="7">
        <f t="shared" si="8"/>
        <v>0</v>
      </c>
      <c r="S64" s="7">
        <f t="shared" si="84"/>
        <v>0</v>
      </c>
      <c r="T64" s="7">
        <f t="shared" si="85"/>
        <v>0</v>
      </c>
      <c r="U64" s="7">
        <f t="shared" si="54"/>
        <v>0</v>
      </c>
      <c r="V64" s="7">
        <f t="shared" si="86"/>
        <v>0</v>
      </c>
      <c r="W64" s="7">
        <f t="shared" si="87"/>
        <v>0</v>
      </c>
      <c r="X64" s="7">
        <f t="shared" si="88"/>
        <v>0</v>
      </c>
      <c r="Y64" s="7">
        <f t="shared" si="89"/>
        <v>0</v>
      </c>
      <c r="Z64" s="7">
        <f t="shared" si="90"/>
        <v>2</v>
      </c>
      <c r="AA64" s="9" t="s">
        <v>165</v>
      </c>
      <c r="AB64" s="5" t="s">
        <v>166</v>
      </c>
    </row>
    <row r="65" spans="1:28" x14ac:dyDescent="0.25">
      <c r="A65" s="11" t="s">
        <v>169</v>
      </c>
      <c r="B65" s="6">
        <v>42776</v>
      </c>
      <c r="C65" s="6" t="s">
        <v>267</v>
      </c>
      <c r="D65" s="10">
        <v>2076.1999999999998</v>
      </c>
      <c r="E65" s="7">
        <v>1</v>
      </c>
      <c r="F65" s="7">
        <f t="shared" si="2"/>
        <v>2076.1999999999998</v>
      </c>
      <c r="G65" s="10"/>
      <c r="H65" s="10"/>
      <c r="I65" s="10"/>
      <c r="J65" s="7" t="s">
        <v>14</v>
      </c>
      <c r="K65" s="7" t="s">
        <v>197</v>
      </c>
      <c r="L65" s="7">
        <f t="shared" si="3"/>
        <v>1</v>
      </c>
      <c r="M65" s="7">
        <f t="shared" si="4"/>
        <v>0</v>
      </c>
      <c r="N65" s="7">
        <f t="shared" si="82"/>
        <v>0</v>
      </c>
      <c r="O65" s="7">
        <f t="shared" si="83"/>
        <v>1</v>
      </c>
      <c r="P65" s="7">
        <f t="shared" si="0"/>
        <v>0</v>
      </c>
      <c r="Q65" s="3">
        <f t="shared" si="7"/>
        <v>1</v>
      </c>
      <c r="R65" s="7">
        <f t="shared" si="8"/>
        <v>1</v>
      </c>
      <c r="S65" s="7">
        <f t="shared" si="84"/>
        <v>0</v>
      </c>
      <c r="T65" s="7">
        <f t="shared" si="85"/>
        <v>0</v>
      </c>
      <c r="U65" s="7">
        <f t="shared" si="54"/>
        <v>0</v>
      </c>
      <c r="V65" s="7">
        <f t="shared" si="86"/>
        <v>0</v>
      </c>
      <c r="W65" s="7">
        <f t="shared" si="87"/>
        <v>0</v>
      </c>
      <c r="X65" s="7">
        <f t="shared" si="88"/>
        <v>1</v>
      </c>
      <c r="Y65" s="7">
        <f t="shared" si="89"/>
        <v>1</v>
      </c>
      <c r="Z65" s="7">
        <f t="shared" si="90"/>
        <v>4</v>
      </c>
      <c r="AA65" s="9" t="s">
        <v>263</v>
      </c>
      <c r="AB65" s="5" t="s">
        <v>168</v>
      </c>
    </row>
    <row r="66" spans="1:28" x14ac:dyDescent="0.25">
      <c r="A66" s="11" t="s">
        <v>171</v>
      </c>
      <c r="B66" s="6">
        <v>42583</v>
      </c>
      <c r="C66" s="6" t="s">
        <v>267</v>
      </c>
      <c r="D66" s="10"/>
      <c r="E66" s="7">
        <v>1</v>
      </c>
      <c r="F66" s="7" t="str">
        <f t="shared" si="2"/>
        <v/>
      </c>
      <c r="G66" s="10"/>
      <c r="H66" s="10"/>
      <c r="I66" s="10"/>
      <c r="J66" s="7" t="s">
        <v>14</v>
      </c>
      <c r="K66" s="7" t="s">
        <v>198</v>
      </c>
      <c r="L66" s="7">
        <f t="shared" si="3"/>
        <v>1</v>
      </c>
      <c r="M66" s="7">
        <f t="shared" si="4"/>
        <v>1</v>
      </c>
      <c r="N66" s="7">
        <f t="shared" si="16"/>
        <v>1</v>
      </c>
      <c r="O66" s="7"/>
      <c r="P66" s="7">
        <f t="shared" si="0"/>
        <v>1</v>
      </c>
      <c r="Q66" s="3">
        <f t="shared" si="7"/>
        <v>0</v>
      </c>
      <c r="R66" s="7">
        <f t="shared" si="8"/>
        <v>1</v>
      </c>
      <c r="S66" s="7">
        <f t="shared" si="17"/>
        <v>0</v>
      </c>
      <c r="T66" s="7"/>
      <c r="U66" s="7">
        <f t="shared" si="54"/>
        <v>0</v>
      </c>
      <c r="V66" s="7"/>
      <c r="W66" s="7"/>
      <c r="X66" s="7">
        <f>IF(SUM(N66:U66)&gt;0,1,0)</f>
        <v>1</v>
      </c>
      <c r="Y66" s="7">
        <f>IF(SUM(N66:P66,R66:U66)&gt;0,1,0)</f>
        <v>1</v>
      </c>
      <c r="Z66" s="7">
        <f>SUM(L66:U66)</f>
        <v>5</v>
      </c>
      <c r="AA66" s="7" t="s">
        <v>21</v>
      </c>
      <c r="AB66" s="5" t="s">
        <v>170</v>
      </c>
    </row>
    <row r="67" spans="1:28" x14ac:dyDescent="0.25">
      <c r="A67" s="31" t="s">
        <v>294</v>
      </c>
      <c r="B67" s="32">
        <v>42782</v>
      </c>
      <c r="C67" s="4" t="s">
        <v>267</v>
      </c>
      <c r="D67" s="26">
        <v>20761.34</v>
      </c>
      <c r="E67" s="4">
        <v>1</v>
      </c>
      <c r="F67" s="7">
        <f t="shared" si="2"/>
        <v>20761.34</v>
      </c>
      <c r="G67" s="4"/>
      <c r="H67" s="4"/>
      <c r="I67" s="4"/>
      <c r="J67" s="4" t="s">
        <v>14</v>
      </c>
      <c r="K67" s="9" t="s">
        <v>549</v>
      </c>
      <c r="L67" s="7">
        <f t="shared" si="3"/>
        <v>0</v>
      </c>
      <c r="M67" s="7">
        <f t="shared" ref="M67:M130" si="91">IF(ISNUMBER(SEARCH("Unlawful deduction",K67)),1,0)</f>
        <v>1</v>
      </c>
      <c r="N67" s="7">
        <f t="shared" ref="N67:N69" si="92">IF(ISNUMBER(SEARCH("Unfair dismissal",K67)),1,0)</f>
        <v>1</v>
      </c>
      <c r="O67" s="7">
        <f t="shared" ref="O67:O69" si="93">IF(ISNUMBER(SEARCH("Contract of employment",K67)),1,0)</f>
        <v>0</v>
      </c>
      <c r="P67" s="7">
        <f t="shared" ref="P67:P130" si="94">IF(ISNUMBER(SEARCH("discrimination",K67)),1,0)</f>
        <v>0</v>
      </c>
      <c r="Q67" s="3">
        <f t="shared" ref="Q67:Q130" si="95">IF(ISNUMBER(SEARCH("Breach",K67)),1,0)</f>
        <v>0</v>
      </c>
      <c r="R67" s="7">
        <f t="shared" ref="R67:R130" si="96">IF(ISNUMBER(SEARCH("Working time",K67)),1,0)</f>
        <v>1</v>
      </c>
      <c r="S67" s="7">
        <f t="shared" ref="S67:S69" si="97">IF(ISNUMBER(SEARCH("Written pay statement",K67)),1,0)</f>
        <v>0</v>
      </c>
      <c r="T67" s="7">
        <f t="shared" ref="T67:T69" si="98">IF(ISNUMBER(SEARCH("Written statements",K67)),1,0)</f>
        <v>0</v>
      </c>
      <c r="U67" s="7">
        <f t="shared" si="54"/>
        <v>0</v>
      </c>
      <c r="V67" s="7">
        <f t="shared" ref="V67:V69" si="99">IF(ISNUMBER(SEARCH("Time off",K67)),1,0)</f>
        <v>0</v>
      </c>
      <c r="W67" s="7">
        <f t="shared" ref="W67:W69" si="100">IF(ISNUMBER(SEARCH("Redundancy",K67)),1,0)</f>
        <v>0</v>
      </c>
      <c r="X67" s="7">
        <f t="shared" ref="X67:X69" si="101">IF(SUM(N67:W67)&gt;0,1,0)</f>
        <v>1</v>
      </c>
      <c r="Y67" s="7">
        <f t="shared" ref="Y67:Y69" si="102">IF(SUM(N67:P67,R67:W67)&gt;0,1,0)</f>
        <v>1</v>
      </c>
      <c r="Z67" s="7">
        <f t="shared" ref="Z67:Z69" si="103">SUM(L67:W67)</f>
        <v>3</v>
      </c>
      <c r="AA67" s="4" t="s">
        <v>293</v>
      </c>
      <c r="AB67" s="27" t="s">
        <v>295</v>
      </c>
    </row>
    <row r="68" spans="1:28" x14ac:dyDescent="0.25">
      <c r="A68" s="31" t="s">
        <v>298</v>
      </c>
      <c r="B68" s="6">
        <v>43467</v>
      </c>
      <c r="C68" s="4" t="s">
        <v>267</v>
      </c>
      <c r="D68" s="3">
        <v>597.66999999999996</v>
      </c>
      <c r="E68" s="4">
        <v>1</v>
      </c>
      <c r="F68" s="7">
        <f t="shared" si="2"/>
        <v>597.66999999999996</v>
      </c>
      <c r="G68" s="4"/>
      <c r="H68" s="4"/>
      <c r="I68" s="4"/>
      <c r="J68" s="4" t="s">
        <v>14</v>
      </c>
      <c r="K68" s="7" t="s">
        <v>550</v>
      </c>
      <c r="L68" s="7">
        <f t="shared" si="3"/>
        <v>0</v>
      </c>
      <c r="M68" s="7">
        <f t="shared" si="91"/>
        <v>1</v>
      </c>
      <c r="N68" s="7">
        <f t="shared" si="92"/>
        <v>0</v>
      </c>
      <c r="O68" s="7">
        <f t="shared" si="93"/>
        <v>0</v>
      </c>
      <c r="P68" s="7">
        <f t="shared" si="94"/>
        <v>0</v>
      </c>
      <c r="Q68" s="3">
        <f t="shared" si="95"/>
        <v>0</v>
      </c>
      <c r="R68" s="7">
        <f t="shared" si="96"/>
        <v>1</v>
      </c>
      <c r="S68" s="7">
        <f t="shared" si="97"/>
        <v>0</v>
      </c>
      <c r="T68" s="7">
        <f t="shared" si="98"/>
        <v>0</v>
      </c>
      <c r="U68" s="7">
        <f t="shared" ref="U68:U99" si="104">IF(ISNUMBER(SEARCH("Maternity",K68)),1,0)</f>
        <v>0</v>
      </c>
      <c r="V68" s="7">
        <f t="shared" si="99"/>
        <v>0</v>
      </c>
      <c r="W68" s="7">
        <f t="shared" si="100"/>
        <v>0</v>
      </c>
      <c r="X68" s="7">
        <f t="shared" si="101"/>
        <v>1</v>
      </c>
      <c r="Y68" s="7">
        <f t="shared" si="102"/>
        <v>1</v>
      </c>
      <c r="Z68" s="7">
        <f t="shared" si="103"/>
        <v>2</v>
      </c>
      <c r="AA68" s="4" t="s">
        <v>296</v>
      </c>
      <c r="AB68" s="5" t="s">
        <v>297</v>
      </c>
    </row>
    <row r="69" spans="1:28" x14ac:dyDescent="0.25">
      <c r="A69" s="31" t="s">
        <v>299</v>
      </c>
      <c r="B69" s="6">
        <v>43143</v>
      </c>
      <c r="C69" s="4" t="s">
        <v>267</v>
      </c>
      <c r="D69" s="28">
        <v>1088.8</v>
      </c>
      <c r="E69" s="4">
        <v>1</v>
      </c>
      <c r="F69" s="7">
        <f t="shared" ref="F69:F132" si="105">IF(D69/E69&gt;0,D69/E69,"")</f>
        <v>1088.8</v>
      </c>
      <c r="G69" s="4"/>
      <c r="H69" s="4"/>
      <c r="I69" s="4"/>
      <c r="J69" s="4" t="s">
        <v>14</v>
      </c>
      <c r="K69" s="30" t="s">
        <v>300</v>
      </c>
      <c r="L69" s="7">
        <f t="shared" ref="L69:L131" si="106">IF(ISNUMBER(SEARCH("National Minimum Wage",K69)),1,0)</f>
        <v>0</v>
      </c>
      <c r="M69" s="7">
        <f t="shared" si="91"/>
        <v>1</v>
      </c>
      <c r="N69" s="7">
        <f t="shared" si="92"/>
        <v>0</v>
      </c>
      <c r="O69" s="7">
        <f t="shared" si="93"/>
        <v>0</v>
      </c>
      <c r="P69" s="7">
        <f t="shared" si="94"/>
        <v>0</v>
      </c>
      <c r="Q69" s="3">
        <f t="shared" si="95"/>
        <v>0</v>
      </c>
      <c r="R69" s="7">
        <f t="shared" si="96"/>
        <v>0</v>
      </c>
      <c r="S69" s="7">
        <f t="shared" si="97"/>
        <v>0</v>
      </c>
      <c r="T69" s="7">
        <f t="shared" si="98"/>
        <v>0</v>
      </c>
      <c r="U69" s="7">
        <f t="shared" si="104"/>
        <v>0</v>
      </c>
      <c r="V69" s="7">
        <f t="shared" si="99"/>
        <v>0</v>
      </c>
      <c r="W69" s="7">
        <f t="shared" si="100"/>
        <v>0</v>
      </c>
      <c r="X69" s="7">
        <f t="shared" si="101"/>
        <v>0</v>
      </c>
      <c r="Y69" s="7">
        <f t="shared" si="102"/>
        <v>0</v>
      </c>
      <c r="Z69" s="7">
        <f t="shared" si="103"/>
        <v>1</v>
      </c>
      <c r="AA69" s="4" t="s">
        <v>302</v>
      </c>
      <c r="AB69" s="5" t="s">
        <v>301</v>
      </c>
    </row>
    <row r="70" spans="1:28" x14ac:dyDescent="0.25">
      <c r="A70" s="31" t="s">
        <v>305</v>
      </c>
      <c r="B70" s="6">
        <v>43018</v>
      </c>
      <c r="C70" s="6" t="s">
        <v>266</v>
      </c>
      <c r="D70" s="3"/>
      <c r="E70" s="4">
        <v>6</v>
      </c>
      <c r="F70" s="7" t="str">
        <f t="shared" si="105"/>
        <v/>
      </c>
      <c r="G70" s="4"/>
      <c r="H70" s="3">
        <v>600</v>
      </c>
      <c r="I70" s="4"/>
      <c r="J70" s="4" t="s">
        <v>14</v>
      </c>
      <c r="K70" s="30" t="s">
        <v>300</v>
      </c>
      <c r="L70" s="7">
        <f t="shared" si="106"/>
        <v>0</v>
      </c>
      <c r="M70" s="7">
        <f t="shared" si="91"/>
        <v>1</v>
      </c>
      <c r="N70" s="7">
        <f t="shared" ref="N70:N105" si="107">IF(ISNUMBER(SEARCH("dismissal",K70)),1,0)</f>
        <v>0</v>
      </c>
      <c r="O70" s="7"/>
      <c r="P70" s="7">
        <f t="shared" si="94"/>
        <v>0</v>
      </c>
      <c r="Q70" s="3">
        <f t="shared" si="95"/>
        <v>0</v>
      </c>
      <c r="R70" s="7">
        <f t="shared" si="96"/>
        <v>0</v>
      </c>
      <c r="S70" s="7">
        <f t="shared" ref="S70:S105" si="108">IF(ISNUMBER(SEARCH("Written",K70)),1,0)</f>
        <v>0</v>
      </c>
      <c r="T70" s="7"/>
      <c r="U70" s="7">
        <f t="shared" si="104"/>
        <v>0</v>
      </c>
      <c r="V70" s="7"/>
      <c r="W70" s="7"/>
      <c r="X70" s="7">
        <f>IF(SUM(N70:U70)&gt;0,1,0)</f>
        <v>0</v>
      </c>
      <c r="Y70" s="7">
        <f>IF(SUM(N70:P70,R70:U70)&gt;0,1,0)</f>
        <v>0</v>
      </c>
      <c r="Z70" s="7">
        <f>SUM(L70:U70)</f>
        <v>1</v>
      </c>
      <c r="AA70" s="4" t="s">
        <v>303</v>
      </c>
      <c r="AB70" s="5" t="s">
        <v>304</v>
      </c>
    </row>
    <row r="71" spans="1:28" x14ac:dyDescent="0.25">
      <c r="A71" s="31" t="s">
        <v>307</v>
      </c>
      <c r="B71" s="6">
        <v>43420</v>
      </c>
      <c r="C71" s="4" t="s">
        <v>267</v>
      </c>
      <c r="D71" s="3">
        <v>1598.73</v>
      </c>
      <c r="E71" s="4">
        <v>1</v>
      </c>
      <c r="F71" s="7">
        <f t="shared" si="105"/>
        <v>1598.73</v>
      </c>
      <c r="G71" s="4"/>
      <c r="H71" s="4"/>
      <c r="I71" s="4"/>
      <c r="J71" s="4" t="s">
        <v>14</v>
      </c>
      <c r="K71" s="7" t="s">
        <v>551</v>
      </c>
      <c r="L71" s="7">
        <f t="shared" si="106"/>
        <v>0</v>
      </c>
      <c r="M71" s="7">
        <f t="shared" si="91"/>
        <v>1</v>
      </c>
      <c r="N71" s="7">
        <f t="shared" ref="N71:N104" si="109">IF(ISNUMBER(SEARCH("Unfair dismissal",K71)),1,0)</f>
        <v>1</v>
      </c>
      <c r="O71" s="7">
        <f t="shared" ref="O71:O104" si="110">IF(ISNUMBER(SEARCH("Contract of employment",K71)),1,0)</f>
        <v>0</v>
      </c>
      <c r="P71" s="7">
        <f t="shared" si="94"/>
        <v>0</v>
      </c>
      <c r="Q71" s="3">
        <f t="shared" si="95"/>
        <v>1</v>
      </c>
      <c r="R71" s="7">
        <f t="shared" si="96"/>
        <v>1</v>
      </c>
      <c r="S71" s="7">
        <f t="shared" ref="S71:S104" si="111">IF(ISNUMBER(SEARCH("Written pay statement",K71)),1,0)</f>
        <v>0</v>
      </c>
      <c r="T71" s="7">
        <f t="shared" ref="T71:T104" si="112">IF(ISNUMBER(SEARCH("Written statements",K71)),1,0)</f>
        <v>0</v>
      </c>
      <c r="U71" s="7">
        <f t="shared" si="104"/>
        <v>0</v>
      </c>
      <c r="V71" s="7">
        <f t="shared" ref="V71:V104" si="113">IF(ISNUMBER(SEARCH("Time off",K71)),1,0)</f>
        <v>0</v>
      </c>
      <c r="W71" s="7">
        <f t="shared" ref="W71:W104" si="114">IF(ISNUMBER(SEARCH("Redundancy",K71)),1,0)</f>
        <v>0</v>
      </c>
      <c r="X71" s="7">
        <f t="shared" ref="X71:X104" si="115">IF(SUM(N71:W71)&gt;0,1,0)</f>
        <v>1</v>
      </c>
      <c r="Y71" s="7">
        <f t="shared" ref="Y71:Y104" si="116">IF(SUM(N71:P71,R71:W71)&gt;0,1,0)</f>
        <v>1</v>
      </c>
      <c r="Z71" s="7">
        <f t="shared" ref="Z71:Z104" si="117">SUM(L71:W71)</f>
        <v>4</v>
      </c>
      <c r="AA71" s="4"/>
      <c r="AB71" s="5" t="s">
        <v>306</v>
      </c>
    </row>
    <row r="72" spans="1:28" x14ac:dyDescent="0.25">
      <c r="A72" s="31" t="s">
        <v>310</v>
      </c>
      <c r="B72" s="6">
        <v>43630</v>
      </c>
      <c r="C72" s="4" t="s">
        <v>267</v>
      </c>
      <c r="D72" s="28">
        <v>7258</v>
      </c>
      <c r="E72" s="4">
        <v>1</v>
      </c>
      <c r="F72" s="7">
        <f t="shared" si="105"/>
        <v>7258</v>
      </c>
      <c r="G72" s="4"/>
      <c r="H72" s="4"/>
      <c r="I72" s="4"/>
      <c r="J72" s="4" t="s">
        <v>14</v>
      </c>
      <c r="K72" s="7" t="s">
        <v>552</v>
      </c>
      <c r="L72" s="7">
        <f t="shared" si="106"/>
        <v>0</v>
      </c>
      <c r="M72" s="7">
        <f t="shared" si="91"/>
        <v>0</v>
      </c>
      <c r="N72" s="7">
        <f t="shared" si="109"/>
        <v>0</v>
      </c>
      <c r="O72" s="7">
        <f t="shared" si="110"/>
        <v>0</v>
      </c>
      <c r="P72" s="7">
        <f t="shared" si="94"/>
        <v>0</v>
      </c>
      <c r="Q72" s="3">
        <f t="shared" si="95"/>
        <v>1</v>
      </c>
      <c r="R72" s="7">
        <f t="shared" si="96"/>
        <v>1</v>
      </c>
      <c r="S72" s="7">
        <f t="shared" si="111"/>
        <v>0</v>
      </c>
      <c r="T72" s="7">
        <f t="shared" si="112"/>
        <v>0</v>
      </c>
      <c r="U72" s="7">
        <f t="shared" si="104"/>
        <v>0</v>
      </c>
      <c r="V72" s="7">
        <f t="shared" si="113"/>
        <v>0</v>
      </c>
      <c r="W72" s="7">
        <f t="shared" si="114"/>
        <v>0</v>
      </c>
      <c r="X72" s="7">
        <f t="shared" si="115"/>
        <v>1</v>
      </c>
      <c r="Y72" s="7">
        <f t="shared" si="116"/>
        <v>1</v>
      </c>
      <c r="Z72" s="7">
        <f t="shared" si="117"/>
        <v>2</v>
      </c>
      <c r="AA72" s="4" t="s">
        <v>309</v>
      </c>
      <c r="AB72" s="5" t="s">
        <v>308</v>
      </c>
    </row>
    <row r="73" spans="1:28" x14ac:dyDescent="0.25">
      <c r="A73" s="31" t="s">
        <v>313</v>
      </c>
      <c r="B73" s="6">
        <v>43556</v>
      </c>
      <c r="C73" s="4" t="s">
        <v>267</v>
      </c>
      <c r="D73" s="28">
        <v>2067.52</v>
      </c>
      <c r="E73" s="4">
        <v>1</v>
      </c>
      <c r="F73" s="7">
        <f t="shared" si="105"/>
        <v>2067.52</v>
      </c>
      <c r="G73" s="4"/>
      <c r="H73" s="4"/>
      <c r="I73" s="4"/>
      <c r="J73" s="4" t="s">
        <v>14</v>
      </c>
      <c r="K73" s="30" t="s">
        <v>300</v>
      </c>
      <c r="L73" s="7">
        <f t="shared" si="106"/>
        <v>0</v>
      </c>
      <c r="M73" s="7">
        <f t="shared" si="91"/>
        <v>1</v>
      </c>
      <c r="N73" s="7">
        <f t="shared" si="109"/>
        <v>0</v>
      </c>
      <c r="O73" s="7">
        <f t="shared" si="110"/>
        <v>0</v>
      </c>
      <c r="P73" s="7">
        <f t="shared" si="94"/>
        <v>0</v>
      </c>
      <c r="Q73" s="3">
        <f t="shared" si="95"/>
        <v>0</v>
      </c>
      <c r="R73" s="7">
        <f t="shared" si="96"/>
        <v>0</v>
      </c>
      <c r="S73" s="7">
        <f t="shared" si="111"/>
        <v>0</v>
      </c>
      <c r="T73" s="7">
        <f t="shared" si="112"/>
        <v>0</v>
      </c>
      <c r="U73" s="7">
        <f t="shared" si="104"/>
        <v>0</v>
      </c>
      <c r="V73" s="7">
        <f t="shared" si="113"/>
        <v>0</v>
      </c>
      <c r="W73" s="7">
        <f t="shared" si="114"/>
        <v>0</v>
      </c>
      <c r="X73" s="7">
        <f t="shared" si="115"/>
        <v>0</v>
      </c>
      <c r="Y73" s="7">
        <f t="shared" si="116"/>
        <v>0</v>
      </c>
      <c r="Z73" s="7">
        <f t="shared" si="117"/>
        <v>1</v>
      </c>
      <c r="AA73" s="4" t="s">
        <v>311</v>
      </c>
      <c r="AB73" s="5" t="s">
        <v>312</v>
      </c>
    </row>
    <row r="74" spans="1:28" x14ac:dyDescent="0.25">
      <c r="A74" s="31" t="s">
        <v>316</v>
      </c>
      <c r="B74" s="6">
        <v>43042</v>
      </c>
      <c r="C74" s="4" t="s">
        <v>267</v>
      </c>
      <c r="D74" s="28">
        <v>1171.58</v>
      </c>
      <c r="E74" s="4">
        <v>1</v>
      </c>
      <c r="F74" s="7">
        <f t="shared" si="105"/>
        <v>1171.58</v>
      </c>
      <c r="G74" s="4"/>
      <c r="H74" s="3">
        <v>180</v>
      </c>
      <c r="I74" s="4"/>
      <c r="J74" s="4" t="s">
        <v>14</v>
      </c>
      <c r="K74" s="30" t="s">
        <v>300</v>
      </c>
      <c r="L74" s="7">
        <f t="shared" si="106"/>
        <v>0</v>
      </c>
      <c r="M74" s="7">
        <f t="shared" si="91"/>
        <v>1</v>
      </c>
      <c r="N74" s="7">
        <f t="shared" si="109"/>
        <v>0</v>
      </c>
      <c r="O74" s="7">
        <f t="shared" si="110"/>
        <v>0</v>
      </c>
      <c r="P74" s="7">
        <f t="shared" si="94"/>
        <v>0</v>
      </c>
      <c r="Q74" s="3">
        <f t="shared" si="95"/>
        <v>0</v>
      </c>
      <c r="R74" s="7">
        <f t="shared" si="96"/>
        <v>0</v>
      </c>
      <c r="S74" s="7">
        <f t="shared" si="111"/>
        <v>0</v>
      </c>
      <c r="T74" s="7">
        <f t="shared" si="112"/>
        <v>0</v>
      </c>
      <c r="U74" s="7">
        <f t="shared" si="104"/>
        <v>0</v>
      </c>
      <c r="V74" s="7">
        <f t="shared" si="113"/>
        <v>0</v>
      </c>
      <c r="W74" s="7">
        <f t="shared" si="114"/>
        <v>0</v>
      </c>
      <c r="X74" s="7">
        <f t="shared" si="115"/>
        <v>0</v>
      </c>
      <c r="Y74" s="7">
        <f t="shared" si="116"/>
        <v>0</v>
      </c>
      <c r="Z74" s="7">
        <f t="shared" si="117"/>
        <v>1</v>
      </c>
      <c r="AA74" s="4" t="s">
        <v>314</v>
      </c>
      <c r="AB74" s="5" t="s">
        <v>315</v>
      </c>
    </row>
    <row r="75" spans="1:28" x14ac:dyDescent="0.25">
      <c r="A75" s="31" t="s">
        <v>319</v>
      </c>
      <c r="B75" s="6">
        <v>43220</v>
      </c>
      <c r="C75" s="4" t="s">
        <v>267</v>
      </c>
      <c r="D75" s="28">
        <v>9546.76</v>
      </c>
      <c r="E75" s="4">
        <v>1</v>
      </c>
      <c r="F75" s="7">
        <f t="shared" si="105"/>
        <v>9546.76</v>
      </c>
      <c r="G75" s="4"/>
      <c r="H75" s="4"/>
      <c r="I75" s="4"/>
      <c r="J75" s="4" t="s">
        <v>14</v>
      </c>
      <c r="K75" s="7" t="s">
        <v>549</v>
      </c>
      <c r="L75" s="7">
        <f t="shared" si="106"/>
        <v>0</v>
      </c>
      <c r="M75" s="7">
        <f t="shared" si="91"/>
        <v>1</v>
      </c>
      <c r="N75" s="7">
        <f t="shared" si="109"/>
        <v>1</v>
      </c>
      <c r="O75" s="7">
        <f t="shared" si="110"/>
        <v>0</v>
      </c>
      <c r="P75" s="7">
        <f t="shared" si="94"/>
        <v>0</v>
      </c>
      <c r="Q75" s="3">
        <f t="shared" si="95"/>
        <v>0</v>
      </c>
      <c r="R75" s="7">
        <f t="shared" si="96"/>
        <v>1</v>
      </c>
      <c r="S75" s="7">
        <f t="shared" si="111"/>
        <v>0</v>
      </c>
      <c r="T75" s="7">
        <f t="shared" si="112"/>
        <v>0</v>
      </c>
      <c r="U75" s="7">
        <f t="shared" si="104"/>
        <v>0</v>
      </c>
      <c r="V75" s="7">
        <f t="shared" si="113"/>
        <v>0</v>
      </c>
      <c r="W75" s="7">
        <f t="shared" si="114"/>
        <v>0</v>
      </c>
      <c r="X75" s="7">
        <f t="shared" si="115"/>
        <v>1</v>
      </c>
      <c r="Y75" s="7">
        <f t="shared" si="116"/>
        <v>1</v>
      </c>
      <c r="Z75" s="7">
        <f t="shared" si="117"/>
        <v>3</v>
      </c>
      <c r="AA75" s="4" t="s">
        <v>317</v>
      </c>
      <c r="AB75" s="5" t="s">
        <v>318</v>
      </c>
    </row>
    <row r="76" spans="1:28" x14ac:dyDescent="0.25">
      <c r="A76" s="31" t="s">
        <v>322</v>
      </c>
      <c r="B76" s="6">
        <v>43087</v>
      </c>
      <c r="C76" s="4" t="s">
        <v>267</v>
      </c>
      <c r="D76" s="28">
        <v>1615.39</v>
      </c>
      <c r="E76" s="4">
        <v>1</v>
      </c>
      <c r="F76" s="7">
        <f t="shared" si="105"/>
        <v>1615.39</v>
      </c>
      <c r="G76" s="4"/>
      <c r="H76" s="4"/>
      <c r="I76" s="4"/>
      <c r="J76" s="4" t="s">
        <v>14</v>
      </c>
      <c r="K76" s="7" t="s">
        <v>553</v>
      </c>
      <c r="L76" s="7">
        <f t="shared" si="106"/>
        <v>0</v>
      </c>
      <c r="M76" s="7">
        <f t="shared" si="91"/>
        <v>1</v>
      </c>
      <c r="N76" s="7">
        <f t="shared" si="109"/>
        <v>0</v>
      </c>
      <c r="O76" s="7">
        <f t="shared" si="110"/>
        <v>0</v>
      </c>
      <c r="P76" s="7">
        <f t="shared" si="94"/>
        <v>0</v>
      </c>
      <c r="Q76" s="3">
        <f t="shared" si="95"/>
        <v>1</v>
      </c>
      <c r="R76" s="7">
        <f t="shared" si="96"/>
        <v>0</v>
      </c>
      <c r="S76" s="7">
        <f t="shared" si="111"/>
        <v>1</v>
      </c>
      <c r="T76" s="7">
        <f t="shared" si="112"/>
        <v>0</v>
      </c>
      <c r="U76" s="7">
        <f t="shared" si="104"/>
        <v>0</v>
      </c>
      <c r="V76" s="7">
        <f t="shared" si="113"/>
        <v>0</v>
      </c>
      <c r="W76" s="7">
        <f t="shared" si="114"/>
        <v>0</v>
      </c>
      <c r="X76" s="7">
        <f t="shared" si="115"/>
        <v>1</v>
      </c>
      <c r="Y76" s="7">
        <f t="shared" si="116"/>
        <v>1</v>
      </c>
      <c r="Z76" s="7">
        <f t="shared" si="117"/>
        <v>3</v>
      </c>
      <c r="AA76" s="4" t="s">
        <v>320</v>
      </c>
      <c r="AB76" s="5" t="s">
        <v>321</v>
      </c>
    </row>
    <row r="77" spans="1:28" x14ac:dyDescent="0.25">
      <c r="A77" s="31" t="s">
        <v>325</v>
      </c>
      <c r="B77" s="6">
        <v>43586</v>
      </c>
      <c r="C77" s="4" t="s">
        <v>267</v>
      </c>
      <c r="D77" s="28">
        <v>6300.76</v>
      </c>
      <c r="E77" s="4">
        <v>1</v>
      </c>
      <c r="F77" s="7">
        <f t="shared" si="105"/>
        <v>6300.76</v>
      </c>
      <c r="G77" s="4"/>
      <c r="H77" s="4"/>
      <c r="I77" s="4"/>
      <c r="J77" s="4" t="s">
        <v>14</v>
      </c>
      <c r="K77" s="30" t="s">
        <v>300</v>
      </c>
      <c r="L77" s="7">
        <f t="shared" si="106"/>
        <v>0</v>
      </c>
      <c r="M77" s="7">
        <f t="shared" si="91"/>
        <v>1</v>
      </c>
      <c r="N77" s="7">
        <f t="shared" si="109"/>
        <v>0</v>
      </c>
      <c r="O77" s="7">
        <f t="shared" si="110"/>
        <v>0</v>
      </c>
      <c r="P77" s="7">
        <f t="shared" si="94"/>
        <v>0</v>
      </c>
      <c r="Q77" s="3">
        <f t="shared" si="95"/>
        <v>0</v>
      </c>
      <c r="R77" s="7">
        <f t="shared" si="96"/>
        <v>0</v>
      </c>
      <c r="S77" s="7">
        <f t="shared" si="111"/>
        <v>0</v>
      </c>
      <c r="T77" s="7">
        <f t="shared" si="112"/>
        <v>0</v>
      </c>
      <c r="U77" s="7">
        <f t="shared" si="104"/>
        <v>0</v>
      </c>
      <c r="V77" s="7">
        <f t="shared" si="113"/>
        <v>0</v>
      </c>
      <c r="W77" s="7">
        <f t="shared" si="114"/>
        <v>0</v>
      </c>
      <c r="X77" s="7">
        <f t="shared" si="115"/>
        <v>0</v>
      </c>
      <c r="Y77" s="7">
        <f t="shared" si="116"/>
        <v>0</v>
      </c>
      <c r="Z77" s="7">
        <f t="shared" si="117"/>
        <v>1</v>
      </c>
      <c r="AA77" s="4" t="s">
        <v>324</v>
      </c>
      <c r="AB77" s="5" t="s">
        <v>323</v>
      </c>
    </row>
    <row r="78" spans="1:28" x14ac:dyDescent="0.25">
      <c r="A78" s="31" t="s">
        <v>327</v>
      </c>
      <c r="B78" s="6">
        <v>43102</v>
      </c>
      <c r="C78" s="4" t="s">
        <v>267</v>
      </c>
      <c r="D78" s="28">
        <v>2595.19</v>
      </c>
      <c r="E78" s="4">
        <v>1</v>
      </c>
      <c r="F78" s="7">
        <f t="shared" si="105"/>
        <v>2595.19</v>
      </c>
      <c r="G78" s="4"/>
      <c r="H78" s="4"/>
      <c r="I78" s="4"/>
      <c r="J78" s="4" t="s">
        <v>14</v>
      </c>
      <c r="K78" s="30" t="s">
        <v>300</v>
      </c>
      <c r="L78" s="7">
        <f t="shared" si="106"/>
        <v>0</v>
      </c>
      <c r="M78" s="7">
        <f t="shared" si="91"/>
        <v>1</v>
      </c>
      <c r="N78" s="7">
        <f t="shared" si="109"/>
        <v>0</v>
      </c>
      <c r="O78" s="7">
        <f t="shared" si="110"/>
        <v>0</v>
      </c>
      <c r="P78" s="7">
        <f t="shared" si="94"/>
        <v>0</v>
      </c>
      <c r="Q78" s="3">
        <f t="shared" si="95"/>
        <v>0</v>
      </c>
      <c r="R78" s="7">
        <f t="shared" si="96"/>
        <v>0</v>
      </c>
      <c r="S78" s="7">
        <f t="shared" si="111"/>
        <v>0</v>
      </c>
      <c r="T78" s="7">
        <f t="shared" si="112"/>
        <v>0</v>
      </c>
      <c r="U78" s="7">
        <f t="shared" si="104"/>
        <v>0</v>
      </c>
      <c r="V78" s="7">
        <f t="shared" si="113"/>
        <v>0</v>
      </c>
      <c r="W78" s="7">
        <f t="shared" si="114"/>
        <v>0</v>
      </c>
      <c r="X78" s="7">
        <f t="shared" si="115"/>
        <v>0</v>
      </c>
      <c r="Y78" s="7">
        <f t="shared" si="116"/>
        <v>0</v>
      </c>
      <c r="Z78" s="7">
        <f t="shared" si="117"/>
        <v>1</v>
      </c>
      <c r="AA78" s="4"/>
      <c r="AB78" s="5" t="s">
        <v>326</v>
      </c>
    </row>
    <row r="79" spans="1:28" x14ac:dyDescent="0.25">
      <c r="A79" s="31" t="s">
        <v>329</v>
      </c>
      <c r="B79" s="6">
        <v>43073</v>
      </c>
      <c r="C79" s="4" t="s">
        <v>267</v>
      </c>
      <c r="D79" s="28">
        <v>8522.6</v>
      </c>
      <c r="E79" s="4">
        <v>1</v>
      </c>
      <c r="F79" s="7">
        <f t="shared" si="105"/>
        <v>8522.6</v>
      </c>
      <c r="G79" s="4"/>
      <c r="H79" s="4"/>
      <c r="I79" s="4"/>
      <c r="J79" s="4" t="s">
        <v>14</v>
      </c>
      <c r="K79" s="7" t="s">
        <v>554</v>
      </c>
      <c r="L79" s="7">
        <f t="shared" si="106"/>
        <v>0</v>
      </c>
      <c r="M79" s="7">
        <f t="shared" si="91"/>
        <v>1</v>
      </c>
      <c r="N79" s="7">
        <f t="shared" si="109"/>
        <v>1</v>
      </c>
      <c r="O79" s="7">
        <f t="shared" si="110"/>
        <v>0</v>
      </c>
      <c r="P79" s="7">
        <f t="shared" si="94"/>
        <v>0</v>
      </c>
      <c r="Q79" s="3">
        <f t="shared" si="95"/>
        <v>0</v>
      </c>
      <c r="R79" s="7">
        <f t="shared" si="96"/>
        <v>0</v>
      </c>
      <c r="S79" s="7">
        <f t="shared" si="111"/>
        <v>0</v>
      </c>
      <c r="T79" s="7">
        <f t="shared" si="112"/>
        <v>0</v>
      </c>
      <c r="U79" s="7">
        <f t="shared" si="104"/>
        <v>0</v>
      </c>
      <c r="V79" s="7">
        <f t="shared" si="113"/>
        <v>0</v>
      </c>
      <c r="W79" s="7">
        <f t="shared" si="114"/>
        <v>0</v>
      </c>
      <c r="X79" s="7">
        <f t="shared" si="115"/>
        <v>1</v>
      </c>
      <c r="Y79" s="7">
        <f t="shared" si="116"/>
        <v>1</v>
      </c>
      <c r="Z79" s="7">
        <f t="shared" si="117"/>
        <v>2</v>
      </c>
      <c r="AA79" s="4"/>
      <c r="AB79" s="5" t="s">
        <v>328</v>
      </c>
    </row>
    <row r="80" spans="1:28" x14ac:dyDescent="0.25">
      <c r="A80" s="31" t="s">
        <v>331</v>
      </c>
      <c r="B80" s="6">
        <v>42803</v>
      </c>
      <c r="C80" s="4" t="s">
        <v>267</v>
      </c>
      <c r="D80" s="28">
        <v>12140.79</v>
      </c>
      <c r="E80" s="4">
        <v>1</v>
      </c>
      <c r="F80" s="7">
        <f t="shared" si="105"/>
        <v>12140.79</v>
      </c>
      <c r="G80" s="4"/>
      <c r="H80" s="4"/>
      <c r="I80" s="4"/>
      <c r="J80" s="4" t="s">
        <v>14</v>
      </c>
      <c r="K80" s="7" t="s">
        <v>555</v>
      </c>
      <c r="L80" s="7">
        <f t="shared" si="106"/>
        <v>0</v>
      </c>
      <c r="M80" s="7">
        <f t="shared" si="91"/>
        <v>1</v>
      </c>
      <c r="N80" s="7">
        <f t="shared" si="109"/>
        <v>0</v>
      </c>
      <c r="O80" s="7">
        <f t="shared" si="110"/>
        <v>1</v>
      </c>
      <c r="P80" s="7">
        <f t="shared" si="94"/>
        <v>0</v>
      </c>
      <c r="Q80" s="3">
        <f t="shared" si="95"/>
        <v>0</v>
      </c>
      <c r="R80" s="7">
        <f t="shared" si="96"/>
        <v>0</v>
      </c>
      <c r="S80" s="7">
        <f t="shared" si="111"/>
        <v>1</v>
      </c>
      <c r="T80" s="7">
        <f t="shared" si="112"/>
        <v>0</v>
      </c>
      <c r="U80" s="7">
        <f t="shared" si="104"/>
        <v>0</v>
      </c>
      <c r="V80" s="7">
        <f t="shared" si="113"/>
        <v>0</v>
      </c>
      <c r="W80" s="7">
        <f t="shared" si="114"/>
        <v>0</v>
      </c>
      <c r="X80" s="7">
        <f t="shared" si="115"/>
        <v>1</v>
      </c>
      <c r="Y80" s="7">
        <f t="shared" si="116"/>
        <v>1</v>
      </c>
      <c r="Z80" s="7">
        <f t="shared" si="117"/>
        <v>3</v>
      </c>
      <c r="AA80" s="4"/>
      <c r="AB80" s="5" t="s">
        <v>330</v>
      </c>
    </row>
    <row r="81" spans="1:28" x14ac:dyDescent="0.25">
      <c r="A81" s="31" t="s">
        <v>334</v>
      </c>
      <c r="B81" s="6">
        <v>43448</v>
      </c>
      <c r="C81" s="4" t="s">
        <v>267</v>
      </c>
      <c r="D81" s="28">
        <v>1454.7</v>
      </c>
      <c r="E81" s="4">
        <v>1</v>
      </c>
      <c r="F81" s="7">
        <f t="shared" si="105"/>
        <v>1454.7</v>
      </c>
      <c r="G81" s="4"/>
      <c r="H81" s="4"/>
      <c r="I81" s="4"/>
      <c r="J81" s="4" t="s">
        <v>14</v>
      </c>
      <c r="K81" s="7" t="s">
        <v>556</v>
      </c>
      <c r="L81" s="7">
        <f t="shared" si="106"/>
        <v>0</v>
      </c>
      <c r="M81" s="7">
        <f t="shared" si="91"/>
        <v>1</v>
      </c>
      <c r="N81" s="7">
        <f t="shared" si="109"/>
        <v>1</v>
      </c>
      <c r="O81" s="7">
        <f t="shared" si="110"/>
        <v>0</v>
      </c>
      <c r="P81" s="7">
        <f t="shared" si="94"/>
        <v>0</v>
      </c>
      <c r="Q81" s="3">
        <f t="shared" si="95"/>
        <v>1</v>
      </c>
      <c r="R81" s="7">
        <f t="shared" si="96"/>
        <v>1</v>
      </c>
      <c r="S81" s="7">
        <f t="shared" si="111"/>
        <v>1</v>
      </c>
      <c r="T81" s="7">
        <f t="shared" si="112"/>
        <v>0</v>
      </c>
      <c r="U81" s="7">
        <f t="shared" si="104"/>
        <v>0</v>
      </c>
      <c r="V81" s="7">
        <f t="shared" si="113"/>
        <v>0</v>
      </c>
      <c r="W81" s="7">
        <f t="shared" si="114"/>
        <v>0</v>
      </c>
      <c r="X81" s="7">
        <f t="shared" si="115"/>
        <v>1</v>
      </c>
      <c r="Y81" s="7">
        <f t="shared" si="116"/>
        <v>1</v>
      </c>
      <c r="Z81" s="7">
        <f t="shared" si="117"/>
        <v>5</v>
      </c>
      <c r="AA81" s="4" t="s">
        <v>332</v>
      </c>
      <c r="AB81" s="5" t="s">
        <v>333</v>
      </c>
    </row>
    <row r="82" spans="1:28" x14ac:dyDescent="0.25">
      <c r="A82" s="31" t="s">
        <v>337</v>
      </c>
      <c r="B82" s="6">
        <v>43304</v>
      </c>
      <c r="C82" s="4" t="s">
        <v>267</v>
      </c>
      <c r="D82" s="3">
        <v>88.75</v>
      </c>
      <c r="E82" s="4">
        <v>1</v>
      </c>
      <c r="F82" s="7">
        <f t="shared" si="105"/>
        <v>88.75</v>
      </c>
      <c r="G82" s="4"/>
      <c r="H82" s="4"/>
      <c r="I82" s="4"/>
      <c r="J82" s="4" t="s">
        <v>14</v>
      </c>
      <c r="K82" s="7" t="s">
        <v>300</v>
      </c>
      <c r="L82" s="7">
        <f t="shared" si="106"/>
        <v>0</v>
      </c>
      <c r="M82" s="7">
        <f t="shared" si="91"/>
        <v>1</v>
      </c>
      <c r="N82" s="7">
        <f t="shared" si="109"/>
        <v>0</v>
      </c>
      <c r="O82" s="7">
        <f t="shared" si="110"/>
        <v>0</v>
      </c>
      <c r="P82" s="7">
        <f t="shared" si="94"/>
        <v>0</v>
      </c>
      <c r="Q82" s="3">
        <f t="shared" si="95"/>
        <v>0</v>
      </c>
      <c r="R82" s="7">
        <f t="shared" si="96"/>
        <v>0</v>
      </c>
      <c r="S82" s="7">
        <f t="shared" si="111"/>
        <v>0</v>
      </c>
      <c r="T82" s="7">
        <f t="shared" si="112"/>
        <v>0</v>
      </c>
      <c r="U82" s="7">
        <f t="shared" si="104"/>
        <v>0</v>
      </c>
      <c r="V82" s="7">
        <f t="shared" si="113"/>
        <v>0</v>
      </c>
      <c r="W82" s="7">
        <f t="shared" si="114"/>
        <v>0</v>
      </c>
      <c r="X82" s="7">
        <f t="shared" si="115"/>
        <v>0</v>
      </c>
      <c r="Y82" s="7">
        <f t="shared" si="116"/>
        <v>0</v>
      </c>
      <c r="Z82" s="7">
        <f t="shared" si="117"/>
        <v>1</v>
      </c>
      <c r="AA82" s="4" t="s">
        <v>335</v>
      </c>
      <c r="AB82" s="5" t="s">
        <v>336</v>
      </c>
    </row>
    <row r="83" spans="1:28" x14ac:dyDescent="0.25">
      <c r="A83" s="31" t="s">
        <v>340</v>
      </c>
      <c r="B83" s="6">
        <v>43673</v>
      </c>
      <c r="C83" s="4" t="s">
        <v>267</v>
      </c>
      <c r="D83" s="3">
        <v>913.62</v>
      </c>
      <c r="E83" s="4">
        <v>1</v>
      </c>
      <c r="F83" s="7">
        <f t="shared" si="105"/>
        <v>913.62</v>
      </c>
      <c r="G83" s="4"/>
      <c r="H83" s="4"/>
      <c r="I83" s="4"/>
      <c r="J83" s="4" t="s">
        <v>14</v>
      </c>
      <c r="K83" s="30" t="s">
        <v>300</v>
      </c>
      <c r="L83" s="7">
        <f t="shared" si="106"/>
        <v>0</v>
      </c>
      <c r="M83" s="7">
        <f t="shared" si="91"/>
        <v>1</v>
      </c>
      <c r="N83" s="7">
        <f t="shared" si="109"/>
        <v>0</v>
      </c>
      <c r="O83" s="7">
        <f t="shared" si="110"/>
        <v>0</v>
      </c>
      <c r="P83" s="7">
        <f t="shared" si="94"/>
        <v>0</v>
      </c>
      <c r="Q83" s="3">
        <f t="shared" si="95"/>
        <v>0</v>
      </c>
      <c r="R83" s="7">
        <f t="shared" si="96"/>
        <v>0</v>
      </c>
      <c r="S83" s="7">
        <f t="shared" si="111"/>
        <v>0</v>
      </c>
      <c r="T83" s="7">
        <f t="shared" si="112"/>
        <v>0</v>
      </c>
      <c r="U83" s="7">
        <f t="shared" si="104"/>
        <v>0</v>
      </c>
      <c r="V83" s="7">
        <f t="shared" si="113"/>
        <v>0</v>
      </c>
      <c r="W83" s="7">
        <f t="shared" si="114"/>
        <v>0</v>
      </c>
      <c r="X83" s="7">
        <f t="shared" si="115"/>
        <v>0</v>
      </c>
      <c r="Y83" s="7">
        <f t="shared" si="116"/>
        <v>0</v>
      </c>
      <c r="Z83" s="7">
        <f t="shared" si="117"/>
        <v>1</v>
      </c>
      <c r="AA83" s="4" t="s">
        <v>339</v>
      </c>
      <c r="AB83" s="5" t="s">
        <v>338</v>
      </c>
    </row>
    <row r="84" spans="1:28" x14ac:dyDescent="0.25">
      <c r="A84" s="31" t="s">
        <v>342</v>
      </c>
      <c r="B84" s="6">
        <v>43145</v>
      </c>
      <c r="C84" s="4" t="s">
        <v>267</v>
      </c>
      <c r="D84" s="3">
        <v>169</v>
      </c>
      <c r="E84" s="4">
        <v>1</v>
      </c>
      <c r="F84" s="7">
        <f t="shared" si="105"/>
        <v>169</v>
      </c>
      <c r="G84" s="4"/>
      <c r="H84" s="4"/>
      <c r="I84" s="4"/>
      <c r="J84" s="4" t="s">
        <v>14</v>
      </c>
      <c r="K84" s="30" t="s">
        <v>300</v>
      </c>
      <c r="L84" s="7">
        <f t="shared" si="106"/>
        <v>0</v>
      </c>
      <c r="M84" s="7">
        <f t="shared" si="91"/>
        <v>1</v>
      </c>
      <c r="N84" s="7">
        <f t="shared" si="109"/>
        <v>0</v>
      </c>
      <c r="O84" s="7">
        <f t="shared" si="110"/>
        <v>0</v>
      </c>
      <c r="P84" s="7">
        <f t="shared" si="94"/>
        <v>0</v>
      </c>
      <c r="Q84" s="3">
        <f t="shared" si="95"/>
        <v>0</v>
      </c>
      <c r="R84" s="7">
        <f t="shared" si="96"/>
        <v>0</v>
      </c>
      <c r="S84" s="7">
        <f t="shared" si="111"/>
        <v>0</v>
      </c>
      <c r="T84" s="7">
        <f t="shared" si="112"/>
        <v>0</v>
      </c>
      <c r="U84" s="7">
        <f t="shared" si="104"/>
        <v>0</v>
      </c>
      <c r="V84" s="7">
        <f t="shared" si="113"/>
        <v>0</v>
      </c>
      <c r="W84" s="7">
        <f t="shared" si="114"/>
        <v>0</v>
      </c>
      <c r="X84" s="7">
        <f t="shared" si="115"/>
        <v>0</v>
      </c>
      <c r="Y84" s="7">
        <f t="shared" si="116"/>
        <v>0</v>
      </c>
      <c r="Z84" s="7">
        <f t="shared" si="117"/>
        <v>1</v>
      </c>
      <c r="AA84" s="4"/>
      <c r="AB84" s="5" t="s">
        <v>341</v>
      </c>
    </row>
    <row r="85" spans="1:28" x14ac:dyDescent="0.25">
      <c r="A85" s="31" t="s">
        <v>344</v>
      </c>
      <c r="B85" s="6">
        <v>43417</v>
      </c>
      <c r="C85" s="4" t="s">
        <v>267</v>
      </c>
      <c r="D85" s="3">
        <v>7250</v>
      </c>
      <c r="E85" s="4">
        <v>1</v>
      </c>
      <c r="F85" s="7">
        <f t="shared" si="105"/>
        <v>7250</v>
      </c>
      <c r="G85" s="4"/>
      <c r="H85" s="4"/>
      <c r="I85" s="4"/>
      <c r="J85" s="4" t="s">
        <v>14</v>
      </c>
      <c r="K85" s="7" t="s">
        <v>550</v>
      </c>
      <c r="L85" s="7">
        <f t="shared" si="106"/>
        <v>0</v>
      </c>
      <c r="M85" s="7">
        <f t="shared" si="91"/>
        <v>1</v>
      </c>
      <c r="N85" s="7">
        <f t="shared" si="109"/>
        <v>0</v>
      </c>
      <c r="O85" s="7">
        <f t="shared" si="110"/>
        <v>0</v>
      </c>
      <c r="P85" s="7">
        <f t="shared" si="94"/>
        <v>0</v>
      </c>
      <c r="Q85" s="3">
        <f t="shared" si="95"/>
        <v>0</v>
      </c>
      <c r="R85" s="7">
        <f t="shared" si="96"/>
        <v>1</v>
      </c>
      <c r="S85" s="7">
        <f t="shared" si="111"/>
        <v>0</v>
      </c>
      <c r="T85" s="7">
        <f t="shared" si="112"/>
        <v>0</v>
      </c>
      <c r="U85" s="7">
        <f t="shared" si="104"/>
        <v>0</v>
      </c>
      <c r="V85" s="7">
        <f t="shared" si="113"/>
        <v>0</v>
      </c>
      <c r="W85" s="7">
        <f t="shared" si="114"/>
        <v>0</v>
      </c>
      <c r="X85" s="7">
        <f t="shared" si="115"/>
        <v>1</v>
      </c>
      <c r="Y85" s="7">
        <f t="shared" si="116"/>
        <v>1</v>
      </c>
      <c r="Z85" s="7">
        <f t="shared" si="117"/>
        <v>2</v>
      </c>
      <c r="AA85" s="4"/>
      <c r="AB85" s="5" t="s">
        <v>343</v>
      </c>
    </row>
    <row r="86" spans="1:28" x14ac:dyDescent="0.25">
      <c r="A86" s="31" t="s">
        <v>347</v>
      </c>
      <c r="B86" s="6">
        <v>43601</v>
      </c>
      <c r="C86" s="4" t="s">
        <v>267</v>
      </c>
      <c r="D86" s="28">
        <v>2034.83</v>
      </c>
      <c r="E86" s="4">
        <v>1</v>
      </c>
      <c r="F86" s="7">
        <f t="shared" si="105"/>
        <v>2034.83</v>
      </c>
      <c r="G86" s="4"/>
      <c r="H86" s="4"/>
      <c r="I86" s="4"/>
      <c r="J86" s="4" t="s">
        <v>14</v>
      </c>
      <c r="K86" s="7" t="s">
        <v>557</v>
      </c>
      <c r="L86" s="7">
        <f t="shared" si="106"/>
        <v>0</v>
      </c>
      <c r="M86" s="7">
        <f t="shared" si="91"/>
        <v>1</v>
      </c>
      <c r="N86" s="7">
        <f t="shared" si="109"/>
        <v>0</v>
      </c>
      <c r="O86" s="7">
        <f t="shared" si="110"/>
        <v>0</v>
      </c>
      <c r="P86" s="7">
        <f t="shared" si="94"/>
        <v>0</v>
      </c>
      <c r="Q86" s="3">
        <f t="shared" si="95"/>
        <v>1</v>
      </c>
      <c r="R86" s="7">
        <f t="shared" si="96"/>
        <v>1</v>
      </c>
      <c r="S86" s="7">
        <f t="shared" si="111"/>
        <v>0</v>
      </c>
      <c r="T86" s="7">
        <f t="shared" si="112"/>
        <v>0</v>
      </c>
      <c r="U86" s="7">
        <f t="shared" si="104"/>
        <v>0</v>
      </c>
      <c r="V86" s="7">
        <f t="shared" si="113"/>
        <v>0</v>
      </c>
      <c r="W86" s="7">
        <f t="shared" si="114"/>
        <v>0</v>
      </c>
      <c r="X86" s="7">
        <f t="shared" si="115"/>
        <v>1</v>
      </c>
      <c r="Y86" s="7">
        <f t="shared" si="116"/>
        <v>1</v>
      </c>
      <c r="Z86" s="7">
        <f t="shared" si="117"/>
        <v>3</v>
      </c>
      <c r="AA86" s="4" t="s">
        <v>345</v>
      </c>
      <c r="AB86" s="5" t="s">
        <v>346</v>
      </c>
    </row>
    <row r="87" spans="1:28" x14ac:dyDescent="0.25">
      <c r="A87" s="31" t="s">
        <v>350</v>
      </c>
      <c r="B87" s="6">
        <v>43195</v>
      </c>
      <c r="C87" s="4" t="s">
        <v>267</v>
      </c>
      <c r="D87" s="3">
        <v>52.5</v>
      </c>
      <c r="E87" s="4">
        <v>1</v>
      </c>
      <c r="F87" s="7">
        <f t="shared" si="105"/>
        <v>52.5</v>
      </c>
      <c r="G87" s="4"/>
      <c r="H87" s="4"/>
      <c r="I87" s="4"/>
      <c r="J87" s="4" t="s">
        <v>14</v>
      </c>
      <c r="K87" s="7" t="s">
        <v>558</v>
      </c>
      <c r="L87" s="7">
        <f t="shared" si="106"/>
        <v>0</v>
      </c>
      <c r="M87" s="7">
        <f t="shared" si="91"/>
        <v>1</v>
      </c>
      <c r="N87" s="7">
        <f t="shared" si="109"/>
        <v>1</v>
      </c>
      <c r="O87" s="7">
        <f t="shared" si="110"/>
        <v>0</v>
      </c>
      <c r="P87" s="7">
        <f t="shared" si="94"/>
        <v>0</v>
      </c>
      <c r="Q87" s="3">
        <f t="shared" si="95"/>
        <v>0</v>
      </c>
      <c r="R87" s="7">
        <f t="shared" si="96"/>
        <v>1</v>
      </c>
      <c r="S87" s="7">
        <f t="shared" si="111"/>
        <v>1</v>
      </c>
      <c r="T87" s="7">
        <f t="shared" si="112"/>
        <v>0</v>
      </c>
      <c r="U87" s="7">
        <f t="shared" si="104"/>
        <v>0</v>
      </c>
      <c r="V87" s="7">
        <f t="shared" si="113"/>
        <v>0</v>
      </c>
      <c r="W87" s="7">
        <f t="shared" si="114"/>
        <v>0</v>
      </c>
      <c r="X87" s="7">
        <f t="shared" si="115"/>
        <v>1</v>
      </c>
      <c r="Y87" s="7">
        <f t="shared" si="116"/>
        <v>1</v>
      </c>
      <c r="Z87" s="7">
        <f t="shared" si="117"/>
        <v>4</v>
      </c>
      <c r="AA87" s="4" t="s">
        <v>348</v>
      </c>
      <c r="AB87" s="5" t="s">
        <v>349</v>
      </c>
    </row>
    <row r="88" spans="1:28" x14ac:dyDescent="0.25">
      <c r="A88" s="31" t="s">
        <v>352</v>
      </c>
      <c r="B88" s="6">
        <v>43494</v>
      </c>
      <c r="C88" s="4" t="s">
        <v>267</v>
      </c>
      <c r="D88" s="4">
        <v>2535.66</v>
      </c>
      <c r="E88" s="4">
        <v>2</v>
      </c>
      <c r="F88" s="7">
        <f t="shared" si="105"/>
        <v>1267.83</v>
      </c>
      <c r="G88" s="4"/>
      <c r="H88" s="4"/>
      <c r="I88" s="4"/>
      <c r="J88" s="4" t="s">
        <v>14</v>
      </c>
      <c r="K88" s="7" t="s">
        <v>559</v>
      </c>
      <c r="L88" s="7">
        <f t="shared" si="106"/>
        <v>0</v>
      </c>
      <c r="M88" s="7">
        <f t="shared" si="91"/>
        <v>1</v>
      </c>
      <c r="N88" s="7">
        <f t="shared" si="109"/>
        <v>0</v>
      </c>
      <c r="O88" s="7">
        <f t="shared" si="110"/>
        <v>0</v>
      </c>
      <c r="P88" s="7">
        <f t="shared" si="94"/>
        <v>0</v>
      </c>
      <c r="Q88" s="3">
        <f t="shared" si="95"/>
        <v>1</v>
      </c>
      <c r="R88" s="7">
        <f t="shared" si="96"/>
        <v>0</v>
      </c>
      <c r="S88" s="7">
        <f t="shared" si="111"/>
        <v>0</v>
      </c>
      <c r="T88" s="7">
        <f t="shared" si="112"/>
        <v>0</v>
      </c>
      <c r="U88" s="7">
        <f t="shared" si="104"/>
        <v>0</v>
      </c>
      <c r="V88" s="7">
        <f t="shared" si="113"/>
        <v>0</v>
      </c>
      <c r="W88" s="7">
        <f t="shared" si="114"/>
        <v>0</v>
      </c>
      <c r="X88" s="7">
        <f t="shared" si="115"/>
        <v>1</v>
      </c>
      <c r="Y88" s="7">
        <f t="shared" si="116"/>
        <v>0</v>
      </c>
      <c r="Z88" s="7">
        <f t="shared" si="117"/>
        <v>2</v>
      </c>
      <c r="AA88" s="4"/>
      <c r="AB88" s="5" t="s">
        <v>351</v>
      </c>
    </row>
    <row r="89" spans="1:28" x14ac:dyDescent="0.25">
      <c r="A89" s="31" t="s">
        <v>355</v>
      </c>
      <c r="B89" s="6">
        <v>43164</v>
      </c>
      <c r="C89" s="4" t="s">
        <v>267</v>
      </c>
      <c r="D89" s="4">
        <v>1377.45</v>
      </c>
      <c r="E89" s="4">
        <v>1</v>
      </c>
      <c r="F89" s="7">
        <f t="shared" si="105"/>
        <v>1377.45</v>
      </c>
      <c r="G89" s="4"/>
      <c r="H89" s="4"/>
      <c r="I89" s="4"/>
      <c r="J89" s="4" t="s">
        <v>14</v>
      </c>
      <c r="K89" s="30" t="s">
        <v>300</v>
      </c>
      <c r="L89" s="7">
        <f t="shared" si="106"/>
        <v>0</v>
      </c>
      <c r="M89" s="7">
        <f t="shared" si="91"/>
        <v>1</v>
      </c>
      <c r="N89" s="7">
        <f t="shared" si="109"/>
        <v>0</v>
      </c>
      <c r="O89" s="7">
        <f t="shared" si="110"/>
        <v>0</v>
      </c>
      <c r="P89" s="7">
        <f t="shared" si="94"/>
        <v>0</v>
      </c>
      <c r="Q89" s="3">
        <f t="shared" si="95"/>
        <v>0</v>
      </c>
      <c r="R89" s="7">
        <f t="shared" si="96"/>
        <v>0</v>
      </c>
      <c r="S89" s="7">
        <f t="shared" si="111"/>
        <v>0</v>
      </c>
      <c r="T89" s="7">
        <f t="shared" si="112"/>
        <v>0</v>
      </c>
      <c r="U89" s="7">
        <f t="shared" si="104"/>
        <v>0</v>
      </c>
      <c r="V89" s="7">
        <f t="shared" si="113"/>
        <v>0</v>
      </c>
      <c r="W89" s="7">
        <f t="shared" si="114"/>
        <v>0</v>
      </c>
      <c r="X89" s="7">
        <f t="shared" si="115"/>
        <v>0</v>
      </c>
      <c r="Y89" s="7">
        <f t="shared" si="116"/>
        <v>0</v>
      </c>
      <c r="Z89" s="7">
        <f t="shared" si="117"/>
        <v>1</v>
      </c>
      <c r="AA89" s="4" t="s">
        <v>354</v>
      </c>
      <c r="AB89" s="5" t="s">
        <v>353</v>
      </c>
    </row>
    <row r="90" spans="1:28" x14ac:dyDescent="0.25">
      <c r="A90" s="31" t="s">
        <v>358</v>
      </c>
      <c r="B90" s="6">
        <v>42800</v>
      </c>
      <c r="C90" s="4" t="s">
        <v>267</v>
      </c>
      <c r="D90" s="28">
        <v>1824.75</v>
      </c>
      <c r="E90" s="4">
        <v>1</v>
      </c>
      <c r="F90" s="7">
        <f t="shared" si="105"/>
        <v>1824.75</v>
      </c>
      <c r="G90" s="4"/>
      <c r="H90" s="4"/>
      <c r="I90" s="4"/>
      <c r="J90" s="4" t="s">
        <v>14</v>
      </c>
      <c r="K90" s="7" t="s">
        <v>557</v>
      </c>
      <c r="L90" s="7">
        <f t="shared" si="106"/>
        <v>0</v>
      </c>
      <c r="M90" s="7">
        <f t="shared" si="91"/>
        <v>1</v>
      </c>
      <c r="N90" s="7">
        <f t="shared" si="109"/>
        <v>0</v>
      </c>
      <c r="O90" s="7">
        <f t="shared" si="110"/>
        <v>0</v>
      </c>
      <c r="P90" s="7">
        <f t="shared" si="94"/>
        <v>0</v>
      </c>
      <c r="Q90" s="3">
        <f t="shared" si="95"/>
        <v>1</v>
      </c>
      <c r="R90" s="7">
        <f t="shared" si="96"/>
        <v>1</v>
      </c>
      <c r="S90" s="7">
        <f t="shared" si="111"/>
        <v>0</v>
      </c>
      <c r="T90" s="7">
        <f t="shared" si="112"/>
        <v>0</v>
      </c>
      <c r="U90" s="7">
        <f t="shared" si="104"/>
        <v>0</v>
      </c>
      <c r="V90" s="7">
        <f t="shared" si="113"/>
        <v>0</v>
      </c>
      <c r="W90" s="7">
        <f t="shared" si="114"/>
        <v>0</v>
      </c>
      <c r="X90" s="7">
        <f t="shared" si="115"/>
        <v>1</v>
      </c>
      <c r="Y90" s="7">
        <f t="shared" si="116"/>
        <v>1</v>
      </c>
      <c r="Z90" s="7">
        <f t="shared" si="117"/>
        <v>3</v>
      </c>
      <c r="AA90" s="4" t="s">
        <v>356</v>
      </c>
      <c r="AB90" s="5" t="s">
        <v>357</v>
      </c>
    </row>
    <row r="91" spans="1:28" x14ac:dyDescent="0.25">
      <c r="A91" s="31" t="s">
        <v>360</v>
      </c>
      <c r="B91" s="6">
        <v>43229</v>
      </c>
      <c r="C91" s="4" t="s">
        <v>267</v>
      </c>
      <c r="D91" s="29">
        <v>1440</v>
      </c>
      <c r="E91" s="4">
        <v>1</v>
      </c>
      <c r="F91" s="7">
        <f t="shared" si="105"/>
        <v>1440</v>
      </c>
      <c r="G91" s="4"/>
      <c r="H91" s="4"/>
      <c r="I91" s="4"/>
      <c r="J91" s="4" t="s">
        <v>14</v>
      </c>
      <c r="K91" s="30" t="s">
        <v>300</v>
      </c>
      <c r="L91" s="7">
        <f t="shared" si="106"/>
        <v>0</v>
      </c>
      <c r="M91" s="7">
        <f t="shared" si="91"/>
        <v>1</v>
      </c>
      <c r="N91" s="7">
        <f t="shared" si="109"/>
        <v>0</v>
      </c>
      <c r="O91" s="7">
        <f t="shared" si="110"/>
        <v>0</v>
      </c>
      <c r="P91" s="7">
        <f t="shared" si="94"/>
        <v>0</v>
      </c>
      <c r="Q91" s="3">
        <f t="shared" si="95"/>
        <v>0</v>
      </c>
      <c r="R91" s="7">
        <f t="shared" si="96"/>
        <v>0</v>
      </c>
      <c r="S91" s="7">
        <f t="shared" si="111"/>
        <v>0</v>
      </c>
      <c r="T91" s="7">
        <f t="shared" si="112"/>
        <v>0</v>
      </c>
      <c r="U91" s="7">
        <f t="shared" si="104"/>
        <v>0</v>
      </c>
      <c r="V91" s="7">
        <f t="shared" si="113"/>
        <v>0</v>
      </c>
      <c r="W91" s="7">
        <f t="shared" si="114"/>
        <v>0</v>
      </c>
      <c r="X91" s="7">
        <f t="shared" si="115"/>
        <v>0</v>
      </c>
      <c r="Y91" s="7">
        <f t="shared" si="116"/>
        <v>0</v>
      </c>
      <c r="Z91" s="7">
        <f t="shared" si="117"/>
        <v>1</v>
      </c>
      <c r="AA91" s="4"/>
      <c r="AB91" s="5" t="s">
        <v>359</v>
      </c>
    </row>
    <row r="92" spans="1:28" x14ac:dyDescent="0.25">
      <c r="A92" s="31" t="s">
        <v>363</v>
      </c>
      <c r="B92" s="6">
        <v>43394</v>
      </c>
      <c r="C92" s="4" t="s">
        <v>267</v>
      </c>
      <c r="D92" s="3">
        <v>1023.31</v>
      </c>
      <c r="E92" s="4">
        <v>1</v>
      </c>
      <c r="F92" s="7">
        <f t="shared" si="105"/>
        <v>1023.31</v>
      </c>
      <c r="G92" s="4"/>
      <c r="H92" s="4">
        <v>45</v>
      </c>
      <c r="I92" s="4"/>
      <c r="J92" s="4" t="s">
        <v>14</v>
      </c>
      <c r="K92" s="7" t="s">
        <v>560</v>
      </c>
      <c r="L92" s="7">
        <f t="shared" si="106"/>
        <v>0</v>
      </c>
      <c r="M92" s="7">
        <f t="shared" si="91"/>
        <v>1</v>
      </c>
      <c r="N92" s="7">
        <f t="shared" si="109"/>
        <v>0</v>
      </c>
      <c r="O92" s="7">
        <f t="shared" si="110"/>
        <v>0</v>
      </c>
      <c r="P92" s="7">
        <f t="shared" si="94"/>
        <v>1</v>
      </c>
      <c r="Q92" s="3">
        <f t="shared" si="95"/>
        <v>1</v>
      </c>
      <c r="R92" s="7">
        <f t="shared" si="96"/>
        <v>0</v>
      </c>
      <c r="S92" s="7">
        <f t="shared" si="111"/>
        <v>0</v>
      </c>
      <c r="T92" s="7">
        <f t="shared" si="112"/>
        <v>0</v>
      </c>
      <c r="U92" s="7">
        <f t="shared" si="104"/>
        <v>0</v>
      </c>
      <c r="V92" s="7">
        <f t="shared" si="113"/>
        <v>0</v>
      </c>
      <c r="W92" s="7">
        <f t="shared" si="114"/>
        <v>0</v>
      </c>
      <c r="X92" s="7">
        <f t="shared" si="115"/>
        <v>1</v>
      </c>
      <c r="Y92" s="7">
        <f t="shared" si="116"/>
        <v>1</v>
      </c>
      <c r="Z92" s="7">
        <f t="shared" si="117"/>
        <v>3</v>
      </c>
      <c r="AA92" s="4" t="s">
        <v>361</v>
      </c>
      <c r="AB92" s="5" t="s">
        <v>362</v>
      </c>
    </row>
    <row r="93" spans="1:28" x14ac:dyDescent="0.25">
      <c r="A93" s="31" t="s">
        <v>366</v>
      </c>
      <c r="B93" s="6">
        <v>43550</v>
      </c>
      <c r="C93" s="4" t="s">
        <v>267</v>
      </c>
      <c r="D93" s="3">
        <v>280.20999999999998</v>
      </c>
      <c r="E93" s="4">
        <v>1</v>
      </c>
      <c r="F93" s="7">
        <f t="shared" si="105"/>
        <v>280.20999999999998</v>
      </c>
      <c r="G93" s="4"/>
      <c r="H93" s="4"/>
      <c r="I93" s="4"/>
      <c r="J93" s="4" t="s">
        <v>14</v>
      </c>
      <c r="K93" s="7" t="s">
        <v>300</v>
      </c>
      <c r="L93" s="7">
        <f t="shared" si="106"/>
        <v>0</v>
      </c>
      <c r="M93" s="7">
        <f t="shared" si="91"/>
        <v>1</v>
      </c>
      <c r="N93" s="7">
        <f t="shared" si="109"/>
        <v>0</v>
      </c>
      <c r="O93" s="7">
        <f t="shared" si="110"/>
        <v>0</v>
      </c>
      <c r="P93" s="7">
        <f t="shared" si="94"/>
        <v>0</v>
      </c>
      <c r="Q93" s="3">
        <f t="shared" si="95"/>
        <v>0</v>
      </c>
      <c r="R93" s="7">
        <f t="shared" si="96"/>
        <v>0</v>
      </c>
      <c r="S93" s="7">
        <f t="shared" si="111"/>
        <v>0</v>
      </c>
      <c r="T93" s="7">
        <f t="shared" si="112"/>
        <v>0</v>
      </c>
      <c r="U93" s="7">
        <f t="shared" si="104"/>
        <v>0</v>
      </c>
      <c r="V93" s="7">
        <f t="shared" si="113"/>
        <v>0</v>
      </c>
      <c r="W93" s="7">
        <f t="shared" si="114"/>
        <v>0</v>
      </c>
      <c r="X93" s="7">
        <f t="shared" si="115"/>
        <v>0</v>
      </c>
      <c r="Y93" s="7">
        <f t="shared" si="116"/>
        <v>0</v>
      </c>
      <c r="Z93" s="7">
        <f t="shared" si="117"/>
        <v>1</v>
      </c>
      <c r="AA93" s="4" t="s">
        <v>364</v>
      </c>
      <c r="AB93" s="5" t="s">
        <v>365</v>
      </c>
    </row>
    <row r="94" spans="1:28" x14ac:dyDescent="0.25">
      <c r="A94" s="31" t="s">
        <v>367</v>
      </c>
      <c r="B94" s="6">
        <v>43272</v>
      </c>
      <c r="C94" s="4" t="s">
        <v>267</v>
      </c>
      <c r="D94" s="3">
        <v>1772.97</v>
      </c>
      <c r="E94" s="4">
        <v>1</v>
      </c>
      <c r="F94" s="7">
        <f t="shared" si="105"/>
        <v>1772.97</v>
      </c>
      <c r="G94" s="4"/>
      <c r="H94" s="4"/>
      <c r="I94" s="4"/>
      <c r="J94" s="4" t="s">
        <v>14</v>
      </c>
      <c r="K94" s="7" t="s">
        <v>561</v>
      </c>
      <c r="L94" s="7">
        <f t="shared" si="106"/>
        <v>0</v>
      </c>
      <c r="M94" s="7">
        <f t="shared" si="91"/>
        <v>1</v>
      </c>
      <c r="N94" s="7">
        <f t="shared" si="109"/>
        <v>1</v>
      </c>
      <c r="O94" s="7">
        <f t="shared" si="110"/>
        <v>0</v>
      </c>
      <c r="P94" s="7">
        <f t="shared" si="94"/>
        <v>0</v>
      </c>
      <c r="Q94" s="3">
        <f t="shared" si="95"/>
        <v>1</v>
      </c>
      <c r="R94" s="7">
        <f t="shared" si="96"/>
        <v>0</v>
      </c>
      <c r="S94" s="7">
        <f t="shared" si="111"/>
        <v>0</v>
      </c>
      <c r="T94" s="7">
        <f t="shared" si="112"/>
        <v>0</v>
      </c>
      <c r="U94" s="7">
        <f t="shared" si="104"/>
        <v>0</v>
      </c>
      <c r="V94" s="7">
        <f t="shared" si="113"/>
        <v>0</v>
      </c>
      <c r="W94" s="7">
        <f t="shared" si="114"/>
        <v>0</v>
      </c>
      <c r="X94" s="7">
        <f t="shared" si="115"/>
        <v>1</v>
      </c>
      <c r="Y94" s="7">
        <f t="shared" si="116"/>
        <v>1</v>
      </c>
      <c r="Z94" s="7">
        <f t="shared" si="117"/>
        <v>3</v>
      </c>
      <c r="AA94" s="4"/>
      <c r="AB94" s="5" t="s">
        <v>368</v>
      </c>
    </row>
    <row r="95" spans="1:28" x14ac:dyDescent="0.25">
      <c r="A95" s="31" t="s">
        <v>370</v>
      </c>
      <c r="B95" s="6">
        <v>43675</v>
      </c>
      <c r="C95" s="4" t="s">
        <v>267</v>
      </c>
      <c r="D95" s="3">
        <v>201.74</v>
      </c>
      <c r="E95" s="4">
        <v>1</v>
      </c>
      <c r="F95" s="7">
        <f t="shared" si="105"/>
        <v>201.74</v>
      </c>
      <c r="G95" s="4"/>
      <c r="H95" s="4"/>
      <c r="I95" s="4"/>
      <c r="J95" s="4" t="s">
        <v>14</v>
      </c>
      <c r="K95" s="7" t="s">
        <v>550</v>
      </c>
      <c r="L95" s="7">
        <f t="shared" si="106"/>
        <v>0</v>
      </c>
      <c r="M95" s="7">
        <f t="shared" si="91"/>
        <v>1</v>
      </c>
      <c r="N95" s="7">
        <f t="shared" si="109"/>
        <v>0</v>
      </c>
      <c r="O95" s="7">
        <f t="shared" si="110"/>
        <v>0</v>
      </c>
      <c r="P95" s="7">
        <f t="shared" si="94"/>
        <v>0</v>
      </c>
      <c r="Q95" s="3">
        <f t="shared" si="95"/>
        <v>0</v>
      </c>
      <c r="R95" s="7">
        <f t="shared" si="96"/>
        <v>1</v>
      </c>
      <c r="S95" s="7">
        <f t="shared" si="111"/>
        <v>0</v>
      </c>
      <c r="T95" s="7">
        <f t="shared" si="112"/>
        <v>0</v>
      </c>
      <c r="U95" s="7">
        <f t="shared" si="104"/>
        <v>0</v>
      </c>
      <c r="V95" s="7">
        <f t="shared" si="113"/>
        <v>0</v>
      </c>
      <c r="W95" s="7">
        <f t="shared" si="114"/>
        <v>0</v>
      </c>
      <c r="X95" s="7">
        <f t="shared" si="115"/>
        <v>1</v>
      </c>
      <c r="Y95" s="7">
        <f t="shared" si="116"/>
        <v>1</v>
      </c>
      <c r="Z95" s="7">
        <f t="shared" si="117"/>
        <v>2</v>
      </c>
      <c r="AA95" s="4"/>
      <c r="AB95" s="5" t="s">
        <v>369</v>
      </c>
    </row>
    <row r="96" spans="1:28" x14ac:dyDescent="0.25">
      <c r="A96" s="31" t="s">
        <v>373</v>
      </c>
      <c r="B96" s="6">
        <v>43584</v>
      </c>
      <c r="C96" s="4" t="s">
        <v>267</v>
      </c>
      <c r="D96" s="3">
        <v>42.85</v>
      </c>
      <c r="E96" s="4">
        <v>1</v>
      </c>
      <c r="F96" s="7">
        <f t="shared" si="105"/>
        <v>42.85</v>
      </c>
      <c r="G96" s="4"/>
      <c r="H96" s="4">
        <v>200</v>
      </c>
      <c r="I96" s="4"/>
      <c r="J96" s="4" t="s">
        <v>14</v>
      </c>
      <c r="K96" s="7" t="s">
        <v>557</v>
      </c>
      <c r="L96" s="7">
        <f t="shared" si="106"/>
        <v>0</v>
      </c>
      <c r="M96" s="7">
        <f t="shared" si="91"/>
        <v>1</v>
      </c>
      <c r="N96" s="7">
        <f t="shared" si="109"/>
        <v>0</v>
      </c>
      <c r="O96" s="7">
        <f t="shared" si="110"/>
        <v>0</v>
      </c>
      <c r="P96" s="7">
        <f t="shared" si="94"/>
        <v>0</v>
      </c>
      <c r="Q96" s="3">
        <f t="shared" si="95"/>
        <v>1</v>
      </c>
      <c r="R96" s="7">
        <f t="shared" si="96"/>
        <v>1</v>
      </c>
      <c r="S96" s="7">
        <f t="shared" si="111"/>
        <v>0</v>
      </c>
      <c r="T96" s="7">
        <f t="shared" si="112"/>
        <v>0</v>
      </c>
      <c r="U96" s="7">
        <f t="shared" si="104"/>
        <v>0</v>
      </c>
      <c r="V96" s="7">
        <f t="shared" si="113"/>
        <v>0</v>
      </c>
      <c r="W96" s="7">
        <f t="shared" si="114"/>
        <v>0</v>
      </c>
      <c r="X96" s="7">
        <f t="shared" si="115"/>
        <v>1</v>
      </c>
      <c r="Y96" s="7">
        <f t="shared" si="116"/>
        <v>1</v>
      </c>
      <c r="Z96" s="7">
        <f t="shared" si="117"/>
        <v>3</v>
      </c>
      <c r="AA96" s="4" t="s">
        <v>371</v>
      </c>
      <c r="AB96" s="5" t="s">
        <v>372</v>
      </c>
    </row>
    <row r="97" spans="1:28" x14ac:dyDescent="0.25">
      <c r="A97" s="31" t="s">
        <v>375</v>
      </c>
      <c r="B97" s="6">
        <v>43474</v>
      </c>
      <c r="C97" s="4" t="s">
        <v>267</v>
      </c>
      <c r="D97" s="3">
        <v>2737.02</v>
      </c>
      <c r="E97" s="4">
        <v>1</v>
      </c>
      <c r="F97" s="7">
        <f t="shared" si="105"/>
        <v>2737.02</v>
      </c>
      <c r="G97" s="4"/>
      <c r="H97" s="4"/>
      <c r="I97" s="4"/>
      <c r="J97" s="4" t="s">
        <v>14</v>
      </c>
      <c r="K97" s="7" t="s">
        <v>562</v>
      </c>
      <c r="L97" s="7">
        <f t="shared" si="106"/>
        <v>0</v>
      </c>
      <c r="M97" s="7">
        <f t="shared" si="91"/>
        <v>0</v>
      </c>
      <c r="N97" s="7">
        <f t="shared" si="109"/>
        <v>0</v>
      </c>
      <c r="O97" s="7">
        <f t="shared" si="110"/>
        <v>0</v>
      </c>
      <c r="P97" s="7">
        <f t="shared" si="94"/>
        <v>0</v>
      </c>
      <c r="Q97" s="3">
        <f t="shared" si="95"/>
        <v>1</v>
      </c>
      <c r="R97" s="7">
        <f t="shared" si="96"/>
        <v>1</v>
      </c>
      <c r="S97" s="7">
        <f t="shared" si="111"/>
        <v>1</v>
      </c>
      <c r="T97" s="7">
        <f t="shared" si="112"/>
        <v>1</v>
      </c>
      <c r="U97" s="7">
        <f t="shared" si="104"/>
        <v>0</v>
      </c>
      <c r="V97" s="7">
        <f t="shared" si="113"/>
        <v>0</v>
      </c>
      <c r="W97" s="7">
        <f t="shared" si="114"/>
        <v>0</v>
      </c>
      <c r="X97" s="7">
        <f t="shared" si="115"/>
        <v>1</v>
      </c>
      <c r="Y97" s="7">
        <f t="shared" si="116"/>
        <v>1</v>
      </c>
      <c r="Z97" s="7">
        <f t="shared" si="117"/>
        <v>4</v>
      </c>
      <c r="AA97" s="4"/>
      <c r="AB97" s="5" t="s">
        <v>374</v>
      </c>
    </row>
    <row r="98" spans="1:28" x14ac:dyDescent="0.25">
      <c r="A98" s="31" t="s">
        <v>377</v>
      </c>
      <c r="B98" s="6">
        <v>42943</v>
      </c>
      <c r="C98" s="4" t="s">
        <v>267</v>
      </c>
      <c r="D98" s="28">
        <v>1373.64</v>
      </c>
      <c r="E98" s="4">
        <v>1</v>
      </c>
      <c r="F98" s="7">
        <f t="shared" si="105"/>
        <v>1373.64</v>
      </c>
      <c r="G98" s="4"/>
      <c r="H98" s="4"/>
      <c r="I98" s="4"/>
      <c r="J98" s="4" t="s">
        <v>14</v>
      </c>
      <c r="K98" s="7" t="s">
        <v>563</v>
      </c>
      <c r="L98" s="7">
        <f t="shared" si="106"/>
        <v>0</v>
      </c>
      <c r="M98" s="7">
        <f t="shared" si="91"/>
        <v>1</v>
      </c>
      <c r="N98" s="7">
        <f t="shared" si="109"/>
        <v>0</v>
      </c>
      <c r="O98" s="7">
        <f t="shared" si="110"/>
        <v>0</v>
      </c>
      <c r="P98" s="7">
        <f t="shared" si="94"/>
        <v>0</v>
      </c>
      <c r="Q98" s="3">
        <f t="shared" si="95"/>
        <v>1</v>
      </c>
      <c r="R98" s="7">
        <f t="shared" si="96"/>
        <v>0</v>
      </c>
      <c r="S98" s="7">
        <f t="shared" si="111"/>
        <v>0</v>
      </c>
      <c r="T98" s="7">
        <f t="shared" si="112"/>
        <v>0</v>
      </c>
      <c r="U98" s="7">
        <f t="shared" si="104"/>
        <v>0</v>
      </c>
      <c r="V98" s="7">
        <f t="shared" si="113"/>
        <v>0</v>
      </c>
      <c r="W98" s="7">
        <f t="shared" si="114"/>
        <v>1</v>
      </c>
      <c r="X98" s="7">
        <f t="shared" si="115"/>
        <v>1</v>
      </c>
      <c r="Y98" s="7">
        <f t="shared" si="116"/>
        <v>1</v>
      </c>
      <c r="Z98" s="7">
        <f t="shared" si="117"/>
        <v>3</v>
      </c>
      <c r="AA98" s="4"/>
      <c r="AB98" s="5" t="s">
        <v>376</v>
      </c>
    </row>
    <row r="99" spans="1:28" x14ac:dyDescent="0.25">
      <c r="A99" s="31" t="s">
        <v>380</v>
      </c>
      <c r="B99" s="6">
        <v>43021</v>
      </c>
      <c r="C99" s="4" t="s">
        <v>267</v>
      </c>
      <c r="D99" s="4">
        <v>540</v>
      </c>
      <c r="E99" s="4">
        <v>1</v>
      </c>
      <c r="F99" s="7">
        <f t="shared" si="105"/>
        <v>540</v>
      </c>
      <c r="G99" s="4"/>
      <c r="H99" s="4"/>
      <c r="I99" s="4"/>
      <c r="J99" s="4" t="s">
        <v>14</v>
      </c>
      <c r="K99" s="30" t="s">
        <v>300</v>
      </c>
      <c r="L99" s="7">
        <f t="shared" si="106"/>
        <v>0</v>
      </c>
      <c r="M99" s="7">
        <f t="shared" si="91"/>
        <v>1</v>
      </c>
      <c r="N99" s="7">
        <f t="shared" si="109"/>
        <v>0</v>
      </c>
      <c r="O99" s="7">
        <f t="shared" si="110"/>
        <v>0</v>
      </c>
      <c r="P99" s="7">
        <f t="shared" si="94"/>
        <v>0</v>
      </c>
      <c r="Q99" s="3">
        <f t="shared" si="95"/>
        <v>0</v>
      </c>
      <c r="R99" s="7">
        <f t="shared" si="96"/>
        <v>0</v>
      </c>
      <c r="S99" s="7">
        <f t="shared" si="111"/>
        <v>0</v>
      </c>
      <c r="T99" s="7">
        <f t="shared" si="112"/>
        <v>0</v>
      </c>
      <c r="U99" s="7">
        <f t="shared" si="104"/>
        <v>0</v>
      </c>
      <c r="V99" s="7">
        <f t="shared" si="113"/>
        <v>0</v>
      </c>
      <c r="W99" s="7">
        <f t="shared" si="114"/>
        <v>0</v>
      </c>
      <c r="X99" s="7">
        <f t="shared" si="115"/>
        <v>0</v>
      </c>
      <c r="Y99" s="7">
        <f t="shared" si="116"/>
        <v>0</v>
      </c>
      <c r="Z99" s="7">
        <f t="shared" si="117"/>
        <v>1</v>
      </c>
      <c r="AA99" s="4" t="s">
        <v>378</v>
      </c>
      <c r="AB99" s="5" t="s">
        <v>379</v>
      </c>
    </row>
    <row r="100" spans="1:28" x14ac:dyDescent="0.25">
      <c r="A100" s="31" t="s">
        <v>384</v>
      </c>
      <c r="B100" s="6">
        <v>43395</v>
      </c>
      <c r="C100" s="4" t="s">
        <v>267</v>
      </c>
      <c r="D100" s="3">
        <v>478.36</v>
      </c>
      <c r="E100" s="4">
        <v>1</v>
      </c>
      <c r="F100" s="7">
        <f t="shared" si="105"/>
        <v>478.36</v>
      </c>
      <c r="G100" s="4"/>
      <c r="H100" s="4"/>
      <c r="I100" s="4">
        <v>4250</v>
      </c>
      <c r="J100" s="4" t="s">
        <v>14</v>
      </c>
      <c r="K100" s="7" t="s">
        <v>564</v>
      </c>
      <c r="L100" s="7">
        <f t="shared" si="106"/>
        <v>0</v>
      </c>
      <c r="M100" s="7">
        <f t="shared" si="91"/>
        <v>1</v>
      </c>
      <c r="N100" s="7">
        <f t="shared" si="109"/>
        <v>1</v>
      </c>
      <c r="O100" s="7">
        <f t="shared" si="110"/>
        <v>0</v>
      </c>
      <c r="P100" s="7">
        <f t="shared" si="94"/>
        <v>1</v>
      </c>
      <c r="Q100" s="3">
        <f t="shared" si="95"/>
        <v>0</v>
      </c>
      <c r="R100" s="7">
        <f t="shared" si="96"/>
        <v>1</v>
      </c>
      <c r="S100" s="7">
        <f t="shared" si="111"/>
        <v>0</v>
      </c>
      <c r="T100" s="7">
        <f t="shared" si="112"/>
        <v>0</v>
      </c>
      <c r="U100" s="7">
        <f t="shared" ref="U100:U131" si="118">IF(ISNUMBER(SEARCH("Maternity",K100)),1,0)</f>
        <v>1</v>
      </c>
      <c r="V100" s="7">
        <f t="shared" si="113"/>
        <v>0</v>
      </c>
      <c r="W100" s="7">
        <f t="shared" si="114"/>
        <v>0</v>
      </c>
      <c r="X100" s="7">
        <f t="shared" si="115"/>
        <v>1</v>
      </c>
      <c r="Y100" s="7">
        <f t="shared" si="116"/>
        <v>1</v>
      </c>
      <c r="Z100" s="7">
        <f t="shared" si="117"/>
        <v>5</v>
      </c>
      <c r="AA100" s="4" t="s">
        <v>382</v>
      </c>
      <c r="AB100" s="5" t="s">
        <v>383</v>
      </c>
    </row>
    <row r="101" spans="1:28" x14ac:dyDescent="0.25">
      <c r="A101" s="31" t="s">
        <v>387</v>
      </c>
      <c r="B101" s="6">
        <v>43004</v>
      </c>
      <c r="C101" s="4" t="s">
        <v>267</v>
      </c>
      <c r="D101" s="28">
        <v>3173.58</v>
      </c>
      <c r="E101" s="4">
        <v>1</v>
      </c>
      <c r="F101" s="7">
        <f t="shared" si="105"/>
        <v>3173.58</v>
      </c>
      <c r="G101" s="4"/>
      <c r="H101" s="4"/>
      <c r="I101" s="29">
        <v>2550</v>
      </c>
      <c r="J101" s="4" t="s">
        <v>14</v>
      </c>
      <c r="K101" s="9"/>
      <c r="L101" s="7">
        <f t="shared" si="106"/>
        <v>0</v>
      </c>
      <c r="M101" s="7">
        <f t="shared" si="91"/>
        <v>0</v>
      </c>
      <c r="N101" s="7">
        <f t="shared" si="109"/>
        <v>0</v>
      </c>
      <c r="O101" s="7">
        <f t="shared" si="110"/>
        <v>0</v>
      </c>
      <c r="P101" s="7">
        <f t="shared" si="94"/>
        <v>0</v>
      </c>
      <c r="Q101" s="3">
        <f t="shared" si="95"/>
        <v>0</v>
      </c>
      <c r="R101" s="7">
        <f t="shared" si="96"/>
        <v>0</v>
      </c>
      <c r="S101" s="7">
        <f t="shared" si="111"/>
        <v>0</v>
      </c>
      <c r="T101" s="7">
        <f t="shared" si="112"/>
        <v>0</v>
      </c>
      <c r="U101" s="7">
        <f t="shared" si="118"/>
        <v>0</v>
      </c>
      <c r="V101" s="7">
        <f t="shared" si="113"/>
        <v>0</v>
      </c>
      <c r="W101" s="7">
        <f t="shared" si="114"/>
        <v>0</v>
      </c>
      <c r="X101" s="7">
        <f t="shared" si="115"/>
        <v>0</v>
      </c>
      <c r="Y101" s="7">
        <f t="shared" si="116"/>
        <v>0</v>
      </c>
      <c r="Z101" s="7">
        <f t="shared" si="117"/>
        <v>0</v>
      </c>
      <c r="AA101" s="4" t="s">
        <v>385</v>
      </c>
      <c r="AB101" s="5" t="s">
        <v>386</v>
      </c>
    </row>
    <row r="102" spans="1:28" x14ac:dyDescent="0.25">
      <c r="A102" s="31" t="s">
        <v>390</v>
      </c>
      <c r="B102" s="6">
        <v>43551</v>
      </c>
      <c r="C102" s="4" t="s">
        <v>267</v>
      </c>
      <c r="D102" s="28">
        <v>9664.7999999999993</v>
      </c>
      <c r="E102" s="4">
        <v>1</v>
      </c>
      <c r="F102" s="7">
        <f t="shared" si="105"/>
        <v>9664.7999999999993</v>
      </c>
      <c r="G102" s="4"/>
      <c r="H102" s="4"/>
      <c r="I102" s="4"/>
      <c r="J102" s="4" t="s">
        <v>14</v>
      </c>
      <c r="K102" s="7" t="s">
        <v>557</v>
      </c>
      <c r="L102" s="7">
        <f t="shared" si="106"/>
        <v>0</v>
      </c>
      <c r="M102" s="7">
        <f t="shared" si="91"/>
        <v>1</v>
      </c>
      <c r="N102" s="7">
        <f t="shared" si="109"/>
        <v>0</v>
      </c>
      <c r="O102" s="7">
        <f t="shared" si="110"/>
        <v>0</v>
      </c>
      <c r="P102" s="7">
        <f t="shared" si="94"/>
        <v>0</v>
      </c>
      <c r="Q102" s="3">
        <f t="shared" si="95"/>
        <v>1</v>
      </c>
      <c r="R102" s="7">
        <f t="shared" si="96"/>
        <v>1</v>
      </c>
      <c r="S102" s="7">
        <f t="shared" si="111"/>
        <v>0</v>
      </c>
      <c r="T102" s="7">
        <f t="shared" si="112"/>
        <v>0</v>
      </c>
      <c r="U102" s="7">
        <f t="shared" si="118"/>
        <v>0</v>
      </c>
      <c r="V102" s="7">
        <f t="shared" si="113"/>
        <v>0</v>
      </c>
      <c r="W102" s="7">
        <f t="shared" si="114"/>
        <v>0</v>
      </c>
      <c r="X102" s="7">
        <f t="shared" si="115"/>
        <v>1</v>
      </c>
      <c r="Y102" s="7">
        <f t="shared" si="116"/>
        <v>1</v>
      </c>
      <c r="Z102" s="7">
        <f t="shared" si="117"/>
        <v>3</v>
      </c>
      <c r="AA102" s="4" t="s">
        <v>388</v>
      </c>
      <c r="AB102" s="5" t="s">
        <v>389</v>
      </c>
    </row>
    <row r="103" spans="1:28" x14ac:dyDescent="0.25">
      <c r="A103" s="31" t="s">
        <v>393</v>
      </c>
      <c r="B103" s="6">
        <v>43497</v>
      </c>
      <c r="C103" s="4" t="s">
        <v>267</v>
      </c>
      <c r="D103" s="28">
        <v>4389.3999999999996</v>
      </c>
      <c r="E103" s="4">
        <v>1</v>
      </c>
      <c r="F103" s="7">
        <f t="shared" si="105"/>
        <v>4389.3999999999996</v>
      </c>
      <c r="G103" s="4"/>
      <c r="H103" s="4"/>
      <c r="I103" s="4"/>
      <c r="J103" s="4" t="s">
        <v>14</v>
      </c>
      <c r="K103" s="7" t="s">
        <v>565</v>
      </c>
      <c r="L103" s="7">
        <f t="shared" si="106"/>
        <v>0</v>
      </c>
      <c r="M103" s="7">
        <f t="shared" si="91"/>
        <v>1</v>
      </c>
      <c r="N103" s="7">
        <f t="shared" si="109"/>
        <v>1</v>
      </c>
      <c r="O103" s="7">
        <f t="shared" si="110"/>
        <v>0</v>
      </c>
      <c r="P103" s="7">
        <f t="shared" si="94"/>
        <v>1</v>
      </c>
      <c r="Q103" s="3">
        <f t="shared" si="95"/>
        <v>0</v>
      </c>
      <c r="R103" s="7">
        <f t="shared" si="96"/>
        <v>1</v>
      </c>
      <c r="S103" s="7">
        <f t="shared" si="111"/>
        <v>1</v>
      </c>
      <c r="T103" s="7">
        <f t="shared" si="112"/>
        <v>0</v>
      </c>
      <c r="U103" s="7">
        <f t="shared" si="118"/>
        <v>0</v>
      </c>
      <c r="V103" s="7">
        <f t="shared" si="113"/>
        <v>0</v>
      </c>
      <c r="W103" s="7">
        <f t="shared" si="114"/>
        <v>0</v>
      </c>
      <c r="X103" s="7">
        <f t="shared" si="115"/>
        <v>1</v>
      </c>
      <c r="Y103" s="7">
        <f t="shared" si="116"/>
        <v>1</v>
      </c>
      <c r="Z103" s="7">
        <f t="shared" si="117"/>
        <v>5</v>
      </c>
      <c r="AA103" s="4" t="s">
        <v>391</v>
      </c>
      <c r="AB103" s="5" t="s">
        <v>392</v>
      </c>
    </row>
    <row r="104" spans="1:28" x14ac:dyDescent="0.25">
      <c r="A104" s="31" t="s">
        <v>395</v>
      </c>
      <c r="B104" s="6">
        <v>43417</v>
      </c>
      <c r="C104" s="4" t="s">
        <v>267</v>
      </c>
      <c r="D104" s="29">
        <v>2723</v>
      </c>
      <c r="E104" s="4">
        <v>1</v>
      </c>
      <c r="F104" s="7">
        <f t="shared" si="105"/>
        <v>2723</v>
      </c>
      <c r="G104" s="4"/>
      <c r="H104" s="4"/>
      <c r="I104" s="4"/>
      <c r="J104" s="4" t="s">
        <v>14</v>
      </c>
      <c r="K104" s="30" t="s">
        <v>300</v>
      </c>
      <c r="L104" s="7">
        <f t="shared" si="106"/>
        <v>0</v>
      </c>
      <c r="M104" s="7">
        <f t="shared" si="91"/>
        <v>1</v>
      </c>
      <c r="N104" s="7">
        <f t="shared" si="109"/>
        <v>0</v>
      </c>
      <c r="O104" s="7">
        <f t="shared" si="110"/>
        <v>0</v>
      </c>
      <c r="P104" s="7">
        <f t="shared" si="94"/>
        <v>0</v>
      </c>
      <c r="Q104" s="3">
        <f t="shared" si="95"/>
        <v>0</v>
      </c>
      <c r="R104" s="7">
        <f t="shared" si="96"/>
        <v>0</v>
      </c>
      <c r="S104" s="7">
        <f t="shared" si="111"/>
        <v>0</v>
      </c>
      <c r="T104" s="7">
        <f t="shared" si="112"/>
        <v>0</v>
      </c>
      <c r="U104" s="7">
        <f t="shared" si="118"/>
        <v>0</v>
      </c>
      <c r="V104" s="7">
        <f t="shared" si="113"/>
        <v>0</v>
      </c>
      <c r="W104" s="7">
        <f t="shared" si="114"/>
        <v>0</v>
      </c>
      <c r="X104" s="7">
        <f t="shared" si="115"/>
        <v>0</v>
      </c>
      <c r="Y104" s="7">
        <f t="shared" si="116"/>
        <v>0</v>
      </c>
      <c r="Z104" s="7">
        <f t="shared" si="117"/>
        <v>1</v>
      </c>
      <c r="AA104" s="4"/>
      <c r="AB104" s="5" t="s">
        <v>394</v>
      </c>
    </row>
    <row r="105" spans="1:28" x14ac:dyDescent="0.25">
      <c r="A105" s="31" t="s">
        <v>398</v>
      </c>
      <c r="B105" s="6">
        <v>42928</v>
      </c>
      <c r="C105" s="4" t="s">
        <v>399</v>
      </c>
      <c r="D105" s="4"/>
      <c r="E105" s="4">
        <v>1</v>
      </c>
      <c r="F105" s="7" t="str">
        <f t="shared" si="105"/>
        <v/>
      </c>
      <c r="G105" s="4"/>
      <c r="H105" s="29" t="s">
        <v>118</v>
      </c>
      <c r="I105" s="4"/>
      <c r="J105" s="4" t="s">
        <v>14</v>
      </c>
      <c r="K105" s="7" t="s">
        <v>566</v>
      </c>
      <c r="L105" s="7">
        <f t="shared" si="106"/>
        <v>0</v>
      </c>
      <c r="M105" s="7">
        <f t="shared" si="91"/>
        <v>0</v>
      </c>
      <c r="N105" s="7">
        <f t="shared" si="107"/>
        <v>1</v>
      </c>
      <c r="O105" s="7"/>
      <c r="P105" s="7">
        <f t="shared" si="94"/>
        <v>1</v>
      </c>
      <c r="Q105" s="3">
        <f t="shared" si="95"/>
        <v>0</v>
      </c>
      <c r="R105" s="7">
        <f t="shared" si="96"/>
        <v>0</v>
      </c>
      <c r="S105" s="7">
        <f t="shared" si="108"/>
        <v>0</v>
      </c>
      <c r="T105" s="7"/>
      <c r="U105" s="7">
        <f t="shared" si="118"/>
        <v>0</v>
      </c>
      <c r="V105" s="7"/>
      <c r="W105" s="7"/>
      <c r="X105" s="7">
        <f>IF(SUM(N105:U105)&gt;0,1,0)</f>
        <v>1</v>
      </c>
      <c r="Y105" s="7">
        <f>IF(SUM(N105:P105,R105:U105)&gt;0,1,0)</f>
        <v>1</v>
      </c>
      <c r="Z105" s="7">
        <f>SUM(L105:U105)</f>
        <v>2</v>
      </c>
      <c r="AA105" s="4" t="s">
        <v>396</v>
      </c>
      <c r="AB105" s="5" t="s">
        <v>397</v>
      </c>
    </row>
    <row r="106" spans="1:28" x14ac:dyDescent="0.25">
      <c r="A106" s="31" t="s">
        <v>401</v>
      </c>
      <c r="B106" s="6">
        <v>43559</v>
      </c>
      <c r="C106" s="4" t="s">
        <v>267</v>
      </c>
      <c r="D106" s="28">
        <v>2276.63</v>
      </c>
      <c r="E106" s="4">
        <v>1</v>
      </c>
      <c r="F106" s="7">
        <f t="shared" si="105"/>
        <v>2276.63</v>
      </c>
      <c r="G106" s="4"/>
      <c r="H106" s="4"/>
      <c r="I106" s="4"/>
      <c r="J106" s="4" t="s">
        <v>14</v>
      </c>
      <c r="K106" s="7" t="s">
        <v>567</v>
      </c>
      <c r="L106" s="7">
        <f t="shared" si="106"/>
        <v>0</v>
      </c>
      <c r="M106" s="7">
        <f t="shared" si="91"/>
        <v>1</v>
      </c>
      <c r="N106" s="7">
        <f t="shared" ref="N106:N168" si="119">IF(ISNUMBER(SEARCH("Unfair dismissal",K106)),1,0)</f>
        <v>0</v>
      </c>
      <c r="O106" s="7">
        <f t="shared" ref="O106:O168" si="120">IF(ISNUMBER(SEARCH("Contract of employment",K106)),1,0)</f>
        <v>0</v>
      </c>
      <c r="P106" s="7">
        <f t="shared" si="94"/>
        <v>1</v>
      </c>
      <c r="Q106" s="3">
        <f t="shared" si="95"/>
        <v>0</v>
      </c>
      <c r="R106" s="7">
        <f t="shared" si="96"/>
        <v>0</v>
      </c>
      <c r="S106" s="7">
        <f t="shared" ref="S106:S168" si="121">IF(ISNUMBER(SEARCH("Written pay statement",K106)),1,0)</f>
        <v>0</v>
      </c>
      <c r="T106" s="7">
        <f t="shared" ref="T106:T168" si="122">IF(ISNUMBER(SEARCH("Written statements",K106)),1,0)</f>
        <v>0</v>
      </c>
      <c r="U106" s="7">
        <f t="shared" si="118"/>
        <v>0</v>
      </c>
      <c r="V106" s="7">
        <f t="shared" ref="V106:V168" si="123">IF(ISNUMBER(SEARCH("Time off",K106)),1,0)</f>
        <v>0</v>
      </c>
      <c r="W106" s="7">
        <f t="shared" ref="W106:W168" si="124">IF(ISNUMBER(SEARCH("Redundancy",K106)),1,0)</f>
        <v>0</v>
      </c>
      <c r="X106" s="7">
        <f t="shared" ref="X106:X168" si="125">IF(SUM(N106:W106)&gt;0,1,0)</f>
        <v>1</v>
      </c>
      <c r="Y106" s="7">
        <f t="shared" ref="Y106:Y168" si="126">IF(SUM(N106:P106,R106:W106)&gt;0,1,0)</f>
        <v>1</v>
      </c>
      <c r="Z106" s="7">
        <f t="shared" ref="Z106:Z168" si="127">SUM(L106:W106)</f>
        <v>2</v>
      </c>
      <c r="AA106" s="4" t="s">
        <v>402</v>
      </c>
      <c r="AB106" s="5" t="s">
        <v>400</v>
      </c>
    </row>
    <row r="107" spans="1:28" x14ac:dyDescent="0.25">
      <c r="A107" s="31" t="s">
        <v>404</v>
      </c>
      <c r="B107" s="6">
        <v>42831</v>
      </c>
      <c r="C107" s="4" t="s">
        <v>267</v>
      </c>
      <c r="D107" s="28">
        <v>3806.55</v>
      </c>
      <c r="E107" s="4">
        <v>1</v>
      </c>
      <c r="F107" s="7">
        <f t="shared" si="105"/>
        <v>3806.55</v>
      </c>
      <c r="G107" s="4"/>
      <c r="H107" s="4"/>
      <c r="I107" s="4"/>
      <c r="J107" s="4" t="s">
        <v>14</v>
      </c>
      <c r="K107" s="7" t="s">
        <v>568</v>
      </c>
      <c r="L107" s="7">
        <f t="shared" si="106"/>
        <v>0</v>
      </c>
      <c r="M107" s="7">
        <f t="shared" si="91"/>
        <v>1</v>
      </c>
      <c r="N107" s="7">
        <f t="shared" si="119"/>
        <v>0</v>
      </c>
      <c r="O107" s="7">
        <f t="shared" si="120"/>
        <v>1</v>
      </c>
      <c r="P107" s="7">
        <f t="shared" si="94"/>
        <v>0</v>
      </c>
      <c r="Q107" s="3">
        <f t="shared" si="95"/>
        <v>0</v>
      </c>
      <c r="R107" s="7">
        <f t="shared" si="96"/>
        <v>1</v>
      </c>
      <c r="S107" s="7">
        <f t="shared" si="121"/>
        <v>0</v>
      </c>
      <c r="T107" s="7">
        <f t="shared" si="122"/>
        <v>0</v>
      </c>
      <c r="U107" s="7">
        <f t="shared" si="118"/>
        <v>0</v>
      </c>
      <c r="V107" s="7">
        <f t="shared" si="123"/>
        <v>0</v>
      </c>
      <c r="W107" s="7">
        <f t="shared" si="124"/>
        <v>0</v>
      </c>
      <c r="X107" s="7">
        <f t="shared" si="125"/>
        <v>1</v>
      </c>
      <c r="Y107" s="7">
        <f t="shared" si="126"/>
        <v>1</v>
      </c>
      <c r="Z107" s="7">
        <f t="shared" si="127"/>
        <v>3</v>
      </c>
      <c r="AA107" s="4"/>
      <c r="AB107" s="5" t="s">
        <v>403</v>
      </c>
    </row>
    <row r="108" spans="1:28" x14ac:dyDescent="0.25">
      <c r="A108" s="31" t="s">
        <v>405</v>
      </c>
      <c r="B108" s="6">
        <v>43039</v>
      </c>
      <c r="C108" s="4" t="s">
        <v>267</v>
      </c>
      <c r="D108" s="29">
        <v>2550</v>
      </c>
      <c r="E108" s="4">
        <v>1</v>
      </c>
      <c r="F108" s="7">
        <f t="shared" si="105"/>
        <v>2550</v>
      </c>
      <c r="G108" s="4"/>
      <c r="H108" s="4"/>
      <c r="I108" s="4"/>
      <c r="J108" s="4" t="s">
        <v>14</v>
      </c>
      <c r="K108" s="30" t="s">
        <v>300</v>
      </c>
      <c r="L108" s="7">
        <f t="shared" si="106"/>
        <v>0</v>
      </c>
      <c r="M108" s="7">
        <f t="shared" si="91"/>
        <v>1</v>
      </c>
      <c r="N108" s="7">
        <f t="shared" si="119"/>
        <v>0</v>
      </c>
      <c r="O108" s="7">
        <f t="shared" si="120"/>
        <v>0</v>
      </c>
      <c r="P108" s="7">
        <f t="shared" si="94"/>
        <v>0</v>
      </c>
      <c r="Q108" s="3">
        <f t="shared" si="95"/>
        <v>0</v>
      </c>
      <c r="R108" s="7">
        <f t="shared" si="96"/>
        <v>0</v>
      </c>
      <c r="S108" s="7">
        <f t="shared" si="121"/>
        <v>0</v>
      </c>
      <c r="T108" s="7">
        <f t="shared" si="122"/>
        <v>0</v>
      </c>
      <c r="U108" s="7">
        <f t="shared" si="118"/>
        <v>0</v>
      </c>
      <c r="V108" s="7">
        <f t="shared" si="123"/>
        <v>0</v>
      </c>
      <c r="W108" s="7">
        <f t="shared" si="124"/>
        <v>0</v>
      </c>
      <c r="X108" s="7">
        <f t="shared" si="125"/>
        <v>0</v>
      </c>
      <c r="Y108" s="7">
        <f t="shared" si="126"/>
        <v>0</v>
      </c>
      <c r="Z108" s="7">
        <f t="shared" si="127"/>
        <v>1</v>
      </c>
      <c r="AA108" s="4"/>
      <c r="AB108" s="5" t="s">
        <v>406</v>
      </c>
    </row>
    <row r="109" spans="1:28" x14ac:dyDescent="0.25">
      <c r="A109" s="31" t="s">
        <v>408</v>
      </c>
      <c r="B109" s="6">
        <v>43445</v>
      </c>
      <c r="C109" s="4" t="s">
        <v>267</v>
      </c>
      <c r="D109" s="3">
        <v>728.75</v>
      </c>
      <c r="E109" s="4">
        <v>1</v>
      </c>
      <c r="F109" s="7">
        <f t="shared" si="105"/>
        <v>728.75</v>
      </c>
      <c r="G109" s="4"/>
      <c r="H109" s="4"/>
      <c r="I109" s="4"/>
      <c r="J109" s="4" t="s">
        <v>14</v>
      </c>
      <c r="K109" s="7" t="s">
        <v>557</v>
      </c>
      <c r="L109" s="7">
        <f t="shared" si="106"/>
        <v>0</v>
      </c>
      <c r="M109" s="7">
        <f t="shared" si="91"/>
        <v>1</v>
      </c>
      <c r="N109" s="7">
        <f t="shared" si="119"/>
        <v>0</v>
      </c>
      <c r="O109" s="7">
        <f t="shared" si="120"/>
        <v>0</v>
      </c>
      <c r="P109" s="7">
        <f t="shared" si="94"/>
        <v>0</v>
      </c>
      <c r="Q109" s="3">
        <f t="shared" si="95"/>
        <v>1</v>
      </c>
      <c r="R109" s="7">
        <f t="shared" si="96"/>
        <v>1</v>
      </c>
      <c r="S109" s="7">
        <f t="shared" si="121"/>
        <v>0</v>
      </c>
      <c r="T109" s="7">
        <f t="shared" si="122"/>
        <v>0</v>
      </c>
      <c r="U109" s="7">
        <f t="shared" si="118"/>
        <v>0</v>
      </c>
      <c r="V109" s="7">
        <f t="shared" si="123"/>
        <v>0</v>
      </c>
      <c r="W109" s="7">
        <f t="shared" si="124"/>
        <v>0</v>
      </c>
      <c r="X109" s="7">
        <f t="shared" si="125"/>
        <v>1</v>
      </c>
      <c r="Y109" s="7">
        <f t="shared" si="126"/>
        <v>1</v>
      </c>
      <c r="Z109" s="7">
        <f t="shared" si="127"/>
        <v>3</v>
      </c>
      <c r="AA109" s="33" t="s">
        <v>593</v>
      </c>
      <c r="AB109" s="5" t="s">
        <v>407</v>
      </c>
    </row>
    <row r="110" spans="1:28" x14ac:dyDescent="0.25">
      <c r="A110" s="31" t="s">
        <v>411</v>
      </c>
      <c r="B110" s="6">
        <v>43144</v>
      </c>
      <c r="C110" s="4" t="s">
        <v>267</v>
      </c>
      <c r="D110" s="3">
        <v>252</v>
      </c>
      <c r="E110" s="4">
        <v>1</v>
      </c>
      <c r="F110" s="7">
        <f t="shared" si="105"/>
        <v>252</v>
      </c>
      <c r="G110" s="4"/>
      <c r="H110" s="4"/>
      <c r="I110" s="4"/>
      <c r="J110" s="4" t="s">
        <v>14</v>
      </c>
      <c r="K110" s="7" t="s">
        <v>569</v>
      </c>
      <c r="L110" s="7">
        <f t="shared" si="106"/>
        <v>0</v>
      </c>
      <c r="M110" s="7">
        <f t="shared" si="91"/>
        <v>1</v>
      </c>
      <c r="N110" s="7">
        <f t="shared" si="119"/>
        <v>0</v>
      </c>
      <c r="O110" s="7">
        <f t="shared" si="120"/>
        <v>0</v>
      </c>
      <c r="P110" s="7">
        <f t="shared" si="94"/>
        <v>1</v>
      </c>
      <c r="Q110" s="3">
        <f t="shared" si="95"/>
        <v>0</v>
      </c>
      <c r="R110" s="7">
        <f t="shared" si="96"/>
        <v>0</v>
      </c>
      <c r="S110" s="7">
        <f t="shared" si="121"/>
        <v>0</v>
      </c>
      <c r="T110" s="7">
        <f t="shared" si="122"/>
        <v>0</v>
      </c>
      <c r="U110" s="7">
        <f t="shared" si="118"/>
        <v>0</v>
      </c>
      <c r="V110" s="7">
        <f t="shared" si="123"/>
        <v>0</v>
      </c>
      <c r="W110" s="7">
        <f t="shared" si="124"/>
        <v>0</v>
      </c>
      <c r="X110" s="7">
        <f t="shared" si="125"/>
        <v>1</v>
      </c>
      <c r="Y110" s="7">
        <f t="shared" si="126"/>
        <v>1</v>
      </c>
      <c r="Z110" s="7">
        <f t="shared" si="127"/>
        <v>2</v>
      </c>
      <c r="AA110" s="4" t="s">
        <v>409</v>
      </c>
      <c r="AB110" s="5" t="s">
        <v>410</v>
      </c>
    </row>
    <row r="111" spans="1:28" x14ac:dyDescent="0.25">
      <c r="A111" s="31" t="s">
        <v>413</v>
      </c>
      <c r="B111" s="6">
        <v>43531</v>
      </c>
      <c r="C111" s="4" t="s">
        <v>267</v>
      </c>
      <c r="D111" s="3">
        <v>296.89999999999998</v>
      </c>
      <c r="E111" s="4">
        <v>1</v>
      </c>
      <c r="F111" s="7">
        <f t="shared" si="105"/>
        <v>296.89999999999998</v>
      </c>
      <c r="G111" s="4"/>
      <c r="H111" s="4"/>
      <c r="I111" s="4"/>
      <c r="J111" s="4" t="s">
        <v>14</v>
      </c>
      <c r="K111" s="30" t="s">
        <v>300</v>
      </c>
      <c r="L111" s="7">
        <f t="shared" si="106"/>
        <v>0</v>
      </c>
      <c r="M111" s="7">
        <f t="shared" si="91"/>
        <v>1</v>
      </c>
      <c r="N111" s="7">
        <f t="shared" si="119"/>
        <v>0</v>
      </c>
      <c r="O111" s="7">
        <f t="shared" si="120"/>
        <v>0</v>
      </c>
      <c r="P111" s="7">
        <f t="shared" si="94"/>
        <v>0</v>
      </c>
      <c r="Q111" s="3">
        <f t="shared" si="95"/>
        <v>0</v>
      </c>
      <c r="R111" s="7">
        <f t="shared" si="96"/>
        <v>0</v>
      </c>
      <c r="S111" s="7">
        <f t="shared" si="121"/>
        <v>0</v>
      </c>
      <c r="T111" s="7">
        <f t="shared" si="122"/>
        <v>0</v>
      </c>
      <c r="U111" s="7">
        <f t="shared" si="118"/>
        <v>0</v>
      </c>
      <c r="V111" s="7">
        <f t="shared" si="123"/>
        <v>0</v>
      </c>
      <c r="W111" s="7">
        <f t="shared" si="124"/>
        <v>0</v>
      </c>
      <c r="X111" s="7">
        <f t="shared" si="125"/>
        <v>0</v>
      </c>
      <c r="Y111" s="7">
        <f t="shared" si="126"/>
        <v>0</v>
      </c>
      <c r="Z111" s="7">
        <f t="shared" si="127"/>
        <v>1</v>
      </c>
      <c r="AA111" s="4" t="s">
        <v>412</v>
      </c>
      <c r="AB111" s="5" t="s">
        <v>414</v>
      </c>
    </row>
    <row r="112" spans="1:28" x14ac:dyDescent="0.25">
      <c r="A112" s="31" t="s">
        <v>416</v>
      </c>
      <c r="B112" s="6">
        <v>43669</v>
      </c>
      <c r="C112" s="4" t="s">
        <v>267</v>
      </c>
      <c r="D112" s="28">
        <v>3566.79</v>
      </c>
      <c r="E112" s="4">
        <v>1</v>
      </c>
      <c r="F112" s="7">
        <f t="shared" si="105"/>
        <v>3566.79</v>
      </c>
      <c r="G112" s="4"/>
      <c r="H112" s="4"/>
      <c r="I112" s="4"/>
      <c r="J112" s="4" t="s">
        <v>14</v>
      </c>
      <c r="K112" s="7" t="s">
        <v>570</v>
      </c>
      <c r="L112" s="7">
        <f t="shared" si="106"/>
        <v>0</v>
      </c>
      <c r="M112" s="7">
        <f t="shared" si="91"/>
        <v>1</v>
      </c>
      <c r="N112" s="7">
        <f t="shared" si="119"/>
        <v>1</v>
      </c>
      <c r="O112" s="7">
        <f t="shared" si="120"/>
        <v>0</v>
      </c>
      <c r="P112" s="7">
        <f t="shared" si="94"/>
        <v>1</v>
      </c>
      <c r="Q112" s="3">
        <f t="shared" si="95"/>
        <v>0</v>
      </c>
      <c r="R112" s="7">
        <f t="shared" si="96"/>
        <v>0</v>
      </c>
      <c r="S112" s="7">
        <f t="shared" si="121"/>
        <v>0</v>
      </c>
      <c r="T112" s="7">
        <f t="shared" si="122"/>
        <v>0</v>
      </c>
      <c r="U112" s="7">
        <f t="shared" si="118"/>
        <v>0</v>
      </c>
      <c r="V112" s="7">
        <f t="shared" si="123"/>
        <v>0</v>
      </c>
      <c r="W112" s="7">
        <f t="shared" si="124"/>
        <v>0</v>
      </c>
      <c r="X112" s="7">
        <f t="shared" si="125"/>
        <v>1</v>
      </c>
      <c r="Y112" s="7">
        <f t="shared" si="126"/>
        <v>1</v>
      </c>
      <c r="Z112" s="7">
        <f t="shared" si="127"/>
        <v>3</v>
      </c>
      <c r="AA112" s="4"/>
      <c r="AB112" s="5" t="s">
        <v>415</v>
      </c>
    </row>
    <row r="113" spans="1:28" x14ac:dyDescent="0.25">
      <c r="A113" s="31" t="s">
        <v>418</v>
      </c>
      <c r="B113" s="6">
        <v>43154</v>
      </c>
      <c r="C113" s="4" t="s">
        <v>267</v>
      </c>
      <c r="D113" s="28">
        <v>2074.5</v>
      </c>
      <c r="E113" s="4">
        <v>1</v>
      </c>
      <c r="F113" s="7">
        <f t="shared" si="105"/>
        <v>2074.5</v>
      </c>
      <c r="G113" s="4"/>
      <c r="H113" s="4"/>
      <c r="I113" s="4"/>
      <c r="J113" s="4" t="s">
        <v>14</v>
      </c>
      <c r="K113" s="30" t="s">
        <v>300</v>
      </c>
      <c r="L113" s="7">
        <f t="shared" si="106"/>
        <v>0</v>
      </c>
      <c r="M113" s="7">
        <f t="shared" si="91"/>
        <v>1</v>
      </c>
      <c r="N113" s="7">
        <f t="shared" si="119"/>
        <v>0</v>
      </c>
      <c r="O113" s="7">
        <f t="shared" si="120"/>
        <v>0</v>
      </c>
      <c r="P113" s="7">
        <f t="shared" si="94"/>
        <v>0</v>
      </c>
      <c r="Q113" s="3">
        <f t="shared" si="95"/>
        <v>0</v>
      </c>
      <c r="R113" s="7">
        <f t="shared" si="96"/>
        <v>0</v>
      </c>
      <c r="S113" s="7">
        <f t="shared" si="121"/>
        <v>0</v>
      </c>
      <c r="T113" s="7">
        <f t="shared" si="122"/>
        <v>0</v>
      </c>
      <c r="U113" s="7">
        <f t="shared" si="118"/>
        <v>0</v>
      </c>
      <c r="V113" s="7">
        <f t="shared" si="123"/>
        <v>0</v>
      </c>
      <c r="W113" s="7">
        <f t="shared" si="124"/>
        <v>0</v>
      </c>
      <c r="X113" s="7">
        <f t="shared" si="125"/>
        <v>0</v>
      </c>
      <c r="Y113" s="7">
        <f t="shared" si="126"/>
        <v>0</v>
      </c>
      <c r="Z113" s="7">
        <f t="shared" si="127"/>
        <v>1</v>
      </c>
      <c r="AA113" s="4"/>
      <c r="AB113" s="5" t="s">
        <v>417</v>
      </c>
    </row>
    <row r="114" spans="1:28" x14ac:dyDescent="0.25">
      <c r="A114" s="31" t="s">
        <v>420</v>
      </c>
      <c r="B114" s="6">
        <v>43447</v>
      </c>
      <c r="C114" s="4" t="s">
        <v>267</v>
      </c>
      <c r="D114" s="28">
        <v>6749.14</v>
      </c>
      <c r="E114" s="4">
        <v>1</v>
      </c>
      <c r="F114" s="7">
        <f t="shared" si="105"/>
        <v>6749.14</v>
      </c>
      <c r="G114" s="4"/>
      <c r="H114" s="4"/>
      <c r="I114" s="4"/>
      <c r="J114" s="4" t="s">
        <v>14</v>
      </c>
      <c r="K114" s="7" t="s">
        <v>550</v>
      </c>
      <c r="L114" s="7">
        <f t="shared" si="106"/>
        <v>0</v>
      </c>
      <c r="M114" s="7">
        <f t="shared" si="91"/>
        <v>1</v>
      </c>
      <c r="N114" s="7">
        <f t="shared" si="119"/>
        <v>0</v>
      </c>
      <c r="O114" s="7">
        <f t="shared" si="120"/>
        <v>0</v>
      </c>
      <c r="P114" s="7">
        <f t="shared" si="94"/>
        <v>0</v>
      </c>
      <c r="Q114" s="3">
        <f t="shared" si="95"/>
        <v>0</v>
      </c>
      <c r="R114" s="7">
        <f t="shared" si="96"/>
        <v>1</v>
      </c>
      <c r="S114" s="7">
        <f t="shared" si="121"/>
        <v>0</v>
      </c>
      <c r="T114" s="7">
        <f t="shared" si="122"/>
        <v>0</v>
      </c>
      <c r="U114" s="7">
        <f t="shared" si="118"/>
        <v>0</v>
      </c>
      <c r="V114" s="7">
        <f t="shared" si="123"/>
        <v>0</v>
      </c>
      <c r="W114" s="7">
        <f t="shared" si="124"/>
        <v>0</v>
      </c>
      <c r="X114" s="7">
        <f t="shared" si="125"/>
        <v>1</v>
      </c>
      <c r="Y114" s="7">
        <f t="shared" si="126"/>
        <v>1</v>
      </c>
      <c r="Z114" s="7">
        <f t="shared" si="127"/>
        <v>2</v>
      </c>
      <c r="AA114" s="4"/>
      <c r="AB114" s="5" t="s">
        <v>419</v>
      </c>
    </row>
    <row r="115" spans="1:28" x14ac:dyDescent="0.25">
      <c r="A115" s="31" t="s">
        <v>423</v>
      </c>
      <c r="B115" s="6">
        <v>42829</v>
      </c>
      <c r="C115" s="4" t="s">
        <v>267</v>
      </c>
      <c r="D115" s="4" t="s">
        <v>118</v>
      </c>
      <c r="E115" s="4">
        <v>1</v>
      </c>
      <c r="F115" s="7"/>
      <c r="G115" s="4"/>
      <c r="H115" s="4"/>
      <c r="I115" s="4"/>
      <c r="J115" s="4" t="s">
        <v>14</v>
      </c>
      <c r="K115" s="7" t="s">
        <v>571</v>
      </c>
      <c r="L115" s="7">
        <f t="shared" si="106"/>
        <v>0</v>
      </c>
      <c r="M115" s="7">
        <f t="shared" si="91"/>
        <v>1</v>
      </c>
      <c r="N115" s="7">
        <f t="shared" si="119"/>
        <v>1</v>
      </c>
      <c r="O115" s="7">
        <f t="shared" si="120"/>
        <v>0</v>
      </c>
      <c r="P115" s="7">
        <f t="shared" si="94"/>
        <v>1</v>
      </c>
      <c r="Q115" s="3">
        <f t="shared" si="95"/>
        <v>1</v>
      </c>
      <c r="R115" s="7">
        <f t="shared" si="96"/>
        <v>1</v>
      </c>
      <c r="S115" s="7">
        <f t="shared" si="121"/>
        <v>1</v>
      </c>
      <c r="T115" s="7">
        <f t="shared" si="122"/>
        <v>0</v>
      </c>
      <c r="U115" s="7">
        <f t="shared" si="118"/>
        <v>0</v>
      </c>
      <c r="V115" s="7">
        <f t="shared" si="123"/>
        <v>1</v>
      </c>
      <c r="W115" s="7">
        <f t="shared" si="124"/>
        <v>0</v>
      </c>
      <c r="X115" s="7">
        <f t="shared" si="125"/>
        <v>1</v>
      </c>
      <c r="Y115" s="7">
        <f t="shared" si="126"/>
        <v>1</v>
      </c>
      <c r="Z115" s="7">
        <f t="shared" si="127"/>
        <v>7</v>
      </c>
      <c r="AA115" s="4" t="s">
        <v>421</v>
      </c>
      <c r="AB115" s="5" t="s">
        <v>422</v>
      </c>
    </row>
    <row r="116" spans="1:28" x14ac:dyDescent="0.25">
      <c r="A116" s="31" t="s">
        <v>426</v>
      </c>
      <c r="B116" s="6">
        <v>42845</v>
      </c>
      <c r="C116" s="4" t="s">
        <v>267</v>
      </c>
      <c r="D116" s="28">
        <v>1852.78</v>
      </c>
      <c r="E116" s="4">
        <v>1</v>
      </c>
      <c r="F116" s="7">
        <f t="shared" si="105"/>
        <v>1852.78</v>
      </c>
      <c r="G116" s="4"/>
      <c r="H116" s="4"/>
      <c r="I116" s="4"/>
      <c r="J116" s="4" t="s">
        <v>14</v>
      </c>
      <c r="K116" s="7" t="s">
        <v>572</v>
      </c>
      <c r="L116" s="7">
        <f t="shared" si="106"/>
        <v>0</v>
      </c>
      <c r="M116" s="7">
        <f t="shared" si="91"/>
        <v>1</v>
      </c>
      <c r="N116" s="7">
        <f t="shared" si="119"/>
        <v>0</v>
      </c>
      <c r="O116" s="7">
        <f t="shared" si="120"/>
        <v>0</v>
      </c>
      <c r="P116" s="7">
        <f t="shared" si="94"/>
        <v>0</v>
      </c>
      <c r="Q116" s="3">
        <f t="shared" si="95"/>
        <v>0</v>
      </c>
      <c r="R116" s="7">
        <f t="shared" si="96"/>
        <v>0</v>
      </c>
      <c r="S116" s="7">
        <f t="shared" si="121"/>
        <v>0</v>
      </c>
      <c r="T116" s="7">
        <f t="shared" si="122"/>
        <v>0</v>
      </c>
      <c r="U116" s="7">
        <f t="shared" si="118"/>
        <v>0</v>
      </c>
      <c r="V116" s="7">
        <f t="shared" si="123"/>
        <v>0</v>
      </c>
      <c r="W116" s="7">
        <f t="shared" si="124"/>
        <v>0</v>
      </c>
      <c r="X116" s="7">
        <f t="shared" si="125"/>
        <v>0</v>
      </c>
      <c r="Y116" s="7">
        <f t="shared" si="126"/>
        <v>0</v>
      </c>
      <c r="Z116" s="7">
        <f t="shared" si="127"/>
        <v>1</v>
      </c>
      <c r="AA116" s="4" t="s">
        <v>425</v>
      </c>
      <c r="AB116" s="5" t="s">
        <v>424</v>
      </c>
    </row>
    <row r="117" spans="1:28" x14ac:dyDescent="0.25">
      <c r="A117" s="31" t="s">
        <v>429</v>
      </c>
      <c r="B117" s="6">
        <v>43619</v>
      </c>
      <c r="C117" s="4" t="s">
        <v>267</v>
      </c>
      <c r="D117" s="28">
        <v>6575.66</v>
      </c>
      <c r="E117" s="4">
        <v>1</v>
      </c>
      <c r="F117" s="7">
        <f t="shared" si="105"/>
        <v>6575.66</v>
      </c>
      <c r="G117" s="4"/>
      <c r="H117" s="4"/>
      <c r="I117" s="4"/>
      <c r="J117" s="4" t="s">
        <v>14</v>
      </c>
      <c r="K117" s="7" t="s">
        <v>573</v>
      </c>
      <c r="L117" s="7">
        <f t="shared" si="106"/>
        <v>0</v>
      </c>
      <c r="M117" s="7">
        <f t="shared" si="91"/>
        <v>1</v>
      </c>
      <c r="N117" s="7">
        <f t="shared" si="119"/>
        <v>0</v>
      </c>
      <c r="O117" s="7">
        <f t="shared" si="120"/>
        <v>1</v>
      </c>
      <c r="P117" s="7">
        <f t="shared" si="94"/>
        <v>0</v>
      </c>
      <c r="Q117" s="3">
        <f t="shared" si="95"/>
        <v>1</v>
      </c>
      <c r="R117" s="7">
        <f t="shared" si="96"/>
        <v>1</v>
      </c>
      <c r="S117" s="7">
        <f t="shared" si="121"/>
        <v>0</v>
      </c>
      <c r="T117" s="7">
        <f t="shared" si="122"/>
        <v>0</v>
      </c>
      <c r="U117" s="7">
        <f t="shared" si="118"/>
        <v>0</v>
      </c>
      <c r="V117" s="7">
        <f t="shared" si="123"/>
        <v>0</v>
      </c>
      <c r="W117" s="7">
        <f t="shared" si="124"/>
        <v>0</v>
      </c>
      <c r="X117" s="7">
        <f t="shared" si="125"/>
        <v>1</v>
      </c>
      <c r="Y117" s="7">
        <f t="shared" si="126"/>
        <v>1</v>
      </c>
      <c r="Z117" s="7">
        <f t="shared" si="127"/>
        <v>4</v>
      </c>
      <c r="AA117" s="4" t="s">
        <v>427</v>
      </c>
      <c r="AB117" s="5" t="s">
        <v>428</v>
      </c>
    </row>
    <row r="118" spans="1:28" x14ac:dyDescent="0.25">
      <c r="A118" s="31" t="s">
        <v>432</v>
      </c>
      <c r="B118" s="6">
        <v>43474</v>
      </c>
      <c r="C118" s="4" t="s">
        <v>267</v>
      </c>
      <c r="D118" s="3">
        <v>1023.98</v>
      </c>
      <c r="E118" s="4">
        <v>1</v>
      </c>
      <c r="F118" s="7">
        <f t="shared" si="105"/>
        <v>1023.98</v>
      </c>
      <c r="G118" s="4"/>
      <c r="H118" s="4">
        <v>15.15</v>
      </c>
      <c r="I118" s="4"/>
      <c r="J118" s="4" t="s">
        <v>14</v>
      </c>
      <c r="K118" s="7" t="s">
        <v>559</v>
      </c>
      <c r="L118" s="7">
        <f t="shared" si="106"/>
        <v>0</v>
      </c>
      <c r="M118" s="7">
        <f t="shared" si="91"/>
        <v>1</v>
      </c>
      <c r="N118" s="7">
        <f t="shared" si="119"/>
        <v>0</v>
      </c>
      <c r="O118" s="7">
        <f t="shared" si="120"/>
        <v>0</v>
      </c>
      <c r="P118" s="7">
        <f t="shared" si="94"/>
        <v>0</v>
      </c>
      <c r="Q118" s="3">
        <f t="shared" si="95"/>
        <v>1</v>
      </c>
      <c r="R118" s="7">
        <f t="shared" si="96"/>
        <v>0</v>
      </c>
      <c r="S118" s="7">
        <f t="shared" si="121"/>
        <v>0</v>
      </c>
      <c r="T118" s="7">
        <f t="shared" si="122"/>
        <v>0</v>
      </c>
      <c r="U118" s="7">
        <f t="shared" si="118"/>
        <v>0</v>
      </c>
      <c r="V118" s="7">
        <f t="shared" si="123"/>
        <v>0</v>
      </c>
      <c r="W118" s="7">
        <f t="shared" si="124"/>
        <v>0</v>
      </c>
      <c r="X118" s="7">
        <f t="shared" si="125"/>
        <v>1</v>
      </c>
      <c r="Y118" s="7">
        <f t="shared" si="126"/>
        <v>0</v>
      </c>
      <c r="Z118" s="7">
        <f t="shared" si="127"/>
        <v>2</v>
      </c>
      <c r="AA118" s="4" t="s">
        <v>430</v>
      </c>
      <c r="AB118" s="5" t="s">
        <v>431</v>
      </c>
    </row>
    <row r="119" spans="1:28" x14ac:dyDescent="0.25">
      <c r="A119" s="31" t="s">
        <v>434</v>
      </c>
      <c r="B119" s="6">
        <v>43488</v>
      </c>
      <c r="C119" s="4" t="s">
        <v>267</v>
      </c>
      <c r="D119" s="3">
        <v>105.7</v>
      </c>
      <c r="E119" s="4">
        <v>1</v>
      </c>
      <c r="F119" s="7">
        <f t="shared" si="105"/>
        <v>105.7</v>
      </c>
      <c r="G119" s="4"/>
      <c r="H119" s="4"/>
      <c r="I119" s="4"/>
      <c r="J119" s="4" t="s">
        <v>14</v>
      </c>
      <c r="K119" s="30" t="s">
        <v>300</v>
      </c>
      <c r="L119" s="7">
        <f t="shared" si="106"/>
        <v>0</v>
      </c>
      <c r="M119" s="7">
        <f t="shared" si="91"/>
        <v>1</v>
      </c>
      <c r="N119" s="7">
        <f t="shared" si="119"/>
        <v>0</v>
      </c>
      <c r="O119" s="7">
        <f t="shared" si="120"/>
        <v>0</v>
      </c>
      <c r="P119" s="7">
        <f t="shared" si="94"/>
        <v>0</v>
      </c>
      <c r="Q119" s="3">
        <f t="shared" si="95"/>
        <v>0</v>
      </c>
      <c r="R119" s="7">
        <f t="shared" si="96"/>
        <v>0</v>
      </c>
      <c r="S119" s="7">
        <f t="shared" si="121"/>
        <v>0</v>
      </c>
      <c r="T119" s="7">
        <f t="shared" si="122"/>
        <v>0</v>
      </c>
      <c r="U119" s="7">
        <f t="shared" si="118"/>
        <v>0</v>
      </c>
      <c r="V119" s="7">
        <f t="shared" si="123"/>
        <v>0</v>
      </c>
      <c r="W119" s="7">
        <f t="shared" si="124"/>
        <v>0</v>
      </c>
      <c r="X119" s="7">
        <f t="shared" si="125"/>
        <v>0</v>
      </c>
      <c r="Y119" s="7">
        <f t="shared" si="126"/>
        <v>0</v>
      </c>
      <c r="Z119" s="7">
        <f t="shared" si="127"/>
        <v>1</v>
      </c>
      <c r="AA119" s="4"/>
      <c r="AB119" s="5" t="s">
        <v>433</v>
      </c>
    </row>
    <row r="120" spans="1:28" x14ac:dyDescent="0.25">
      <c r="A120" s="31" t="s">
        <v>436</v>
      </c>
      <c r="B120" s="6">
        <v>42874</v>
      </c>
      <c r="C120" s="4" t="s">
        <v>267</v>
      </c>
      <c r="D120" s="3">
        <v>345.49</v>
      </c>
      <c r="E120" s="4">
        <v>1</v>
      </c>
      <c r="F120" s="7">
        <f t="shared" si="105"/>
        <v>345.49</v>
      </c>
      <c r="G120" s="4"/>
      <c r="H120" s="4"/>
      <c r="I120" s="4"/>
      <c r="J120" s="4" t="s">
        <v>14</v>
      </c>
      <c r="K120" s="7" t="s">
        <v>574</v>
      </c>
      <c r="L120" s="7">
        <f t="shared" si="106"/>
        <v>0</v>
      </c>
      <c r="M120" s="7">
        <f t="shared" si="91"/>
        <v>1</v>
      </c>
      <c r="N120" s="7">
        <f t="shared" si="119"/>
        <v>0</v>
      </c>
      <c r="O120" s="7">
        <f t="shared" si="120"/>
        <v>0</v>
      </c>
      <c r="P120" s="7">
        <f t="shared" si="94"/>
        <v>0</v>
      </c>
      <c r="Q120" s="3">
        <f t="shared" si="95"/>
        <v>0</v>
      </c>
      <c r="R120" s="7">
        <f t="shared" si="96"/>
        <v>0</v>
      </c>
      <c r="S120" s="7">
        <f t="shared" si="121"/>
        <v>1</v>
      </c>
      <c r="T120" s="7">
        <f t="shared" si="122"/>
        <v>0</v>
      </c>
      <c r="U120" s="7">
        <f t="shared" si="118"/>
        <v>0</v>
      </c>
      <c r="V120" s="7">
        <f t="shared" si="123"/>
        <v>0</v>
      </c>
      <c r="W120" s="7">
        <f t="shared" si="124"/>
        <v>0</v>
      </c>
      <c r="X120" s="7">
        <f t="shared" si="125"/>
        <v>1</v>
      </c>
      <c r="Y120" s="7">
        <f t="shared" si="126"/>
        <v>1</v>
      </c>
      <c r="Z120" s="7">
        <f t="shared" si="127"/>
        <v>2</v>
      </c>
      <c r="AA120" s="4"/>
      <c r="AB120" s="5" t="s">
        <v>435</v>
      </c>
    </row>
    <row r="121" spans="1:28" x14ac:dyDescent="0.25">
      <c r="A121" s="31" t="s">
        <v>439</v>
      </c>
      <c r="B121" s="6">
        <v>43479</v>
      </c>
      <c r="C121" s="4" t="s">
        <v>267</v>
      </c>
      <c r="D121" s="28">
        <v>1283.3399999999999</v>
      </c>
      <c r="E121" s="4">
        <v>1</v>
      </c>
      <c r="F121" s="7">
        <f t="shared" si="105"/>
        <v>1283.3399999999999</v>
      </c>
      <c r="G121" s="4"/>
      <c r="H121" s="3">
        <v>25.66</v>
      </c>
      <c r="I121" s="4"/>
      <c r="J121" s="4" t="s">
        <v>14</v>
      </c>
      <c r="K121" s="7" t="s">
        <v>561</v>
      </c>
      <c r="L121" s="7">
        <f t="shared" si="106"/>
        <v>0</v>
      </c>
      <c r="M121" s="7">
        <f t="shared" si="91"/>
        <v>1</v>
      </c>
      <c r="N121" s="7">
        <f t="shared" si="119"/>
        <v>1</v>
      </c>
      <c r="O121" s="7">
        <f t="shared" si="120"/>
        <v>0</v>
      </c>
      <c r="P121" s="7">
        <f t="shared" si="94"/>
        <v>0</v>
      </c>
      <c r="Q121" s="3">
        <f t="shared" si="95"/>
        <v>1</v>
      </c>
      <c r="R121" s="7">
        <f t="shared" si="96"/>
        <v>0</v>
      </c>
      <c r="S121" s="7">
        <f t="shared" si="121"/>
        <v>0</v>
      </c>
      <c r="T121" s="7">
        <f t="shared" si="122"/>
        <v>0</v>
      </c>
      <c r="U121" s="7">
        <f t="shared" si="118"/>
        <v>0</v>
      </c>
      <c r="V121" s="7">
        <f t="shared" si="123"/>
        <v>0</v>
      </c>
      <c r="W121" s="7">
        <f t="shared" si="124"/>
        <v>0</v>
      </c>
      <c r="X121" s="7">
        <f t="shared" si="125"/>
        <v>1</v>
      </c>
      <c r="Y121" s="7">
        <f t="shared" si="126"/>
        <v>1</v>
      </c>
      <c r="Z121" s="7">
        <f t="shared" si="127"/>
        <v>3</v>
      </c>
      <c r="AA121" s="4" t="s">
        <v>437</v>
      </c>
      <c r="AB121" s="5" t="s">
        <v>438</v>
      </c>
    </row>
    <row r="122" spans="1:28" x14ac:dyDescent="0.25">
      <c r="A122" s="31" t="s">
        <v>443</v>
      </c>
      <c r="B122" s="6">
        <v>43132</v>
      </c>
      <c r="C122" s="4" t="s">
        <v>267</v>
      </c>
      <c r="D122" s="28">
        <v>66420</v>
      </c>
      <c r="E122" s="4">
        <v>1</v>
      </c>
      <c r="F122" s="7">
        <f t="shared" si="105"/>
        <v>66420</v>
      </c>
      <c r="G122" s="4"/>
      <c r="H122" s="4" t="s">
        <v>440</v>
      </c>
      <c r="I122" s="4"/>
      <c r="J122" s="4" t="s">
        <v>14</v>
      </c>
      <c r="K122" s="7" t="s">
        <v>575</v>
      </c>
      <c r="L122" s="7">
        <f t="shared" si="106"/>
        <v>0</v>
      </c>
      <c r="M122" s="7">
        <f t="shared" si="91"/>
        <v>1</v>
      </c>
      <c r="N122" s="7">
        <f t="shared" si="119"/>
        <v>1</v>
      </c>
      <c r="O122" s="7">
        <f t="shared" si="120"/>
        <v>0</v>
      </c>
      <c r="P122" s="7">
        <f t="shared" si="94"/>
        <v>1</v>
      </c>
      <c r="Q122" s="3">
        <f t="shared" si="95"/>
        <v>0</v>
      </c>
      <c r="R122" s="7">
        <f t="shared" si="96"/>
        <v>1</v>
      </c>
      <c r="S122" s="7">
        <f t="shared" si="121"/>
        <v>0</v>
      </c>
      <c r="T122" s="7">
        <f t="shared" si="122"/>
        <v>1</v>
      </c>
      <c r="U122" s="7">
        <f t="shared" si="118"/>
        <v>0</v>
      </c>
      <c r="V122" s="7">
        <f t="shared" si="123"/>
        <v>0</v>
      </c>
      <c r="W122" s="7">
        <f t="shared" si="124"/>
        <v>0</v>
      </c>
      <c r="X122" s="7">
        <f t="shared" si="125"/>
        <v>1</v>
      </c>
      <c r="Y122" s="7">
        <f t="shared" si="126"/>
        <v>1</v>
      </c>
      <c r="Z122" s="7">
        <f t="shared" si="127"/>
        <v>5</v>
      </c>
      <c r="AA122" s="4" t="s">
        <v>441</v>
      </c>
      <c r="AB122" s="5" t="s">
        <v>442</v>
      </c>
    </row>
    <row r="123" spans="1:28" x14ac:dyDescent="0.25">
      <c r="A123" s="31" t="s">
        <v>446</v>
      </c>
      <c r="B123" s="6">
        <v>43668</v>
      </c>
      <c r="C123" s="4" t="s">
        <v>267</v>
      </c>
      <c r="D123" s="3">
        <v>425.53</v>
      </c>
      <c r="E123" s="4">
        <v>1</v>
      </c>
      <c r="F123" s="7">
        <f t="shared" si="105"/>
        <v>425.53</v>
      </c>
      <c r="G123" s="4"/>
      <c r="H123" s="4"/>
      <c r="I123" s="4"/>
      <c r="J123" s="4" t="s">
        <v>14</v>
      </c>
      <c r="K123" s="7" t="s">
        <v>576</v>
      </c>
      <c r="L123" s="7">
        <f t="shared" si="106"/>
        <v>0</v>
      </c>
      <c r="M123" s="7">
        <f t="shared" si="91"/>
        <v>1</v>
      </c>
      <c r="N123" s="7">
        <f t="shared" si="119"/>
        <v>1</v>
      </c>
      <c r="O123" s="7">
        <f t="shared" si="120"/>
        <v>1</v>
      </c>
      <c r="P123" s="7">
        <f t="shared" si="94"/>
        <v>1</v>
      </c>
      <c r="Q123" s="3">
        <f t="shared" si="95"/>
        <v>1</v>
      </c>
      <c r="R123" s="7">
        <f t="shared" si="96"/>
        <v>1</v>
      </c>
      <c r="S123" s="7">
        <f t="shared" si="121"/>
        <v>0</v>
      </c>
      <c r="T123" s="7">
        <f t="shared" si="122"/>
        <v>0</v>
      </c>
      <c r="U123" s="7">
        <f t="shared" si="118"/>
        <v>0</v>
      </c>
      <c r="V123" s="7">
        <f t="shared" si="123"/>
        <v>0</v>
      </c>
      <c r="W123" s="7">
        <f t="shared" si="124"/>
        <v>1</v>
      </c>
      <c r="X123" s="7">
        <f t="shared" si="125"/>
        <v>1</v>
      </c>
      <c r="Y123" s="7">
        <f t="shared" si="126"/>
        <v>1</v>
      </c>
      <c r="Z123" s="7">
        <f t="shared" si="127"/>
        <v>7</v>
      </c>
      <c r="AA123" s="4" t="s">
        <v>444</v>
      </c>
      <c r="AB123" s="5" t="s">
        <v>445</v>
      </c>
    </row>
    <row r="124" spans="1:28" x14ac:dyDescent="0.25">
      <c r="A124" s="31" t="s">
        <v>448</v>
      </c>
      <c r="B124" s="6">
        <v>43294</v>
      </c>
      <c r="C124" s="4" t="s">
        <v>267</v>
      </c>
      <c r="D124" s="28">
        <v>3117.29</v>
      </c>
      <c r="E124" s="4">
        <v>1</v>
      </c>
      <c r="F124" s="7">
        <f t="shared" si="105"/>
        <v>3117.29</v>
      </c>
      <c r="G124" s="4"/>
      <c r="H124" s="4"/>
      <c r="I124" s="4"/>
      <c r="J124" s="4" t="s">
        <v>14</v>
      </c>
      <c r="K124" s="7" t="s">
        <v>577</v>
      </c>
      <c r="L124" s="7">
        <f t="shared" si="106"/>
        <v>0</v>
      </c>
      <c r="M124" s="7">
        <f t="shared" si="91"/>
        <v>0</v>
      </c>
      <c r="N124" s="7">
        <f t="shared" si="119"/>
        <v>1</v>
      </c>
      <c r="O124" s="7">
        <f t="shared" si="120"/>
        <v>0</v>
      </c>
      <c r="P124" s="7">
        <f t="shared" si="94"/>
        <v>0</v>
      </c>
      <c r="Q124" s="3">
        <f t="shared" si="95"/>
        <v>1</v>
      </c>
      <c r="R124" s="7">
        <f t="shared" si="96"/>
        <v>1</v>
      </c>
      <c r="S124" s="7">
        <f t="shared" si="121"/>
        <v>0</v>
      </c>
      <c r="T124" s="7">
        <f t="shared" si="122"/>
        <v>0</v>
      </c>
      <c r="U124" s="7">
        <f t="shared" si="118"/>
        <v>0</v>
      </c>
      <c r="V124" s="7">
        <f t="shared" si="123"/>
        <v>0</v>
      </c>
      <c r="W124" s="7">
        <f t="shared" si="124"/>
        <v>0</v>
      </c>
      <c r="X124" s="7">
        <f t="shared" si="125"/>
        <v>1</v>
      </c>
      <c r="Y124" s="7">
        <f t="shared" si="126"/>
        <v>1</v>
      </c>
      <c r="Z124" s="7">
        <f t="shared" si="127"/>
        <v>3</v>
      </c>
      <c r="AA124" s="4"/>
      <c r="AB124" s="5" t="s">
        <v>447</v>
      </c>
    </row>
    <row r="125" spans="1:28" x14ac:dyDescent="0.25">
      <c r="A125" s="31" t="s">
        <v>450</v>
      </c>
      <c r="B125" s="6">
        <v>43340</v>
      </c>
      <c r="C125" s="4" t="s">
        <v>267</v>
      </c>
      <c r="D125" s="3">
        <v>549.29999999999995</v>
      </c>
      <c r="E125" s="4">
        <v>1</v>
      </c>
      <c r="F125" s="7">
        <f t="shared" si="105"/>
        <v>549.29999999999995</v>
      </c>
      <c r="G125" s="4"/>
      <c r="H125" s="4"/>
      <c r="I125" s="4"/>
      <c r="J125" s="4" t="s">
        <v>14</v>
      </c>
      <c r="K125" s="7" t="s">
        <v>578</v>
      </c>
      <c r="L125" s="7">
        <f t="shared" si="106"/>
        <v>0</v>
      </c>
      <c r="M125" s="7">
        <f t="shared" si="91"/>
        <v>1</v>
      </c>
      <c r="N125" s="7">
        <f t="shared" si="119"/>
        <v>0</v>
      </c>
      <c r="O125" s="7">
        <f t="shared" si="120"/>
        <v>1</v>
      </c>
      <c r="P125" s="7">
        <f t="shared" si="94"/>
        <v>0</v>
      </c>
      <c r="Q125" s="3">
        <f t="shared" si="95"/>
        <v>0</v>
      </c>
      <c r="R125" s="7">
        <f t="shared" si="96"/>
        <v>1</v>
      </c>
      <c r="S125" s="7">
        <f t="shared" si="121"/>
        <v>1</v>
      </c>
      <c r="T125" s="7">
        <f t="shared" si="122"/>
        <v>0</v>
      </c>
      <c r="U125" s="7">
        <f t="shared" si="118"/>
        <v>0</v>
      </c>
      <c r="V125" s="7">
        <f t="shared" si="123"/>
        <v>0</v>
      </c>
      <c r="W125" s="7">
        <f t="shared" si="124"/>
        <v>0</v>
      </c>
      <c r="X125" s="7">
        <f t="shared" si="125"/>
        <v>1</v>
      </c>
      <c r="Y125" s="7">
        <f t="shared" si="126"/>
        <v>1</v>
      </c>
      <c r="Z125" s="7">
        <f t="shared" si="127"/>
        <v>4</v>
      </c>
      <c r="AA125" s="4"/>
      <c r="AB125" s="5" t="s">
        <v>449</v>
      </c>
    </row>
    <row r="126" spans="1:28" x14ac:dyDescent="0.25">
      <c r="A126" s="31" t="s">
        <v>452</v>
      </c>
      <c r="B126" s="6">
        <v>43521</v>
      </c>
      <c r="C126" s="4" t="s">
        <v>267</v>
      </c>
      <c r="D126" s="3">
        <v>117.45</v>
      </c>
      <c r="E126" s="4">
        <v>1</v>
      </c>
      <c r="F126" s="7">
        <f t="shared" si="105"/>
        <v>117.45</v>
      </c>
      <c r="G126" s="4"/>
      <c r="H126" s="4"/>
      <c r="I126" s="4"/>
      <c r="J126" s="4" t="s">
        <v>14</v>
      </c>
      <c r="K126" s="7" t="s">
        <v>551</v>
      </c>
      <c r="L126" s="7">
        <f t="shared" si="106"/>
        <v>0</v>
      </c>
      <c r="M126" s="7">
        <f t="shared" si="91"/>
        <v>1</v>
      </c>
      <c r="N126" s="7">
        <f t="shared" si="119"/>
        <v>1</v>
      </c>
      <c r="O126" s="7">
        <f t="shared" si="120"/>
        <v>0</v>
      </c>
      <c r="P126" s="7">
        <f t="shared" si="94"/>
        <v>0</v>
      </c>
      <c r="Q126" s="3">
        <f t="shared" si="95"/>
        <v>1</v>
      </c>
      <c r="R126" s="7">
        <f t="shared" si="96"/>
        <v>1</v>
      </c>
      <c r="S126" s="7">
        <f t="shared" si="121"/>
        <v>0</v>
      </c>
      <c r="T126" s="7">
        <f t="shared" si="122"/>
        <v>0</v>
      </c>
      <c r="U126" s="7">
        <f t="shared" si="118"/>
        <v>0</v>
      </c>
      <c r="V126" s="7">
        <f t="shared" si="123"/>
        <v>0</v>
      </c>
      <c r="W126" s="7">
        <f t="shared" si="124"/>
        <v>0</v>
      </c>
      <c r="X126" s="7">
        <f t="shared" si="125"/>
        <v>1</v>
      </c>
      <c r="Y126" s="7">
        <f t="shared" si="126"/>
        <v>1</v>
      </c>
      <c r="Z126" s="7">
        <f t="shared" si="127"/>
        <v>4</v>
      </c>
      <c r="AA126" s="4"/>
      <c r="AB126" s="5" t="s">
        <v>451</v>
      </c>
    </row>
    <row r="127" spans="1:28" x14ac:dyDescent="0.25">
      <c r="A127" s="31" t="s">
        <v>454</v>
      </c>
      <c r="B127" s="6">
        <v>43595</v>
      </c>
      <c r="C127" s="4" t="s">
        <v>267</v>
      </c>
      <c r="D127" s="3">
        <v>931.25</v>
      </c>
      <c r="E127" s="4">
        <v>1</v>
      </c>
      <c r="F127" s="7">
        <f t="shared" si="105"/>
        <v>931.25</v>
      </c>
      <c r="G127" s="4"/>
      <c r="H127" s="4"/>
      <c r="I127" s="4"/>
      <c r="J127" s="4" t="s">
        <v>14</v>
      </c>
      <c r="K127" s="7" t="s">
        <v>557</v>
      </c>
      <c r="L127" s="7">
        <f t="shared" si="106"/>
        <v>0</v>
      </c>
      <c r="M127" s="7">
        <f t="shared" si="91"/>
        <v>1</v>
      </c>
      <c r="N127" s="7">
        <f t="shared" si="119"/>
        <v>0</v>
      </c>
      <c r="O127" s="7">
        <f t="shared" si="120"/>
        <v>0</v>
      </c>
      <c r="P127" s="7">
        <f t="shared" si="94"/>
        <v>0</v>
      </c>
      <c r="Q127" s="3">
        <f t="shared" si="95"/>
        <v>1</v>
      </c>
      <c r="R127" s="7">
        <f t="shared" si="96"/>
        <v>1</v>
      </c>
      <c r="S127" s="7">
        <f t="shared" si="121"/>
        <v>0</v>
      </c>
      <c r="T127" s="7">
        <f t="shared" si="122"/>
        <v>0</v>
      </c>
      <c r="U127" s="7">
        <f t="shared" si="118"/>
        <v>0</v>
      </c>
      <c r="V127" s="7">
        <f t="shared" si="123"/>
        <v>0</v>
      </c>
      <c r="W127" s="7">
        <f t="shared" si="124"/>
        <v>0</v>
      </c>
      <c r="X127" s="7">
        <f t="shared" si="125"/>
        <v>1</v>
      </c>
      <c r="Y127" s="7">
        <f t="shared" si="126"/>
        <v>1</v>
      </c>
      <c r="Z127" s="7">
        <f t="shared" si="127"/>
        <v>3</v>
      </c>
      <c r="AA127" s="4"/>
      <c r="AB127" s="5" t="s">
        <v>453</v>
      </c>
    </row>
    <row r="128" spans="1:28" x14ac:dyDescent="0.25">
      <c r="A128" s="31" t="s">
        <v>456</v>
      </c>
      <c r="B128" s="6">
        <v>43656</v>
      </c>
      <c r="C128" s="4" t="s">
        <v>267</v>
      </c>
      <c r="D128" s="3">
        <v>206.64</v>
      </c>
      <c r="E128" s="4">
        <v>1</v>
      </c>
      <c r="F128" s="7">
        <f t="shared" si="105"/>
        <v>206.64</v>
      </c>
      <c r="G128" s="4"/>
      <c r="H128" s="4"/>
      <c r="I128" s="4"/>
      <c r="J128" s="4" t="s">
        <v>14</v>
      </c>
      <c r="K128" s="7" t="s">
        <v>579</v>
      </c>
      <c r="L128" s="7">
        <f t="shared" si="106"/>
        <v>0</v>
      </c>
      <c r="M128" s="7">
        <f t="shared" si="91"/>
        <v>1</v>
      </c>
      <c r="N128" s="7">
        <f t="shared" si="119"/>
        <v>0</v>
      </c>
      <c r="O128" s="7">
        <f t="shared" si="120"/>
        <v>0</v>
      </c>
      <c r="P128" s="7">
        <f t="shared" si="94"/>
        <v>1</v>
      </c>
      <c r="Q128" s="3">
        <f t="shared" si="95"/>
        <v>0</v>
      </c>
      <c r="R128" s="7">
        <f t="shared" si="96"/>
        <v>0</v>
      </c>
      <c r="S128" s="7">
        <f t="shared" si="121"/>
        <v>0</v>
      </c>
      <c r="T128" s="7">
        <f t="shared" si="122"/>
        <v>0</v>
      </c>
      <c r="U128" s="7">
        <f t="shared" si="118"/>
        <v>0</v>
      </c>
      <c r="V128" s="7">
        <f t="shared" si="123"/>
        <v>0</v>
      </c>
      <c r="W128" s="7">
        <f t="shared" si="124"/>
        <v>0</v>
      </c>
      <c r="X128" s="7">
        <f t="shared" si="125"/>
        <v>1</v>
      </c>
      <c r="Y128" s="7">
        <f t="shared" si="126"/>
        <v>1</v>
      </c>
      <c r="Z128" s="7">
        <f t="shared" si="127"/>
        <v>2</v>
      </c>
      <c r="AA128" s="4"/>
      <c r="AB128" s="5" t="s">
        <v>455</v>
      </c>
    </row>
    <row r="129" spans="1:28" x14ac:dyDescent="0.25">
      <c r="A129" s="31" t="s">
        <v>458</v>
      </c>
      <c r="B129" s="6">
        <v>43075</v>
      </c>
      <c r="C129" s="4" t="s">
        <v>267</v>
      </c>
      <c r="D129" s="3">
        <v>288</v>
      </c>
      <c r="E129" s="4">
        <v>1</v>
      </c>
      <c r="F129" s="7">
        <f t="shared" si="105"/>
        <v>288</v>
      </c>
      <c r="G129" s="4"/>
      <c r="H129" s="4"/>
      <c r="I129" s="4"/>
      <c r="J129" s="4" t="s">
        <v>14</v>
      </c>
      <c r="K129" s="7" t="s">
        <v>561</v>
      </c>
      <c r="L129" s="7">
        <f t="shared" si="106"/>
        <v>0</v>
      </c>
      <c r="M129" s="7">
        <f t="shared" si="91"/>
        <v>1</v>
      </c>
      <c r="N129" s="7">
        <f t="shared" si="119"/>
        <v>1</v>
      </c>
      <c r="O129" s="7">
        <f t="shared" si="120"/>
        <v>0</v>
      </c>
      <c r="P129" s="7">
        <f t="shared" si="94"/>
        <v>0</v>
      </c>
      <c r="Q129" s="3">
        <f t="shared" si="95"/>
        <v>1</v>
      </c>
      <c r="R129" s="7">
        <f t="shared" si="96"/>
        <v>0</v>
      </c>
      <c r="S129" s="7">
        <f t="shared" si="121"/>
        <v>0</v>
      </c>
      <c r="T129" s="7">
        <f t="shared" si="122"/>
        <v>0</v>
      </c>
      <c r="U129" s="7">
        <f t="shared" si="118"/>
        <v>0</v>
      </c>
      <c r="V129" s="7">
        <f t="shared" si="123"/>
        <v>0</v>
      </c>
      <c r="W129" s="7">
        <f t="shared" si="124"/>
        <v>0</v>
      </c>
      <c r="X129" s="7">
        <f t="shared" si="125"/>
        <v>1</v>
      </c>
      <c r="Y129" s="7">
        <f t="shared" si="126"/>
        <v>1</v>
      </c>
      <c r="Z129" s="7">
        <f t="shared" si="127"/>
        <v>3</v>
      </c>
      <c r="AA129" s="4"/>
      <c r="AB129" s="5" t="s">
        <v>457</v>
      </c>
    </row>
    <row r="130" spans="1:28" x14ac:dyDescent="0.25">
      <c r="A130" s="31" t="s">
        <v>460</v>
      </c>
      <c r="B130" s="6">
        <v>43152</v>
      </c>
      <c r="C130" s="4" t="s">
        <v>267</v>
      </c>
      <c r="D130" s="28">
        <v>1320</v>
      </c>
      <c r="E130" s="4">
        <v>1</v>
      </c>
      <c r="F130" s="7">
        <f t="shared" si="105"/>
        <v>1320</v>
      </c>
      <c r="G130" s="4"/>
      <c r="H130" s="4"/>
      <c r="I130" s="4"/>
      <c r="J130" s="4" t="s">
        <v>14</v>
      </c>
      <c r="K130" s="7" t="s">
        <v>551</v>
      </c>
      <c r="L130" s="7">
        <f t="shared" si="106"/>
        <v>0</v>
      </c>
      <c r="M130" s="7">
        <f t="shared" si="91"/>
        <v>1</v>
      </c>
      <c r="N130" s="7">
        <f t="shared" si="119"/>
        <v>1</v>
      </c>
      <c r="O130" s="7">
        <f t="shared" si="120"/>
        <v>0</v>
      </c>
      <c r="P130" s="7">
        <f t="shared" si="94"/>
        <v>0</v>
      </c>
      <c r="Q130" s="3">
        <f t="shared" si="95"/>
        <v>1</v>
      </c>
      <c r="R130" s="7">
        <f t="shared" si="96"/>
        <v>1</v>
      </c>
      <c r="S130" s="7">
        <f t="shared" si="121"/>
        <v>0</v>
      </c>
      <c r="T130" s="7">
        <f t="shared" si="122"/>
        <v>0</v>
      </c>
      <c r="U130" s="7">
        <f t="shared" si="118"/>
        <v>0</v>
      </c>
      <c r="V130" s="7">
        <f t="shared" si="123"/>
        <v>0</v>
      </c>
      <c r="W130" s="7">
        <f t="shared" si="124"/>
        <v>0</v>
      </c>
      <c r="X130" s="7">
        <f t="shared" si="125"/>
        <v>1</v>
      </c>
      <c r="Y130" s="7">
        <f t="shared" si="126"/>
        <v>1</v>
      </c>
      <c r="Z130" s="7">
        <f t="shared" si="127"/>
        <v>4</v>
      </c>
      <c r="AA130" s="4"/>
      <c r="AB130" s="5" t="s">
        <v>459</v>
      </c>
    </row>
    <row r="131" spans="1:28" x14ac:dyDescent="0.25">
      <c r="A131" s="31" t="s">
        <v>461</v>
      </c>
      <c r="B131" s="6">
        <v>43118</v>
      </c>
      <c r="C131" s="4" t="s">
        <v>267</v>
      </c>
      <c r="D131" s="3">
        <f>1195+4003.35</f>
        <v>5198.3500000000004</v>
      </c>
      <c r="E131" s="4">
        <v>2</v>
      </c>
      <c r="F131" s="7">
        <f t="shared" si="105"/>
        <v>2599.1750000000002</v>
      </c>
      <c r="G131" s="4"/>
      <c r="H131" s="4"/>
      <c r="I131" s="4"/>
      <c r="J131" s="4" t="s">
        <v>14</v>
      </c>
      <c r="K131" s="7" t="s">
        <v>580</v>
      </c>
      <c r="L131" s="7">
        <f t="shared" si="106"/>
        <v>0</v>
      </c>
      <c r="M131" s="7">
        <f t="shared" ref="M131:M168" si="128">IF(ISNUMBER(SEARCH("Unlawful deduction",K131)),1,0)</f>
        <v>1</v>
      </c>
      <c r="N131" s="7">
        <f t="shared" si="119"/>
        <v>1</v>
      </c>
      <c r="O131" s="7">
        <f t="shared" si="120"/>
        <v>0</v>
      </c>
      <c r="P131" s="7">
        <f t="shared" ref="P131:P168" si="129">IF(ISNUMBER(SEARCH("discrimination",K131)),1,0)</f>
        <v>1</v>
      </c>
      <c r="Q131" s="3">
        <f t="shared" ref="Q131:Q168" si="130">IF(ISNUMBER(SEARCH("Breach",K131)),1,0)</f>
        <v>1</v>
      </c>
      <c r="R131" s="7">
        <f t="shared" ref="R131:R168" si="131">IF(ISNUMBER(SEARCH("Working time",K131)),1,0)</f>
        <v>1</v>
      </c>
      <c r="S131" s="7">
        <f t="shared" si="121"/>
        <v>0</v>
      </c>
      <c r="T131" s="7">
        <f t="shared" si="122"/>
        <v>1</v>
      </c>
      <c r="U131" s="7">
        <f t="shared" si="118"/>
        <v>1</v>
      </c>
      <c r="V131" s="7">
        <f t="shared" si="123"/>
        <v>0</v>
      </c>
      <c r="W131" s="7">
        <f t="shared" si="124"/>
        <v>0</v>
      </c>
      <c r="X131" s="7">
        <f t="shared" si="125"/>
        <v>1</v>
      </c>
      <c r="Y131" s="7">
        <f t="shared" si="126"/>
        <v>1</v>
      </c>
      <c r="Z131" s="7">
        <f t="shared" si="127"/>
        <v>7</v>
      </c>
      <c r="AA131" s="4"/>
      <c r="AB131" s="5" t="s">
        <v>462</v>
      </c>
    </row>
    <row r="132" spans="1:28" x14ac:dyDescent="0.25">
      <c r="A132" s="31" t="s">
        <v>465</v>
      </c>
      <c r="B132" s="6">
        <v>43165</v>
      </c>
      <c r="C132" s="4" t="s">
        <v>267</v>
      </c>
      <c r="D132" s="3">
        <v>855</v>
      </c>
      <c r="E132" s="4">
        <v>1</v>
      </c>
      <c r="F132" s="7">
        <f t="shared" si="105"/>
        <v>855</v>
      </c>
      <c r="G132" s="4"/>
      <c r="H132" s="4"/>
      <c r="I132" s="4"/>
      <c r="J132" s="4" t="s">
        <v>14</v>
      </c>
      <c r="K132" s="30" t="s">
        <v>300</v>
      </c>
      <c r="L132" s="7">
        <f t="shared" ref="L132:L168" si="132">IF(ISNUMBER(SEARCH("National Minimum Wage",K132)),1,0)</f>
        <v>0</v>
      </c>
      <c r="M132" s="7">
        <f t="shared" si="128"/>
        <v>1</v>
      </c>
      <c r="N132" s="7">
        <f t="shared" si="119"/>
        <v>0</v>
      </c>
      <c r="O132" s="7">
        <f t="shared" si="120"/>
        <v>0</v>
      </c>
      <c r="P132" s="7">
        <f t="shared" si="129"/>
        <v>0</v>
      </c>
      <c r="Q132" s="3">
        <f t="shared" si="130"/>
        <v>0</v>
      </c>
      <c r="R132" s="7">
        <f t="shared" si="131"/>
        <v>0</v>
      </c>
      <c r="S132" s="7">
        <f t="shared" si="121"/>
        <v>0</v>
      </c>
      <c r="T132" s="7">
        <f t="shared" si="122"/>
        <v>0</v>
      </c>
      <c r="U132" s="7">
        <f t="shared" ref="U132:U168" si="133">IF(ISNUMBER(SEARCH("Maternity",K132)),1,0)</f>
        <v>0</v>
      </c>
      <c r="V132" s="7">
        <f t="shared" si="123"/>
        <v>0</v>
      </c>
      <c r="W132" s="7">
        <f t="shared" si="124"/>
        <v>0</v>
      </c>
      <c r="X132" s="7">
        <f t="shared" si="125"/>
        <v>0</v>
      </c>
      <c r="Y132" s="7">
        <f t="shared" si="126"/>
        <v>0</v>
      </c>
      <c r="Z132" s="7">
        <f t="shared" si="127"/>
        <v>1</v>
      </c>
      <c r="AA132" s="4" t="s">
        <v>464</v>
      </c>
      <c r="AB132" s="5" t="s">
        <v>463</v>
      </c>
    </row>
    <row r="133" spans="1:28" x14ac:dyDescent="0.25">
      <c r="A133" s="31" t="s">
        <v>467</v>
      </c>
      <c r="B133" s="6">
        <v>43377</v>
      </c>
      <c r="C133" s="4" t="s">
        <v>267</v>
      </c>
      <c r="D133" s="4" t="s">
        <v>21</v>
      </c>
      <c r="E133" s="4">
        <v>1</v>
      </c>
      <c r="F133" s="7"/>
      <c r="G133" s="4"/>
      <c r="H133" s="4"/>
      <c r="I133" s="4"/>
      <c r="J133" s="4" t="s">
        <v>14</v>
      </c>
      <c r="K133" s="7" t="s">
        <v>577</v>
      </c>
      <c r="L133" s="7">
        <f t="shared" si="132"/>
        <v>0</v>
      </c>
      <c r="M133" s="7">
        <f t="shared" si="128"/>
        <v>0</v>
      </c>
      <c r="N133" s="7">
        <f t="shared" si="119"/>
        <v>1</v>
      </c>
      <c r="O133" s="7">
        <f t="shared" si="120"/>
        <v>0</v>
      </c>
      <c r="P133" s="7">
        <f t="shared" si="129"/>
        <v>0</v>
      </c>
      <c r="Q133" s="3">
        <f t="shared" si="130"/>
        <v>1</v>
      </c>
      <c r="R133" s="7">
        <f t="shared" si="131"/>
        <v>1</v>
      </c>
      <c r="S133" s="7">
        <f t="shared" si="121"/>
        <v>0</v>
      </c>
      <c r="T133" s="7">
        <f t="shared" si="122"/>
        <v>0</v>
      </c>
      <c r="U133" s="7">
        <f t="shared" si="133"/>
        <v>0</v>
      </c>
      <c r="V133" s="7">
        <f t="shared" si="123"/>
        <v>0</v>
      </c>
      <c r="W133" s="7">
        <f t="shared" si="124"/>
        <v>0</v>
      </c>
      <c r="X133" s="7">
        <f t="shared" si="125"/>
        <v>1</v>
      </c>
      <c r="Y133" s="7">
        <f t="shared" si="126"/>
        <v>1</v>
      </c>
      <c r="Z133" s="7">
        <f t="shared" si="127"/>
        <v>3</v>
      </c>
      <c r="AA133" s="4" t="s">
        <v>21</v>
      </c>
      <c r="AB133" s="5" t="s">
        <v>466</v>
      </c>
    </row>
    <row r="134" spans="1:28" x14ac:dyDescent="0.25">
      <c r="A134" s="31" t="s">
        <v>469</v>
      </c>
      <c r="B134" s="6">
        <v>43525</v>
      </c>
      <c r="C134" s="4" t="s">
        <v>267</v>
      </c>
      <c r="D134" s="3">
        <v>312</v>
      </c>
      <c r="E134" s="4">
        <v>1</v>
      </c>
      <c r="F134" s="7">
        <f t="shared" ref="F134:F168" si="134">IF(D134/E134&gt;0,D134/E134,"")</f>
        <v>312</v>
      </c>
      <c r="G134" s="4"/>
      <c r="H134" s="4"/>
      <c r="I134" s="4"/>
      <c r="J134" s="4" t="s">
        <v>14</v>
      </c>
      <c r="K134" s="30" t="s">
        <v>300</v>
      </c>
      <c r="L134" s="7">
        <f t="shared" si="132"/>
        <v>0</v>
      </c>
      <c r="M134" s="7">
        <f t="shared" si="128"/>
        <v>1</v>
      </c>
      <c r="N134" s="7">
        <f t="shared" si="119"/>
        <v>0</v>
      </c>
      <c r="O134" s="7">
        <f t="shared" si="120"/>
        <v>0</v>
      </c>
      <c r="P134" s="7">
        <f t="shared" si="129"/>
        <v>0</v>
      </c>
      <c r="Q134" s="3">
        <f t="shared" si="130"/>
        <v>0</v>
      </c>
      <c r="R134" s="7">
        <f t="shared" si="131"/>
        <v>0</v>
      </c>
      <c r="S134" s="7">
        <f t="shared" si="121"/>
        <v>0</v>
      </c>
      <c r="T134" s="7">
        <f t="shared" si="122"/>
        <v>0</v>
      </c>
      <c r="U134" s="7">
        <f t="shared" si="133"/>
        <v>0</v>
      </c>
      <c r="V134" s="7">
        <f t="shared" si="123"/>
        <v>0</v>
      </c>
      <c r="W134" s="7">
        <f t="shared" si="124"/>
        <v>0</v>
      </c>
      <c r="X134" s="7">
        <f t="shared" si="125"/>
        <v>0</v>
      </c>
      <c r="Y134" s="7">
        <f t="shared" si="126"/>
        <v>0</v>
      </c>
      <c r="Z134" s="7">
        <f t="shared" si="127"/>
        <v>1</v>
      </c>
      <c r="AA134" s="4"/>
      <c r="AB134" s="5" t="s">
        <v>468</v>
      </c>
    </row>
    <row r="135" spans="1:28" x14ac:dyDescent="0.25">
      <c r="A135" s="31" t="s">
        <v>471</v>
      </c>
      <c r="B135" s="6">
        <v>43343</v>
      </c>
      <c r="C135" s="4" t="s">
        <v>267</v>
      </c>
      <c r="D135" s="29">
        <v>2625</v>
      </c>
      <c r="E135" s="4">
        <v>1</v>
      </c>
      <c r="F135" s="7">
        <f t="shared" si="134"/>
        <v>2625</v>
      </c>
      <c r="G135" s="4"/>
      <c r="H135" s="4"/>
      <c r="I135" s="4"/>
      <c r="J135" s="4" t="s">
        <v>14</v>
      </c>
      <c r="K135" s="7" t="s">
        <v>581</v>
      </c>
      <c r="L135" s="7">
        <f t="shared" si="132"/>
        <v>0</v>
      </c>
      <c r="M135" s="7">
        <f t="shared" si="128"/>
        <v>1</v>
      </c>
      <c r="N135" s="7">
        <f t="shared" si="119"/>
        <v>1</v>
      </c>
      <c r="O135" s="7">
        <f t="shared" si="120"/>
        <v>0</v>
      </c>
      <c r="P135" s="7">
        <f t="shared" si="129"/>
        <v>1</v>
      </c>
      <c r="Q135" s="3">
        <f t="shared" si="130"/>
        <v>0</v>
      </c>
      <c r="R135" s="7">
        <f t="shared" si="131"/>
        <v>0</v>
      </c>
      <c r="S135" s="7">
        <f t="shared" si="121"/>
        <v>0</v>
      </c>
      <c r="T135" s="7">
        <f t="shared" si="122"/>
        <v>1</v>
      </c>
      <c r="U135" s="7">
        <f t="shared" si="133"/>
        <v>0</v>
      </c>
      <c r="V135" s="7">
        <f t="shared" si="123"/>
        <v>0</v>
      </c>
      <c r="W135" s="7">
        <f t="shared" si="124"/>
        <v>0</v>
      </c>
      <c r="X135" s="7">
        <f t="shared" si="125"/>
        <v>1</v>
      </c>
      <c r="Y135" s="7">
        <f t="shared" si="126"/>
        <v>1</v>
      </c>
      <c r="Z135" s="7">
        <f t="shared" si="127"/>
        <v>4</v>
      </c>
      <c r="AA135" s="4"/>
      <c r="AB135" s="5" t="s">
        <v>470</v>
      </c>
    </row>
    <row r="136" spans="1:28" x14ac:dyDescent="0.25">
      <c r="A136" s="31" t="s">
        <v>473</v>
      </c>
      <c r="B136" s="6">
        <v>43504</v>
      </c>
      <c r="C136" s="4" t="s">
        <v>267</v>
      </c>
      <c r="D136" s="3">
        <v>98.84</v>
      </c>
      <c r="E136" s="4">
        <v>1</v>
      </c>
      <c r="F136" s="7">
        <f t="shared" si="134"/>
        <v>98.84</v>
      </c>
      <c r="G136" s="4"/>
      <c r="H136" s="4"/>
      <c r="I136" s="4"/>
      <c r="J136" s="4" t="s">
        <v>14</v>
      </c>
      <c r="K136" s="7" t="s">
        <v>559</v>
      </c>
      <c r="L136" s="7">
        <f t="shared" si="132"/>
        <v>0</v>
      </c>
      <c r="M136" s="7">
        <f t="shared" si="128"/>
        <v>1</v>
      </c>
      <c r="N136" s="7">
        <f t="shared" si="119"/>
        <v>0</v>
      </c>
      <c r="O136" s="7">
        <f t="shared" si="120"/>
        <v>0</v>
      </c>
      <c r="P136" s="7">
        <f t="shared" si="129"/>
        <v>0</v>
      </c>
      <c r="Q136" s="3">
        <f t="shared" si="130"/>
        <v>1</v>
      </c>
      <c r="R136" s="7">
        <f t="shared" si="131"/>
        <v>0</v>
      </c>
      <c r="S136" s="7">
        <f t="shared" si="121"/>
        <v>0</v>
      </c>
      <c r="T136" s="7">
        <f t="shared" si="122"/>
        <v>0</v>
      </c>
      <c r="U136" s="7">
        <f t="shared" si="133"/>
        <v>0</v>
      </c>
      <c r="V136" s="7">
        <f t="shared" si="123"/>
        <v>0</v>
      </c>
      <c r="W136" s="7">
        <f t="shared" si="124"/>
        <v>0</v>
      </c>
      <c r="X136" s="7">
        <f t="shared" si="125"/>
        <v>1</v>
      </c>
      <c r="Y136" s="7">
        <f t="shared" si="126"/>
        <v>0</v>
      </c>
      <c r="Z136" s="7">
        <f t="shared" si="127"/>
        <v>2</v>
      </c>
      <c r="AA136" s="4"/>
      <c r="AB136" s="5" t="s">
        <v>472</v>
      </c>
    </row>
    <row r="137" spans="1:28" x14ac:dyDescent="0.25">
      <c r="A137" s="31" t="s">
        <v>475</v>
      </c>
      <c r="B137" s="6">
        <v>42811</v>
      </c>
      <c r="C137" s="4" t="s">
        <v>267</v>
      </c>
      <c r="D137" s="28">
        <v>7355.18</v>
      </c>
      <c r="E137" s="4">
        <v>1</v>
      </c>
      <c r="F137" s="7">
        <f t="shared" si="134"/>
        <v>7355.18</v>
      </c>
      <c r="G137" s="4"/>
      <c r="H137" s="4"/>
      <c r="I137" s="4"/>
      <c r="J137" s="4" t="s">
        <v>14</v>
      </c>
      <c r="K137" s="7" t="s">
        <v>582</v>
      </c>
      <c r="L137" s="7">
        <f t="shared" si="132"/>
        <v>0</v>
      </c>
      <c r="M137" s="7">
        <f t="shared" si="128"/>
        <v>1</v>
      </c>
      <c r="N137" s="7">
        <f t="shared" si="119"/>
        <v>0</v>
      </c>
      <c r="O137" s="7">
        <f t="shared" si="120"/>
        <v>0</v>
      </c>
      <c r="P137" s="7">
        <f t="shared" si="129"/>
        <v>0</v>
      </c>
      <c r="Q137" s="3">
        <f t="shared" si="130"/>
        <v>1</v>
      </c>
      <c r="R137" s="7">
        <f t="shared" si="131"/>
        <v>1</v>
      </c>
      <c r="S137" s="7">
        <f t="shared" si="121"/>
        <v>0</v>
      </c>
      <c r="T137" s="7">
        <f t="shared" si="122"/>
        <v>1</v>
      </c>
      <c r="U137" s="7">
        <f t="shared" si="133"/>
        <v>0</v>
      </c>
      <c r="V137" s="7">
        <f t="shared" si="123"/>
        <v>0</v>
      </c>
      <c r="W137" s="7">
        <f t="shared" si="124"/>
        <v>0</v>
      </c>
      <c r="X137" s="7">
        <f t="shared" si="125"/>
        <v>1</v>
      </c>
      <c r="Y137" s="7">
        <f t="shared" si="126"/>
        <v>1</v>
      </c>
      <c r="Z137" s="7">
        <f t="shared" si="127"/>
        <v>4</v>
      </c>
      <c r="AA137" s="4"/>
      <c r="AB137" s="5" t="s">
        <v>474</v>
      </c>
    </row>
    <row r="138" spans="1:28" x14ac:dyDescent="0.25">
      <c r="A138" s="31" t="s">
        <v>478</v>
      </c>
      <c r="B138" s="6">
        <v>43362</v>
      </c>
      <c r="C138" s="4" t="s">
        <v>267</v>
      </c>
      <c r="D138" s="28">
        <v>4327.8</v>
      </c>
      <c r="E138" s="4">
        <v>1</v>
      </c>
      <c r="F138" s="7">
        <f t="shared" si="134"/>
        <v>4327.8</v>
      </c>
      <c r="G138" s="4"/>
      <c r="H138" s="4">
        <f>0.25*D138</f>
        <v>1081.95</v>
      </c>
      <c r="I138" s="4"/>
      <c r="J138" s="4" t="s">
        <v>14</v>
      </c>
      <c r="K138" s="30" t="s">
        <v>300</v>
      </c>
      <c r="L138" s="7">
        <f t="shared" si="132"/>
        <v>0</v>
      </c>
      <c r="M138" s="7">
        <f t="shared" si="128"/>
        <v>1</v>
      </c>
      <c r="N138" s="7">
        <f t="shared" si="119"/>
        <v>0</v>
      </c>
      <c r="O138" s="7">
        <f t="shared" si="120"/>
        <v>0</v>
      </c>
      <c r="P138" s="7">
        <f t="shared" si="129"/>
        <v>0</v>
      </c>
      <c r="Q138" s="3">
        <f t="shared" si="130"/>
        <v>0</v>
      </c>
      <c r="R138" s="7">
        <f t="shared" si="131"/>
        <v>0</v>
      </c>
      <c r="S138" s="7">
        <f t="shared" si="121"/>
        <v>0</v>
      </c>
      <c r="T138" s="7">
        <f t="shared" si="122"/>
        <v>0</v>
      </c>
      <c r="U138" s="7">
        <f t="shared" si="133"/>
        <v>0</v>
      </c>
      <c r="V138" s="7">
        <f t="shared" si="123"/>
        <v>0</v>
      </c>
      <c r="W138" s="7">
        <f t="shared" si="124"/>
        <v>0</v>
      </c>
      <c r="X138" s="7">
        <f t="shared" si="125"/>
        <v>0</v>
      </c>
      <c r="Y138" s="7">
        <f t="shared" si="126"/>
        <v>0</v>
      </c>
      <c r="Z138" s="7">
        <f t="shared" si="127"/>
        <v>1</v>
      </c>
      <c r="AA138" s="4" t="s">
        <v>476</v>
      </c>
      <c r="AB138" s="5" t="s">
        <v>477</v>
      </c>
    </row>
    <row r="139" spans="1:28" x14ac:dyDescent="0.25">
      <c r="A139" s="31" t="s">
        <v>479</v>
      </c>
      <c r="B139" s="6">
        <v>43469</v>
      </c>
      <c r="C139" s="4" t="s">
        <v>267</v>
      </c>
      <c r="D139" s="3">
        <v>162.5</v>
      </c>
      <c r="E139" s="4">
        <v>1</v>
      </c>
      <c r="F139" s="7">
        <f t="shared" si="134"/>
        <v>162.5</v>
      </c>
      <c r="G139" s="4"/>
      <c r="H139" s="4"/>
      <c r="I139" s="4"/>
      <c r="J139" s="4" t="s">
        <v>14</v>
      </c>
      <c r="K139" s="7" t="s">
        <v>574</v>
      </c>
      <c r="L139" s="7">
        <f t="shared" si="132"/>
        <v>0</v>
      </c>
      <c r="M139" s="7">
        <f t="shared" si="128"/>
        <v>1</v>
      </c>
      <c r="N139" s="7">
        <f t="shared" si="119"/>
        <v>0</v>
      </c>
      <c r="O139" s="7">
        <f t="shared" si="120"/>
        <v>0</v>
      </c>
      <c r="P139" s="7">
        <f t="shared" si="129"/>
        <v>0</v>
      </c>
      <c r="Q139" s="3">
        <f t="shared" si="130"/>
        <v>0</v>
      </c>
      <c r="R139" s="7">
        <f t="shared" si="131"/>
        <v>0</v>
      </c>
      <c r="S139" s="7">
        <f t="shared" si="121"/>
        <v>1</v>
      </c>
      <c r="T139" s="7">
        <f t="shared" si="122"/>
        <v>0</v>
      </c>
      <c r="U139" s="7">
        <f t="shared" si="133"/>
        <v>0</v>
      </c>
      <c r="V139" s="7">
        <f t="shared" si="123"/>
        <v>0</v>
      </c>
      <c r="W139" s="7">
        <f t="shared" si="124"/>
        <v>0</v>
      </c>
      <c r="X139" s="7">
        <f t="shared" si="125"/>
        <v>1</v>
      </c>
      <c r="Y139" s="7">
        <f t="shared" si="126"/>
        <v>1</v>
      </c>
      <c r="Z139" s="7">
        <f t="shared" si="127"/>
        <v>2</v>
      </c>
      <c r="AA139" s="4"/>
      <c r="AB139" s="5" t="s">
        <v>480</v>
      </c>
    </row>
    <row r="140" spans="1:28" x14ac:dyDescent="0.25">
      <c r="A140" s="31" t="s">
        <v>482</v>
      </c>
      <c r="B140" s="6">
        <v>43385</v>
      </c>
      <c r="C140" s="4" t="s">
        <v>267</v>
      </c>
      <c r="D140" s="4">
        <f>288*2</f>
        <v>576</v>
      </c>
      <c r="E140" s="4">
        <v>2</v>
      </c>
      <c r="F140" s="7">
        <f t="shared" si="134"/>
        <v>288</v>
      </c>
      <c r="G140" s="4"/>
      <c r="H140" s="4"/>
      <c r="I140" s="4"/>
      <c r="J140" s="4" t="s">
        <v>14</v>
      </c>
      <c r="K140" s="7" t="s">
        <v>557</v>
      </c>
      <c r="L140" s="7">
        <f t="shared" si="132"/>
        <v>0</v>
      </c>
      <c r="M140" s="7">
        <f t="shared" si="128"/>
        <v>1</v>
      </c>
      <c r="N140" s="7">
        <f t="shared" si="119"/>
        <v>0</v>
      </c>
      <c r="O140" s="7">
        <f t="shared" si="120"/>
        <v>0</v>
      </c>
      <c r="P140" s="7">
        <f t="shared" si="129"/>
        <v>0</v>
      </c>
      <c r="Q140" s="3">
        <f t="shared" si="130"/>
        <v>1</v>
      </c>
      <c r="R140" s="7">
        <f t="shared" si="131"/>
        <v>1</v>
      </c>
      <c r="S140" s="7">
        <f t="shared" si="121"/>
        <v>0</v>
      </c>
      <c r="T140" s="7">
        <f t="shared" si="122"/>
        <v>0</v>
      </c>
      <c r="U140" s="7">
        <f t="shared" si="133"/>
        <v>0</v>
      </c>
      <c r="V140" s="7">
        <f t="shared" si="123"/>
        <v>0</v>
      </c>
      <c r="W140" s="7">
        <f t="shared" si="124"/>
        <v>0</v>
      </c>
      <c r="X140" s="7">
        <f t="shared" si="125"/>
        <v>1</v>
      </c>
      <c r="Y140" s="7">
        <f t="shared" si="126"/>
        <v>1</v>
      </c>
      <c r="Z140" s="7">
        <f t="shared" si="127"/>
        <v>3</v>
      </c>
      <c r="AA140" s="4"/>
      <c r="AB140" s="5" t="s">
        <v>481</v>
      </c>
    </row>
    <row r="141" spans="1:28" x14ac:dyDescent="0.25">
      <c r="A141" s="31" t="s">
        <v>484</v>
      </c>
      <c r="B141" s="6">
        <v>43525</v>
      </c>
      <c r="C141" s="4" t="s">
        <v>267</v>
      </c>
      <c r="D141" s="3">
        <v>344.52</v>
      </c>
      <c r="E141" s="4">
        <v>1</v>
      </c>
      <c r="F141" s="7">
        <f t="shared" si="134"/>
        <v>344.52</v>
      </c>
      <c r="G141" s="4"/>
      <c r="H141" s="4"/>
      <c r="I141" s="4"/>
      <c r="J141" s="4" t="s">
        <v>14</v>
      </c>
      <c r="K141" s="7" t="s">
        <v>583</v>
      </c>
      <c r="L141" s="7">
        <f t="shared" si="132"/>
        <v>0</v>
      </c>
      <c r="M141" s="7">
        <f t="shared" si="128"/>
        <v>1</v>
      </c>
      <c r="N141" s="7">
        <f t="shared" si="119"/>
        <v>0</v>
      </c>
      <c r="O141" s="7">
        <f t="shared" si="120"/>
        <v>0</v>
      </c>
      <c r="P141" s="7">
        <f t="shared" si="129"/>
        <v>0</v>
      </c>
      <c r="Q141" s="3">
        <f t="shared" si="130"/>
        <v>1</v>
      </c>
      <c r="R141" s="7">
        <f t="shared" si="131"/>
        <v>1</v>
      </c>
      <c r="S141" s="7">
        <f t="shared" si="121"/>
        <v>0</v>
      </c>
      <c r="T141" s="7">
        <f t="shared" si="122"/>
        <v>0</v>
      </c>
      <c r="U141" s="7">
        <f t="shared" si="133"/>
        <v>0</v>
      </c>
      <c r="V141" s="7">
        <f t="shared" si="123"/>
        <v>0</v>
      </c>
      <c r="W141" s="7">
        <f t="shared" si="124"/>
        <v>1</v>
      </c>
      <c r="X141" s="7">
        <f t="shared" si="125"/>
        <v>1</v>
      </c>
      <c r="Y141" s="7">
        <f t="shared" si="126"/>
        <v>1</v>
      </c>
      <c r="Z141" s="7">
        <f t="shared" si="127"/>
        <v>4</v>
      </c>
      <c r="AA141" s="4"/>
      <c r="AB141" s="5" t="s">
        <v>483</v>
      </c>
    </row>
    <row r="142" spans="1:28" x14ac:dyDescent="0.25">
      <c r="A142" s="31" t="s">
        <v>491</v>
      </c>
      <c r="B142" s="6">
        <v>43550</v>
      </c>
      <c r="C142" s="4" t="s">
        <v>267</v>
      </c>
      <c r="D142" s="3">
        <v>1565.6</v>
      </c>
      <c r="E142" s="4">
        <v>1</v>
      </c>
      <c r="F142" s="7">
        <f t="shared" si="134"/>
        <v>1565.6</v>
      </c>
      <c r="G142" s="4"/>
      <c r="H142" s="3">
        <v>350</v>
      </c>
      <c r="I142" s="4"/>
      <c r="J142" s="4" t="s">
        <v>14</v>
      </c>
      <c r="K142" s="9"/>
      <c r="L142" s="7">
        <f t="shared" si="132"/>
        <v>0</v>
      </c>
      <c r="M142" s="7">
        <f t="shared" si="128"/>
        <v>0</v>
      </c>
      <c r="N142" s="7">
        <f t="shared" si="119"/>
        <v>0</v>
      </c>
      <c r="O142" s="7">
        <f t="shared" si="120"/>
        <v>0</v>
      </c>
      <c r="P142" s="7">
        <f t="shared" si="129"/>
        <v>0</v>
      </c>
      <c r="Q142" s="3">
        <f t="shared" si="130"/>
        <v>0</v>
      </c>
      <c r="R142" s="7">
        <f t="shared" si="131"/>
        <v>0</v>
      </c>
      <c r="S142" s="7">
        <f t="shared" si="121"/>
        <v>0</v>
      </c>
      <c r="T142" s="7">
        <f t="shared" si="122"/>
        <v>0</v>
      </c>
      <c r="U142" s="7">
        <f t="shared" si="133"/>
        <v>0</v>
      </c>
      <c r="V142" s="7">
        <f t="shared" si="123"/>
        <v>0</v>
      </c>
      <c r="W142" s="7">
        <f t="shared" si="124"/>
        <v>0</v>
      </c>
      <c r="X142" s="7">
        <f t="shared" si="125"/>
        <v>0</v>
      </c>
      <c r="Y142" s="7">
        <f t="shared" si="126"/>
        <v>0</v>
      </c>
      <c r="Z142" s="7">
        <f t="shared" si="127"/>
        <v>0</v>
      </c>
      <c r="AA142" s="4" t="s">
        <v>485</v>
      </c>
      <c r="AB142" s="5" t="s">
        <v>490</v>
      </c>
    </row>
    <row r="143" spans="1:28" x14ac:dyDescent="0.25">
      <c r="A143" s="31" t="s">
        <v>489</v>
      </c>
      <c r="B143" s="6">
        <v>43140</v>
      </c>
      <c r="C143" s="4" t="s">
        <v>267</v>
      </c>
      <c r="D143" s="4" t="s">
        <v>488</v>
      </c>
      <c r="E143" s="4">
        <v>1</v>
      </c>
      <c r="F143" s="7"/>
      <c r="G143" s="4"/>
      <c r="H143" s="4"/>
      <c r="I143" s="4"/>
      <c r="J143" s="4" t="s">
        <v>14</v>
      </c>
      <c r="K143" s="7" t="s">
        <v>579</v>
      </c>
      <c r="L143" s="7">
        <f t="shared" si="132"/>
        <v>0</v>
      </c>
      <c r="M143" s="7">
        <f t="shared" si="128"/>
        <v>1</v>
      </c>
      <c r="N143" s="7">
        <f t="shared" si="119"/>
        <v>0</v>
      </c>
      <c r="O143" s="7">
        <f t="shared" si="120"/>
        <v>0</v>
      </c>
      <c r="P143" s="7">
        <f t="shared" si="129"/>
        <v>1</v>
      </c>
      <c r="Q143" s="3">
        <f t="shared" si="130"/>
        <v>0</v>
      </c>
      <c r="R143" s="7">
        <f t="shared" si="131"/>
        <v>0</v>
      </c>
      <c r="S143" s="7">
        <f t="shared" si="121"/>
        <v>0</v>
      </c>
      <c r="T143" s="7">
        <f t="shared" si="122"/>
        <v>0</v>
      </c>
      <c r="U143" s="7">
        <f t="shared" si="133"/>
        <v>0</v>
      </c>
      <c r="V143" s="7">
        <f t="shared" si="123"/>
        <v>0</v>
      </c>
      <c r="W143" s="7">
        <f t="shared" si="124"/>
        <v>0</v>
      </c>
      <c r="X143" s="7">
        <f t="shared" si="125"/>
        <v>1</v>
      </c>
      <c r="Y143" s="7">
        <f t="shared" si="126"/>
        <v>1</v>
      </c>
      <c r="Z143" s="7">
        <f t="shared" si="127"/>
        <v>2</v>
      </c>
      <c r="AA143" s="4" t="s">
        <v>487</v>
      </c>
      <c r="AB143" s="5" t="s">
        <v>486</v>
      </c>
    </row>
    <row r="144" spans="1:28" x14ac:dyDescent="0.25">
      <c r="A144" s="31" t="s">
        <v>494</v>
      </c>
      <c r="B144" s="6">
        <v>42923</v>
      </c>
      <c r="C144" s="4" t="s">
        <v>267</v>
      </c>
      <c r="D144" s="28">
        <v>11327.11</v>
      </c>
      <c r="E144" s="4">
        <v>1</v>
      </c>
      <c r="F144" s="7">
        <f t="shared" si="134"/>
        <v>11327.11</v>
      </c>
      <c r="G144" s="4"/>
      <c r="H144" s="4"/>
      <c r="I144" s="4"/>
      <c r="J144" s="4" t="s">
        <v>14</v>
      </c>
      <c r="K144" s="7" t="s">
        <v>584</v>
      </c>
      <c r="L144" s="7">
        <f t="shared" si="132"/>
        <v>0</v>
      </c>
      <c r="M144" s="7">
        <f t="shared" si="128"/>
        <v>1</v>
      </c>
      <c r="N144" s="7">
        <f t="shared" si="119"/>
        <v>1</v>
      </c>
      <c r="O144" s="7">
        <f t="shared" si="120"/>
        <v>0</v>
      </c>
      <c r="P144" s="7">
        <f t="shared" si="129"/>
        <v>1</v>
      </c>
      <c r="Q144" s="3">
        <f t="shared" si="130"/>
        <v>1</v>
      </c>
      <c r="R144" s="7">
        <f t="shared" si="131"/>
        <v>0</v>
      </c>
      <c r="S144" s="7">
        <f t="shared" si="121"/>
        <v>1</v>
      </c>
      <c r="T144" s="7">
        <f t="shared" si="122"/>
        <v>1</v>
      </c>
      <c r="U144" s="7">
        <f t="shared" si="133"/>
        <v>1</v>
      </c>
      <c r="V144" s="7">
        <f t="shared" si="123"/>
        <v>0</v>
      </c>
      <c r="W144" s="7">
        <f t="shared" si="124"/>
        <v>0</v>
      </c>
      <c r="X144" s="7">
        <f t="shared" si="125"/>
        <v>1</v>
      </c>
      <c r="Y144" s="7">
        <f t="shared" si="126"/>
        <v>1</v>
      </c>
      <c r="Z144" s="7">
        <f t="shared" si="127"/>
        <v>7</v>
      </c>
      <c r="AA144" s="4" t="s">
        <v>492</v>
      </c>
      <c r="AB144" s="5" t="s">
        <v>493</v>
      </c>
    </row>
    <row r="145" spans="1:28" x14ac:dyDescent="0.25">
      <c r="A145" s="31" t="s">
        <v>496</v>
      </c>
      <c r="B145" s="6">
        <v>43490</v>
      </c>
      <c r="C145" s="4" t="s">
        <v>267</v>
      </c>
      <c r="D145" s="3">
        <v>6885</v>
      </c>
      <c r="E145" s="4">
        <v>1</v>
      </c>
      <c r="F145" s="7">
        <f t="shared" si="134"/>
        <v>6885</v>
      </c>
      <c r="G145" s="4"/>
      <c r="H145" s="4"/>
      <c r="I145" s="4"/>
      <c r="J145" s="4" t="s">
        <v>14</v>
      </c>
      <c r="K145" s="30" t="s">
        <v>300</v>
      </c>
      <c r="L145" s="7">
        <f t="shared" si="132"/>
        <v>0</v>
      </c>
      <c r="M145" s="7">
        <f t="shared" si="128"/>
        <v>1</v>
      </c>
      <c r="N145" s="7">
        <f t="shared" si="119"/>
        <v>0</v>
      </c>
      <c r="O145" s="7">
        <f t="shared" si="120"/>
        <v>0</v>
      </c>
      <c r="P145" s="7">
        <f t="shared" si="129"/>
        <v>0</v>
      </c>
      <c r="Q145" s="3">
        <f t="shared" si="130"/>
        <v>0</v>
      </c>
      <c r="R145" s="7">
        <f t="shared" si="131"/>
        <v>0</v>
      </c>
      <c r="S145" s="7">
        <f t="shared" si="121"/>
        <v>0</v>
      </c>
      <c r="T145" s="7">
        <f t="shared" si="122"/>
        <v>0</v>
      </c>
      <c r="U145" s="7">
        <f t="shared" si="133"/>
        <v>0</v>
      </c>
      <c r="V145" s="7">
        <f t="shared" si="123"/>
        <v>0</v>
      </c>
      <c r="W145" s="7">
        <f t="shared" si="124"/>
        <v>0</v>
      </c>
      <c r="X145" s="7">
        <f t="shared" si="125"/>
        <v>0</v>
      </c>
      <c r="Y145" s="7">
        <f t="shared" si="126"/>
        <v>0</v>
      </c>
      <c r="Z145" s="7">
        <f t="shared" si="127"/>
        <v>1</v>
      </c>
      <c r="AA145" s="4"/>
      <c r="AB145" s="5" t="s">
        <v>495</v>
      </c>
    </row>
    <row r="146" spans="1:28" x14ac:dyDescent="0.25">
      <c r="A146" s="31" t="s">
        <v>498</v>
      </c>
      <c r="B146" s="6">
        <v>43641</v>
      </c>
      <c r="C146" s="4" t="s">
        <v>267</v>
      </c>
      <c r="D146" s="28">
        <v>6822.21</v>
      </c>
      <c r="E146" s="4">
        <v>1</v>
      </c>
      <c r="F146" s="7">
        <f t="shared" si="134"/>
        <v>6822.21</v>
      </c>
      <c r="G146" s="4"/>
      <c r="H146" s="4"/>
      <c r="I146" s="4"/>
      <c r="J146" s="4" t="s">
        <v>14</v>
      </c>
      <c r="K146" s="7" t="s">
        <v>577</v>
      </c>
      <c r="L146" s="7">
        <f t="shared" si="132"/>
        <v>0</v>
      </c>
      <c r="M146" s="7">
        <f t="shared" si="128"/>
        <v>0</v>
      </c>
      <c r="N146" s="7">
        <f t="shared" si="119"/>
        <v>1</v>
      </c>
      <c r="O146" s="7">
        <f t="shared" si="120"/>
        <v>0</v>
      </c>
      <c r="P146" s="7">
        <f t="shared" si="129"/>
        <v>0</v>
      </c>
      <c r="Q146" s="3">
        <f t="shared" si="130"/>
        <v>1</v>
      </c>
      <c r="R146" s="7">
        <f t="shared" si="131"/>
        <v>1</v>
      </c>
      <c r="S146" s="7">
        <f t="shared" si="121"/>
        <v>0</v>
      </c>
      <c r="T146" s="7">
        <f t="shared" si="122"/>
        <v>0</v>
      </c>
      <c r="U146" s="7">
        <f t="shared" si="133"/>
        <v>0</v>
      </c>
      <c r="V146" s="7">
        <f t="shared" si="123"/>
        <v>0</v>
      </c>
      <c r="W146" s="7">
        <f t="shared" si="124"/>
        <v>0</v>
      </c>
      <c r="X146" s="7">
        <f t="shared" si="125"/>
        <v>1</v>
      </c>
      <c r="Y146" s="7">
        <f t="shared" si="126"/>
        <v>1</v>
      </c>
      <c r="Z146" s="7">
        <f t="shared" si="127"/>
        <v>3</v>
      </c>
      <c r="AA146" s="4"/>
      <c r="AB146" s="5" t="s">
        <v>497</v>
      </c>
    </row>
    <row r="147" spans="1:28" x14ac:dyDescent="0.25">
      <c r="A147" s="31" t="s">
        <v>499</v>
      </c>
      <c r="B147" s="6">
        <v>43587</v>
      </c>
      <c r="C147" s="4" t="s">
        <v>267</v>
      </c>
      <c r="D147" s="3">
        <v>375</v>
      </c>
      <c r="E147" s="4">
        <v>1</v>
      </c>
      <c r="F147" s="7">
        <f t="shared" si="134"/>
        <v>375</v>
      </c>
      <c r="G147" s="4"/>
      <c r="H147" s="4"/>
      <c r="I147" s="4"/>
      <c r="J147" s="4" t="s">
        <v>14</v>
      </c>
      <c r="K147" s="7" t="s">
        <v>563</v>
      </c>
      <c r="L147" s="7">
        <f t="shared" si="132"/>
        <v>0</v>
      </c>
      <c r="M147" s="7">
        <f t="shared" si="128"/>
        <v>1</v>
      </c>
      <c r="N147" s="7">
        <f t="shared" si="119"/>
        <v>0</v>
      </c>
      <c r="O147" s="7">
        <f t="shared" si="120"/>
        <v>0</v>
      </c>
      <c r="P147" s="7">
        <f t="shared" si="129"/>
        <v>0</v>
      </c>
      <c r="Q147" s="3">
        <f t="shared" si="130"/>
        <v>1</v>
      </c>
      <c r="R147" s="7">
        <f t="shared" si="131"/>
        <v>0</v>
      </c>
      <c r="S147" s="7">
        <f t="shared" si="121"/>
        <v>0</v>
      </c>
      <c r="T147" s="7">
        <f t="shared" si="122"/>
        <v>0</v>
      </c>
      <c r="U147" s="7">
        <f t="shared" si="133"/>
        <v>0</v>
      </c>
      <c r="V147" s="7">
        <f t="shared" si="123"/>
        <v>0</v>
      </c>
      <c r="W147" s="7">
        <f t="shared" si="124"/>
        <v>1</v>
      </c>
      <c r="X147" s="7">
        <f t="shared" si="125"/>
        <v>1</v>
      </c>
      <c r="Y147" s="7">
        <f t="shared" si="126"/>
        <v>1</v>
      </c>
      <c r="Z147" s="7">
        <f t="shared" si="127"/>
        <v>3</v>
      </c>
      <c r="AA147" s="4"/>
      <c r="AB147" s="5" t="s">
        <v>500</v>
      </c>
    </row>
    <row r="148" spans="1:28" x14ac:dyDescent="0.25">
      <c r="A148" s="31" t="s">
        <v>502</v>
      </c>
      <c r="B148" s="6">
        <v>43606</v>
      </c>
      <c r="C148" s="4" t="s">
        <v>267</v>
      </c>
      <c r="D148" s="29">
        <v>1000</v>
      </c>
      <c r="E148" s="4">
        <v>1</v>
      </c>
      <c r="F148" s="7">
        <f t="shared" si="134"/>
        <v>1000</v>
      </c>
      <c r="G148" s="4"/>
      <c r="H148" s="4"/>
      <c r="I148" s="4"/>
      <c r="J148" s="4" t="s">
        <v>14</v>
      </c>
      <c r="K148" s="7" t="s">
        <v>585</v>
      </c>
      <c r="L148" s="7">
        <f t="shared" si="132"/>
        <v>0</v>
      </c>
      <c r="M148" s="7">
        <f t="shared" si="128"/>
        <v>1</v>
      </c>
      <c r="N148" s="7">
        <f t="shared" si="119"/>
        <v>0</v>
      </c>
      <c r="O148" s="7">
        <f t="shared" si="120"/>
        <v>1</v>
      </c>
      <c r="P148" s="7">
        <f t="shared" si="129"/>
        <v>0</v>
      </c>
      <c r="Q148" s="3">
        <f t="shared" si="130"/>
        <v>0</v>
      </c>
      <c r="R148" s="7">
        <f t="shared" si="131"/>
        <v>0</v>
      </c>
      <c r="S148" s="7">
        <f t="shared" si="121"/>
        <v>0</v>
      </c>
      <c r="T148" s="7">
        <f t="shared" si="122"/>
        <v>0</v>
      </c>
      <c r="U148" s="7">
        <f t="shared" si="133"/>
        <v>0</v>
      </c>
      <c r="V148" s="7">
        <f t="shared" si="123"/>
        <v>0</v>
      </c>
      <c r="W148" s="7">
        <f t="shared" si="124"/>
        <v>0</v>
      </c>
      <c r="X148" s="7">
        <f t="shared" si="125"/>
        <v>1</v>
      </c>
      <c r="Y148" s="7">
        <f t="shared" si="126"/>
        <v>1</v>
      </c>
      <c r="Z148" s="7">
        <f t="shared" si="127"/>
        <v>2</v>
      </c>
      <c r="AA148" s="4"/>
      <c r="AB148" s="5" t="s">
        <v>501</v>
      </c>
    </row>
    <row r="149" spans="1:28" x14ac:dyDescent="0.25">
      <c r="A149" s="31" t="s">
        <v>504</v>
      </c>
      <c r="B149" s="34">
        <v>43525</v>
      </c>
      <c r="C149" s="4" t="s">
        <v>267</v>
      </c>
      <c r="D149" s="28">
        <v>6325.8</v>
      </c>
      <c r="E149" s="4">
        <v>1</v>
      </c>
      <c r="F149" s="7">
        <f t="shared" si="134"/>
        <v>6325.8</v>
      </c>
      <c r="G149" s="4"/>
      <c r="H149" s="4"/>
      <c r="I149" s="4"/>
      <c r="J149" s="4" t="s">
        <v>14</v>
      </c>
      <c r="K149" s="7" t="s">
        <v>577</v>
      </c>
      <c r="L149" s="7">
        <f t="shared" si="132"/>
        <v>0</v>
      </c>
      <c r="M149" s="7">
        <f t="shared" si="128"/>
        <v>0</v>
      </c>
      <c r="N149" s="7">
        <f t="shared" si="119"/>
        <v>1</v>
      </c>
      <c r="O149" s="7">
        <f t="shared" si="120"/>
        <v>0</v>
      </c>
      <c r="P149" s="7">
        <f t="shared" si="129"/>
        <v>0</v>
      </c>
      <c r="Q149" s="3">
        <f t="shared" si="130"/>
        <v>1</v>
      </c>
      <c r="R149" s="7">
        <f t="shared" si="131"/>
        <v>1</v>
      </c>
      <c r="S149" s="7">
        <f t="shared" si="121"/>
        <v>0</v>
      </c>
      <c r="T149" s="7">
        <f t="shared" si="122"/>
        <v>0</v>
      </c>
      <c r="U149" s="7">
        <f t="shared" si="133"/>
        <v>0</v>
      </c>
      <c r="V149" s="7">
        <f t="shared" si="123"/>
        <v>0</v>
      </c>
      <c r="W149" s="7">
        <f t="shared" si="124"/>
        <v>0</v>
      </c>
      <c r="X149" s="7">
        <f t="shared" si="125"/>
        <v>1</v>
      </c>
      <c r="Y149" s="7">
        <f t="shared" si="126"/>
        <v>1</v>
      </c>
      <c r="Z149" s="7">
        <f t="shared" si="127"/>
        <v>3</v>
      </c>
      <c r="AA149" s="4"/>
      <c r="AB149" s="5" t="s">
        <v>503</v>
      </c>
    </row>
    <row r="150" spans="1:28" x14ac:dyDescent="0.25">
      <c r="A150" s="31" t="s">
        <v>506</v>
      </c>
      <c r="B150" s="6">
        <v>43059</v>
      </c>
      <c r="C150" s="4" t="s">
        <v>267</v>
      </c>
      <c r="D150" s="28">
        <v>3229.93</v>
      </c>
      <c r="E150" s="4">
        <v>1</v>
      </c>
      <c r="F150" s="7">
        <f t="shared" si="134"/>
        <v>3229.93</v>
      </c>
      <c r="G150" s="4"/>
      <c r="H150" s="4"/>
      <c r="I150" s="4"/>
      <c r="J150" s="4" t="s">
        <v>14</v>
      </c>
      <c r="K150" s="7" t="s">
        <v>557</v>
      </c>
      <c r="L150" s="7">
        <f t="shared" si="132"/>
        <v>0</v>
      </c>
      <c r="M150" s="7">
        <f t="shared" si="128"/>
        <v>1</v>
      </c>
      <c r="N150" s="7">
        <f t="shared" si="119"/>
        <v>0</v>
      </c>
      <c r="O150" s="7">
        <f t="shared" si="120"/>
        <v>0</v>
      </c>
      <c r="P150" s="7">
        <f t="shared" si="129"/>
        <v>0</v>
      </c>
      <c r="Q150" s="3">
        <f t="shared" si="130"/>
        <v>1</v>
      </c>
      <c r="R150" s="7">
        <f t="shared" si="131"/>
        <v>1</v>
      </c>
      <c r="S150" s="7">
        <f t="shared" si="121"/>
        <v>0</v>
      </c>
      <c r="T150" s="7">
        <f t="shared" si="122"/>
        <v>0</v>
      </c>
      <c r="U150" s="7">
        <f t="shared" si="133"/>
        <v>0</v>
      </c>
      <c r="V150" s="7">
        <f t="shared" si="123"/>
        <v>0</v>
      </c>
      <c r="W150" s="7">
        <f t="shared" si="124"/>
        <v>0</v>
      </c>
      <c r="X150" s="7">
        <f t="shared" si="125"/>
        <v>1</v>
      </c>
      <c r="Y150" s="7">
        <f t="shared" si="126"/>
        <v>1</v>
      </c>
      <c r="Z150" s="7">
        <f t="shared" si="127"/>
        <v>3</v>
      </c>
      <c r="AA150" s="4"/>
      <c r="AB150" s="5" t="s">
        <v>505</v>
      </c>
    </row>
    <row r="151" spans="1:28" x14ac:dyDescent="0.25">
      <c r="A151" s="31" t="s">
        <v>508</v>
      </c>
      <c r="B151" s="6">
        <v>43437</v>
      </c>
      <c r="C151" s="4" t="s">
        <v>267</v>
      </c>
      <c r="D151" s="3">
        <v>120</v>
      </c>
      <c r="E151" s="4">
        <v>1</v>
      </c>
      <c r="F151" s="7">
        <f t="shared" si="134"/>
        <v>120</v>
      </c>
      <c r="G151" s="4"/>
      <c r="H151" s="4"/>
      <c r="I151" s="4"/>
      <c r="J151" s="4" t="s">
        <v>14</v>
      </c>
      <c r="K151" s="7" t="s">
        <v>561</v>
      </c>
      <c r="L151" s="7">
        <f t="shared" si="132"/>
        <v>0</v>
      </c>
      <c r="M151" s="7">
        <f t="shared" si="128"/>
        <v>1</v>
      </c>
      <c r="N151" s="7">
        <f t="shared" si="119"/>
        <v>1</v>
      </c>
      <c r="O151" s="7">
        <f t="shared" si="120"/>
        <v>0</v>
      </c>
      <c r="P151" s="7">
        <f t="shared" si="129"/>
        <v>0</v>
      </c>
      <c r="Q151" s="3">
        <f t="shared" si="130"/>
        <v>1</v>
      </c>
      <c r="R151" s="7">
        <f t="shared" si="131"/>
        <v>0</v>
      </c>
      <c r="S151" s="7">
        <f t="shared" si="121"/>
        <v>0</v>
      </c>
      <c r="T151" s="7">
        <f t="shared" si="122"/>
        <v>0</v>
      </c>
      <c r="U151" s="7">
        <f t="shared" si="133"/>
        <v>0</v>
      </c>
      <c r="V151" s="7">
        <f t="shared" si="123"/>
        <v>0</v>
      </c>
      <c r="W151" s="7">
        <f t="shared" si="124"/>
        <v>0</v>
      </c>
      <c r="X151" s="7">
        <f t="shared" si="125"/>
        <v>1</v>
      </c>
      <c r="Y151" s="7">
        <f t="shared" si="126"/>
        <v>1</v>
      </c>
      <c r="Z151" s="7">
        <f t="shared" si="127"/>
        <v>3</v>
      </c>
      <c r="AA151" s="4"/>
      <c r="AB151" s="5" t="s">
        <v>507</v>
      </c>
    </row>
    <row r="152" spans="1:28" x14ac:dyDescent="0.25">
      <c r="A152" s="31" t="s">
        <v>510</v>
      </c>
      <c r="B152" s="6">
        <v>43356</v>
      </c>
      <c r="C152" s="4" t="s">
        <v>267</v>
      </c>
      <c r="D152" s="28">
        <v>21569.25</v>
      </c>
      <c r="E152" s="4">
        <v>1</v>
      </c>
      <c r="F152" s="7">
        <f t="shared" si="134"/>
        <v>21569.25</v>
      </c>
      <c r="G152" s="4"/>
      <c r="H152" s="4"/>
      <c r="I152" s="4"/>
      <c r="J152" s="4" t="s">
        <v>14</v>
      </c>
      <c r="K152" s="7" t="s">
        <v>552</v>
      </c>
      <c r="L152" s="7">
        <f t="shared" si="132"/>
        <v>0</v>
      </c>
      <c r="M152" s="7">
        <f t="shared" si="128"/>
        <v>0</v>
      </c>
      <c r="N152" s="7">
        <f t="shared" si="119"/>
        <v>0</v>
      </c>
      <c r="O152" s="7">
        <f t="shared" si="120"/>
        <v>0</v>
      </c>
      <c r="P152" s="7">
        <f t="shared" si="129"/>
        <v>0</v>
      </c>
      <c r="Q152" s="3">
        <f t="shared" si="130"/>
        <v>1</v>
      </c>
      <c r="R152" s="7">
        <f t="shared" si="131"/>
        <v>1</v>
      </c>
      <c r="S152" s="7">
        <f t="shared" si="121"/>
        <v>0</v>
      </c>
      <c r="T152" s="7">
        <f t="shared" si="122"/>
        <v>0</v>
      </c>
      <c r="U152" s="7">
        <f t="shared" si="133"/>
        <v>0</v>
      </c>
      <c r="V152" s="7">
        <f t="shared" si="123"/>
        <v>0</v>
      </c>
      <c r="W152" s="7">
        <f t="shared" si="124"/>
        <v>0</v>
      </c>
      <c r="X152" s="7">
        <f t="shared" si="125"/>
        <v>1</v>
      </c>
      <c r="Y152" s="7">
        <f t="shared" si="126"/>
        <v>1</v>
      </c>
      <c r="Z152" s="7">
        <f t="shared" si="127"/>
        <v>2</v>
      </c>
      <c r="AA152" s="4"/>
      <c r="AB152" s="5" t="s">
        <v>509</v>
      </c>
    </row>
    <row r="153" spans="1:28" x14ac:dyDescent="0.25">
      <c r="A153" s="31" t="s">
        <v>512</v>
      </c>
      <c r="B153" s="6">
        <v>42804</v>
      </c>
      <c r="C153" s="4" t="s">
        <v>267</v>
      </c>
      <c r="D153" s="3">
        <v>111</v>
      </c>
      <c r="E153" s="4">
        <v>1</v>
      </c>
      <c r="F153" s="7">
        <f t="shared" si="134"/>
        <v>111</v>
      </c>
      <c r="G153" s="4"/>
      <c r="H153" s="4"/>
      <c r="I153" s="4"/>
      <c r="J153" s="4" t="s">
        <v>14</v>
      </c>
      <c r="K153" s="30" t="s">
        <v>300</v>
      </c>
      <c r="L153" s="7">
        <f t="shared" si="132"/>
        <v>0</v>
      </c>
      <c r="M153" s="7">
        <f t="shared" si="128"/>
        <v>1</v>
      </c>
      <c r="N153" s="7">
        <f t="shared" si="119"/>
        <v>0</v>
      </c>
      <c r="O153" s="7">
        <f t="shared" si="120"/>
        <v>0</v>
      </c>
      <c r="P153" s="7">
        <f t="shared" si="129"/>
        <v>0</v>
      </c>
      <c r="Q153" s="3">
        <f t="shared" si="130"/>
        <v>0</v>
      </c>
      <c r="R153" s="7">
        <f t="shared" si="131"/>
        <v>0</v>
      </c>
      <c r="S153" s="7">
        <f t="shared" si="121"/>
        <v>0</v>
      </c>
      <c r="T153" s="7">
        <f t="shared" si="122"/>
        <v>0</v>
      </c>
      <c r="U153" s="7">
        <f t="shared" si="133"/>
        <v>0</v>
      </c>
      <c r="V153" s="7">
        <f t="shared" si="123"/>
        <v>0</v>
      </c>
      <c r="W153" s="7">
        <f t="shared" si="124"/>
        <v>0</v>
      </c>
      <c r="X153" s="7">
        <f t="shared" si="125"/>
        <v>0</v>
      </c>
      <c r="Y153" s="7">
        <f t="shared" si="126"/>
        <v>0</v>
      </c>
      <c r="Z153" s="7">
        <f t="shared" si="127"/>
        <v>1</v>
      </c>
      <c r="AA153" s="4"/>
      <c r="AB153" s="5" t="s">
        <v>511</v>
      </c>
    </row>
    <row r="154" spans="1:28" x14ac:dyDescent="0.25">
      <c r="A154" s="31" t="s">
        <v>515</v>
      </c>
      <c r="B154" s="6">
        <v>43425</v>
      </c>
      <c r="C154" s="4" t="s">
        <v>267</v>
      </c>
      <c r="D154" s="3">
        <v>268.17</v>
      </c>
      <c r="E154" s="4">
        <v>1</v>
      </c>
      <c r="F154" s="7">
        <f t="shared" si="134"/>
        <v>268.17</v>
      </c>
      <c r="G154" s="4"/>
      <c r="H154" s="3">
        <v>33.26</v>
      </c>
      <c r="I154" s="4">
        <v>66</v>
      </c>
      <c r="J154" s="4" t="s">
        <v>14</v>
      </c>
      <c r="K154" s="30" t="s">
        <v>300</v>
      </c>
      <c r="L154" s="7">
        <f t="shared" si="132"/>
        <v>0</v>
      </c>
      <c r="M154" s="7">
        <f t="shared" si="128"/>
        <v>1</v>
      </c>
      <c r="N154" s="7">
        <f t="shared" si="119"/>
        <v>0</v>
      </c>
      <c r="O154" s="7">
        <f t="shared" si="120"/>
        <v>0</v>
      </c>
      <c r="P154" s="7">
        <f t="shared" si="129"/>
        <v>0</v>
      </c>
      <c r="Q154" s="3">
        <f t="shared" si="130"/>
        <v>0</v>
      </c>
      <c r="R154" s="7">
        <f t="shared" si="131"/>
        <v>0</v>
      </c>
      <c r="S154" s="7">
        <f t="shared" si="121"/>
        <v>0</v>
      </c>
      <c r="T154" s="7">
        <f t="shared" si="122"/>
        <v>0</v>
      </c>
      <c r="U154" s="7">
        <f t="shared" si="133"/>
        <v>0</v>
      </c>
      <c r="V154" s="7">
        <f t="shared" si="123"/>
        <v>0</v>
      </c>
      <c r="W154" s="7">
        <f t="shared" si="124"/>
        <v>0</v>
      </c>
      <c r="X154" s="7">
        <f t="shared" si="125"/>
        <v>0</v>
      </c>
      <c r="Y154" s="7">
        <f t="shared" si="126"/>
        <v>0</v>
      </c>
      <c r="Z154" s="7">
        <f t="shared" si="127"/>
        <v>1</v>
      </c>
      <c r="AA154" s="4" t="s">
        <v>513</v>
      </c>
      <c r="AB154" s="5" t="s">
        <v>514</v>
      </c>
    </row>
    <row r="155" spans="1:28" x14ac:dyDescent="0.25">
      <c r="A155" s="31" t="s">
        <v>518</v>
      </c>
      <c r="B155" s="6">
        <v>42950</v>
      </c>
      <c r="C155" s="4" t="s">
        <v>267</v>
      </c>
      <c r="D155" s="3">
        <v>804</v>
      </c>
      <c r="E155" s="4">
        <v>1</v>
      </c>
      <c r="F155" s="7">
        <f t="shared" si="134"/>
        <v>804</v>
      </c>
      <c r="G155" s="4"/>
      <c r="H155" s="4"/>
      <c r="I155" s="4"/>
      <c r="J155" s="4" t="s">
        <v>14</v>
      </c>
      <c r="K155" s="30" t="s">
        <v>300</v>
      </c>
      <c r="L155" s="7">
        <f t="shared" si="132"/>
        <v>0</v>
      </c>
      <c r="M155" s="7">
        <f t="shared" si="128"/>
        <v>1</v>
      </c>
      <c r="N155" s="7">
        <f t="shared" si="119"/>
        <v>0</v>
      </c>
      <c r="O155" s="7">
        <f t="shared" si="120"/>
        <v>0</v>
      </c>
      <c r="P155" s="7">
        <f t="shared" si="129"/>
        <v>0</v>
      </c>
      <c r="Q155" s="3">
        <f t="shared" si="130"/>
        <v>0</v>
      </c>
      <c r="R155" s="7">
        <f t="shared" si="131"/>
        <v>0</v>
      </c>
      <c r="S155" s="7">
        <f t="shared" si="121"/>
        <v>0</v>
      </c>
      <c r="T155" s="7">
        <f t="shared" si="122"/>
        <v>0</v>
      </c>
      <c r="U155" s="7">
        <f t="shared" si="133"/>
        <v>0</v>
      </c>
      <c r="V155" s="7">
        <f t="shared" si="123"/>
        <v>0</v>
      </c>
      <c r="W155" s="7">
        <f t="shared" si="124"/>
        <v>0</v>
      </c>
      <c r="X155" s="7">
        <f t="shared" si="125"/>
        <v>0</v>
      </c>
      <c r="Y155" s="7">
        <f t="shared" si="126"/>
        <v>0</v>
      </c>
      <c r="Z155" s="7">
        <f t="shared" si="127"/>
        <v>1</v>
      </c>
      <c r="AA155" s="4" t="s">
        <v>516</v>
      </c>
      <c r="AB155" s="5" t="s">
        <v>517</v>
      </c>
    </row>
    <row r="156" spans="1:28" x14ac:dyDescent="0.25">
      <c r="A156" s="31" t="s">
        <v>521</v>
      </c>
      <c r="B156" s="6">
        <v>42877</v>
      </c>
      <c r="C156" s="4" t="s">
        <v>267</v>
      </c>
      <c r="D156" s="4">
        <f>144+370+194</f>
        <v>708</v>
      </c>
      <c r="E156" s="4">
        <v>3</v>
      </c>
      <c r="F156" s="7">
        <f t="shared" si="134"/>
        <v>236</v>
      </c>
      <c r="G156" s="4"/>
      <c r="H156" s="4">
        <f>0.25*D156</f>
        <v>177</v>
      </c>
      <c r="I156" s="4"/>
      <c r="J156" s="4" t="s">
        <v>14</v>
      </c>
      <c r="K156" s="7" t="s">
        <v>563</v>
      </c>
      <c r="L156" s="7">
        <f t="shared" si="132"/>
        <v>0</v>
      </c>
      <c r="M156" s="7">
        <f t="shared" si="128"/>
        <v>1</v>
      </c>
      <c r="N156" s="7">
        <f t="shared" si="119"/>
        <v>0</v>
      </c>
      <c r="O156" s="7">
        <f t="shared" si="120"/>
        <v>0</v>
      </c>
      <c r="P156" s="7">
        <f t="shared" si="129"/>
        <v>0</v>
      </c>
      <c r="Q156" s="3">
        <f t="shared" si="130"/>
        <v>1</v>
      </c>
      <c r="R156" s="7">
        <f t="shared" si="131"/>
        <v>0</v>
      </c>
      <c r="S156" s="7">
        <f t="shared" si="121"/>
        <v>0</v>
      </c>
      <c r="T156" s="7">
        <f t="shared" si="122"/>
        <v>0</v>
      </c>
      <c r="U156" s="7">
        <f t="shared" si="133"/>
        <v>0</v>
      </c>
      <c r="V156" s="7">
        <f t="shared" si="123"/>
        <v>0</v>
      </c>
      <c r="W156" s="7">
        <f t="shared" si="124"/>
        <v>1</v>
      </c>
      <c r="X156" s="7">
        <f t="shared" si="125"/>
        <v>1</v>
      </c>
      <c r="Y156" s="7">
        <f t="shared" si="126"/>
        <v>1</v>
      </c>
      <c r="Z156" s="7">
        <f t="shared" si="127"/>
        <v>3</v>
      </c>
      <c r="AA156" s="4" t="s">
        <v>519</v>
      </c>
      <c r="AB156" s="5" t="s">
        <v>520</v>
      </c>
    </row>
    <row r="157" spans="1:28" x14ac:dyDescent="0.25">
      <c r="A157" s="31" t="s">
        <v>523</v>
      </c>
      <c r="B157" s="6">
        <v>42894</v>
      </c>
      <c r="C157" s="4" t="s">
        <v>267</v>
      </c>
      <c r="D157" s="3">
        <v>4320</v>
      </c>
      <c r="E157" s="4">
        <v>1</v>
      </c>
      <c r="F157" s="7">
        <f t="shared" si="134"/>
        <v>4320</v>
      </c>
      <c r="G157" s="4"/>
      <c r="H157" s="4"/>
      <c r="I157" s="4"/>
      <c r="J157" s="4" t="s">
        <v>14</v>
      </c>
      <c r="K157" s="7" t="s">
        <v>586</v>
      </c>
      <c r="L157" s="7">
        <f t="shared" si="132"/>
        <v>0</v>
      </c>
      <c r="M157" s="7">
        <f t="shared" si="128"/>
        <v>1</v>
      </c>
      <c r="N157" s="7">
        <f t="shared" si="119"/>
        <v>0</v>
      </c>
      <c r="O157" s="7">
        <f t="shared" si="120"/>
        <v>0</v>
      </c>
      <c r="P157" s="7">
        <f t="shared" si="129"/>
        <v>0</v>
      </c>
      <c r="Q157" s="3">
        <f t="shared" si="130"/>
        <v>1</v>
      </c>
      <c r="R157" s="7">
        <f t="shared" si="131"/>
        <v>0</v>
      </c>
      <c r="S157" s="7">
        <f t="shared" si="121"/>
        <v>0</v>
      </c>
      <c r="T157" s="7">
        <f t="shared" si="122"/>
        <v>0</v>
      </c>
      <c r="U157" s="7">
        <f t="shared" si="133"/>
        <v>0</v>
      </c>
      <c r="V157" s="7">
        <f t="shared" si="123"/>
        <v>1</v>
      </c>
      <c r="W157" s="7">
        <f t="shared" si="124"/>
        <v>0</v>
      </c>
      <c r="X157" s="7">
        <f t="shared" si="125"/>
        <v>1</v>
      </c>
      <c r="Y157" s="7">
        <f t="shared" si="126"/>
        <v>1</v>
      </c>
      <c r="Z157" s="7">
        <f t="shared" si="127"/>
        <v>3</v>
      </c>
      <c r="AA157" s="4"/>
      <c r="AB157" s="5" t="s">
        <v>522</v>
      </c>
    </row>
    <row r="158" spans="1:28" x14ac:dyDescent="0.25">
      <c r="A158" s="31" t="s">
        <v>525</v>
      </c>
      <c r="B158" s="6">
        <v>43396</v>
      </c>
      <c r="C158" s="4" t="s">
        <v>267</v>
      </c>
      <c r="D158" s="4">
        <v>111</v>
      </c>
      <c r="E158" s="4">
        <v>1</v>
      </c>
      <c r="F158" s="7">
        <f t="shared" si="134"/>
        <v>111</v>
      </c>
      <c r="G158" s="4"/>
      <c r="H158" s="4"/>
      <c r="I158" s="4"/>
      <c r="J158" s="4" t="s">
        <v>14</v>
      </c>
      <c r="K158" s="7" t="s">
        <v>559</v>
      </c>
      <c r="L158" s="7">
        <f t="shared" si="132"/>
        <v>0</v>
      </c>
      <c r="M158" s="7">
        <f t="shared" si="128"/>
        <v>1</v>
      </c>
      <c r="N158" s="7">
        <f t="shared" si="119"/>
        <v>0</v>
      </c>
      <c r="O158" s="7">
        <f t="shared" si="120"/>
        <v>0</v>
      </c>
      <c r="P158" s="7">
        <f t="shared" si="129"/>
        <v>0</v>
      </c>
      <c r="Q158" s="3">
        <f t="shared" si="130"/>
        <v>1</v>
      </c>
      <c r="R158" s="7">
        <f t="shared" si="131"/>
        <v>0</v>
      </c>
      <c r="S158" s="7">
        <f t="shared" si="121"/>
        <v>0</v>
      </c>
      <c r="T158" s="7">
        <f t="shared" si="122"/>
        <v>0</v>
      </c>
      <c r="U158" s="7">
        <f t="shared" si="133"/>
        <v>0</v>
      </c>
      <c r="V158" s="7">
        <f t="shared" si="123"/>
        <v>0</v>
      </c>
      <c r="W158" s="7">
        <f t="shared" si="124"/>
        <v>0</v>
      </c>
      <c r="X158" s="7">
        <f t="shared" si="125"/>
        <v>1</v>
      </c>
      <c r="Y158" s="7">
        <f t="shared" si="126"/>
        <v>0</v>
      </c>
      <c r="Z158" s="7">
        <f t="shared" si="127"/>
        <v>2</v>
      </c>
      <c r="AA158" s="4"/>
      <c r="AB158" s="5" t="s">
        <v>524</v>
      </c>
    </row>
    <row r="159" spans="1:28" x14ac:dyDescent="0.25">
      <c r="A159" s="31" t="s">
        <v>528</v>
      </c>
      <c r="B159" s="6">
        <v>43385</v>
      </c>
      <c r="C159" s="4" t="s">
        <v>267</v>
      </c>
      <c r="D159" s="28">
        <v>1028.57</v>
      </c>
      <c r="E159" s="4">
        <v>1</v>
      </c>
      <c r="F159" s="7">
        <f t="shared" si="134"/>
        <v>1028.57</v>
      </c>
      <c r="G159" s="4"/>
      <c r="H159" s="4">
        <v>307.76</v>
      </c>
      <c r="I159" s="4"/>
      <c r="J159" s="4" t="s">
        <v>14</v>
      </c>
      <c r="K159" s="7" t="s">
        <v>585</v>
      </c>
      <c r="L159" s="7">
        <f t="shared" si="132"/>
        <v>0</v>
      </c>
      <c r="M159" s="7">
        <f t="shared" si="128"/>
        <v>1</v>
      </c>
      <c r="N159" s="7">
        <f t="shared" si="119"/>
        <v>0</v>
      </c>
      <c r="O159" s="7">
        <f t="shared" si="120"/>
        <v>1</v>
      </c>
      <c r="P159" s="7">
        <f t="shared" si="129"/>
        <v>0</v>
      </c>
      <c r="Q159" s="3">
        <f t="shared" si="130"/>
        <v>0</v>
      </c>
      <c r="R159" s="7">
        <f t="shared" si="131"/>
        <v>0</v>
      </c>
      <c r="S159" s="7">
        <f t="shared" si="121"/>
        <v>0</v>
      </c>
      <c r="T159" s="7">
        <f t="shared" si="122"/>
        <v>0</v>
      </c>
      <c r="U159" s="7">
        <f t="shared" si="133"/>
        <v>0</v>
      </c>
      <c r="V159" s="7">
        <f t="shared" si="123"/>
        <v>0</v>
      </c>
      <c r="W159" s="7">
        <f t="shared" si="124"/>
        <v>0</v>
      </c>
      <c r="X159" s="7">
        <f t="shared" si="125"/>
        <v>1</v>
      </c>
      <c r="Y159" s="7">
        <f t="shared" si="126"/>
        <v>1</v>
      </c>
      <c r="Z159" s="7">
        <f t="shared" si="127"/>
        <v>2</v>
      </c>
      <c r="AA159" s="4" t="s">
        <v>526</v>
      </c>
      <c r="AB159" s="5" t="s">
        <v>527</v>
      </c>
    </row>
    <row r="160" spans="1:28" x14ac:dyDescent="0.25">
      <c r="A160" s="31" t="s">
        <v>530</v>
      </c>
      <c r="B160" s="6">
        <v>43488</v>
      </c>
      <c r="C160" s="4" t="s">
        <v>267</v>
      </c>
      <c r="D160" s="3">
        <v>766.9</v>
      </c>
      <c r="E160" s="4">
        <v>1</v>
      </c>
      <c r="F160" s="7">
        <f t="shared" si="134"/>
        <v>766.9</v>
      </c>
      <c r="G160" s="4"/>
      <c r="H160" s="4"/>
      <c r="I160" s="4"/>
      <c r="J160" s="4" t="s">
        <v>14</v>
      </c>
      <c r="K160" s="7" t="s">
        <v>587</v>
      </c>
      <c r="L160" s="7">
        <f t="shared" si="132"/>
        <v>0</v>
      </c>
      <c r="M160" s="7">
        <f t="shared" si="128"/>
        <v>1</v>
      </c>
      <c r="N160" s="7">
        <f t="shared" si="119"/>
        <v>1</v>
      </c>
      <c r="O160" s="7">
        <f t="shared" si="120"/>
        <v>0</v>
      </c>
      <c r="P160" s="7">
        <f t="shared" si="129"/>
        <v>0</v>
      </c>
      <c r="Q160" s="3">
        <f t="shared" si="130"/>
        <v>1</v>
      </c>
      <c r="R160" s="7">
        <f t="shared" si="131"/>
        <v>0</v>
      </c>
      <c r="S160" s="7">
        <f t="shared" si="121"/>
        <v>1</v>
      </c>
      <c r="T160" s="7">
        <f t="shared" si="122"/>
        <v>0</v>
      </c>
      <c r="U160" s="7">
        <f t="shared" si="133"/>
        <v>0</v>
      </c>
      <c r="V160" s="7">
        <f t="shared" si="123"/>
        <v>0</v>
      </c>
      <c r="W160" s="7">
        <f t="shared" si="124"/>
        <v>0</v>
      </c>
      <c r="X160" s="7">
        <f t="shared" si="125"/>
        <v>1</v>
      </c>
      <c r="Y160" s="7">
        <f t="shared" si="126"/>
        <v>1</v>
      </c>
      <c r="Z160" s="7">
        <f t="shared" si="127"/>
        <v>4</v>
      </c>
      <c r="AA160" s="4"/>
      <c r="AB160" s="5" t="s">
        <v>529</v>
      </c>
    </row>
    <row r="161" spans="1:28" x14ac:dyDescent="0.25">
      <c r="A161" s="31" t="s">
        <v>532</v>
      </c>
      <c r="B161" s="6">
        <v>43206</v>
      </c>
      <c r="C161" s="4" t="s">
        <v>267</v>
      </c>
      <c r="D161" s="3">
        <v>451.2</v>
      </c>
      <c r="E161" s="4">
        <v>1</v>
      </c>
      <c r="F161" s="7">
        <f t="shared" si="134"/>
        <v>451.2</v>
      </c>
      <c r="G161" s="4"/>
      <c r="H161" s="4"/>
      <c r="I161" s="4"/>
      <c r="J161" s="4" t="s">
        <v>14</v>
      </c>
      <c r="K161" s="7" t="s">
        <v>588</v>
      </c>
      <c r="L161" s="7">
        <f t="shared" si="132"/>
        <v>0</v>
      </c>
      <c r="M161" s="7">
        <f t="shared" si="128"/>
        <v>1</v>
      </c>
      <c r="N161" s="7">
        <f t="shared" si="119"/>
        <v>1</v>
      </c>
      <c r="O161" s="7">
        <f t="shared" si="120"/>
        <v>0</v>
      </c>
      <c r="P161" s="7">
        <f t="shared" si="129"/>
        <v>0</v>
      </c>
      <c r="Q161" s="3">
        <f t="shared" si="130"/>
        <v>0</v>
      </c>
      <c r="R161" s="7">
        <f t="shared" si="131"/>
        <v>0</v>
      </c>
      <c r="S161" s="7">
        <f t="shared" si="121"/>
        <v>0</v>
      </c>
      <c r="T161" s="7">
        <f t="shared" si="122"/>
        <v>1</v>
      </c>
      <c r="U161" s="7">
        <f t="shared" si="133"/>
        <v>0</v>
      </c>
      <c r="V161" s="7">
        <f t="shared" si="123"/>
        <v>0</v>
      </c>
      <c r="W161" s="7">
        <f t="shared" si="124"/>
        <v>0</v>
      </c>
      <c r="X161" s="7">
        <f t="shared" si="125"/>
        <v>1</v>
      </c>
      <c r="Y161" s="7">
        <f t="shared" si="126"/>
        <v>1</v>
      </c>
      <c r="Z161" s="7">
        <f t="shared" si="127"/>
        <v>3</v>
      </c>
      <c r="AA161" s="4"/>
      <c r="AB161" s="5" t="s">
        <v>531</v>
      </c>
    </row>
    <row r="162" spans="1:28" x14ac:dyDescent="0.25">
      <c r="A162" s="31" t="s">
        <v>534</v>
      </c>
      <c r="B162" s="6">
        <v>43419</v>
      </c>
      <c r="C162" s="4" t="s">
        <v>267</v>
      </c>
      <c r="D162" s="28">
        <v>1120</v>
      </c>
      <c r="E162" s="4">
        <v>1</v>
      </c>
      <c r="F162" s="7">
        <f t="shared" si="134"/>
        <v>1120</v>
      </c>
      <c r="G162" s="4"/>
      <c r="H162" s="4"/>
      <c r="I162" s="4"/>
      <c r="J162" s="4" t="s">
        <v>14</v>
      </c>
      <c r="K162" s="7" t="s">
        <v>589</v>
      </c>
      <c r="L162" s="7">
        <f t="shared" si="132"/>
        <v>0</v>
      </c>
      <c r="M162" s="7">
        <f t="shared" si="128"/>
        <v>1</v>
      </c>
      <c r="N162" s="7">
        <f t="shared" si="119"/>
        <v>1</v>
      </c>
      <c r="O162" s="7">
        <f t="shared" si="120"/>
        <v>0</v>
      </c>
      <c r="P162" s="7">
        <f t="shared" si="129"/>
        <v>1</v>
      </c>
      <c r="Q162" s="3">
        <f t="shared" si="130"/>
        <v>0</v>
      </c>
      <c r="R162" s="7">
        <f t="shared" si="131"/>
        <v>1</v>
      </c>
      <c r="S162" s="7">
        <f t="shared" si="121"/>
        <v>0</v>
      </c>
      <c r="T162" s="7">
        <f t="shared" si="122"/>
        <v>0</v>
      </c>
      <c r="U162" s="7">
        <f t="shared" si="133"/>
        <v>0</v>
      </c>
      <c r="V162" s="7">
        <f t="shared" si="123"/>
        <v>0</v>
      </c>
      <c r="W162" s="7">
        <f t="shared" si="124"/>
        <v>0</v>
      </c>
      <c r="X162" s="7">
        <f t="shared" si="125"/>
        <v>1</v>
      </c>
      <c r="Y162" s="7">
        <f t="shared" si="126"/>
        <v>1</v>
      </c>
      <c r="Z162" s="7">
        <f t="shared" si="127"/>
        <v>4</v>
      </c>
      <c r="AA162" s="4"/>
      <c r="AB162" s="5" t="s">
        <v>533</v>
      </c>
    </row>
    <row r="163" spans="1:28" x14ac:dyDescent="0.25">
      <c r="A163" s="31" t="s">
        <v>535</v>
      </c>
      <c r="B163" s="6">
        <v>43629</v>
      </c>
      <c r="C163" s="4" t="s">
        <v>267</v>
      </c>
      <c r="D163" s="28">
        <v>2056.11</v>
      </c>
      <c r="E163" s="4">
        <v>1</v>
      </c>
      <c r="F163" s="7">
        <f t="shared" si="134"/>
        <v>2056.11</v>
      </c>
      <c r="G163" s="4"/>
      <c r="H163" s="4"/>
      <c r="I163" s="4"/>
      <c r="J163" s="4" t="s">
        <v>14</v>
      </c>
      <c r="K163" s="7" t="s">
        <v>590</v>
      </c>
      <c r="L163" s="7">
        <f t="shared" si="132"/>
        <v>0</v>
      </c>
      <c r="M163" s="7">
        <f t="shared" si="128"/>
        <v>1</v>
      </c>
      <c r="N163" s="7">
        <f t="shared" si="119"/>
        <v>1</v>
      </c>
      <c r="O163" s="7">
        <f t="shared" si="120"/>
        <v>0</v>
      </c>
      <c r="P163" s="7">
        <f t="shared" si="129"/>
        <v>1</v>
      </c>
      <c r="Q163" s="3">
        <f t="shared" si="130"/>
        <v>0</v>
      </c>
      <c r="R163" s="7">
        <f t="shared" si="131"/>
        <v>0</v>
      </c>
      <c r="S163" s="7">
        <f t="shared" si="121"/>
        <v>0</v>
      </c>
      <c r="T163" s="7">
        <f t="shared" si="122"/>
        <v>0</v>
      </c>
      <c r="U163" s="7">
        <f t="shared" si="133"/>
        <v>1</v>
      </c>
      <c r="V163" s="7">
        <f t="shared" si="123"/>
        <v>0</v>
      </c>
      <c r="W163" s="7">
        <f t="shared" si="124"/>
        <v>0</v>
      </c>
      <c r="X163" s="7">
        <f t="shared" si="125"/>
        <v>1</v>
      </c>
      <c r="Y163" s="7">
        <f t="shared" si="126"/>
        <v>1</v>
      </c>
      <c r="Z163" s="7">
        <f t="shared" si="127"/>
        <v>4</v>
      </c>
      <c r="AA163" s="4"/>
      <c r="AB163" s="5" t="s">
        <v>536</v>
      </c>
    </row>
    <row r="164" spans="1:28" x14ac:dyDescent="0.25">
      <c r="A164" s="31" t="s">
        <v>538</v>
      </c>
      <c r="B164" s="6">
        <v>43209</v>
      </c>
      <c r="C164" s="4" t="s">
        <v>267</v>
      </c>
      <c r="D164" s="3">
        <v>3333</v>
      </c>
      <c r="E164" s="4">
        <v>1</v>
      </c>
      <c r="F164" s="7">
        <f t="shared" si="134"/>
        <v>3333</v>
      </c>
      <c r="G164" s="4"/>
      <c r="H164" s="4"/>
      <c r="I164" s="4"/>
      <c r="J164" s="4" t="s">
        <v>14</v>
      </c>
      <c r="K164" s="7" t="s">
        <v>559</v>
      </c>
      <c r="L164" s="7">
        <f t="shared" si="132"/>
        <v>0</v>
      </c>
      <c r="M164" s="7">
        <f t="shared" si="128"/>
        <v>1</v>
      </c>
      <c r="N164" s="7">
        <f t="shared" si="119"/>
        <v>0</v>
      </c>
      <c r="O164" s="7">
        <f t="shared" si="120"/>
        <v>0</v>
      </c>
      <c r="P164" s="7">
        <f t="shared" si="129"/>
        <v>0</v>
      </c>
      <c r="Q164" s="3">
        <f t="shared" si="130"/>
        <v>1</v>
      </c>
      <c r="R164" s="7">
        <f t="shared" si="131"/>
        <v>0</v>
      </c>
      <c r="S164" s="7">
        <f t="shared" si="121"/>
        <v>0</v>
      </c>
      <c r="T164" s="7">
        <f t="shared" si="122"/>
        <v>0</v>
      </c>
      <c r="U164" s="7">
        <f t="shared" si="133"/>
        <v>0</v>
      </c>
      <c r="V164" s="7">
        <f t="shared" si="123"/>
        <v>0</v>
      </c>
      <c r="W164" s="7">
        <f t="shared" si="124"/>
        <v>0</v>
      </c>
      <c r="X164" s="7">
        <f t="shared" si="125"/>
        <v>1</v>
      </c>
      <c r="Y164" s="7">
        <f t="shared" si="126"/>
        <v>0</v>
      </c>
      <c r="Z164" s="7">
        <f t="shared" si="127"/>
        <v>2</v>
      </c>
      <c r="AA164" s="4"/>
      <c r="AB164" s="5" t="s">
        <v>537</v>
      </c>
    </row>
    <row r="165" spans="1:28" x14ac:dyDescent="0.25">
      <c r="A165" s="31" t="s">
        <v>540</v>
      </c>
      <c r="B165" s="6">
        <v>43685</v>
      </c>
      <c r="C165" s="4" t="s">
        <v>267</v>
      </c>
      <c r="D165" s="3">
        <v>34.65</v>
      </c>
      <c r="E165" s="4">
        <v>1</v>
      </c>
      <c r="F165" s="7">
        <f t="shared" si="134"/>
        <v>34.65</v>
      </c>
      <c r="G165" s="4"/>
      <c r="H165" s="4"/>
      <c r="I165" s="4"/>
      <c r="J165" s="4" t="s">
        <v>14</v>
      </c>
      <c r="K165" s="7" t="s">
        <v>591</v>
      </c>
      <c r="L165" s="7">
        <f t="shared" si="132"/>
        <v>0</v>
      </c>
      <c r="M165" s="7">
        <f t="shared" si="128"/>
        <v>1</v>
      </c>
      <c r="N165" s="7">
        <f t="shared" si="119"/>
        <v>0</v>
      </c>
      <c r="O165" s="7">
        <f t="shared" si="120"/>
        <v>0</v>
      </c>
      <c r="P165" s="7">
        <f t="shared" si="129"/>
        <v>1</v>
      </c>
      <c r="Q165" s="3">
        <f t="shared" si="130"/>
        <v>0</v>
      </c>
      <c r="R165" s="7">
        <f t="shared" si="131"/>
        <v>1</v>
      </c>
      <c r="S165" s="7">
        <f t="shared" si="121"/>
        <v>0</v>
      </c>
      <c r="T165" s="7">
        <f t="shared" si="122"/>
        <v>0</v>
      </c>
      <c r="U165" s="7">
        <f t="shared" si="133"/>
        <v>0</v>
      </c>
      <c r="V165" s="7">
        <f t="shared" si="123"/>
        <v>0</v>
      </c>
      <c r="W165" s="7">
        <f t="shared" si="124"/>
        <v>0</v>
      </c>
      <c r="X165" s="7">
        <f t="shared" si="125"/>
        <v>1</v>
      </c>
      <c r="Y165" s="7">
        <f t="shared" si="126"/>
        <v>1</v>
      </c>
      <c r="Z165" s="7">
        <f t="shared" si="127"/>
        <v>3</v>
      </c>
      <c r="AA165" s="4"/>
      <c r="AB165" s="5" t="s">
        <v>539</v>
      </c>
    </row>
    <row r="166" spans="1:28" x14ac:dyDescent="0.25">
      <c r="A166" s="31" t="s">
        <v>541</v>
      </c>
      <c r="B166" s="6">
        <v>43663</v>
      </c>
      <c r="C166" s="4" t="s">
        <v>267</v>
      </c>
      <c r="D166" s="4" t="s">
        <v>118</v>
      </c>
      <c r="E166" s="4">
        <v>1</v>
      </c>
      <c r="F166" s="7"/>
      <c r="G166" s="4"/>
      <c r="H166" s="4"/>
      <c r="I166" s="4"/>
      <c r="J166" s="4" t="s">
        <v>14</v>
      </c>
      <c r="K166" s="7" t="s">
        <v>549</v>
      </c>
      <c r="L166" s="7">
        <f t="shared" si="132"/>
        <v>0</v>
      </c>
      <c r="M166" s="7">
        <f t="shared" si="128"/>
        <v>1</v>
      </c>
      <c r="N166" s="7">
        <f t="shared" si="119"/>
        <v>1</v>
      </c>
      <c r="O166" s="7">
        <f t="shared" si="120"/>
        <v>0</v>
      </c>
      <c r="P166" s="7">
        <f t="shared" si="129"/>
        <v>0</v>
      </c>
      <c r="Q166" s="3">
        <f t="shared" si="130"/>
        <v>0</v>
      </c>
      <c r="R166" s="7">
        <f t="shared" si="131"/>
        <v>1</v>
      </c>
      <c r="S166" s="7">
        <f t="shared" si="121"/>
        <v>0</v>
      </c>
      <c r="T166" s="7">
        <f t="shared" si="122"/>
        <v>0</v>
      </c>
      <c r="U166" s="7">
        <f t="shared" si="133"/>
        <v>0</v>
      </c>
      <c r="V166" s="7">
        <f t="shared" si="123"/>
        <v>0</v>
      </c>
      <c r="W166" s="7">
        <f t="shared" si="124"/>
        <v>0</v>
      </c>
      <c r="X166" s="7">
        <f t="shared" si="125"/>
        <v>1</v>
      </c>
      <c r="Y166" s="7">
        <f t="shared" si="126"/>
        <v>1</v>
      </c>
      <c r="Z166" s="7">
        <f t="shared" si="127"/>
        <v>3</v>
      </c>
      <c r="AA166" s="4" t="s">
        <v>21</v>
      </c>
      <c r="AB166" s="5" t="s">
        <v>542</v>
      </c>
    </row>
    <row r="167" spans="1:28" x14ac:dyDescent="0.25">
      <c r="A167" s="31" t="s">
        <v>545</v>
      </c>
      <c r="B167" s="6">
        <v>43368</v>
      </c>
      <c r="C167" s="4" t="s">
        <v>267</v>
      </c>
      <c r="D167" s="28">
        <v>4766.03</v>
      </c>
      <c r="E167" s="4">
        <v>1</v>
      </c>
      <c r="F167" s="7">
        <f t="shared" si="134"/>
        <v>4766.03</v>
      </c>
      <c r="G167" s="4"/>
      <c r="H167" s="3">
        <v>714.91</v>
      </c>
      <c r="I167" s="4"/>
      <c r="J167" s="4" t="s">
        <v>14</v>
      </c>
      <c r="K167" s="7" t="s">
        <v>585</v>
      </c>
      <c r="L167" s="7">
        <f t="shared" si="132"/>
        <v>0</v>
      </c>
      <c r="M167" s="7">
        <f t="shared" si="128"/>
        <v>1</v>
      </c>
      <c r="N167" s="7">
        <f t="shared" si="119"/>
        <v>0</v>
      </c>
      <c r="O167" s="7">
        <f t="shared" si="120"/>
        <v>1</v>
      </c>
      <c r="P167" s="7">
        <f t="shared" si="129"/>
        <v>0</v>
      </c>
      <c r="Q167" s="3">
        <f t="shared" si="130"/>
        <v>0</v>
      </c>
      <c r="R167" s="7">
        <f t="shared" si="131"/>
        <v>0</v>
      </c>
      <c r="S167" s="7">
        <f t="shared" si="121"/>
        <v>0</v>
      </c>
      <c r="T167" s="7">
        <f t="shared" si="122"/>
        <v>0</v>
      </c>
      <c r="U167" s="7">
        <f t="shared" si="133"/>
        <v>0</v>
      </c>
      <c r="V167" s="7">
        <f t="shared" si="123"/>
        <v>0</v>
      </c>
      <c r="W167" s="7">
        <f t="shared" si="124"/>
        <v>0</v>
      </c>
      <c r="X167" s="7">
        <f t="shared" si="125"/>
        <v>1</v>
      </c>
      <c r="Y167" s="7">
        <f t="shared" si="126"/>
        <v>1</v>
      </c>
      <c r="Z167" s="7">
        <f t="shared" si="127"/>
        <v>2</v>
      </c>
      <c r="AA167" s="4" t="s">
        <v>543</v>
      </c>
      <c r="AB167" s="5" t="s">
        <v>544</v>
      </c>
    </row>
    <row r="168" spans="1:28" x14ac:dyDescent="0.25">
      <c r="A168" s="31" t="s">
        <v>548</v>
      </c>
      <c r="B168" s="6">
        <v>43579</v>
      </c>
      <c r="C168" s="4" t="s">
        <v>267</v>
      </c>
      <c r="D168" s="3">
        <v>649.92999999999995</v>
      </c>
      <c r="E168" s="4">
        <v>1</v>
      </c>
      <c r="F168" s="7">
        <f t="shared" si="134"/>
        <v>649.92999999999995</v>
      </c>
      <c r="G168" s="4"/>
      <c r="H168" s="4"/>
      <c r="I168" s="4"/>
      <c r="J168" s="4" t="s">
        <v>14</v>
      </c>
      <c r="K168" s="7" t="s">
        <v>592</v>
      </c>
      <c r="L168" s="7">
        <f t="shared" si="132"/>
        <v>0</v>
      </c>
      <c r="M168" s="7">
        <f t="shared" si="128"/>
        <v>0</v>
      </c>
      <c r="N168" s="7">
        <f t="shared" si="119"/>
        <v>1</v>
      </c>
      <c r="O168" s="7">
        <f t="shared" si="120"/>
        <v>0</v>
      </c>
      <c r="P168" s="7">
        <f t="shared" si="129"/>
        <v>1</v>
      </c>
      <c r="Q168" s="3">
        <f t="shared" si="130"/>
        <v>1</v>
      </c>
      <c r="R168" s="7">
        <f t="shared" si="131"/>
        <v>1</v>
      </c>
      <c r="S168" s="7">
        <f t="shared" si="121"/>
        <v>0</v>
      </c>
      <c r="T168" s="7">
        <f t="shared" si="122"/>
        <v>0</v>
      </c>
      <c r="U168" s="7">
        <f t="shared" si="133"/>
        <v>0</v>
      </c>
      <c r="V168" s="7">
        <f t="shared" si="123"/>
        <v>0</v>
      </c>
      <c r="W168" s="7">
        <f t="shared" si="124"/>
        <v>0</v>
      </c>
      <c r="X168" s="7">
        <f t="shared" si="125"/>
        <v>1</v>
      </c>
      <c r="Y168" s="7">
        <f t="shared" si="126"/>
        <v>1</v>
      </c>
      <c r="Z168" s="7">
        <f t="shared" si="127"/>
        <v>4</v>
      </c>
      <c r="AA168" s="4"/>
      <c r="AB168" s="5" t="s">
        <v>547</v>
      </c>
    </row>
  </sheetData>
  <hyperlinks>
    <hyperlink ref="AB29" r:id="rId1" xr:uid="{496F730E-9361-4386-AFF5-7A68F90A5ACD}"/>
    <hyperlink ref="AB30" r:id="rId2" xr:uid="{AC9E16EB-572D-4A79-A0A8-6D9097B80D0A}"/>
    <hyperlink ref="AB31" r:id="rId3" xr:uid="{5BC46E7A-B1AA-4726-BD7F-307DB68368CD}"/>
    <hyperlink ref="AB32" r:id="rId4" xr:uid="{8C9B1AC0-0C88-4B78-9B03-21F15F92CF24}"/>
    <hyperlink ref="AB33" r:id="rId5" xr:uid="{1A8CADBB-0005-4AC7-9CE0-95E8BF601A90}"/>
    <hyperlink ref="AB34" r:id="rId6" xr:uid="{F7284523-E969-4AC8-8AEB-FF84131E62EB}"/>
    <hyperlink ref="AB35" r:id="rId7" xr:uid="{2D1ACC41-3D9A-435F-93C4-CC9587BBE235}"/>
    <hyperlink ref="AB36" r:id="rId8" xr:uid="{2CAA3986-892A-423B-9DEE-B50AC807ACE6}"/>
    <hyperlink ref="AB37" r:id="rId9" xr:uid="{A25A3450-3539-476C-A6D6-C2B20D4AA71C}"/>
    <hyperlink ref="AB38" r:id="rId10" xr:uid="{7604CFCE-48BB-477E-AF9E-F5ADC5E59BA3}"/>
    <hyperlink ref="AB39" r:id="rId11" xr:uid="{775CA416-4C83-4A6C-9F10-D6A4DEE9F55E}"/>
    <hyperlink ref="AB40" r:id="rId12" xr:uid="{32BA3ABC-852D-4EB4-B723-C82149B44832}"/>
    <hyperlink ref="AB41" r:id="rId13" xr:uid="{43F0A9A5-BABE-4694-97F8-34A782A332D2}"/>
    <hyperlink ref="AB42" r:id="rId14" xr:uid="{C577D676-49C0-45B7-BC86-694E3B5F9397}"/>
    <hyperlink ref="AB43" r:id="rId15" xr:uid="{C82B04E6-C453-4DB2-A995-2BFB6169E06A}"/>
    <hyperlink ref="AB44" r:id="rId16" xr:uid="{B4929C3E-10C9-4638-BDED-E8EBD142F3BC}"/>
    <hyperlink ref="AB45" r:id="rId17" xr:uid="{5F882E48-B2DC-4027-9360-D10165B627D3}"/>
    <hyperlink ref="AB46" r:id="rId18" xr:uid="{14FAC3FB-02FB-4CB7-9A22-FB50D41AB456}"/>
    <hyperlink ref="AB47" r:id="rId19" xr:uid="{FD05BD9C-BD83-4D86-B418-5827DC6125AA}"/>
    <hyperlink ref="AB48" r:id="rId20" xr:uid="{3AFBD889-F0BA-4C24-9061-F41F72D0BFBF}"/>
    <hyperlink ref="AB49" r:id="rId21" xr:uid="{2363A968-FF46-4B6F-825A-6E6ACA0B929F}"/>
    <hyperlink ref="AB50" r:id="rId22" xr:uid="{F55D3496-D248-40FA-A949-FB6A008E7DEC}"/>
    <hyperlink ref="AB51" r:id="rId23" xr:uid="{58156856-78F5-4A6C-845A-3DEF9697785E}"/>
    <hyperlink ref="AB52" r:id="rId24" xr:uid="{BEBDB148-C8B3-401A-BCB1-81256340C471}"/>
    <hyperlink ref="AB53" r:id="rId25" xr:uid="{51A47356-5D8E-4CDE-9CBC-9160CA583281}"/>
    <hyperlink ref="AB54" r:id="rId26" xr:uid="{0E6D3047-8B6F-4E7D-8C62-B5D703924945}"/>
    <hyperlink ref="AB55" r:id="rId27" xr:uid="{97393FEE-63BE-4D5F-BD17-D1D74C8EB532}"/>
    <hyperlink ref="AB56" r:id="rId28" xr:uid="{B28E7713-EA4C-4A38-9495-3E4F811A2BAF}"/>
    <hyperlink ref="AB57" r:id="rId29" xr:uid="{400BA329-1E4D-4D1C-A17B-F7B09EE62680}"/>
    <hyperlink ref="AB58" r:id="rId30" xr:uid="{C867575B-1035-4055-B157-D0CAEAD04EF1}"/>
    <hyperlink ref="AB59" r:id="rId31" xr:uid="{C353848E-1202-4C08-AAEF-EAC6052C525C}"/>
    <hyperlink ref="AB60" r:id="rId32" xr:uid="{C0D3FFCE-17BD-43EC-8FFD-7BD6E3FD5572}"/>
    <hyperlink ref="AB61" r:id="rId33" xr:uid="{FE95EBE0-49CB-4D90-8ECD-1CA7F1FD9EF1}"/>
    <hyperlink ref="AB62" r:id="rId34" xr:uid="{FD3C94F4-7263-4F1B-B366-2908B679BCE7}"/>
    <hyperlink ref="AB63" r:id="rId35" xr:uid="{DAE8F0C1-E061-4D4C-9164-1E9265B64C0A}"/>
    <hyperlink ref="AB64" r:id="rId36" xr:uid="{30E675BF-592C-4F92-BDC5-687E336A284F}"/>
    <hyperlink ref="AB65" r:id="rId37" xr:uid="{B566E63F-1802-4850-BD1C-1E9382488119}"/>
    <hyperlink ref="AB66" r:id="rId38" xr:uid="{9AB5B87C-D372-4057-861C-4A41DCB09EAE}"/>
    <hyperlink ref="AB4" r:id="rId39" xr:uid="{2C916645-C9AF-4ABB-87FB-FFAAA3D32F7F}"/>
    <hyperlink ref="AB5" r:id="rId40" xr:uid="{F0B373C6-6F54-4EA4-8D5D-BFE52780DB65}"/>
    <hyperlink ref="AB6" r:id="rId41" xr:uid="{E589F9C4-CA10-4069-8824-A06F70574554}"/>
    <hyperlink ref="AB7" r:id="rId42" xr:uid="{D890015D-6A3F-4150-8A0F-148D09E40A5A}"/>
    <hyperlink ref="AB8" r:id="rId43" xr:uid="{D5B06443-76AE-4939-BD4A-DCC8F1A02F9C}"/>
    <hyperlink ref="AB9" r:id="rId44" xr:uid="{788755B9-7C00-407B-949B-7574A8D8001A}"/>
    <hyperlink ref="AB10" r:id="rId45" xr:uid="{15E4AB75-7EC1-4277-9915-8878B29E5E20}"/>
    <hyperlink ref="AB11" r:id="rId46" xr:uid="{4A656C51-16B4-47BD-97EC-B1FF3769B285}"/>
    <hyperlink ref="AB23" r:id="rId47" xr:uid="{E61FD980-8A24-4A2B-B4E6-572363FC7DCA}"/>
    <hyperlink ref="AB28" r:id="rId48" xr:uid="{DCEBBC44-3B77-4D9B-84C2-283C5DD55276}"/>
    <hyperlink ref="AB24" r:id="rId49" xr:uid="{917E5059-7F58-4BF2-902A-A37131F56831}"/>
    <hyperlink ref="AB26" r:id="rId50" xr:uid="{018297D3-1D1A-4B6E-A172-49204926BEAD}"/>
    <hyperlink ref="AB27" r:id="rId51" xr:uid="{A154804E-5379-4848-B8CC-7EBB1FE9EF12}"/>
    <hyperlink ref="K69" r:id="rId52" display="https://www.gov.uk/employment-tribunal-decisions?tribunal_decision_categories%5B%5D=unlawful-deduction-from-wages" xr:uid="{EBA803A5-9344-44A8-B0FC-E0B36CA64081}"/>
    <hyperlink ref="K70" r:id="rId53" display="https://www.gov.uk/employment-tribunal-decisions?tribunal_decision_categories%5B%5D=unlawful-deduction-from-wages" xr:uid="{59BEDCA1-CC08-48BA-B9F6-8869DFD11F18}"/>
    <hyperlink ref="K73" r:id="rId54" display="https://www.gov.uk/employment-tribunal-decisions?tribunal_decision_categories%5B%5D=unlawful-deduction-from-wages" xr:uid="{978E34CA-30CA-44DD-9B86-3E7F52968134}"/>
    <hyperlink ref="K74" r:id="rId55" display="https://www.gov.uk/employment-tribunal-decisions?tribunal_decision_categories%5B%5D=unlawful-deduction-from-wages" xr:uid="{2B8893F7-22BA-436F-B1FE-8ABB691EF5A4}"/>
    <hyperlink ref="K77" r:id="rId56" display="https://www.gov.uk/employment-tribunal-decisions?tribunal_decision_categories%5B%5D=unlawful-deduction-from-wages" xr:uid="{55581EDD-E620-4FE4-BB46-EF6CE32C3446}"/>
    <hyperlink ref="K78" r:id="rId57" display="https://www.gov.uk/employment-tribunal-decisions?tribunal_decision_categories%5B%5D=unlawful-deduction-from-wages" xr:uid="{286D281A-5DEB-4BC8-B279-BABF5AF2D1DD}"/>
    <hyperlink ref="K83" r:id="rId58" display="https://www.gov.uk/employment-tribunal-decisions?tribunal_decision_categories%5B%5D=unlawful-deduction-from-wages" xr:uid="{21D5930F-671E-4A8A-858C-E46583E10267}"/>
    <hyperlink ref="K84" r:id="rId59" display="https://www.gov.uk/employment-tribunal-decisions?tribunal_decision_categories%5B%5D=unlawful-deduction-from-wages" xr:uid="{465E3A32-9CC0-400F-92EA-6507CFCC0BA1}"/>
    <hyperlink ref="K89" r:id="rId60" display="https://www.gov.uk/employment-tribunal-decisions?tribunal_decision_categories%5B%5D=unlawful-deduction-from-wages" xr:uid="{CC2D7B2B-06F7-42ED-8D9D-D0D217DBD33A}"/>
    <hyperlink ref="K91" r:id="rId61" display="https://www.gov.uk/employment-tribunal-decisions?tribunal_decision_categories%5B%5D=unlawful-deduction-from-wages" xr:uid="{573436A2-4399-465B-8A3D-8709B55ACDD7}"/>
    <hyperlink ref="K99" r:id="rId62" display="https://www.gov.uk/employment-tribunal-decisions?tribunal_decision_categories%5B%5D=unlawful-deduction-from-wages" xr:uid="{759C3E93-B0D4-4355-8A50-031205798F0F}"/>
    <hyperlink ref="K104" r:id="rId63" display="https://www.gov.uk/employment-tribunal-decisions?tribunal_decision_categories%5B%5D=unlawful-deduction-from-wages" xr:uid="{E9314644-1F28-420B-9DC0-2C253037887B}"/>
    <hyperlink ref="K108" r:id="rId64" display="https://www.gov.uk/employment-tribunal-decisions?tribunal_decision_categories%5B%5D=unlawful-deduction-from-wages" xr:uid="{0869CAFB-18CA-44CE-BA70-E4311D7C0BC0}"/>
    <hyperlink ref="K111" r:id="rId65" display="https://www.gov.uk/employment-tribunal-decisions?tribunal_decision_categories%5B%5D=unlawful-deduction-from-wages" xr:uid="{5EE42846-DD65-41C3-8538-DCB5030CFD60}"/>
    <hyperlink ref="K113" r:id="rId66" display="https://www.gov.uk/employment-tribunal-decisions?tribunal_decision_categories%5B%5D=unlawful-deduction-from-wages" xr:uid="{3522586A-D9EA-4610-92EC-5DB4D607A574}"/>
    <hyperlink ref="K119" r:id="rId67" display="https://www.gov.uk/employment-tribunal-decisions?tribunal_decision_categories%5B%5D=unlawful-deduction-from-wages" xr:uid="{F3A5C5E7-BA08-4D25-975C-C29589511616}"/>
    <hyperlink ref="K132" r:id="rId68" display="https://www.gov.uk/employment-tribunal-decisions?tribunal_decision_categories%5B%5D=unlawful-deduction-from-wages" xr:uid="{A2357635-960B-4665-A5F0-06529EE2D8CC}"/>
    <hyperlink ref="K134" r:id="rId69" display="https://www.gov.uk/employment-tribunal-decisions?tribunal_decision_categories%5B%5D=unlawful-deduction-from-wages" xr:uid="{D706532C-53B8-4948-BD3B-51D8F9EE1A38}"/>
    <hyperlink ref="K138" r:id="rId70" display="https://www.gov.uk/employment-tribunal-decisions?tribunal_decision_categories%5B%5D=unlawful-deduction-from-wages" xr:uid="{4170E445-E791-4776-844E-17CC3A6743A9}"/>
    <hyperlink ref="K145" r:id="rId71" display="https://www.gov.uk/employment-tribunal-decisions?tribunal_decision_categories%5B%5D=unlawful-deduction-from-wages" xr:uid="{1685BF10-1C1B-454F-BDDF-A8F1C9AC0595}"/>
    <hyperlink ref="K153" r:id="rId72" display="https://www.gov.uk/employment-tribunal-decisions?tribunal_decision_categories%5B%5D=unlawful-deduction-from-wages" xr:uid="{9955D923-2634-42F1-A9DA-9352B001F604}"/>
    <hyperlink ref="K154" r:id="rId73" display="https://www.gov.uk/employment-tribunal-decisions?tribunal_decision_categories%5B%5D=unlawful-deduction-from-wages" xr:uid="{6ABE6DEC-3BF3-4AED-A2AE-54BBBE1185D6}"/>
    <hyperlink ref="K155" r:id="rId74" display="https://www.gov.uk/employment-tribunal-decisions?tribunal_decision_categories%5B%5D=unlawful-deduction-from-wages" xr:uid="{D5689A1D-B074-404D-A31C-9F89FE8ED9E8}"/>
    <hyperlink ref="AB67" r:id="rId75" xr:uid="{800FC199-5223-43CC-9EB1-BCF06AA4237D}"/>
    <hyperlink ref="AB68" r:id="rId76" xr:uid="{80A5E10F-5206-40F2-83C8-52A5D71538B2}"/>
    <hyperlink ref="AB69" r:id="rId77" xr:uid="{282DCA8D-297D-4307-9260-C616A43D3D49}"/>
    <hyperlink ref="AB70" r:id="rId78" xr:uid="{7D4EE4BF-C1B4-49AB-AB3F-1ABB2B620826}"/>
    <hyperlink ref="AB71" r:id="rId79" xr:uid="{9A64ABE8-0983-4582-98C7-0120C2BDFAB1}"/>
    <hyperlink ref="AB72" r:id="rId80" xr:uid="{B7981D0F-44A8-425F-8F1C-06C1D914785E}"/>
    <hyperlink ref="AB73" r:id="rId81" xr:uid="{000FFB16-6F28-4276-8B09-57F018CA6030}"/>
    <hyperlink ref="AB74" r:id="rId82" xr:uid="{0AC350B3-19C2-4427-A179-B2891496FBA3}"/>
    <hyperlink ref="AB75" r:id="rId83" xr:uid="{894B26C4-4FA8-4F31-A289-50A3958D1ADE}"/>
    <hyperlink ref="AB76" r:id="rId84" xr:uid="{26C81A00-A942-4D3D-934F-DED46FCACF70}"/>
    <hyperlink ref="AB77" r:id="rId85" xr:uid="{68865833-33CD-48E7-B0CB-E0D9B0054B2B}"/>
    <hyperlink ref="AB78" r:id="rId86" xr:uid="{0E94D1F6-D687-4CE4-90C1-A1956FCE117E}"/>
    <hyperlink ref="AB79" r:id="rId87" xr:uid="{480E953C-4025-45A8-9A30-400456A74BE9}"/>
    <hyperlink ref="AB80" r:id="rId88" xr:uid="{619192BC-9EC7-47DB-ABBB-DD20BBD2C5D8}"/>
    <hyperlink ref="AB81" r:id="rId89" xr:uid="{7643F2B4-C76C-4CA9-824C-61C92B7D7F41}"/>
    <hyperlink ref="AB82" r:id="rId90" xr:uid="{3D291280-1999-497B-8188-CE7838294CF2}"/>
    <hyperlink ref="AB83" r:id="rId91" xr:uid="{C9C2E7B6-CE69-47E7-8517-EDF1DD408D86}"/>
    <hyperlink ref="AB84" r:id="rId92" xr:uid="{0EB946D4-4D9F-4C3A-8145-118C31903B5F}"/>
    <hyperlink ref="AB85" r:id="rId93" xr:uid="{18601472-DA24-43C6-9E21-DEAD39DAAC8C}"/>
    <hyperlink ref="AB86" r:id="rId94" xr:uid="{787D5C1F-B1DD-4376-A349-757319D975F2}"/>
    <hyperlink ref="AB87" r:id="rId95" xr:uid="{0044FEDC-D550-4156-BF3E-00AE44518BD9}"/>
    <hyperlink ref="AB88" r:id="rId96" xr:uid="{470FCB50-F111-4E15-8BB0-AE50DFE84DED}"/>
    <hyperlink ref="AB89" r:id="rId97" xr:uid="{D3FEAE2C-65AF-4D0B-8167-63E61EB1520B}"/>
    <hyperlink ref="AB90" r:id="rId98" xr:uid="{CDC56254-7727-49B4-8C44-898099B606D8}"/>
    <hyperlink ref="AB91" r:id="rId99" xr:uid="{F8FE80BB-EC87-4E33-99A2-50325F6315A6}"/>
    <hyperlink ref="AB92" r:id="rId100" xr:uid="{BD752BBE-E32B-4B6A-B263-8331D4A04CA3}"/>
    <hyperlink ref="AB93" r:id="rId101" xr:uid="{502A56FE-72BB-47E7-A1C0-92EF3F6187E1}"/>
    <hyperlink ref="AB94" r:id="rId102" xr:uid="{630A9215-78D0-4392-9255-C9C69D5E2BDF}"/>
    <hyperlink ref="AB95" r:id="rId103" xr:uid="{A16D59AA-B784-4312-A398-5D49E27FF734}"/>
    <hyperlink ref="AB96" r:id="rId104" xr:uid="{4A7AEAD8-37F4-414F-A758-B9EAA6C4E040}"/>
    <hyperlink ref="AB97" r:id="rId105" xr:uid="{04DF15EC-24FB-4881-8B30-6857686664E9}"/>
    <hyperlink ref="AB98" r:id="rId106" xr:uid="{B37108F0-F27B-4C66-820A-1198F06B41B4}"/>
    <hyperlink ref="AB99" r:id="rId107" xr:uid="{8CF3CDFD-6BAC-4440-9E7A-2FA05F8ABE26}"/>
    <hyperlink ref="AB100" r:id="rId108" xr:uid="{D45E2826-E28C-4670-AD1A-AA667565B845}"/>
    <hyperlink ref="AB101" r:id="rId109" xr:uid="{AAA4221E-3FCF-41AC-A4D2-19CE8EC8FAA9}"/>
    <hyperlink ref="AB102" r:id="rId110" xr:uid="{18ACE774-376F-4501-A5F6-2CE6A1742A4A}"/>
    <hyperlink ref="AB103" r:id="rId111" xr:uid="{E596AEBF-7381-4B93-8049-CED9D998384A}"/>
    <hyperlink ref="AB104" r:id="rId112" xr:uid="{7F42A576-3A12-445B-AAE7-969DE2328728}"/>
    <hyperlink ref="AB105" r:id="rId113" xr:uid="{2B89BA64-E811-4C51-8987-80DE4AC6AF46}"/>
    <hyperlink ref="AB106" r:id="rId114" xr:uid="{22D5D759-385A-4FC4-85D0-0E2F20CD21D5}"/>
    <hyperlink ref="AB107" r:id="rId115" xr:uid="{7A615D12-69C2-44CA-B97E-5404B2BC652B}"/>
    <hyperlink ref="AB108" r:id="rId116" xr:uid="{B87BA3A8-9DEE-4BA6-A14F-C4CB06D43C36}"/>
    <hyperlink ref="AB109" r:id="rId117" xr:uid="{922EF226-6394-459F-9014-7F9004675B8F}"/>
    <hyperlink ref="AB110" r:id="rId118" xr:uid="{A5037D53-A390-4E3F-A68B-47DB95D99474}"/>
    <hyperlink ref="AB111" r:id="rId119" xr:uid="{034F2137-D1F6-4F12-A11B-15A80EBEE031}"/>
    <hyperlink ref="AB112" r:id="rId120" xr:uid="{1B7AA6E2-921C-47FD-A1EB-F2BC32EB135C}"/>
    <hyperlink ref="AB113" r:id="rId121" xr:uid="{CE6C10ED-6B22-4435-AE4C-5B33ECD8A538}"/>
    <hyperlink ref="AB114" r:id="rId122" xr:uid="{6A2ADD4F-67F2-4C5D-8430-D61DDCBCF15C}"/>
    <hyperlink ref="AB115" r:id="rId123" xr:uid="{D94198C0-AC14-42A4-BA93-02DAC263B853}"/>
    <hyperlink ref="AB116" r:id="rId124" xr:uid="{122AE485-C682-491C-A41D-FBB1DC7D3616}"/>
    <hyperlink ref="AB117" r:id="rId125" xr:uid="{427D0443-F016-4553-8F08-88E15CE410BB}"/>
    <hyperlink ref="AB118" r:id="rId126" xr:uid="{EEC68F45-FFB7-42D6-A213-4B185D0BE66D}"/>
    <hyperlink ref="AB119" r:id="rId127" xr:uid="{5F89458A-F074-434A-8B19-8DD1F2F752C6}"/>
    <hyperlink ref="AB120" r:id="rId128" xr:uid="{11171240-7607-474D-91D4-BD1452EEFA33}"/>
    <hyperlink ref="AB121" r:id="rId129" xr:uid="{EA77A1B2-784F-4FB8-A34D-3C9A44A6779D}"/>
    <hyperlink ref="AB122" r:id="rId130" xr:uid="{815A9295-76DD-4379-9D9A-29682FC8224A}"/>
    <hyperlink ref="AB123" r:id="rId131" xr:uid="{1F3CF02E-7A7B-4903-BB09-000C0244A88A}"/>
    <hyperlink ref="AB124" r:id="rId132" xr:uid="{D978FC80-6684-405E-B14C-6C8851BB28AF}"/>
    <hyperlink ref="AB125" r:id="rId133" xr:uid="{48386BA7-7FDC-47F4-AED3-538A5747195A}"/>
    <hyperlink ref="AB126" r:id="rId134" xr:uid="{C8A9EF2D-54CF-4254-9B9F-FE4B6F2D78C6}"/>
    <hyperlink ref="AB127" r:id="rId135" xr:uid="{AEA34207-17ED-4131-9D79-6719B39D6795}"/>
    <hyperlink ref="AB128" r:id="rId136" xr:uid="{52A57A46-CEDF-435E-B663-0CB115128BA8}"/>
    <hyperlink ref="AB129" r:id="rId137" xr:uid="{00419C1C-B8DB-4575-BC46-1913D1717FDB}"/>
    <hyperlink ref="AB130" r:id="rId138" xr:uid="{82EB9CA0-D5CA-4469-AE9D-1F15AEEA7FB4}"/>
    <hyperlink ref="AB131" r:id="rId139" xr:uid="{A7CC920F-1D56-46DC-8603-7E601FA49CF1}"/>
    <hyperlink ref="AB132" r:id="rId140" xr:uid="{4F830E0B-C909-4674-B49A-91D97EF2AB14}"/>
    <hyperlink ref="AB133" r:id="rId141" xr:uid="{52DA75D2-A2E2-43D1-9FAA-F2AEA82C6A10}"/>
    <hyperlink ref="AB134" r:id="rId142" xr:uid="{860DE010-5800-460C-B173-3E633E95CBFF}"/>
    <hyperlink ref="AB135" r:id="rId143" xr:uid="{7392654F-A5E6-47D6-A132-8A39C86E3B68}"/>
    <hyperlink ref="AB136" r:id="rId144" xr:uid="{793CA86E-8C42-4574-97DB-5E595C3FCC53}"/>
    <hyperlink ref="AB137" r:id="rId145" xr:uid="{1798818D-1CDE-4F27-81CD-A97A8DDC235D}"/>
    <hyperlink ref="AB138" r:id="rId146" xr:uid="{E94BE8FC-4637-4657-A2C8-FF5FAC9FFF7B}"/>
    <hyperlink ref="AB139" r:id="rId147" xr:uid="{5D59E025-314A-400B-8D9B-1AAF694708A4}"/>
    <hyperlink ref="AB140" r:id="rId148" xr:uid="{B0149B2E-3C01-4A78-A1C3-509EA75C9B5A}"/>
    <hyperlink ref="AB141" r:id="rId149" xr:uid="{524B1456-4FA5-4ECC-B370-AA702674BC73}"/>
    <hyperlink ref="AB143" r:id="rId150" xr:uid="{441ACE1B-6892-4068-9A7D-67A97CA892E4}"/>
    <hyperlink ref="AB142" r:id="rId151" xr:uid="{7A3B292D-47D8-4F6F-991A-18823409FF73}"/>
    <hyperlink ref="AB144" r:id="rId152" xr:uid="{DD3DBE8C-7578-4756-B8BC-F495C3CBFB4F}"/>
    <hyperlink ref="AB145" r:id="rId153" xr:uid="{DAC68591-403B-4DDB-8E4B-685D7619DD6D}"/>
    <hyperlink ref="AB146" r:id="rId154" xr:uid="{E3C0A8B5-F89C-42F2-9956-D3CDF149A37E}"/>
    <hyperlink ref="AB147" r:id="rId155" xr:uid="{2E40C61B-3038-4625-84DE-9CD2B8CBCD48}"/>
    <hyperlink ref="AB148" r:id="rId156" xr:uid="{B1669042-CF7D-4257-85C8-393669E7257D}"/>
    <hyperlink ref="AB149" r:id="rId157" xr:uid="{0D41EEEF-766E-499A-A1DA-04AAC9CAA997}"/>
    <hyperlink ref="AB150" r:id="rId158" xr:uid="{8810D0DC-B38E-4CF8-A01E-5326D20B9EC6}"/>
    <hyperlink ref="AB151" r:id="rId159" xr:uid="{F244662E-E485-410C-A439-7BB3E5B227F5}"/>
    <hyperlink ref="AB152" r:id="rId160" xr:uid="{B6AC016E-8AF2-44B5-B733-ECD1931B8539}"/>
    <hyperlink ref="AB153" r:id="rId161" xr:uid="{40EA3819-9516-4F17-8456-8C0C553711F2}"/>
    <hyperlink ref="AB154" r:id="rId162" xr:uid="{8BED5617-70DF-4D12-96C9-756FFDD6F20A}"/>
    <hyperlink ref="AB155" r:id="rId163" xr:uid="{FE2B1B54-02C9-44EF-8CDD-9FC4DC628171}"/>
    <hyperlink ref="AB156" r:id="rId164" xr:uid="{BC578404-7151-479A-8423-D8709FA91B6B}"/>
    <hyperlink ref="AB157" r:id="rId165" xr:uid="{90ABA65D-927C-4282-A8EE-F34D01F31097}"/>
    <hyperlink ref="AB158" r:id="rId166" xr:uid="{F0C772A3-2DED-465D-9D69-2A401E516519}"/>
    <hyperlink ref="AB159" r:id="rId167" xr:uid="{ED4921A2-9BF8-4E45-BE39-5753C10BF762}"/>
    <hyperlink ref="AB160" r:id="rId168" xr:uid="{15435456-E240-4CE9-A193-4F4B11F0CDE4}"/>
    <hyperlink ref="AB161" r:id="rId169" xr:uid="{A35648BA-F9AD-4EA8-A7C9-D473A7BC0A9A}"/>
    <hyperlink ref="AB162" r:id="rId170" xr:uid="{85F496C4-CFE4-4156-BAD7-70203AFD99F0}"/>
    <hyperlink ref="AB163" r:id="rId171" xr:uid="{7E646B54-05A7-4842-AC79-F66B2E43E6D9}"/>
    <hyperlink ref="AB164" r:id="rId172" xr:uid="{10CBC994-FE8B-4D60-9BDE-60B899ECDD39}"/>
    <hyperlink ref="AB165" r:id="rId173" xr:uid="{3F3317D8-F8B4-4D1B-884C-71045FCD8F30}"/>
    <hyperlink ref="AB166" r:id="rId174" xr:uid="{772082C9-3C1C-403C-B923-03CD0758C0F4}"/>
    <hyperlink ref="AB167" r:id="rId175" xr:uid="{28894907-AEB5-4124-940E-B1F233CDBFA1}"/>
    <hyperlink ref="AB168" r:id="rId176" xr:uid="{4CE1FB29-E43D-4E2A-A0FF-F1087A531CA0}"/>
  </hyperlinks>
  <pageMargins left="0.7" right="0.7" top="0.75" bottom="0.75" header="0.3" footer="0.3"/>
  <legacyDrawing r:id="rId17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802B8-287B-43FC-8900-B808C28817D1}">
  <dimension ref="A1:P30"/>
  <sheetViews>
    <sheetView workbookViewId="0">
      <selection activeCell="B22" sqref="B22"/>
    </sheetView>
  </sheetViews>
  <sheetFormatPr defaultRowHeight="15" x14ac:dyDescent="0.25"/>
  <cols>
    <col min="1" max="1" width="2" customWidth="1"/>
    <col min="2" max="2" width="88" customWidth="1"/>
    <col min="9" max="9" width="19" customWidth="1"/>
    <col min="10" max="10" width="0" hidden="1" customWidth="1"/>
    <col min="11" max="11" width="5.140625" hidden="1" customWidth="1"/>
  </cols>
  <sheetData>
    <row r="1" spans="1:16" ht="42" customHeight="1" x14ac:dyDescent="0.25">
      <c r="A1" s="1" t="s">
        <v>630</v>
      </c>
      <c r="I1" s="38" t="s">
        <v>626</v>
      </c>
      <c r="J1" s="38" t="s">
        <v>273</v>
      </c>
      <c r="K1" s="38" t="s">
        <v>274</v>
      </c>
      <c r="L1" s="38" t="s">
        <v>9</v>
      </c>
      <c r="M1" s="38" t="s">
        <v>625</v>
      </c>
      <c r="O1" s="1" t="s">
        <v>627</v>
      </c>
    </row>
    <row r="2" spans="1:16" x14ac:dyDescent="0.25">
      <c r="I2" t="s">
        <v>618</v>
      </c>
      <c r="J2">
        <v>1</v>
      </c>
      <c r="K2">
        <v>100</v>
      </c>
      <c r="L2">
        <f>SUMIFS(FullData!$E:$E,FullData!$F:$F,"&gt;="&amp;J2,FullData!$F:$F,"&lt;"&amp;K2)</f>
        <v>5</v>
      </c>
      <c r="M2">
        <f>COUNTIFS(FullData!$F:$F,"&gt;="&amp;J2,FullData!$F:$F,"&lt;"&amp;K2)</f>
        <v>5</v>
      </c>
      <c r="O2" s="1" t="s">
        <v>281</v>
      </c>
      <c r="P2" s="24">
        <f>MEDIAN(FullData!F:F)</f>
        <v>1440</v>
      </c>
    </row>
    <row r="3" spans="1:16" x14ac:dyDescent="0.25">
      <c r="A3" s="1" t="s">
        <v>257</v>
      </c>
      <c r="B3" s="1"/>
      <c r="C3">
        <f>COUNTA(FullData!A:A)</f>
        <v>167</v>
      </c>
      <c r="I3" t="s">
        <v>619</v>
      </c>
      <c r="J3">
        <v>100</v>
      </c>
      <c r="K3">
        <v>250</v>
      </c>
      <c r="L3">
        <f>SUMIFS(FullData!$E:$E,FullData!$F:$F,"&gt;="&amp;J3,FullData!$F:$F,"&lt;"&amp;K3)</f>
        <v>15</v>
      </c>
      <c r="M3">
        <f>COUNTIFS(FullData!$F:$F,"&gt;="&amp;J3,FullData!$F:$F,"&lt;"&amp;K3)</f>
        <v>13</v>
      </c>
      <c r="O3" s="1" t="s">
        <v>282</v>
      </c>
      <c r="P3" s="24">
        <f>AVERAGE(FullData!F:F)</f>
        <v>4198.3745301418458</v>
      </c>
    </row>
    <row r="4" spans="1:16" x14ac:dyDescent="0.25">
      <c r="A4" s="1" t="s">
        <v>278</v>
      </c>
      <c r="C4">
        <f>COUNTIF(FullData!C:C,"Underpayment")</f>
        <v>158</v>
      </c>
      <c r="I4" t="s">
        <v>620</v>
      </c>
      <c r="J4">
        <v>250</v>
      </c>
      <c r="K4">
        <v>500</v>
      </c>
      <c r="L4">
        <f>SUMIFS(FullData!$E:$E,FullData!$F:$F,"&gt;="&amp;J4,FullData!$F:$F,"&lt;"&amp;K4)</f>
        <v>17</v>
      </c>
      <c r="M4">
        <f>COUNTIFS(FullData!$F:$F,"&gt;="&amp;J4,FullData!$F:$F,"&lt;"&amp;K4)</f>
        <v>16</v>
      </c>
      <c r="N4" s="1"/>
    </row>
    <row r="5" spans="1:16" x14ac:dyDescent="0.25">
      <c r="B5" s="1" t="s">
        <v>598</v>
      </c>
      <c r="I5" t="s">
        <v>621</v>
      </c>
      <c r="J5">
        <v>500</v>
      </c>
      <c r="K5">
        <v>1000</v>
      </c>
      <c r="L5">
        <f>SUMIFS(FullData!$E:$E,FullData!$F:$F,"&gt;="&amp;J5,FullData!$F:$F,"&lt;"&amp;K5)</f>
        <v>24</v>
      </c>
      <c r="M5">
        <f>COUNTIFS(FullData!$F:$F,"&gt;="&amp;J5,FullData!$F:$F,"&lt;"&amp;K5)</f>
        <v>16</v>
      </c>
    </row>
    <row r="6" spans="1:16" x14ac:dyDescent="0.25">
      <c r="B6" s="1" t="s">
        <v>300</v>
      </c>
      <c r="C6">
        <f>COUNTIFS(FullData!C:C,"Underpayment",FullData!M:M,1)</f>
        <v>135</v>
      </c>
      <c r="I6" t="s">
        <v>622</v>
      </c>
      <c r="J6">
        <v>1000</v>
      </c>
      <c r="K6">
        <v>5000</v>
      </c>
      <c r="L6">
        <f>SUMIFS(FullData!$E:$E,FullData!$F:$F,"&gt;="&amp;J6,FullData!$F:$F,"&lt;"&amp;K6)</f>
        <v>69</v>
      </c>
      <c r="M6">
        <f>COUNTIFS(FullData!$F:$F,"&gt;="&amp;J6,FullData!$F:$F,"&lt;"&amp;K6)</f>
        <v>65</v>
      </c>
    </row>
    <row r="7" spans="1:16" x14ac:dyDescent="0.25">
      <c r="B7" s="1" t="s">
        <v>284</v>
      </c>
      <c r="C7">
        <f>COUNTIFS(FullData!C:C,"Underpayment",FullData!Q:Q,1)</f>
        <v>77</v>
      </c>
      <c r="I7" t="s">
        <v>623</v>
      </c>
      <c r="J7">
        <v>5000</v>
      </c>
      <c r="K7">
        <v>1E+19</v>
      </c>
      <c r="L7">
        <f>SUMIFS(FullData!$E:$E,FullData!$F:$F,"&gt;="&amp;J7,FullData!$F:$F,"&lt;"&amp;K7)</f>
        <v>28</v>
      </c>
      <c r="M7">
        <f>COUNTIFS(FullData!$F:$F,"&gt;="&amp;J7,FullData!$F:$F,"&lt;"&amp;K7)</f>
        <v>26</v>
      </c>
    </row>
    <row r="8" spans="1:16" x14ac:dyDescent="0.25">
      <c r="B8" s="1" t="s">
        <v>596</v>
      </c>
      <c r="C8">
        <f>COUNTIFS(FullData!C:C,"Underpayment",FullData!L:L,1)</f>
        <v>57</v>
      </c>
      <c r="I8" s="1" t="s">
        <v>624</v>
      </c>
      <c r="L8" s="1">
        <f>SUM(L2:L7)</f>
        <v>158</v>
      </c>
      <c r="M8" s="1">
        <f>SUM(M2:M7)</f>
        <v>141</v>
      </c>
    </row>
    <row r="9" spans="1:16" x14ac:dyDescent="0.25">
      <c r="B9" s="1" t="s">
        <v>599</v>
      </c>
      <c r="C9">
        <f>COUNTIFS(FullData!C:C,"Underpayment",FullData!N:N,1)</f>
        <v>54</v>
      </c>
    </row>
    <row r="10" spans="1:16" x14ac:dyDescent="0.25">
      <c r="B10" s="1" t="s">
        <v>600</v>
      </c>
      <c r="C10">
        <f>COUNTIFS(FullData!C:C,"Underpayment",FullData!P:P,1)</f>
        <v>26</v>
      </c>
    </row>
    <row r="11" spans="1:16" x14ac:dyDescent="0.25">
      <c r="B11" s="1" t="s">
        <v>601</v>
      </c>
      <c r="C11">
        <f>COUNTIFS(FullData!C:C,"Underpayment",FullData!R:R,1)</f>
        <v>72</v>
      </c>
    </row>
    <row r="12" spans="1:16" x14ac:dyDescent="0.25">
      <c r="B12" s="1" t="s">
        <v>286</v>
      </c>
      <c r="C12" s="13">
        <f>COUNTIFS(FullData!C:C,"Underpayment",FullData!S:S,1)</f>
        <v>25</v>
      </c>
    </row>
    <row r="13" spans="1:16" x14ac:dyDescent="0.25">
      <c r="B13" s="1" t="s">
        <v>602</v>
      </c>
      <c r="C13">
        <f>COUNTIFS(FullData!C:C,"Underpayment",FullData!O:O,1)</f>
        <v>21</v>
      </c>
    </row>
    <row r="14" spans="1:16" x14ac:dyDescent="0.25">
      <c r="B14" s="1" t="s">
        <v>603</v>
      </c>
      <c r="C14">
        <f>COUNTIFS(FullData!C:C,"Underpayment",FullData!T:T,1)</f>
        <v>12</v>
      </c>
      <c r="K14" s="1" t="s">
        <v>275</v>
      </c>
    </row>
    <row r="15" spans="1:16" x14ac:dyDescent="0.25">
      <c r="B15" s="1" t="s">
        <v>605</v>
      </c>
      <c r="C15">
        <f>COUNTIFS(FullData!C:C,"Underpayment",FullData!U:U,1)</f>
        <v>4</v>
      </c>
    </row>
    <row r="16" spans="1:16" x14ac:dyDescent="0.25">
      <c r="B16" s="1" t="s">
        <v>606</v>
      </c>
      <c r="C16">
        <f>COUNTIFS(FullData!C:C,"Underpayment",FullData!V:V,1)</f>
        <v>3</v>
      </c>
    </row>
    <row r="17" spans="1:3" x14ac:dyDescent="0.25">
      <c r="A17" s="1"/>
      <c r="B17" s="1" t="s">
        <v>607</v>
      </c>
      <c r="C17">
        <f>COUNTIFS(FullData!C:C,"Underpayment",FullData!W:W,1)</f>
        <v>8</v>
      </c>
    </row>
    <row r="18" spans="1:3" x14ac:dyDescent="0.25">
      <c r="B18" s="1" t="s">
        <v>608</v>
      </c>
      <c r="C18">
        <f>COUNTIFS(FullData!C:C,"Underpayment",FullData!Z:Z,"&gt;1")</f>
        <v>130</v>
      </c>
    </row>
    <row r="19" spans="1:3" x14ac:dyDescent="0.25">
      <c r="B19" s="1" t="s">
        <v>628</v>
      </c>
      <c r="C19">
        <f>COUNTIFS(FullData!C:C,"Underpayment",FullData!X:X,1)</f>
        <v>127</v>
      </c>
    </row>
    <row r="20" spans="1:3" x14ac:dyDescent="0.25">
      <c r="B20" s="1" t="s">
        <v>629</v>
      </c>
      <c r="C20">
        <f>COUNTIFS(FullData!C:C,"Underpayment",FullData!Y:Y,1)</f>
        <v>120</v>
      </c>
    </row>
    <row r="21" spans="1:3" x14ac:dyDescent="0.25">
      <c r="B21" s="1"/>
    </row>
    <row r="22" spans="1:3" x14ac:dyDescent="0.25">
      <c r="B22" s="1"/>
    </row>
    <row r="23" spans="1:3" x14ac:dyDescent="0.25">
      <c r="B23" s="1"/>
    </row>
    <row r="24" spans="1:3" x14ac:dyDescent="0.25">
      <c r="A24" s="1" t="s">
        <v>631</v>
      </c>
      <c r="B24" s="1"/>
      <c r="C24" s="13"/>
    </row>
    <row r="25" spans="1:3" x14ac:dyDescent="0.25">
      <c r="A25" s="1" t="s">
        <v>256</v>
      </c>
      <c r="B25" s="1"/>
      <c r="C25">
        <f>COUNTIF(FullData!D:D,"&gt;0")</f>
        <v>141</v>
      </c>
    </row>
    <row r="26" spans="1:3" x14ac:dyDescent="0.25">
      <c r="B26" s="1" t="s">
        <v>258</v>
      </c>
      <c r="C26">
        <f>COUNTIFS(FullData!D:D,"&gt;0",FullData!Z:Z,"&gt;1")</f>
        <v>113</v>
      </c>
    </row>
    <row r="27" spans="1:3" x14ac:dyDescent="0.25">
      <c r="B27" s="1" t="s">
        <v>259</v>
      </c>
      <c r="C27">
        <f>COUNTIFS(FullData!D:D,"&gt;0",FullData!G:G,"&gt;0")</f>
        <v>1</v>
      </c>
    </row>
    <row r="28" spans="1:3" x14ac:dyDescent="0.25">
      <c r="B28" s="1" t="s">
        <v>260</v>
      </c>
      <c r="C28">
        <f>COUNTIFS(FullData!D:D,"&gt;0",FullData!I:I,"&gt;0")</f>
        <v>5</v>
      </c>
    </row>
    <row r="29" spans="1:3" x14ac:dyDescent="0.25">
      <c r="B29" s="1" t="s">
        <v>264</v>
      </c>
      <c r="C29">
        <f>COUNTIFS(FullData!D:D,"&gt;0",FullData!H:H,"&gt;0")</f>
        <v>13</v>
      </c>
    </row>
    <row r="30" spans="1:3" x14ac:dyDescent="0.25">
      <c r="A30" s="1" t="s">
        <v>276</v>
      </c>
      <c r="B30" s="1"/>
      <c r="C30">
        <f>SUMIF(FullData!D:D,"&gt;0",FullData!E:E)</f>
        <v>158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FullData</vt:lpstr>
      <vt:lpstr>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Anna.Stansbury</dc:creator>
  <cp:lastModifiedBy>Anna Stansbury</cp:lastModifiedBy>
  <cp:lastPrinted>2019-07-17T14:47:14Z</cp:lastPrinted>
  <dcterms:created xsi:type="dcterms:W3CDTF">2019-07-17T14:21:46Z</dcterms:created>
  <dcterms:modified xsi:type="dcterms:W3CDTF">2021-05-13T12:12:34Z</dcterms:modified>
</cp:coreProperties>
</file>