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97789\Downloads\"/>
    </mc:Choice>
  </mc:AlternateContent>
  <bookViews>
    <workbookView xWindow="0" yWindow="0" windowWidth="24000" windowHeight="9435" tabRatio="763" activeTab="1"/>
  </bookViews>
  <sheets>
    <sheet name="Overview" sheetId="1" r:id="rId1"/>
    <sheet name="Holdings List (06.16.2018)" sheetId="3" r:id="rId2"/>
    <sheet name="2017 Performance" sheetId="8" r:id="rId3"/>
    <sheet name="2017 EOY Holdings" sheetId="9" r:id="rId4"/>
    <sheet name="2016 Performance" sheetId="4" r:id="rId5"/>
    <sheet name="2016 EOY Holdings" sheetId="2" r:id="rId6"/>
    <sheet name="Marketing" sheetId="5" state="hidden" r:id="rId7"/>
    <sheet name="Research List" sheetId="6" state="hidden" r:id="rId8"/>
    <sheet name="Design" sheetId="7" state="hidden" r:id="rId9"/>
    <sheet name="Raw" sheetId="10" state="hidden" r:id="rId10"/>
  </sheets>
  <externalReferences>
    <externalReference r:id="rId11"/>
  </externalReferences>
  <definedNames>
    <definedName name="_xlnm._FilterDatabase" localSheetId="7" hidden="1">'Research List'!$A$1:$C$1</definedName>
  </definedNames>
  <calcPr calcId="179017"/>
  <fileRecoveryPr autoRecover="0"/>
</workbook>
</file>

<file path=xl/calcChain.xml><?xml version="1.0" encoding="utf-8"?>
<calcChain xmlns="http://schemas.openxmlformats.org/spreadsheetml/2006/main">
  <c r="T7" i="7" l="1"/>
  <c r="S7" i="7"/>
  <c r="F41" i="3" l="1"/>
  <c r="H41" i="3" s="1"/>
  <c r="F42" i="3"/>
  <c r="H42" i="3" s="1"/>
  <c r="F46" i="3" l="1"/>
  <c r="H46" i="3" s="1"/>
  <c r="AA68" i="10"/>
  <c r="AA67" i="10"/>
  <c r="AA65" i="10"/>
  <c r="AA66" i="10"/>
  <c r="Z47" i="10" l="1"/>
  <c r="W28" i="7"/>
  <c r="W27" i="7"/>
  <c r="W26" i="7"/>
  <c r="W25" i="7"/>
  <c r="W24" i="7"/>
  <c r="F13" i="3" l="1"/>
  <c r="F29" i="3"/>
  <c r="U7" i="7"/>
  <c r="AM23" i="10"/>
  <c r="Z40" i="10"/>
  <c r="Z39" i="10"/>
  <c r="Z38" i="10"/>
  <c r="Z37" i="10"/>
  <c r="Z36" i="10"/>
  <c r="H13" i="3" l="1"/>
  <c r="H29" i="3"/>
  <c r="I13" i="10"/>
  <c r="I12" i="10"/>
  <c r="I14" i="10"/>
  <c r="I15" i="10"/>
  <c r="I16" i="10"/>
  <c r="F10" i="3" l="1"/>
  <c r="F49" i="3"/>
  <c r="F40" i="3"/>
  <c r="H40" i="3" s="1"/>
  <c r="F43" i="3"/>
  <c r="H43" i="3" s="1"/>
  <c r="F45" i="3"/>
  <c r="H45" i="3" s="1"/>
  <c r="F38" i="3"/>
  <c r="H10" i="3" l="1"/>
  <c r="H38" i="3"/>
  <c r="P35" i="5" l="1"/>
  <c r="Q35" i="5"/>
  <c r="P34" i="5"/>
  <c r="Q34" i="5"/>
  <c r="F35" i="3" l="1"/>
  <c r="F17" i="3"/>
  <c r="H35" i="3" l="1"/>
  <c r="H17" i="3"/>
  <c r="F28" i="3"/>
  <c r="F25" i="3"/>
  <c r="F24" i="3"/>
  <c r="H24" i="3" s="1"/>
  <c r="F15" i="3"/>
  <c r="B27" i="5"/>
  <c r="B23" i="5"/>
  <c r="K23" i="5" s="1"/>
  <c r="B22" i="5"/>
  <c r="K22" i="5" s="1"/>
  <c r="K21" i="5"/>
  <c r="K24" i="5"/>
  <c r="K25" i="5"/>
  <c r="H28" i="3" l="1"/>
  <c r="H25" i="3"/>
  <c r="H15" i="3"/>
  <c r="P33" i="5" l="1"/>
  <c r="Q33" i="5"/>
  <c r="F44" i="3" l="1"/>
  <c r="H44" i="3" s="1"/>
  <c r="F37" i="3"/>
  <c r="F22" i="3"/>
  <c r="F11" i="3"/>
  <c r="H11" i="3" s="1"/>
  <c r="F6" i="3"/>
  <c r="H37" i="3" l="1"/>
  <c r="H22" i="3"/>
  <c r="H6" i="3"/>
  <c r="F48" i="7" l="1"/>
  <c r="H44" i="7"/>
  <c r="H45" i="7"/>
  <c r="H46" i="7"/>
  <c r="H47" i="7"/>
  <c r="H43" i="7"/>
  <c r="Q30" i="5"/>
  <c r="Q31" i="5"/>
  <c r="Q32" i="5"/>
  <c r="Q29" i="5"/>
  <c r="P32" i="5"/>
  <c r="P31" i="5" l="1"/>
  <c r="P30" i="5"/>
  <c r="P29" i="5"/>
  <c r="F33" i="3"/>
  <c r="H33" i="3" s="1"/>
  <c r="F26" i="3"/>
  <c r="H26" i="3" s="1"/>
  <c r="F21" i="3"/>
  <c r="F8" i="3"/>
  <c r="H8" i="3" s="1"/>
  <c r="D21" i="5"/>
  <c r="F21" i="5" s="1"/>
  <c r="E21" i="5"/>
  <c r="G21" i="5"/>
  <c r="G39" i="9"/>
  <c r="H38" i="9"/>
  <c r="G38" i="9"/>
  <c r="F38" i="9"/>
  <c r="H37" i="9"/>
  <c r="F35" i="9"/>
  <c r="H35" i="9" s="1"/>
  <c r="F34" i="9"/>
  <c r="H34" i="9" s="1"/>
  <c r="F33" i="9"/>
  <c r="H33" i="9" s="1"/>
  <c r="F31" i="9"/>
  <c r="H31" i="9" s="1"/>
  <c r="F30" i="9"/>
  <c r="F29" i="9"/>
  <c r="F28" i="9"/>
  <c r="H28" i="9" s="1"/>
  <c r="F27" i="9"/>
  <c r="H27" i="9" s="1"/>
  <c r="F26" i="9"/>
  <c r="F25" i="9"/>
  <c r="F24" i="9"/>
  <c r="H24" i="9" s="1"/>
  <c r="F23" i="9"/>
  <c r="H23" i="9" s="1"/>
  <c r="F22" i="9"/>
  <c r="F21" i="9"/>
  <c r="F20" i="9"/>
  <c r="H20" i="9" s="1"/>
  <c r="F19" i="9"/>
  <c r="H19" i="9" s="1"/>
  <c r="F18" i="9"/>
  <c r="F17" i="9"/>
  <c r="F16" i="9"/>
  <c r="H16" i="9" s="1"/>
  <c r="F15" i="9"/>
  <c r="H15" i="9" s="1"/>
  <c r="F14" i="9"/>
  <c r="F13" i="9"/>
  <c r="F12" i="9"/>
  <c r="H12" i="9" s="1"/>
  <c r="F11" i="9"/>
  <c r="H11" i="9" s="1"/>
  <c r="F10" i="9"/>
  <c r="F9" i="9"/>
  <c r="F8" i="9"/>
  <c r="H8" i="9" s="1"/>
  <c r="F7" i="9"/>
  <c r="H7" i="9" s="1"/>
  <c r="F6" i="9"/>
  <c r="F5" i="9"/>
  <c r="E9" i="8"/>
  <c r="E8" i="8"/>
  <c r="H21" i="3" l="1"/>
  <c r="H6" i="9"/>
  <c r="H10" i="9"/>
  <c r="H14" i="9"/>
  <c r="H18" i="9"/>
  <c r="H22" i="9"/>
  <c r="H26" i="9"/>
  <c r="H30" i="9"/>
  <c r="F39" i="9"/>
  <c r="H5" i="9"/>
  <c r="H9" i="9"/>
  <c r="H13" i="9"/>
  <c r="H17" i="9"/>
  <c r="H21" i="9"/>
  <c r="H25" i="9"/>
  <c r="H29" i="9"/>
  <c r="I14" i="9" l="1"/>
  <c r="D5" i="8"/>
  <c r="I18" i="9"/>
  <c r="I6" i="9"/>
  <c r="I5" i="9"/>
  <c r="I9" i="9"/>
  <c r="I37" i="9"/>
  <c r="I31" i="9"/>
  <c r="I27" i="9"/>
  <c r="I23" i="9"/>
  <c r="I19" i="9"/>
  <c r="I15" i="9"/>
  <c r="I11" i="9"/>
  <c r="I7" i="9"/>
  <c r="I28" i="9"/>
  <c r="I24" i="9"/>
  <c r="I20" i="9"/>
  <c r="I16" i="9"/>
  <c r="I12" i="9"/>
  <c r="I8" i="9"/>
  <c r="I25" i="9"/>
  <c r="I29" i="9"/>
  <c r="I30" i="9"/>
  <c r="I13" i="9"/>
  <c r="H39" i="9"/>
  <c r="I26" i="9"/>
  <c r="I22" i="9"/>
  <c r="I21" i="9"/>
  <c r="I17" i="9"/>
  <c r="I10" i="9"/>
  <c r="E5" i="8" l="1"/>
  <c r="D6" i="8"/>
  <c r="E6" i="8" s="1"/>
  <c r="I39" i="9"/>
  <c r="D20" i="5" l="1"/>
  <c r="F20" i="5" s="1"/>
  <c r="E20" i="5"/>
  <c r="G20" i="5" s="1"/>
  <c r="E19" i="5"/>
  <c r="G19" i="5" s="1"/>
  <c r="B20" i="5"/>
  <c r="K20" i="5" s="1"/>
  <c r="B19" i="5"/>
  <c r="K19" i="5" s="1"/>
  <c r="F34" i="3"/>
  <c r="H34" i="3" s="1"/>
  <c r="F19" i="3"/>
  <c r="H19" i="3" s="1"/>
  <c r="D19" i="5" l="1"/>
  <c r="F19" i="5" s="1"/>
  <c r="F27" i="3"/>
  <c r="H27" i="3" s="1"/>
  <c r="F14" i="3"/>
  <c r="H14" i="3" s="1"/>
  <c r="F36" i="3" l="1"/>
  <c r="E18" i="5"/>
  <c r="G18" i="5" s="1"/>
  <c r="E17" i="5"/>
  <c r="G17" i="5"/>
  <c r="B18" i="5"/>
  <c r="D18" i="5" s="1"/>
  <c r="F18" i="5" s="1"/>
  <c r="B15" i="5"/>
  <c r="K15" i="5" s="1"/>
  <c r="K3" i="5"/>
  <c r="K4" i="5"/>
  <c r="K5" i="5"/>
  <c r="K6" i="5"/>
  <c r="K7" i="5"/>
  <c r="K8" i="5"/>
  <c r="K9" i="5"/>
  <c r="K10" i="5"/>
  <c r="K11" i="5"/>
  <c r="K12" i="5"/>
  <c r="K13" i="5"/>
  <c r="K14" i="5"/>
  <c r="K16" i="5"/>
  <c r="K17" i="5"/>
  <c r="K18" i="5"/>
  <c r="K2" i="5"/>
  <c r="D17" i="5"/>
  <c r="F17" i="5"/>
  <c r="H36" i="3" l="1"/>
  <c r="G4" i="5" l="1"/>
  <c r="F6" i="5"/>
  <c r="G6" i="5"/>
  <c r="G8" i="5"/>
  <c r="F10" i="5"/>
  <c r="G12" i="5"/>
  <c r="F14" i="5"/>
  <c r="G14" i="5"/>
  <c r="G2" i="5"/>
  <c r="E3" i="5"/>
  <c r="G3" i="5" s="1"/>
  <c r="E4" i="5"/>
  <c r="E5" i="5"/>
  <c r="G5" i="5" s="1"/>
  <c r="E6" i="5"/>
  <c r="E7" i="5"/>
  <c r="G7" i="5" s="1"/>
  <c r="E8" i="5"/>
  <c r="E9" i="5"/>
  <c r="G9" i="5" s="1"/>
  <c r="E10" i="5"/>
  <c r="G10" i="5" s="1"/>
  <c r="E11" i="5"/>
  <c r="G11" i="5" s="1"/>
  <c r="E12" i="5"/>
  <c r="E13" i="5"/>
  <c r="G13" i="5" s="1"/>
  <c r="E14" i="5"/>
  <c r="E15" i="5"/>
  <c r="G15" i="5" s="1"/>
  <c r="E16" i="5"/>
  <c r="G16" i="5" s="1"/>
  <c r="E2" i="5"/>
  <c r="D3" i="5"/>
  <c r="F3" i="5" s="1"/>
  <c r="D4" i="5"/>
  <c r="F4" i="5" s="1"/>
  <c r="D5" i="5"/>
  <c r="F5" i="5" s="1"/>
  <c r="D6" i="5"/>
  <c r="D7" i="5"/>
  <c r="F7" i="5" s="1"/>
  <c r="D8" i="5"/>
  <c r="F8" i="5" s="1"/>
  <c r="D9" i="5"/>
  <c r="F9" i="5" s="1"/>
  <c r="D10" i="5"/>
  <c r="D11" i="5"/>
  <c r="F11" i="5" s="1"/>
  <c r="D12" i="5"/>
  <c r="F12" i="5" s="1"/>
  <c r="D13" i="5"/>
  <c r="F13" i="5" s="1"/>
  <c r="D14" i="5"/>
  <c r="D15" i="5"/>
  <c r="F15" i="5" s="1"/>
  <c r="D16" i="5"/>
  <c r="F16" i="5" s="1"/>
  <c r="D2" i="5"/>
  <c r="F2" i="5" s="1"/>
  <c r="G49" i="3" l="1"/>
  <c r="F9" i="3"/>
  <c r="F7" i="3"/>
  <c r="H7" i="3" l="1"/>
  <c r="F12" i="3" l="1"/>
  <c r="H12" i="3" s="1"/>
  <c r="F32" i="3"/>
  <c r="H32" i="3" s="1"/>
  <c r="F31" i="3"/>
  <c r="H31" i="3" s="1"/>
  <c r="F20" i="3"/>
  <c r="H20" i="3" s="1"/>
  <c r="F18" i="3"/>
  <c r="H18" i="3" s="1"/>
  <c r="F5" i="3" l="1"/>
  <c r="H5" i="3" s="1"/>
  <c r="H9" i="3"/>
  <c r="F16" i="3"/>
  <c r="H16" i="3" s="1"/>
  <c r="F23" i="3"/>
  <c r="H23" i="3" s="1"/>
  <c r="H49" i="3"/>
  <c r="F30" i="3"/>
  <c r="H30" i="3" s="1"/>
  <c r="H48" i="3"/>
  <c r="G50" i="3"/>
  <c r="E9" i="4"/>
  <c r="E8" i="4"/>
  <c r="C6" i="4"/>
  <c r="F28" i="2"/>
  <c r="H28" i="2"/>
  <c r="F16" i="2"/>
  <c r="F17" i="2"/>
  <c r="F18" i="2"/>
  <c r="F20" i="2"/>
  <c r="F21" i="2"/>
  <c r="F5" i="2"/>
  <c r="F6" i="2"/>
  <c r="F7" i="2"/>
  <c r="F8" i="2"/>
  <c r="H8" i="2" s="1"/>
  <c r="F9" i="2"/>
  <c r="F10" i="2"/>
  <c r="F11" i="2"/>
  <c r="F12" i="2"/>
  <c r="F13" i="2"/>
  <c r="F14" i="2"/>
  <c r="F15" i="2"/>
  <c r="F19" i="2"/>
  <c r="F22" i="2"/>
  <c r="F23" i="2"/>
  <c r="F24" i="2"/>
  <c r="F25" i="2"/>
  <c r="F26" i="2"/>
  <c r="F29" i="2"/>
  <c r="F32" i="2"/>
  <c r="H15" i="2"/>
  <c r="H14" i="2"/>
  <c r="H13" i="2"/>
  <c r="H18" i="2"/>
  <c r="H22" i="2"/>
  <c r="H23" i="2"/>
  <c r="H10" i="2"/>
  <c r="G32" i="2"/>
  <c r="G33" i="2" s="1"/>
  <c r="H11" i="2"/>
  <c r="H7" i="2"/>
  <c r="H12" i="2"/>
  <c r="H31" i="2"/>
  <c r="H26" i="2"/>
  <c r="H24" i="2"/>
  <c r="H29" i="2"/>
  <c r="H20" i="2"/>
  <c r="H17" i="2"/>
  <c r="H16" i="2"/>
  <c r="H9" i="2"/>
  <c r="H6" i="2"/>
  <c r="H5" i="2"/>
  <c r="E9" i="1"/>
  <c r="E8" i="1"/>
  <c r="I25" i="2" l="1"/>
  <c r="I19" i="2"/>
  <c r="F33" i="2"/>
  <c r="H19" i="2"/>
  <c r="H33" i="2" s="1"/>
  <c r="H25" i="2"/>
  <c r="H32" i="2"/>
  <c r="H21" i="2"/>
  <c r="F50" i="3"/>
  <c r="I13" i="3" s="1"/>
  <c r="H50" i="3"/>
  <c r="I10" i="3" l="1"/>
  <c r="I29" i="3"/>
  <c r="I35" i="3"/>
  <c r="I38" i="3"/>
  <c r="D5" i="4"/>
  <c r="I31" i="2"/>
  <c r="I9" i="2"/>
  <c r="I13" i="2"/>
  <c r="I17" i="2"/>
  <c r="I24" i="2"/>
  <c r="I6" i="2"/>
  <c r="I10" i="2"/>
  <c r="I14" i="2"/>
  <c r="I18" i="2"/>
  <c r="I22" i="2"/>
  <c r="I26" i="2"/>
  <c r="I8" i="2"/>
  <c r="I16" i="2"/>
  <c r="I20" i="2"/>
  <c r="I7" i="2"/>
  <c r="I11" i="2"/>
  <c r="I15" i="2"/>
  <c r="I23" i="2"/>
  <c r="I5" i="2"/>
  <c r="I33" i="2" s="1"/>
  <c r="I21" i="2"/>
  <c r="I12" i="2"/>
  <c r="I28" i="3"/>
  <c r="I17" i="3"/>
  <c r="I15" i="3"/>
  <c r="I24" i="3"/>
  <c r="I25" i="3"/>
  <c r="I22" i="3"/>
  <c r="I37" i="3"/>
  <c r="I6" i="3"/>
  <c r="I11" i="3"/>
  <c r="D5" i="1"/>
  <c r="E5" i="1" s="1"/>
  <c r="D6" i="1"/>
  <c r="I26" i="3"/>
  <c r="I33" i="3"/>
  <c r="I21" i="3"/>
  <c r="I48" i="3"/>
  <c r="I8" i="3"/>
  <c r="I34" i="3"/>
  <c r="I27" i="3"/>
  <c r="I19" i="3"/>
  <c r="I14" i="3"/>
  <c r="I36" i="3"/>
  <c r="I7" i="3"/>
  <c r="I32" i="3"/>
  <c r="I12" i="3"/>
  <c r="I31" i="3"/>
  <c r="I18" i="3"/>
  <c r="I20" i="3"/>
  <c r="I23" i="3"/>
  <c r="I5" i="3"/>
  <c r="I30" i="3"/>
  <c r="I16" i="3"/>
  <c r="I9" i="3"/>
  <c r="E5" i="4" l="1"/>
  <c r="D6" i="4"/>
  <c r="E6" i="4" s="1"/>
  <c r="E6" i="1"/>
  <c r="I50" i="3"/>
</calcChain>
</file>

<file path=xl/sharedStrings.xml><?xml version="1.0" encoding="utf-8"?>
<sst xmlns="http://schemas.openxmlformats.org/spreadsheetml/2006/main" count="691" uniqueCount="512">
  <si>
    <t>Start Value</t>
  </si>
  <si>
    <t>End Value</t>
  </si>
  <si>
    <t>Apple</t>
  </si>
  <si>
    <t>Ex-Apple</t>
  </si>
  <si>
    <t>Russell 2000</t>
  </si>
  <si>
    <t>S&amp;P 500</t>
  </si>
  <si>
    <t>Performance</t>
  </si>
  <si>
    <t>Benchmarks</t>
  </si>
  <si>
    <t>Michael Boyd Portfolio</t>
  </si>
  <si>
    <t>--</t>
  </si>
  <si>
    <t xml:space="preserve">AAPL </t>
  </si>
  <si>
    <t xml:space="preserve">LM </t>
  </si>
  <si>
    <t xml:space="preserve">OCN </t>
  </si>
  <si>
    <t xml:space="preserve">PPC </t>
  </si>
  <si>
    <t xml:space="preserve">SHLX </t>
  </si>
  <si>
    <t xml:space="preserve">USG </t>
  </si>
  <si>
    <t xml:space="preserve">WLK </t>
  </si>
  <si>
    <t xml:space="preserve">WYNN </t>
  </si>
  <si>
    <t>Ticker</t>
  </si>
  <si>
    <t>Name</t>
  </si>
  <si>
    <t>Share Count</t>
  </si>
  <si>
    <t>Price</t>
  </si>
  <si>
    <t>Market Value</t>
  </si>
  <si>
    <t>Basis</t>
  </si>
  <si>
    <t>Gain/Loss</t>
  </si>
  <si>
    <t>Weight</t>
  </si>
  <si>
    <t>ABMD</t>
  </si>
  <si>
    <t>Abiomed Inc.</t>
  </si>
  <si>
    <t>Apple Inc.</t>
  </si>
  <si>
    <t>Legg Mason Inc.</t>
  </si>
  <si>
    <t>Ocwen Financial</t>
  </si>
  <si>
    <t>Pilgrim's Pride Corporation</t>
  </si>
  <si>
    <t>USG Corporation</t>
  </si>
  <si>
    <t>Westlake Chemical</t>
  </si>
  <si>
    <t>Wynn Resorts</t>
  </si>
  <si>
    <t>Money Market</t>
  </si>
  <si>
    <t>Common Stock</t>
  </si>
  <si>
    <t>Options</t>
  </si>
  <si>
    <t>Withdrawals</t>
  </si>
  <si>
    <t>Totals</t>
  </si>
  <si>
    <t xml:space="preserve"> </t>
  </si>
  <si>
    <t>Cash Holdings / Withdrawal Adjustments</t>
  </si>
  <si>
    <t>CPLP</t>
  </si>
  <si>
    <t>Capital Production LP</t>
  </si>
  <si>
    <t>Enpro  Industries</t>
  </si>
  <si>
    <t>NPO</t>
  </si>
  <si>
    <t>AIZ</t>
  </si>
  <si>
    <t>Assurant Inc.</t>
  </si>
  <si>
    <t>CE</t>
  </si>
  <si>
    <t>Celanese Corp</t>
  </si>
  <si>
    <t>BCC</t>
  </si>
  <si>
    <t>Boise Cascade</t>
  </si>
  <si>
    <t>TROX</t>
  </si>
  <si>
    <t>Tronox Incorporated</t>
  </si>
  <si>
    <t>Shell Midstream</t>
  </si>
  <si>
    <t>AVY</t>
  </si>
  <si>
    <t>Avery Dennison</t>
  </si>
  <si>
    <t>HUN</t>
  </si>
  <si>
    <t>Huntsman Corporation</t>
  </si>
  <si>
    <t>NNBR</t>
  </si>
  <si>
    <t>NN Inc</t>
  </si>
  <si>
    <t>3/17/2017 80.00 C</t>
  </si>
  <si>
    <t>AMH</t>
  </si>
  <si>
    <t>American Homes 4 Rent</t>
  </si>
  <si>
    <t>China Yuchai International</t>
  </si>
  <si>
    <t>FII</t>
  </si>
  <si>
    <t>Federated Investors</t>
  </si>
  <si>
    <t>Historial Trading Performance Statistics</t>
  </si>
  <si>
    <t>CYD</t>
  </si>
  <si>
    <t>HAE</t>
  </si>
  <si>
    <t>Haemonetics Corp</t>
  </si>
  <si>
    <t>NUE</t>
  </si>
  <si>
    <t>2/17/17 60.00 P</t>
  </si>
  <si>
    <t>2016 End Of Year Positions</t>
  </si>
  <si>
    <t>LEA</t>
  </si>
  <si>
    <t>Lear Corporation</t>
  </si>
  <si>
    <t>Current Positions</t>
  </si>
  <si>
    <t>AEO</t>
  </si>
  <si>
    <t>HSC</t>
  </si>
  <si>
    <t>Harsco Corporation</t>
  </si>
  <si>
    <t>American Eagle Outfitters</t>
  </si>
  <si>
    <t>CMP</t>
  </si>
  <si>
    <t>Compass Minerals</t>
  </si>
  <si>
    <t>LNN</t>
  </si>
  <si>
    <t>Lindsay Corporation</t>
  </si>
  <si>
    <t>MD</t>
  </si>
  <si>
    <t>Mednax Inc</t>
  </si>
  <si>
    <t>MPLX</t>
  </si>
  <si>
    <t>MPLX LP</t>
  </si>
  <si>
    <t>NAVI</t>
  </si>
  <si>
    <t>Navient Corp</t>
  </si>
  <si>
    <t>REGI</t>
  </si>
  <si>
    <t>Renewable Energy</t>
  </si>
  <si>
    <t>SXI</t>
  </si>
  <si>
    <t>Standex International</t>
  </si>
  <si>
    <t>DDR</t>
  </si>
  <si>
    <t>DDR Corporation</t>
  </si>
  <si>
    <t>BRSS</t>
  </si>
  <si>
    <t>Global Brass Copper</t>
  </si>
  <si>
    <t>IIIN</t>
  </si>
  <si>
    <t>Insteel Industries</t>
  </si>
  <si>
    <t>Industrial Insights</t>
  </si>
  <si>
    <t>TGLS</t>
  </si>
  <si>
    <t>Tecnoglass</t>
  </si>
  <si>
    <t>TS</t>
  </si>
  <si>
    <t>TWI</t>
  </si>
  <si>
    <t>Tenaris</t>
  </si>
  <si>
    <t>Titan International</t>
  </si>
  <si>
    <t xml:space="preserve"> China Yuchai</t>
  </si>
  <si>
    <t xml:space="preserve"> EnPro</t>
  </si>
  <si>
    <t xml:space="preserve"> Harsco Corporation</t>
  </si>
  <si>
    <t xml:space="preserve"> CECO Environmental</t>
  </si>
  <si>
    <t xml:space="preserve"> US Concrete</t>
  </si>
  <si>
    <t xml:space="preserve"> Lear Corporation Q4 2016 Analysis</t>
  </si>
  <si>
    <t xml:space="preserve"> Lear Corporation</t>
  </si>
  <si>
    <t xml:space="preserve"> US Ecology</t>
  </si>
  <si>
    <t xml:space="preserve"> Nucor Corporation</t>
  </si>
  <si>
    <t xml:space="preserve"> Masonite International Corporation</t>
  </si>
  <si>
    <t>Article</t>
  </si>
  <si>
    <t>Date of Publication</t>
  </si>
  <si>
    <t xml:space="preserve"> Celanese Corporation Q3 2016 Earnings Analysis</t>
  </si>
  <si>
    <t xml:space="preserve"> Celanese Corporation</t>
  </si>
  <si>
    <t xml:space="preserve"> Westlake Chemical</t>
  </si>
  <si>
    <t xml:space="preserve"> Boise Cascade</t>
  </si>
  <si>
    <t xml:space="preserve"> AdvanSix: Action To Take Heading Into Q4</t>
  </si>
  <si>
    <t xml:space="preserve"> AdvanSix</t>
  </si>
  <si>
    <t xml:space="preserve"> NN, Inc.</t>
  </si>
  <si>
    <t xml:space="preserve"> TimkenSteel</t>
  </si>
  <si>
    <t xml:space="preserve"> Huntsman Corporation</t>
  </si>
  <si>
    <t xml:space="preserve"> SunCoke Energy Partners</t>
  </si>
  <si>
    <t xml:space="preserve"> Tutor Perini Corporation</t>
  </si>
  <si>
    <t xml:space="preserve"> Welcome Letter To Subscribers</t>
  </si>
  <si>
    <t xml:space="preserve"> Global Brass And Copper</t>
  </si>
  <si>
    <t xml:space="preserve"> PRO Article Library</t>
  </si>
  <si>
    <t xml:space="preserve"> Standex International</t>
  </si>
  <si>
    <t xml:space="preserve"> Boise Cascade: Position Action</t>
  </si>
  <si>
    <t xml:space="preserve"> Compass Minerals</t>
  </si>
  <si>
    <t xml:space="preserve"> Primoris Services</t>
  </si>
  <si>
    <t xml:space="preserve"> Haynes International</t>
  </si>
  <si>
    <t xml:space="preserve"> Performance Tracking</t>
  </si>
  <si>
    <t xml:space="preserve"> Titan International</t>
  </si>
  <si>
    <t xml:space="preserve"> TriMas Corporation</t>
  </si>
  <si>
    <t xml:space="preserve"> Compass Minerals: Market Update</t>
  </si>
  <si>
    <t xml:space="preserve"> Westlake Chemical: Position Action</t>
  </si>
  <si>
    <t xml:space="preserve"> Westlake Chemical: Hurricane Impact</t>
  </si>
  <si>
    <t xml:space="preserve"> Tecnoglass</t>
  </si>
  <si>
    <t xml:space="preserve"> Insteel Industries</t>
  </si>
  <si>
    <t xml:space="preserve"> USG Corporation</t>
  </si>
  <si>
    <t xml:space="preserve"> Huntsman Corporation: Position Action</t>
  </si>
  <si>
    <t xml:space="preserve"> CECO Environmental: Revisited</t>
  </si>
  <si>
    <t xml:space="preserve"> USG Corporation: Position Action</t>
  </si>
  <si>
    <t xml:space="preserve"> Macro Monday: Issue #001</t>
  </si>
  <si>
    <t xml:space="preserve"> Macro Monday: Issue #002</t>
  </si>
  <si>
    <t xml:space="preserve"> Macro Monday: Issue #003</t>
  </si>
  <si>
    <t xml:space="preserve"> CECO Envrionmental: Position Action</t>
  </si>
  <si>
    <t xml:space="preserve"> CECO Environmental: Mid-Year Update</t>
  </si>
  <si>
    <t xml:space="preserve"> CECO Environmental: Q4 2016 Earnings Analysis</t>
  </si>
  <si>
    <t xml:space="preserve"> Global Brass And Copper: Q3 2017 Earnings Analysis</t>
  </si>
  <si>
    <t>Armstrong Flooring</t>
  </si>
  <si>
    <t xml:space="preserve"> TimkenSteel: Forward Outlook</t>
  </si>
  <si>
    <t>AFI</t>
  </si>
  <si>
    <t>HAYN</t>
  </si>
  <si>
    <t>Haynes International</t>
  </si>
  <si>
    <t>02/16/2018 175.00 C</t>
  </si>
  <si>
    <t>SBH</t>
  </si>
  <si>
    <t>Sally Beauty Holdings</t>
  </si>
  <si>
    <t xml:space="preserve"> Macro Monday: Issue #004</t>
  </si>
  <si>
    <t>Mueller Water</t>
  </si>
  <si>
    <t xml:space="preserve"> AdvanSix: Investor Relations Inquiry Data</t>
  </si>
  <si>
    <t xml:space="preserve"> EnPro: Position Action</t>
  </si>
  <si>
    <t xml:space="preserve"> EnPro: Q1 2017 Earnings Analysis</t>
  </si>
  <si>
    <t>MWA</t>
  </si>
  <si>
    <t>TTMI</t>
  </si>
  <si>
    <t>TTM Technologies</t>
  </si>
  <si>
    <t>01/19/2018 12.00 P</t>
  </si>
  <si>
    <t>02/16/2018 17.00 C</t>
  </si>
  <si>
    <t>Industrial Insights Portfolio</t>
  </si>
  <si>
    <t xml:space="preserve"> Martin Midstream</t>
  </si>
  <si>
    <t xml:space="preserve"> Sibanye-Stillwater</t>
  </si>
  <si>
    <t xml:space="preserve"> Tutor Perini Corporation: Issues Persist</t>
  </si>
  <si>
    <t>Buy</t>
  </si>
  <si>
    <t>Strong Buy</t>
  </si>
  <si>
    <t>1                  2                  3                  4                  5                  6                  7                  8                  9                10</t>
  </si>
  <si>
    <t xml:space="preserve">            Strong Sell</t>
  </si>
  <si>
    <t xml:space="preserve">     Sell</t>
  </si>
  <si>
    <t xml:space="preserve"> Hold</t>
  </si>
  <si>
    <t>Target Price</t>
  </si>
  <si>
    <t>Current Price</t>
  </si>
  <si>
    <t>Total Investment</t>
  </si>
  <si>
    <t>Return Potential</t>
  </si>
  <si>
    <t>Top</t>
  </si>
  <si>
    <t>Mid Head</t>
  </si>
  <si>
    <t>Sub Head</t>
  </si>
  <si>
    <t>Gray Subtext</t>
  </si>
  <si>
    <t xml:space="preserve"> SunCoke Energy Partners: Thoughts On SunCoke Energy Tie-Up</t>
  </si>
  <si>
    <t>NN, Inc. Versus Peers, Valuation Comps</t>
  </si>
  <si>
    <t>Company</t>
  </si>
  <si>
    <t>EV/EBITDA (forward)</t>
  </si>
  <si>
    <t>P/E Ratio (forward)</t>
  </si>
  <si>
    <t>NN, Inc.</t>
  </si>
  <si>
    <t>Curtiss-Wright</t>
  </si>
  <si>
    <t>Barnes Group</t>
  </si>
  <si>
    <t>Illinois Tool Works</t>
  </si>
  <si>
    <t>Graco</t>
  </si>
  <si>
    <t>Financial Leverage</t>
  </si>
  <si>
    <t>8.6x</t>
  </si>
  <si>
    <t>12.9x</t>
  </si>
  <si>
    <t>12.4x</t>
  </si>
  <si>
    <t>15.1x</t>
  </si>
  <si>
    <t>17.9x</t>
  </si>
  <si>
    <t>23.2x</t>
  </si>
  <si>
    <t>28.9x</t>
  </si>
  <si>
    <t>22.3x</t>
  </si>
  <si>
    <t>24.9x</t>
  </si>
  <si>
    <t>15.5x</t>
  </si>
  <si>
    <t>Group Average</t>
  </si>
  <si>
    <t>13.4x</t>
  </si>
  <si>
    <t>22.9x</t>
  </si>
  <si>
    <t>$39.00/share</t>
  </si>
  <si>
    <t xml:space="preserve"> Boise Cascade: Market Update</t>
  </si>
  <si>
    <t xml:space="preserve"> Macro Monday: Issue #005</t>
  </si>
  <si>
    <t xml:space="preserve"> Macro Monday: Issue #006</t>
  </si>
  <si>
    <t xml:space="preserve"> Macro Monday: Issue #007</t>
  </si>
  <si>
    <t xml:space="preserve"> Westlake Chemical: Q3 2016 Earnings Analysis</t>
  </si>
  <si>
    <t>Total Return</t>
  </si>
  <si>
    <t>Percentage Return</t>
  </si>
  <si>
    <t xml:space="preserve"> Westlake Chemical: Market Update</t>
  </si>
  <si>
    <t>2017 End of Year Positions</t>
  </si>
  <si>
    <t xml:space="preserve"> Armstrong Flooring</t>
  </si>
  <si>
    <t>CAPL</t>
  </si>
  <si>
    <t>CrossAmerica Partners LP</t>
  </si>
  <si>
    <t>NN Inc.</t>
  </si>
  <si>
    <t>SBGL</t>
  </si>
  <si>
    <t>Sibanye-Stillwater</t>
  </si>
  <si>
    <t>TSLA</t>
  </si>
  <si>
    <t xml:space="preserve"> NN, Inc.: Revisited</t>
  </si>
  <si>
    <t xml:space="preserve"> Celanese Corporation: Thoughts On Valuation</t>
  </si>
  <si>
    <t>Current Best Opportunities From Portfolio</t>
  </si>
  <si>
    <t>Sector</t>
  </si>
  <si>
    <t>Market</t>
  </si>
  <si>
    <t>Target</t>
  </si>
  <si>
    <t>Risk</t>
  </si>
  <si>
    <t>Industrial</t>
  </si>
  <si>
    <t>Upside</t>
  </si>
  <si>
    <t>B-</t>
  </si>
  <si>
    <t>B</t>
  </si>
  <si>
    <t>Real Estate</t>
  </si>
  <si>
    <t>La Quinta Reconciliation</t>
  </si>
  <si>
    <t>Current Enterprise Value</t>
  </si>
  <si>
    <t>Less Cash Proceeds From Wyndham</t>
  </si>
  <si>
    <t>Debt Retirement</t>
  </si>
  <si>
    <t>New Enterprise Value</t>
  </si>
  <si>
    <t>Net Debt</t>
  </si>
  <si>
    <t>Market Cap</t>
  </si>
  <si>
    <t>Post Date</t>
  </si>
  <si>
    <t>6 Month Mark</t>
  </si>
  <si>
    <t>PRO?</t>
  </si>
  <si>
    <t>12 Month Mark</t>
  </si>
  <si>
    <t>6 Month Perf</t>
  </si>
  <si>
    <t>Martin Midstream</t>
  </si>
  <si>
    <t>Yes</t>
  </si>
  <si>
    <t xml:space="preserve"> China Yuchai: Q1 2017 Earnings Analysis</t>
  </si>
  <si>
    <t xml:space="preserve"> China Yuchai: Market Update Heading Into Q4 Close</t>
  </si>
  <si>
    <t xml:space="preserve"> Standex International: Q2 2018 Earnings Analysis</t>
  </si>
  <si>
    <t xml:space="preserve"> Enbridge Energy Partners</t>
  </si>
  <si>
    <t xml:space="preserve"> USG Corporation: 2017 Comes To A Close</t>
  </si>
  <si>
    <t>$30.00/share</t>
  </si>
  <si>
    <t xml:space="preserve"> NuStar Energy</t>
  </si>
  <si>
    <t>NuStar Energy</t>
  </si>
  <si>
    <t xml:space="preserve"> Macro Monday: Issue #009</t>
  </si>
  <si>
    <t xml:space="preserve"> Macro Monday: Issue #008</t>
  </si>
  <si>
    <t>Midstream</t>
  </si>
  <si>
    <t xml:space="preserve"> Renewable Energy Group</t>
  </si>
  <si>
    <t xml:space="preserve"> Renewable Energy Group: Market Update</t>
  </si>
  <si>
    <t xml:space="preserve"> Renewable Energy Group: Position Action</t>
  </si>
  <si>
    <t xml:space="preserve"> Mueller Water</t>
  </si>
  <si>
    <t xml:space="preserve"> Insteel Industries: Takeaways Into 2018</t>
  </si>
  <si>
    <t>No</t>
  </si>
  <si>
    <t xml:space="preserve"> Titan International: Reaction To Momentum</t>
  </si>
  <si>
    <t xml:space="preserve"> Sibanye-Stillwater: Full Year 2017 Update</t>
  </si>
  <si>
    <t xml:space="preserve"> Portfolio Update As Of February 26th, 2018</t>
  </si>
  <si>
    <t xml:space="preserve"> Portfolio Update As Of February 12th, 2018</t>
  </si>
  <si>
    <t xml:space="preserve"> Portfolio Update As Of January 29th, 2018</t>
  </si>
  <si>
    <t xml:space="preserve"> AdvanSix: YTD 2017 Analysis</t>
  </si>
  <si>
    <t xml:space="preserve"> Macquarie Infrastructure Corporation</t>
  </si>
  <si>
    <t>ATI</t>
  </si>
  <si>
    <t>Allegheny Technologies</t>
  </si>
  <si>
    <t>MOH</t>
  </si>
  <si>
    <t>Molina Healthcare</t>
  </si>
  <si>
    <t>NS</t>
  </si>
  <si>
    <t xml:space="preserve"> Allegheny Technologies</t>
  </si>
  <si>
    <t xml:space="preserve"> Macro Monday: Issue #010</t>
  </si>
  <si>
    <t xml:space="preserve"> SemGroup Corporation</t>
  </si>
  <si>
    <t>SemGroup Corporation</t>
  </si>
  <si>
    <t>CrossAmerica Partners</t>
  </si>
  <si>
    <t xml:space="preserve"> Macro Monday: Issue #011</t>
  </si>
  <si>
    <t xml:space="preserve"> Portfolio Update As Of March 12th, 2018</t>
  </si>
  <si>
    <t xml:space="preserve"> Masonite International: Q3 2016 Earnings Analysis</t>
  </si>
  <si>
    <t xml:space="preserve"> Masonite International: Dipping Back In</t>
  </si>
  <si>
    <t xml:space="preserve"> Nucor Corporation: Potential Options Opportunity</t>
  </si>
  <si>
    <t>Tenaris: Position Action</t>
  </si>
  <si>
    <t>$17.00/share</t>
  </si>
  <si>
    <t xml:space="preserve"> Portfolio Update As Of March 26, 2018</t>
  </si>
  <si>
    <t xml:space="preserve"> Macro Monday: Issue #012</t>
  </si>
  <si>
    <t xml:space="preserve"> Macro Monday: Issue #013</t>
  </si>
  <si>
    <t>KLAC</t>
  </si>
  <si>
    <t>KLA-Tencor</t>
  </si>
  <si>
    <t>RRR</t>
  </si>
  <si>
    <t>Red Rock Resorts</t>
  </si>
  <si>
    <t>SBUX</t>
  </si>
  <si>
    <t>01/18/2019 60.00 P</t>
  </si>
  <si>
    <t>SEMG</t>
  </si>
  <si>
    <r>
      <t xml:space="preserve"> </t>
    </r>
    <r>
      <rPr>
        <sz val="10"/>
        <color theme="1"/>
        <rFont val="Credit Suisse Type Light"/>
        <scheme val="minor"/>
      </rPr>
      <t>Brief Note: Overseas Management Interviews</t>
    </r>
  </si>
  <si>
    <t xml:space="preserve"> Primoris Services: Willbros Takeout, Lessons On Low Margin</t>
  </si>
  <si>
    <t>TUSK</t>
  </si>
  <si>
    <t>Mammoth Energy Services</t>
  </si>
  <si>
    <t xml:space="preserve"> Tecnoglass: 2018 Outlook</t>
  </si>
  <si>
    <t xml:space="preserve"> CatchMark Timber Trust</t>
  </si>
  <si>
    <t xml:space="preserve"> NN, Inc.: Paragon Medical Purchase</t>
  </si>
  <si>
    <t xml:space="preserve"> Portfolio Update As Of April 9, 2018</t>
  </si>
  <si>
    <t xml:space="preserve"> Macro Monday: Issue #014</t>
  </si>
  <si>
    <t xml:space="preserve"> Macro Monday: Issue #015</t>
  </si>
  <si>
    <t xml:space="preserve"> Harsco Corporation: Continued Execution, Maintaining Position</t>
  </si>
  <si>
    <t xml:space="preserve"> Global Brass and Copper: Maintaining Stance</t>
  </si>
  <si>
    <t>Equity Performance By Style</t>
  </si>
  <si>
    <t>Type</t>
  </si>
  <si>
    <t>Weekly</t>
  </si>
  <si>
    <t>Monthly</t>
  </si>
  <si>
    <t>Six Months</t>
  </si>
  <si>
    <t>YTD</t>
  </si>
  <si>
    <t>Low Yield</t>
  </si>
  <si>
    <t>High Yield</t>
  </si>
  <si>
    <t>Low Beta</t>
  </si>
  <si>
    <t>High Beta</t>
  </si>
  <si>
    <t>Low Debt/EV</t>
  </si>
  <si>
    <t>High Debt/EV</t>
  </si>
  <si>
    <t>Low EPS Growth</t>
  </si>
  <si>
    <t>High EPS Growth</t>
  </si>
  <si>
    <t>Low Revenue Growth</t>
  </si>
  <si>
    <t>High Revenue Growth</t>
  </si>
  <si>
    <t xml:space="preserve"> US Ecology: Indifferent To Owning Shares</t>
  </si>
  <si>
    <t xml:space="preserve"> AK Steel</t>
  </si>
  <si>
    <t xml:space="preserve"> Lear Corporation: Biding Our Time</t>
  </si>
  <si>
    <t>Western Union</t>
  </si>
  <si>
    <t>SPY</t>
  </si>
  <si>
    <t>01/18/2019 270.00 P</t>
  </si>
  <si>
    <t>10/19/2018 15.00 C</t>
  </si>
  <si>
    <t>CTT</t>
  </si>
  <si>
    <t>CatchMark Timber</t>
  </si>
  <si>
    <t>WU</t>
  </si>
  <si>
    <t xml:space="preserve"> Macro Monday: Issue #016</t>
  </si>
  <si>
    <t xml:space="preserve"> Macro Monday: Issue #017</t>
  </si>
  <si>
    <t xml:space="preserve"> US Concrete: Buying Back Into Shares</t>
  </si>
  <si>
    <t xml:space="preserve"> Portfolio Update As Of April 23, 2018</t>
  </si>
  <si>
    <t>US Concrete</t>
  </si>
  <si>
    <t>GAMCO</t>
  </si>
  <si>
    <t>Pzena</t>
  </si>
  <si>
    <t>Waddell &amp; Reed</t>
  </si>
  <si>
    <t>Virtus</t>
  </si>
  <si>
    <t>Artisan Partners</t>
  </si>
  <si>
    <t>Assets Under Management</t>
  </si>
  <si>
    <t>Price to AUM</t>
  </si>
  <si>
    <t>Asset Managers Levered to Active Equity Management</t>
  </si>
  <si>
    <t>$758mm</t>
  </si>
  <si>
    <t>$617mm</t>
  </si>
  <si>
    <t>$81,082mm</t>
  </si>
  <si>
    <t>$43,063mm</t>
  </si>
  <si>
    <t>$38,500mm</t>
  </si>
  <si>
    <t>$91,000mm</t>
  </si>
  <si>
    <t>$115,494mm</t>
  </si>
  <si>
    <t>$1678mm</t>
  </si>
  <si>
    <t>$826mm</t>
  </si>
  <si>
    <t>$2,471mm</t>
  </si>
  <si>
    <t>Forward P/E</t>
  </si>
  <si>
    <t>11.07x</t>
  </si>
  <si>
    <t>10.65x</t>
  </si>
  <si>
    <t>9.83x</t>
  </si>
  <si>
    <t>9.19x</t>
  </si>
  <si>
    <t>10.14x</t>
  </si>
  <si>
    <t>SHI</t>
  </si>
  <si>
    <t xml:space="preserve"> Macro Monday: Issue #018</t>
  </si>
  <si>
    <t xml:space="preserve"> Sinopec Shanghai Petrochemical</t>
  </si>
  <si>
    <t xml:space="preserve"> Portfolio Update As Of May 7, 2018</t>
  </si>
  <si>
    <t xml:space="preserve"> Titan International: Q1 2018 Earnings Analysis</t>
  </si>
  <si>
    <t>Average Fee Rate</t>
  </si>
  <si>
    <t>Asset Managers, Fees and Morningstar Rating</t>
  </si>
  <si>
    <t>Plains All American</t>
  </si>
  <si>
    <t>Cut Date</t>
  </si>
  <si>
    <t>Total Return Since Cut</t>
  </si>
  <si>
    <t>Benchmark Performance</t>
  </si>
  <si>
    <t>Enbridge Energy Partners</t>
  </si>
  <si>
    <t>Suburban Propane Partners</t>
  </si>
  <si>
    <t>Williams Partners</t>
  </si>
  <si>
    <t>Genesis Energy</t>
  </si>
  <si>
    <t>Bear</t>
  </si>
  <si>
    <t>Base</t>
  </si>
  <si>
    <t>Bull</t>
  </si>
  <si>
    <t>85bps</t>
  </si>
  <si>
    <t>75bps</t>
  </si>
  <si>
    <t>80bps</t>
  </si>
  <si>
    <t>Annual Outflow</t>
  </si>
  <si>
    <t>10% annual loss</t>
  </si>
  <si>
    <t>10% annual gain</t>
  </si>
  <si>
    <t>Revenue Forecast</t>
  </si>
  <si>
    <t>4.3mm loss</t>
  </si>
  <si>
    <t>7% annual loss</t>
  </si>
  <si>
    <t>4% annual loss</t>
  </si>
  <si>
    <t>3mm loss</t>
  </si>
  <si>
    <t>1.7mm loss</t>
  </si>
  <si>
    <t>2mm gain</t>
  </si>
  <si>
    <t>4mm gain</t>
  </si>
  <si>
    <t>2019 AUM Forecast</t>
  </si>
  <si>
    <t>0% annual gain</t>
  </si>
  <si>
    <t>2019 Revenue Forecast</t>
  </si>
  <si>
    <t>$27.6bb</t>
  </si>
  <si>
    <t>$37.9bb</t>
  </si>
  <si>
    <t>$50.0bb</t>
  </si>
  <si>
    <t>$207mm</t>
  </si>
  <si>
    <t>$303mm</t>
  </si>
  <si>
    <t>$425mm</t>
  </si>
  <si>
    <t>Gamco Investors, Sensitivity Exercise</t>
  </si>
  <si>
    <t xml:space="preserve"> HollySys Automation</t>
  </si>
  <si>
    <t xml:space="preserve"> Aluminum Corporation of China</t>
  </si>
  <si>
    <t xml:space="preserve"> US Concrete: Q4 2016 Earnings Analysis</t>
  </si>
  <si>
    <t>Realized Funds</t>
  </si>
  <si>
    <t>Sinopec Shanghai</t>
  </si>
  <si>
    <t>Tesla Inc</t>
  </si>
  <si>
    <t>USCR</t>
  </si>
  <si>
    <t>11/16/2018 190.00 C</t>
  </si>
  <si>
    <t>GBL</t>
  </si>
  <si>
    <t>GAMCO Investors</t>
  </si>
  <si>
    <t>$22.00/share</t>
  </si>
  <si>
    <t>New DDR Peer Comps, 2018 Valuation Estimates</t>
  </si>
  <si>
    <t>Kimco Realty</t>
  </si>
  <si>
    <t>New DDR Corporation</t>
  </si>
  <si>
    <t>2018 NOI Estimate</t>
  </si>
  <si>
    <t>Current Cap Rate</t>
  </si>
  <si>
    <t>ROIC</t>
  </si>
  <si>
    <t>REG</t>
  </si>
  <si>
    <t>Brixmor Property Group</t>
  </si>
  <si>
    <t>Retail Properties of America</t>
  </si>
  <si>
    <t>Kite Realty Group</t>
  </si>
  <si>
    <t>Retail Value Inc, Valuation Based on 2018 Pro Forma NOI</t>
  </si>
  <si>
    <t>Blended Cap Rate</t>
  </si>
  <si>
    <t>Implied Valuation</t>
  </si>
  <si>
    <t>Price Per Share</t>
  </si>
  <si>
    <t>$915mm</t>
  </si>
  <si>
    <t>$215mm</t>
  </si>
  <si>
    <t>$360mm</t>
  </si>
  <si>
    <t>$895mm</t>
  </si>
  <si>
    <t>$415mm</t>
  </si>
  <si>
    <t>$2,333mm</t>
  </si>
  <si>
    <t>$2,470mm</t>
  </si>
  <si>
    <t>$2,625mm</t>
  </si>
  <si>
    <t>$4.94/share</t>
  </si>
  <si>
    <t>$4.20/share</t>
  </si>
  <si>
    <t>$5.76/share</t>
  </si>
  <si>
    <t xml:space="preserve"> Armstrong Flooring: Position Action</t>
  </si>
  <si>
    <t>US Concrete: Spruce Point Rebuttal</t>
  </si>
  <si>
    <t xml:space="preserve"> Sibanye-Stillwater: Outlook Update</t>
  </si>
  <si>
    <t xml:space="preserve"> Portfolio Update As Of May 21, 2018</t>
  </si>
  <si>
    <t xml:space="preserve"> Macro Monday: Issue #019</t>
  </si>
  <si>
    <t xml:space="preserve"> Macro Monday: Issue #020</t>
  </si>
  <si>
    <t xml:space="preserve"> GAMCO Investors</t>
  </si>
  <si>
    <t xml:space="preserve"> NN, Inc.: Outlook Delayed, Still A Strong Investment</t>
  </si>
  <si>
    <t xml:space="preserve"> Compass Minerals: Stepping Away</t>
  </si>
  <si>
    <t xml:space="preserve"> Mueller Water: Still Interesting</t>
  </si>
  <si>
    <t>Front Yard Residential, Efficiency as Percentage of Revenue</t>
  </si>
  <si>
    <t>Las Vegas Sands</t>
  </si>
  <si>
    <t>MGM Resorts</t>
  </si>
  <si>
    <t>Caesars Entertainment</t>
  </si>
  <si>
    <t>$5,190mm</t>
  </si>
  <si>
    <t>$2,969mm</t>
  </si>
  <si>
    <t>$2,397mm</t>
  </si>
  <si>
    <t>$2,176mm</t>
  </si>
  <si>
    <t>2018 EBITDA Consensus</t>
  </si>
  <si>
    <t>EV/EBITDA</t>
  </si>
  <si>
    <t>FCF Estimate</t>
  </si>
  <si>
    <t>13.8x</t>
  </si>
  <si>
    <t>11.28x</t>
  </si>
  <si>
    <t>6.27x</t>
  </si>
  <si>
    <t>12.99x</t>
  </si>
  <si>
    <t>$85.00/share</t>
  </si>
  <si>
    <t>$60.65/share</t>
  </si>
  <si>
    <t>$21.30/share</t>
  </si>
  <si>
    <t>$15.22/share</t>
  </si>
  <si>
    <t>$25.40/share</t>
  </si>
  <si>
    <t>$11.59/share</t>
  </si>
  <si>
    <t>B+</t>
  </si>
  <si>
    <t>11/16/2018 60.00 C</t>
  </si>
  <si>
    <t>EBITDA</t>
  </si>
  <si>
    <t>$285mm</t>
  </si>
  <si>
    <t>Less Maintenance</t>
  </si>
  <si>
    <t>Less Preferred Payments</t>
  </si>
  <si>
    <t>DCF</t>
  </si>
  <si>
    <t>Coverage</t>
  </si>
  <si>
    <t>Less Interest Expense</t>
  </si>
  <si>
    <t>$75mm</t>
  </si>
  <si>
    <t>$35mm</t>
  </si>
  <si>
    <t>$55mm</t>
  </si>
  <si>
    <t>American Midstream, EBITDA to DCF Walk</t>
  </si>
  <si>
    <t>$120mm</t>
  </si>
  <si>
    <t>1.04x</t>
  </si>
  <si>
    <t>$295mm</t>
  </si>
  <si>
    <t>$130mm</t>
  </si>
  <si>
    <t>1.13x</t>
  </si>
  <si>
    <t>RESI</t>
  </si>
  <si>
    <t>Front Yard Resi</t>
  </si>
  <si>
    <t>10/19/2018 25.00 C</t>
  </si>
  <si>
    <t>11/16/2018 200.00 C</t>
  </si>
  <si>
    <t>$12.00/share</t>
  </si>
  <si>
    <t>$7.00/share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</si>
</sst>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0"/>
    <numFmt numFmtId="165" formatCode="0.0%"/>
    <numFmt numFmtId="166" formatCode="0.0"/>
  </numFmts>
  <fonts count="37">
    <font>
      <sz val="10"/>
      <color theme="1"/>
      <name val="Credit Suisse Type Light"/>
      <family val="2"/>
      <scheme val="minor"/>
    </font>
    <font>
      <b/>
      <sz val="10"/>
      <color rgb="FFFA7D00"/>
      <name val="Credit Suisse Type Light"/>
      <family val="2"/>
      <scheme val="minor"/>
    </font>
    <font>
      <b/>
      <sz val="10"/>
      <color theme="0"/>
      <name val="Credit Suisse Type Light"/>
      <family val="2"/>
      <scheme val="minor"/>
    </font>
    <font>
      <sz val="10"/>
      <color rgb="FF9C6500"/>
      <name val="Credit Suisse Type Light"/>
      <family val="2"/>
      <scheme val="minor"/>
    </font>
    <font>
      <sz val="10"/>
      <color rgb="FF9C0006"/>
      <name val="Credit Suisse Type Light"/>
      <family val="2"/>
      <scheme val="minor"/>
    </font>
    <font>
      <sz val="10"/>
      <color rgb="FF006100"/>
      <name val="Credit Suisse Type Light"/>
      <family val="2"/>
      <scheme val="minor"/>
    </font>
    <font>
      <b/>
      <sz val="10"/>
      <color rgb="FF3F3F3F"/>
      <name val="Credit Suisse Type Light"/>
      <family val="2"/>
      <scheme val="minor"/>
    </font>
    <font>
      <sz val="10"/>
      <color rgb="FFFF0000"/>
      <name val="Credit Suisse Type Light"/>
      <family val="2"/>
      <scheme val="minor"/>
    </font>
    <font>
      <sz val="10"/>
      <color theme="1"/>
      <name val="Credit Suisse Type Light"/>
      <family val="2"/>
      <scheme val="minor"/>
    </font>
    <font>
      <sz val="10"/>
      <color rgb="FFFA7D00"/>
      <name val="Credit Suisse Type Light"/>
      <family val="2"/>
      <scheme val="minor"/>
    </font>
    <font>
      <sz val="10"/>
      <color rgb="FF3F3F76"/>
      <name val="Credit Suisse Type Light"/>
      <family val="2"/>
      <scheme val="minor"/>
    </font>
    <font>
      <i/>
      <sz val="10"/>
      <color rgb="FF7F7F7F"/>
      <name val="Credit Suisse Type Light"/>
      <family val="2"/>
      <scheme val="minor"/>
    </font>
    <font>
      <b/>
      <sz val="10"/>
      <name val="Credit Suisse Type Light"/>
      <family val="2"/>
      <scheme val="minor"/>
    </font>
    <font>
      <b/>
      <sz val="10"/>
      <color theme="0" tint="-0.34998626667073579"/>
      <name val="Credit Suisse Type Light"/>
      <family val="2"/>
      <scheme val="minor"/>
    </font>
    <font>
      <b/>
      <sz val="10"/>
      <color theme="1"/>
      <name val="Credit Suisse Type Light"/>
      <family val="2"/>
      <scheme val="minor"/>
    </font>
    <font>
      <b/>
      <sz val="14"/>
      <name val="Credit Suisse Type Light"/>
      <family val="2"/>
      <scheme val="maj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333333"/>
      <name val="Arial"/>
      <family val="2"/>
    </font>
    <font>
      <sz val="14"/>
      <color rgb="FF333333"/>
      <name val="Arial"/>
      <family val="2"/>
    </font>
    <font>
      <b/>
      <sz val="10"/>
      <color rgb="FF333333"/>
      <name val="Arial"/>
      <family val="2"/>
    </font>
    <font>
      <b/>
      <sz val="16"/>
      <color rgb="FFFFC000"/>
      <name val="Credit Suisse Type Light"/>
      <family val="2"/>
      <scheme val="minor"/>
    </font>
    <font>
      <sz val="11"/>
      <color rgb="FFFFFF00"/>
      <name val="Credit Suisse Type Light"/>
      <family val="2"/>
      <scheme val="minor"/>
    </font>
    <font>
      <b/>
      <sz val="11"/>
      <color rgb="FFFFFF00"/>
      <name val="Credit Suisse Type Light"/>
      <scheme val="minor"/>
    </font>
    <font>
      <b/>
      <sz val="10"/>
      <color theme="1"/>
      <name val="Credit Suisse Type Light"/>
      <scheme val="minor"/>
    </font>
    <font>
      <sz val="6"/>
      <color rgb="FF000000"/>
      <name val="Inherit"/>
    </font>
    <font>
      <sz val="10"/>
      <name val="Credit Suisse Type Light"/>
      <family val="2"/>
      <scheme val="minor"/>
    </font>
    <font>
      <sz val="10"/>
      <name val="Arial"/>
      <family val="2"/>
    </font>
    <font>
      <b/>
      <sz val="10"/>
      <name val="Credit Suisse Type Light"/>
      <scheme val="minor"/>
    </font>
    <font>
      <b/>
      <sz val="10"/>
      <color rgb="FFFFC000"/>
      <name val="Credit Suisse Type Light"/>
      <family val="2"/>
      <scheme val="minor"/>
    </font>
    <font>
      <sz val="10"/>
      <color theme="1"/>
      <name val="Credit Suisse Type Light"/>
      <scheme val="minor"/>
    </font>
    <font>
      <sz val="10"/>
      <name val="Credit Suisse Type Light"/>
      <scheme val="minor"/>
    </font>
    <font>
      <b/>
      <sz val="11"/>
      <color rgb="FFFFC000"/>
      <name val="Credit Suisse Type Light"/>
      <scheme val="minor"/>
    </font>
    <font>
      <sz val="11"/>
      <color theme="1"/>
      <name val="Credit Suisse Type Light"/>
      <scheme val="minor"/>
    </font>
    <font>
      <b/>
      <sz val="11"/>
      <color theme="1"/>
      <name val="Credit Suisse Type Light"/>
      <scheme val="minor"/>
    </font>
    <font>
      <sz val="11"/>
      <color rgb="FFFF0000"/>
      <name val="Credit Suisse Type Light"/>
      <scheme val="minor"/>
    </font>
    <font>
      <sz val="11"/>
      <name val="Credit Suisse Type Light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749961851863155"/>
        <bgColor indexed="64"/>
      </patternFill>
    </fill>
    <fill>
      <patternFill patternType="solid">
        <fgColor rgb="FFFFFFFF"/>
        <bgColor indexed="64"/>
      </patternFill>
    </fill>
    <fill>
      <gradientFill>
        <stop position="0">
          <color rgb="FFFF0000"/>
        </stop>
        <stop position="1">
          <color rgb="FF92D050"/>
        </stop>
      </gradient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</fills>
  <borders count="3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theme="4" tint="0.4999847407452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/>
      <top style="thick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19">
    <xf numFmtId="0" fontId="0" fillId="0" borderId="0"/>
    <xf numFmtId="0" fontId="12" fillId="0" borderId="7" applyNumberFormat="0" applyFill="0" applyAlignment="0" applyProtection="0"/>
    <xf numFmtId="0" fontId="13" fillId="0" borderId="8" applyNumberFormat="0" applyFill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4" fillId="3" borderId="0" applyNumberFormat="0" applyBorder="0" applyAlignment="0" applyProtection="0"/>
    <xf numFmtId="0" fontId="3" fillId="4" borderId="0" applyNumberFormat="0" applyBorder="0" applyAlignment="0" applyProtection="0"/>
    <xf numFmtId="0" fontId="10" fillId="5" borderId="1" applyNumberFormat="0" applyAlignment="0" applyProtection="0"/>
    <xf numFmtId="0" fontId="6" fillId="6" borderId="2" applyNumberFormat="0" applyAlignment="0" applyProtection="0"/>
    <xf numFmtId="0" fontId="1" fillId="6" borderId="1" applyNumberFormat="0" applyAlignment="0" applyProtection="0"/>
    <xf numFmtId="0" fontId="9" fillId="0" borderId="3" applyNumberFormat="0" applyFill="0" applyAlignment="0" applyProtection="0"/>
    <xf numFmtId="0" fontId="2" fillId="7" borderId="4" applyNumberFormat="0" applyAlignment="0" applyProtection="0"/>
    <xf numFmtId="0" fontId="7" fillId="0" borderId="0" applyNumberFormat="0" applyFill="0" applyBorder="0" applyAlignment="0" applyProtection="0"/>
    <xf numFmtId="0" fontId="8" fillId="8" borderId="5" applyNumberFormat="0" applyAlignment="0" applyProtection="0"/>
    <xf numFmtId="0" fontId="11" fillId="0" borderId="0" applyNumberFormat="0" applyFill="0" applyBorder="0" applyAlignment="0" applyProtection="0"/>
    <xf numFmtId="0" fontId="14" fillId="0" borderId="6" applyNumberFormat="0" applyFill="0" applyAlignment="0" applyProtection="0"/>
    <xf numFmtId="0" fontId="15" fillId="0" borderId="0" applyNumberFormat="0" applyFill="0" applyBorder="0" applyAlignment="0" applyProtection="0"/>
    <xf numFmtId="44" fontId="8" fillId="0" borderId="0" applyFont="0" applyFill="0" applyBorder="0" applyAlignment="0" applyProtection="0"/>
  </cellStyleXfs>
  <cellXfs count="155">
    <xf numFmtId="0" fontId="0" fillId="0" borderId="0" xfId="0"/>
    <xf numFmtId="3" fontId="0" fillId="0" borderId="0" xfId="0" applyNumberFormat="1"/>
    <xf numFmtId="10" fontId="0" fillId="0" borderId="0" xfId="0" applyNumberFormat="1"/>
    <xf numFmtId="0" fontId="17" fillId="0" borderId="16" xfId="0" applyFont="1" applyBorder="1"/>
    <xf numFmtId="10" fontId="17" fillId="0" borderId="17" xfId="0" applyNumberFormat="1" applyFont="1" applyBorder="1"/>
    <xf numFmtId="0" fontId="16" fillId="0" borderId="18" xfId="0" applyFont="1" applyBorder="1"/>
    <xf numFmtId="10" fontId="17" fillId="0" borderId="19" xfId="0" applyNumberFormat="1" applyFont="1" applyBorder="1"/>
    <xf numFmtId="4" fontId="17" fillId="0" borderId="7" xfId="0" applyNumberFormat="1" applyFont="1" applyBorder="1"/>
    <xf numFmtId="44" fontId="17" fillId="0" borderId="0" xfId="18" applyFont="1" applyBorder="1"/>
    <xf numFmtId="44" fontId="0" fillId="0" borderId="0" xfId="18" applyFont="1"/>
    <xf numFmtId="0" fontId="0" fillId="0" borderId="0" xfId="0" applyAlignment="1">
      <alignment horizontal="left"/>
    </xf>
    <xf numFmtId="0" fontId="17" fillId="0" borderId="13" xfId="0" applyFont="1" applyBorder="1"/>
    <xf numFmtId="0" fontId="18" fillId="0" borderId="14" xfId="0" applyFont="1" applyBorder="1" applyAlignment="1">
      <alignment horizontal="left" vertical="center" wrapText="1" indent="1"/>
    </xf>
    <xf numFmtId="3" fontId="18" fillId="0" borderId="14" xfId="0" applyNumberFormat="1" applyFont="1" applyBorder="1" applyAlignment="1">
      <alignment horizontal="right" vertical="center" wrapText="1" indent="1"/>
    </xf>
    <xf numFmtId="8" fontId="18" fillId="0" borderId="14" xfId="0" applyNumberFormat="1" applyFont="1" applyBorder="1" applyAlignment="1">
      <alignment horizontal="left" vertical="center" wrapText="1" indent="1"/>
    </xf>
    <xf numFmtId="44" fontId="18" fillId="0" borderId="14" xfId="18" applyFont="1" applyBorder="1" applyAlignment="1">
      <alignment horizontal="left" vertical="center" wrapText="1" indent="1"/>
    </xf>
    <xf numFmtId="44" fontId="18" fillId="0" borderId="14" xfId="0" applyNumberFormat="1" applyFont="1" applyBorder="1" applyAlignment="1">
      <alignment horizontal="left" vertical="center" wrapText="1" indent="1"/>
    </xf>
    <xf numFmtId="0" fontId="18" fillId="0" borderId="0" xfId="0" applyFont="1" applyBorder="1" applyAlignment="1">
      <alignment horizontal="left" vertical="center" wrapText="1" indent="1"/>
    </xf>
    <xf numFmtId="3" fontId="18" fillId="0" borderId="0" xfId="0" applyNumberFormat="1" applyFont="1" applyBorder="1" applyAlignment="1">
      <alignment horizontal="right" vertical="center" wrapText="1" indent="1"/>
    </xf>
    <xf numFmtId="8" fontId="18" fillId="0" borderId="0" xfId="0" applyNumberFormat="1" applyFont="1" applyBorder="1" applyAlignment="1">
      <alignment horizontal="left" vertical="center" wrapText="1" indent="1"/>
    </xf>
    <xf numFmtId="44" fontId="18" fillId="0" borderId="0" xfId="18" applyFont="1" applyBorder="1" applyAlignment="1">
      <alignment horizontal="left" vertical="center" wrapText="1" indent="1"/>
    </xf>
    <xf numFmtId="44" fontId="18" fillId="0" borderId="0" xfId="0" applyNumberFormat="1" applyFont="1" applyBorder="1" applyAlignment="1">
      <alignment horizontal="left" vertical="center" wrapText="1" indent="1"/>
    </xf>
    <xf numFmtId="0" fontId="17" fillId="0" borderId="18" xfId="0" applyFont="1" applyBorder="1"/>
    <xf numFmtId="0" fontId="18" fillId="0" borderId="7" xfId="0" applyFont="1" applyBorder="1" applyAlignment="1">
      <alignment horizontal="left" vertical="center" wrapText="1" indent="1"/>
    </xf>
    <xf numFmtId="3" fontId="18" fillId="0" borderId="7" xfId="0" applyNumberFormat="1" applyFont="1" applyBorder="1" applyAlignment="1">
      <alignment horizontal="right" vertical="center" wrapText="1" indent="1"/>
    </xf>
    <xf numFmtId="8" fontId="18" fillId="0" borderId="7" xfId="0" applyNumberFormat="1" applyFont="1" applyBorder="1" applyAlignment="1">
      <alignment horizontal="left" vertical="center" wrapText="1" indent="1"/>
    </xf>
    <xf numFmtId="44" fontId="18" fillId="0" borderId="7" xfId="18" applyFont="1" applyBorder="1" applyAlignment="1">
      <alignment horizontal="left" vertical="center" wrapText="1" indent="1"/>
    </xf>
    <xf numFmtId="44" fontId="18" fillId="0" borderId="7" xfId="0" applyNumberFormat="1" applyFont="1" applyBorder="1" applyAlignment="1">
      <alignment horizontal="left" vertical="center" wrapText="1" indent="1"/>
    </xf>
    <xf numFmtId="10" fontId="16" fillId="10" borderId="9" xfId="0" applyNumberFormat="1" applyFont="1" applyFill="1" applyBorder="1" applyAlignment="1">
      <alignment horizontal="left"/>
    </xf>
    <xf numFmtId="0" fontId="16" fillId="0" borderId="13" xfId="0" applyFont="1" applyBorder="1"/>
    <xf numFmtId="4" fontId="17" fillId="0" borderId="14" xfId="0" applyNumberFormat="1" applyFont="1" applyBorder="1"/>
    <xf numFmtId="10" fontId="17" fillId="0" borderId="15" xfId="0" applyNumberFormat="1" applyFont="1" applyBorder="1"/>
    <xf numFmtId="10" fontId="18" fillId="0" borderId="17" xfId="0" applyNumberFormat="1" applyFont="1" applyBorder="1" applyAlignment="1">
      <alignment horizontal="center" vertical="center" wrapText="1"/>
    </xf>
    <xf numFmtId="44" fontId="20" fillId="9" borderId="7" xfId="18" applyFont="1" applyFill="1" applyBorder="1" applyAlignment="1">
      <alignment horizontal="left" vertical="center" wrapText="1" indent="1"/>
    </xf>
    <xf numFmtId="44" fontId="20" fillId="9" borderId="7" xfId="0" applyNumberFormat="1" applyFont="1" applyFill="1" applyBorder="1" applyAlignment="1">
      <alignment horizontal="left" vertical="center" wrapText="1" indent="1"/>
    </xf>
    <xf numFmtId="0" fontId="22" fillId="13" borderId="7" xfId="0" applyFont="1" applyFill="1" applyBorder="1" applyAlignment="1">
      <alignment horizontal="center"/>
    </xf>
    <xf numFmtId="0" fontId="23" fillId="13" borderId="7" xfId="0" applyFont="1" applyFill="1" applyBorder="1" applyAlignment="1">
      <alignment horizontal="center" vertical="center"/>
    </xf>
    <xf numFmtId="44" fontId="18" fillId="0" borderId="0" xfId="18" applyFont="1" applyFill="1" applyBorder="1" applyAlignment="1">
      <alignment horizontal="left" vertical="center" wrapText="1" indent="1"/>
    </xf>
    <xf numFmtId="14" fontId="0" fillId="0" borderId="0" xfId="0" applyNumberFormat="1"/>
    <xf numFmtId="4" fontId="0" fillId="0" borderId="0" xfId="0" applyNumberFormat="1"/>
    <xf numFmtId="0" fontId="0" fillId="9" borderId="0" xfId="0" applyFill="1"/>
    <xf numFmtId="0" fontId="0" fillId="0" borderId="0" xfId="0" applyFill="1"/>
    <xf numFmtId="0" fontId="24" fillId="0" borderId="0" xfId="0" applyFont="1"/>
    <xf numFmtId="0" fontId="24" fillId="0" borderId="0" xfId="0" applyFont="1" applyFill="1"/>
    <xf numFmtId="0" fontId="25" fillId="0" borderId="0" xfId="0" applyFont="1" applyFill="1" applyAlignment="1">
      <alignment horizontal="left" vertical="center" wrapText="1"/>
    </xf>
    <xf numFmtId="14" fontId="27" fillId="0" borderId="0" xfId="0" applyNumberFormat="1" applyFont="1" applyFill="1" applyBorder="1" applyAlignment="1">
      <alignment horizontal="left" vertical="center" wrapText="1"/>
    </xf>
    <xf numFmtId="0" fontId="0" fillId="0" borderId="0" xfId="0" applyFill="1" applyBorder="1"/>
    <xf numFmtId="0" fontId="24" fillId="14" borderId="0" xfId="0" applyFont="1" applyFill="1" applyBorder="1"/>
    <xf numFmtId="0" fontId="28" fillId="0" borderId="0" xfId="0" applyFont="1" applyFill="1" applyBorder="1"/>
    <xf numFmtId="0" fontId="0" fillId="0" borderId="0" xfId="0" applyBorder="1"/>
    <xf numFmtId="0" fontId="26" fillId="0" borderId="0" xfId="0" applyFont="1" applyFill="1" applyBorder="1"/>
    <xf numFmtId="0" fontId="16" fillId="0" borderId="16" xfId="0" applyFont="1" applyBorder="1"/>
    <xf numFmtId="0" fontId="24" fillId="0" borderId="0" xfId="0" applyFont="1" applyAlignment="1">
      <alignment horizontal="center"/>
    </xf>
    <xf numFmtId="0" fontId="21" fillId="11" borderId="10" xfId="0" applyFont="1" applyFill="1" applyBorder="1" applyAlignment="1">
      <alignment horizontal="center" vertical="center"/>
    </xf>
    <xf numFmtId="3" fontId="24" fillId="12" borderId="14" xfId="0" applyNumberFormat="1" applyFont="1" applyFill="1" applyBorder="1" applyAlignment="1">
      <alignment horizontal="center" vertical="center"/>
    </xf>
    <xf numFmtId="3" fontId="24" fillId="12" borderId="20" xfId="0" applyNumberFormat="1" applyFont="1" applyFill="1" applyBorder="1" applyAlignment="1">
      <alignment horizontal="center" vertical="center"/>
    </xf>
    <xf numFmtId="3" fontId="24" fillId="12" borderId="21" xfId="0" applyNumberFormat="1" applyFont="1" applyFill="1" applyBorder="1" applyAlignment="1">
      <alignment horizontal="center" vertical="center"/>
    </xf>
    <xf numFmtId="164" fontId="24" fillId="12" borderId="21" xfId="0" applyNumberFormat="1" applyFont="1" applyFill="1" applyBorder="1" applyAlignment="1">
      <alignment horizontal="center" vertical="center"/>
    </xf>
    <xf numFmtId="9" fontId="24" fillId="12" borderId="22" xfId="0" applyNumberFormat="1" applyFont="1" applyFill="1" applyBorder="1" applyAlignment="1">
      <alignment horizontal="center" vertical="center"/>
    </xf>
    <xf numFmtId="0" fontId="0" fillId="16" borderId="0" xfId="0" applyFill="1" applyAlignment="1">
      <alignment horizontal="center" vertical="center"/>
    </xf>
    <xf numFmtId="0" fontId="29" fillId="11" borderId="20" xfId="0" applyFont="1" applyFill="1" applyBorder="1" applyAlignment="1">
      <alignment horizontal="center" vertical="center"/>
    </xf>
    <xf numFmtId="0" fontId="29" fillId="11" borderId="23" xfId="0" applyFont="1" applyFill="1" applyBorder="1" applyAlignment="1">
      <alignment horizontal="center" vertical="center"/>
    </xf>
    <xf numFmtId="0" fontId="29" fillId="11" borderId="24" xfId="0" applyFont="1" applyFill="1" applyBorder="1" applyAlignment="1">
      <alignment horizontal="center" vertical="center"/>
    </xf>
    <xf numFmtId="14" fontId="27" fillId="17" borderId="0" xfId="0" applyNumberFormat="1" applyFont="1" applyFill="1" applyBorder="1" applyAlignment="1">
      <alignment horizontal="left" vertical="center" wrapText="1"/>
    </xf>
    <xf numFmtId="9" fontId="24" fillId="12" borderId="21" xfId="0" applyNumberFormat="1" applyFont="1" applyFill="1" applyBorder="1" applyAlignment="1">
      <alignment horizontal="center" vertical="center"/>
    </xf>
    <xf numFmtId="0" fontId="0" fillId="16" borderId="25" xfId="0" applyFill="1" applyBorder="1" applyAlignment="1">
      <alignment horizontal="center" vertical="center"/>
    </xf>
    <xf numFmtId="0" fontId="0" fillId="16" borderId="26" xfId="0" applyFill="1" applyBorder="1" applyAlignment="1">
      <alignment horizontal="center" vertical="center"/>
    </xf>
    <xf numFmtId="0" fontId="0" fillId="16" borderId="27" xfId="0" applyFill="1" applyBorder="1" applyAlignment="1">
      <alignment horizontal="center" vertical="center"/>
    </xf>
    <xf numFmtId="0" fontId="0" fillId="16" borderId="28" xfId="0" applyFill="1" applyBorder="1" applyAlignment="1">
      <alignment horizontal="center" vertical="center"/>
    </xf>
    <xf numFmtId="0" fontId="0" fillId="16" borderId="0" xfId="0" applyFill="1" applyBorder="1" applyAlignment="1">
      <alignment horizontal="center" vertical="center"/>
    </xf>
    <xf numFmtId="0" fontId="0" fillId="16" borderId="29" xfId="0" applyFill="1" applyBorder="1" applyAlignment="1">
      <alignment horizontal="center" vertical="center"/>
    </xf>
    <xf numFmtId="0" fontId="24" fillId="16" borderId="30" xfId="0" applyFont="1" applyFill="1" applyBorder="1" applyAlignment="1">
      <alignment horizontal="center" vertical="center"/>
    </xf>
    <xf numFmtId="0" fontId="24" fillId="16" borderId="31" xfId="0" applyFont="1" applyFill="1" applyBorder="1" applyAlignment="1">
      <alignment horizontal="center" vertical="center"/>
    </xf>
    <xf numFmtId="0" fontId="24" fillId="16" borderId="32" xfId="0" applyFont="1" applyFill="1" applyBorder="1" applyAlignment="1">
      <alignment horizontal="center" vertical="center"/>
    </xf>
    <xf numFmtId="164" fontId="24" fillId="12" borderId="20" xfId="0" applyNumberFormat="1" applyFont="1" applyFill="1" applyBorder="1" applyAlignment="1">
      <alignment horizontal="center" vertical="center"/>
    </xf>
    <xf numFmtId="0" fontId="0" fillId="16" borderId="30" xfId="0" applyFill="1" applyBorder="1" applyAlignment="1">
      <alignment horizontal="center" vertical="center"/>
    </xf>
    <xf numFmtId="0" fontId="0" fillId="16" borderId="31" xfId="0" applyFill="1" applyBorder="1" applyAlignment="1">
      <alignment horizontal="center" vertical="center"/>
    </xf>
    <xf numFmtId="0" fontId="0" fillId="16" borderId="32" xfId="0" applyFill="1" applyBorder="1" applyAlignment="1">
      <alignment horizontal="center" vertical="center"/>
    </xf>
    <xf numFmtId="9" fontId="0" fillId="16" borderId="0" xfId="0" applyNumberFormat="1" applyFill="1" applyBorder="1" applyAlignment="1">
      <alignment horizontal="center" vertical="center"/>
    </xf>
    <xf numFmtId="9" fontId="0" fillId="16" borderId="31" xfId="0" applyNumberFormat="1" applyFill="1" applyBorder="1" applyAlignment="1">
      <alignment horizontal="center" vertical="center"/>
    </xf>
    <xf numFmtId="2" fontId="0" fillId="0" borderId="0" xfId="0" applyNumberFormat="1"/>
    <xf numFmtId="9" fontId="0" fillId="0" borderId="0" xfId="0" applyNumberFormat="1"/>
    <xf numFmtId="8" fontId="0" fillId="16" borderId="0" xfId="0" applyNumberFormat="1" applyFill="1" applyBorder="1" applyAlignment="1">
      <alignment horizontal="center" vertical="center"/>
    </xf>
    <xf numFmtId="14" fontId="31" fillId="17" borderId="0" xfId="0" applyNumberFormat="1" applyFont="1" applyFill="1" applyBorder="1" applyAlignment="1">
      <alignment horizontal="left"/>
    </xf>
    <xf numFmtId="8" fontId="0" fillId="16" borderId="31" xfId="0" applyNumberFormat="1" applyFill="1" applyBorder="1" applyAlignment="1">
      <alignment horizontal="center" vertical="center"/>
    </xf>
    <xf numFmtId="165" fontId="0" fillId="16" borderId="26" xfId="0" applyNumberFormat="1" applyFill="1" applyBorder="1" applyAlignment="1">
      <alignment horizontal="center" vertical="center"/>
    </xf>
    <xf numFmtId="165" fontId="7" fillId="16" borderId="26" xfId="0" applyNumberFormat="1" applyFont="1" applyFill="1" applyBorder="1" applyAlignment="1">
      <alignment horizontal="center" vertical="center"/>
    </xf>
    <xf numFmtId="165" fontId="0" fillId="16" borderId="27" xfId="0" applyNumberFormat="1" applyFill="1" applyBorder="1" applyAlignment="1">
      <alignment horizontal="center" vertical="center"/>
    </xf>
    <xf numFmtId="165" fontId="7" fillId="16" borderId="0" xfId="0" applyNumberFormat="1" applyFont="1" applyFill="1" applyBorder="1" applyAlignment="1">
      <alignment horizontal="center" vertical="center"/>
    </xf>
    <xf numFmtId="165" fontId="7" fillId="16" borderId="29" xfId="0" applyNumberFormat="1" applyFont="1" applyFill="1" applyBorder="1" applyAlignment="1">
      <alignment horizontal="center" vertical="center"/>
    </xf>
    <xf numFmtId="165" fontId="0" fillId="16" borderId="0" xfId="0" applyNumberFormat="1" applyFill="1" applyBorder="1" applyAlignment="1">
      <alignment horizontal="center" vertical="center"/>
    </xf>
    <xf numFmtId="165" fontId="0" fillId="16" borderId="29" xfId="0" applyNumberFormat="1" applyFill="1" applyBorder="1" applyAlignment="1">
      <alignment horizontal="center" vertical="center"/>
    </xf>
    <xf numFmtId="165" fontId="0" fillId="16" borderId="31" xfId="0" applyNumberFormat="1" applyFill="1" applyBorder="1" applyAlignment="1">
      <alignment horizontal="center" vertical="center"/>
    </xf>
    <xf numFmtId="165" fontId="7" fillId="16" borderId="31" xfId="0" applyNumberFormat="1" applyFont="1" applyFill="1" applyBorder="1" applyAlignment="1">
      <alignment horizontal="center" vertical="center"/>
    </xf>
    <xf numFmtId="165" fontId="0" fillId="16" borderId="32" xfId="0" applyNumberFormat="1" applyFill="1" applyBorder="1" applyAlignment="1">
      <alignment horizontal="center" vertical="center"/>
    </xf>
    <xf numFmtId="10" fontId="0" fillId="16" borderId="26" xfId="0" applyNumberFormat="1" applyFill="1" applyBorder="1" applyAlignment="1">
      <alignment horizontal="center" vertical="center"/>
    </xf>
    <xf numFmtId="10" fontId="0" fillId="16" borderId="0" xfId="0" applyNumberFormat="1" applyFill="1" applyBorder="1" applyAlignment="1">
      <alignment horizontal="center" vertical="center"/>
    </xf>
    <xf numFmtId="10" fontId="0" fillId="16" borderId="31" xfId="0" applyNumberFormat="1" applyFill="1" applyBorder="1" applyAlignment="1">
      <alignment horizontal="center" vertical="center"/>
    </xf>
    <xf numFmtId="3" fontId="34" fillId="12" borderId="28" xfId="0" applyNumberFormat="1" applyFont="1" applyFill="1" applyBorder="1" applyAlignment="1">
      <alignment horizontal="center" vertical="center"/>
    </xf>
    <xf numFmtId="3" fontId="34" fillId="12" borderId="0" xfId="0" applyNumberFormat="1" applyFont="1" applyFill="1" applyBorder="1" applyAlignment="1">
      <alignment horizontal="center" vertical="center"/>
    </xf>
    <xf numFmtId="9" fontId="34" fillId="12" borderId="0" xfId="0" applyNumberFormat="1" applyFont="1" applyFill="1" applyBorder="1" applyAlignment="1">
      <alignment horizontal="center" vertical="center"/>
    </xf>
    <xf numFmtId="9" fontId="34" fillId="12" borderId="29" xfId="0" applyNumberFormat="1" applyFont="1" applyFill="1" applyBorder="1" applyAlignment="1">
      <alignment horizontal="center" vertical="center"/>
    </xf>
    <xf numFmtId="0" fontId="33" fillId="16" borderId="28" xfId="0" applyFont="1" applyFill="1" applyBorder="1" applyAlignment="1">
      <alignment horizontal="center" vertical="center"/>
    </xf>
    <xf numFmtId="165" fontId="35" fillId="16" borderId="0" xfId="0" applyNumberFormat="1" applyFont="1" applyFill="1" applyBorder="1" applyAlignment="1">
      <alignment horizontal="center" vertical="center"/>
    </xf>
    <xf numFmtId="165" fontId="35" fillId="16" borderId="29" xfId="0" applyNumberFormat="1" applyFont="1" applyFill="1" applyBorder="1" applyAlignment="1">
      <alignment horizontal="center" vertical="center"/>
    </xf>
    <xf numFmtId="0" fontId="33" fillId="16" borderId="30" xfId="0" applyFont="1" applyFill="1" applyBorder="1" applyAlignment="1">
      <alignment horizontal="center" vertical="center"/>
    </xf>
    <xf numFmtId="10" fontId="33" fillId="16" borderId="0" xfId="0" applyNumberFormat="1" applyFont="1" applyFill="1" applyBorder="1" applyAlignment="1">
      <alignment horizontal="center" vertical="center"/>
    </xf>
    <xf numFmtId="166" fontId="33" fillId="16" borderId="0" xfId="0" applyNumberFormat="1" applyFont="1" applyFill="1" applyBorder="1" applyAlignment="1">
      <alignment horizontal="center" vertical="center"/>
    </xf>
    <xf numFmtId="166" fontId="33" fillId="16" borderId="29" xfId="0" applyNumberFormat="1" applyFont="1" applyFill="1" applyBorder="1" applyAlignment="1">
      <alignment horizontal="center" vertical="center"/>
    </xf>
    <xf numFmtId="10" fontId="33" fillId="16" borderId="31" xfId="0" applyNumberFormat="1" applyFont="1" applyFill="1" applyBorder="1" applyAlignment="1">
      <alignment horizontal="center" vertical="center"/>
    </xf>
    <xf numFmtId="166" fontId="33" fillId="16" borderId="32" xfId="0" applyNumberFormat="1" applyFont="1" applyFill="1" applyBorder="1" applyAlignment="1">
      <alignment horizontal="center" vertical="center"/>
    </xf>
    <xf numFmtId="166" fontId="33" fillId="16" borderId="31" xfId="0" applyNumberFormat="1" applyFont="1" applyFill="1" applyBorder="1" applyAlignment="1">
      <alignment horizontal="center" vertical="center"/>
    </xf>
    <xf numFmtId="10" fontId="33" fillId="9" borderId="29" xfId="0" applyNumberFormat="1" applyFont="1" applyFill="1" applyBorder="1" applyAlignment="1">
      <alignment horizontal="center" vertical="center"/>
    </xf>
    <xf numFmtId="10" fontId="33" fillId="16" borderId="29" xfId="0" applyNumberFormat="1" applyFont="1" applyFill="1" applyBorder="1" applyAlignment="1">
      <alignment horizontal="center" vertical="center"/>
    </xf>
    <xf numFmtId="10" fontId="33" fillId="16" borderId="32" xfId="0" applyNumberFormat="1" applyFont="1" applyFill="1" applyBorder="1" applyAlignment="1">
      <alignment horizontal="center" vertical="center"/>
    </xf>
    <xf numFmtId="10" fontId="33" fillId="16" borderId="28" xfId="0" applyNumberFormat="1" applyFont="1" applyFill="1" applyBorder="1" applyAlignment="1">
      <alignment horizontal="center" vertical="center"/>
    </xf>
    <xf numFmtId="10" fontId="33" fillId="16" borderId="30" xfId="0" applyNumberFormat="1" applyFont="1" applyFill="1" applyBorder="1" applyAlignment="1">
      <alignment horizontal="center" vertical="center"/>
    </xf>
    <xf numFmtId="165" fontId="36" fillId="16" borderId="0" xfId="0" applyNumberFormat="1" applyFont="1" applyFill="1" applyBorder="1" applyAlignment="1">
      <alignment horizontal="center" vertical="center"/>
    </xf>
    <xf numFmtId="165" fontId="36" fillId="16" borderId="29" xfId="0" applyNumberFormat="1" applyFont="1" applyFill="1" applyBorder="1" applyAlignment="1">
      <alignment horizontal="center" vertical="center"/>
    </xf>
    <xf numFmtId="165" fontId="36" fillId="16" borderId="31" xfId="0" applyNumberFormat="1" applyFont="1" applyFill="1" applyBorder="1" applyAlignment="1">
      <alignment horizontal="center" vertical="center"/>
    </xf>
    <xf numFmtId="165" fontId="36" fillId="16" borderId="32" xfId="0" applyNumberFormat="1" applyFont="1" applyFill="1" applyBorder="1" applyAlignment="1">
      <alignment horizontal="center" vertical="center"/>
    </xf>
    <xf numFmtId="0" fontId="33" fillId="16" borderId="0" xfId="0" applyNumberFormat="1" applyFont="1" applyFill="1" applyBorder="1" applyAlignment="1">
      <alignment horizontal="center" vertical="center"/>
    </xf>
    <xf numFmtId="0" fontId="33" fillId="16" borderId="31" xfId="0" applyNumberFormat="1" applyFont="1" applyFill="1" applyBorder="1" applyAlignment="1">
      <alignment horizontal="center" vertical="center"/>
    </xf>
    <xf numFmtId="2" fontId="33" fillId="16" borderId="32" xfId="0" applyNumberFormat="1" applyFont="1" applyFill="1" applyBorder="1" applyAlignment="1">
      <alignment horizontal="center" vertical="center"/>
    </xf>
    <xf numFmtId="2" fontId="33" fillId="16" borderId="31" xfId="0" applyNumberFormat="1" applyFont="1" applyFill="1" applyBorder="1" applyAlignment="1">
      <alignment horizontal="center" vertical="center"/>
    </xf>
    <xf numFmtId="0" fontId="21" fillId="11" borderId="10" xfId="0" applyFont="1" applyFill="1" applyBorder="1" applyAlignment="1">
      <alignment horizontal="center" vertical="center"/>
    </xf>
    <xf numFmtId="0" fontId="21" fillId="11" borderId="11" xfId="0" applyFont="1" applyFill="1" applyBorder="1" applyAlignment="1">
      <alignment horizontal="center" vertical="center"/>
    </xf>
    <xf numFmtId="3" fontId="24" fillId="12" borderId="14" xfId="0" applyNumberFormat="1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9" fillId="0" borderId="0" xfId="0" applyFont="1" applyAlignment="1">
      <alignment horizontal="left" vertical="center" wrapText="1" indent="1"/>
    </xf>
    <xf numFmtId="0" fontId="0" fillId="0" borderId="11" xfId="0" applyBorder="1" applyAlignment="1">
      <alignment horizontal="center" vertical="center"/>
    </xf>
    <xf numFmtId="0" fontId="20" fillId="0" borderId="10" xfId="0" applyFont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19" fillId="0" borderId="14" xfId="0" applyFont="1" applyBorder="1" applyAlignment="1">
      <alignment horizontal="left" vertical="center" wrapText="1" indent="1"/>
    </xf>
    <xf numFmtId="0" fontId="20" fillId="0" borderId="12" xfId="0" applyFont="1" applyBorder="1" applyAlignment="1">
      <alignment horizontal="center" vertical="center" wrapText="1"/>
    </xf>
    <xf numFmtId="0" fontId="29" fillId="11" borderId="20" xfId="0" applyFont="1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29" fillId="11" borderId="25" xfId="0" applyFont="1" applyFill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6" xfId="0" applyBorder="1" applyAlignment="1"/>
    <xf numFmtId="0" fontId="0" fillId="0" borderId="27" xfId="0" applyBorder="1" applyAlignment="1"/>
    <xf numFmtId="0" fontId="0" fillId="15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4" fillId="0" borderId="0" xfId="0" applyFont="1" applyAlignment="1">
      <alignment horizontal="center"/>
    </xf>
    <xf numFmtId="0" fontId="29" fillId="11" borderId="30" xfId="0" applyFont="1" applyFill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1" xfId="0" applyBorder="1" applyAlignment="1"/>
    <xf numFmtId="0" fontId="32" fillId="11" borderId="25" xfId="0" applyFont="1" applyFill="1" applyBorder="1" applyAlignment="1">
      <alignment horizontal="center" vertical="center"/>
    </xf>
    <xf numFmtId="0" fontId="0" fillId="0" borderId="21" xfId="0" applyBorder="1" applyAlignment="1"/>
    <xf numFmtId="0" fontId="0" fillId="0" borderId="22" xfId="0" applyBorder="1" applyAlignment="1"/>
    <xf numFmtId="0" fontId="33" fillId="0" borderId="26" xfId="0" applyFont="1" applyBorder="1" applyAlignment="1"/>
    <xf numFmtId="0" fontId="33" fillId="0" borderId="27" xfId="0" applyFont="1" applyBorder="1" applyAlignment="1"/>
  </cellXfs>
  <cellStyles count="19">
    <cellStyle name="Bad" xfId="6" builtinId="27" customBuiltin="1"/>
    <cellStyle name="Calculation" xfId="10" builtinId="22" customBuiltin="1"/>
    <cellStyle name="Check Cell" xfId="12" builtinId="23" customBuiltin="1"/>
    <cellStyle name="Currency" xfId="18" builtinId="4"/>
    <cellStyle name="Explanatory Text" xfId="15" builtinId="53" customBuiltin="1"/>
    <cellStyle name="Good" xfId="5" builtinId="26" customBuiltin="1"/>
    <cellStyle name="Heading 1" xfId="1" builtinId="16" customBuiltin="1"/>
    <cellStyle name="Heading 2" xfId="2" builtinId="17" customBuiltin="1"/>
    <cellStyle name="Heading 3" xfId="3" builtinId="18" customBuiltin="1"/>
    <cellStyle name="Heading 4" xfId="4" builtinId="19" customBuiltin="1"/>
    <cellStyle name="Input" xfId="8" builtinId="20" customBuiltin="1"/>
    <cellStyle name="Linked Cell" xfId="11" builtinId="24" customBuiltin="1"/>
    <cellStyle name="Neutral" xfId="7" builtinId="28" customBuiltin="1"/>
    <cellStyle name="Normal" xfId="0" builtinId="0" customBuiltin="1"/>
    <cellStyle name="Note" xfId="14" builtinId="10" customBuiltin="1"/>
    <cellStyle name="Output" xfId="9" builtinId="21" customBuiltin="1"/>
    <cellStyle name="Title" xfId="17" builtinId="15" customBuiltin="1"/>
    <cellStyle name="Total" xfId="16" builtinId="25" customBuiltin="1"/>
    <cellStyle name="Warning Text" xfId="13" builtinId="11" customBuiltin="1"/>
  </cellStyles>
  <dxfs count="0"/>
  <tableStyles count="0" defaultTableStyle="TableStyleMedium2" defaultPivotStyle="PivotStyleLight16"/>
  <colors>
    <mruColors>
      <color rgb="FFD7B400"/>
      <color rgb="FFDAC000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FFC726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Industrial Insights Portfolio Vs. S&amp;P 500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FFC726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Marketing!$F$1</c:f>
              <c:strCache>
                <c:ptCount val="1"/>
                <c:pt idx="0">
                  <c:v>Industrial Insights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numRef>
              <c:f>Marketing!$A$2:$A$21</c:f>
              <c:numCache>
                <c:formatCode>m/d/yyyy</c:formatCode>
                <c:ptCount val="20"/>
                <c:pt idx="0">
                  <c:v>42521</c:v>
                </c:pt>
                <c:pt idx="1">
                  <c:v>42551</c:v>
                </c:pt>
                <c:pt idx="2">
                  <c:v>42582</c:v>
                </c:pt>
                <c:pt idx="3">
                  <c:v>42613</c:v>
                </c:pt>
                <c:pt idx="4">
                  <c:v>42643</c:v>
                </c:pt>
                <c:pt idx="5">
                  <c:v>42674</c:v>
                </c:pt>
                <c:pt idx="6">
                  <c:v>42704</c:v>
                </c:pt>
                <c:pt idx="7">
                  <c:v>42735</c:v>
                </c:pt>
                <c:pt idx="8">
                  <c:v>42766</c:v>
                </c:pt>
                <c:pt idx="9">
                  <c:v>42794</c:v>
                </c:pt>
                <c:pt idx="10">
                  <c:v>42825</c:v>
                </c:pt>
                <c:pt idx="11">
                  <c:v>42855</c:v>
                </c:pt>
                <c:pt idx="12">
                  <c:v>42886</c:v>
                </c:pt>
                <c:pt idx="13">
                  <c:v>42916</c:v>
                </c:pt>
                <c:pt idx="14">
                  <c:v>42947</c:v>
                </c:pt>
                <c:pt idx="15">
                  <c:v>42978</c:v>
                </c:pt>
                <c:pt idx="16">
                  <c:v>43008</c:v>
                </c:pt>
                <c:pt idx="17">
                  <c:v>43039</c:v>
                </c:pt>
                <c:pt idx="18">
                  <c:v>43069</c:v>
                </c:pt>
                <c:pt idx="19">
                  <c:v>43100</c:v>
                </c:pt>
              </c:numCache>
            </c:numRef>
          </c:cat>
          <c:val>
            <c:numRef>
              <c:f>Marketing!$F$2:$F$21</c:f>
              <c:numCache>
                <c:formatCode>#,##0.00</c:formatCode>
                <c:ptCount val="20"/>
                <c:pt idx="0">
                  <c:v>10000</c:v>
                </c:pt>
                <c:pt idx="1">
                  <c:v>9833.3883583838033</c:v>
                </c:pt>
                <c:pt idx="2">
                  <c:v>10472.669478852547</c:v>
                </c:pt>
                <c:pt idx="3">
                  <c:v>10683.285331268315</c:v>
                </c:pt>
                <c:pt idx="4">
                  <c:v>11005.602967290502</c:v>
                </c:pt>
                <c:pt idx="5">
                  <c:v>10837.865383200982</c:v>
                </c:pt>
                <c:pt idx="6">
                  <c:v>10971.293396026147</c:v>
                </c:pt>
                <c:pt idx="7">
                  <c:v>11185.632473020771</c:v>
                </c:pt>
                <c:pt idx="8">
                  <c:v>11496.589038602642</c:v>
                </c:pt>
                <c:pt idx="9">
                  <c:v>12131.153816285369</c:v>
                </c:pt>
                <c:pt idx="10">
                  <c:v>12553.001522937444</c:v>
                </c:pt>
                <c:pt idx="11">
                  <c:v>12586.991559026897</c:v>
                </c:pt>
                <c:pt idx="12">
                  <c:v>12732.449449418185</c:v>
                </c:pt>
                <c:pt idx="13">
                  <c:v>12818.155433551472</c:v>
                </c:pt>
                <c:pt idx="14">
                  <c:v>13033.440590580303</c:v>
                </c:pt>
                <c:pt idx="15">
                  <c:v>13295.822132556132</c:v>
                </c:pt>
                <c:pt idx="16">
                  <c:v>13812.288475779189</c:v>
                </c:pt>
                <c:pt idx="17">
                  <c:v>14046.444230415753</c:v>
                </c:pt>
                <c:pt idx="18">
                  <c:v>14313.1843727511</c:v>
                </c:pt>
                <c:pt idx="19">
                  <c:v>14549.1682182205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001-4E29-9EAE-9FB7D27FF02A}"/>
            </c:ext>
          </c:extLst>
        </c:ser>
        <c:ser>
          <c:idx val="1"/>
          <c:order val="1"/>
          <c:tx>
            <c:strRef>
              <c:f>Marketing!$G$1</c:f>
              <c:strCache>
                <c:ptCount val="1"/>
                <c:pt idx="0">
                  <c:v>S&amp;P 500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Marketing!$A$2:$A$21</c:f>
              <c:numCache>
                <c:formatCode>m/d/yyyy</c:formatCode>
                <c:ptCount val="20"/>
                <c:pt idx="0">
                  <c:v>42521</c:v>
                </c:pt>
                <c:pt idx="1">
                  <c:v>42551</c:v>
                </c:pt>
                <c:pt idx="2">
                  <c:v>42582</c:v>
                </c:pt>
                <c:pt idx="3">
                  <c:v>42613</c:v>
                </c:pt>
                <c:pt idx="4">
                  <c:v>42643</c:v>
                </c:pt>
                <c:pt idx="5">
                  <c:v>42674</c:v>
                </c:pt>
                <c:pt idx="6">
                  <c:v>42704</c:v>
                </c:pt>
                <c:pt idx="7">
                  <c:v>42735</c:v>
                </c:pt>
                <c:pt idx="8">
                  <c:v>42766</c:v>
                </c:pt>
                <c:pt idx="9">
                  <c:v>42794</c:v>
                </c:pt>
                <c:pt idx="10">
                  <c:v>42825</c:v>
                </c:pt>
                <c:pt idx="11">
                  <c:v>42855</c:v>
                </c:pt>
                <c:pt idx="12">
                  <c:v>42886</c:v>
                </c:pt>
                <c:pt idx="13">
                  <c:v>42916</c:v>
                </c:pt>
                <c:pt idx="14">
                  <c:v>42947</c:v>
                </c:pt>
                <c:pt idx="15">
                  <c:v>42978</c:v>
                </c:pt>
                <c:pt idx="16">
                  <c:v>43008</c:v>
                </c:pt>
                <c:pt idx="17">
                  <c:v>43039</c:v>
                </c:pt>
                <c:pt idx="18">
                  <c:v>43069</c:v>
                </c:pt>
                <c:pt idx="19">
                  <c:v>43100</c:v>
                </c:pt>
              </c:numCache>
            </c:numRef>
          </c:cat>
          <c:val>
            <c:numRef>
              <c:f>Marketing!$G$2:$G$21</c:f>
              <c:numCache>
                <c:formatCode>#,##0.00</c:formatCode>
                <c:ptCount val="20"/>
                <c:pt idx="0">
                  <c:v>10000</c:v>
                </c:pt>
                <c:pt idx="1">
                  <c:v>9982.844071673655</c:v>
                </c:pt>
                <c:pt idx="2">
                  <c:v>10346.930995043844</c:v>
                </c:pt>
                <c:pt idx="3">
                  <c:v>10341.212352268394</c:v>
                </c:pt>
                <c:pt idx="4">
                  <c:v>10307.85360274495</c:v>
                </c:pt>
                <c:pt idx="5">
                  <c:v>10129.146016012201</c:v>
                </c:pt>
                <c:pt idx="6">
                  <c:v>10502.28745711018</c:v>
                </c:pt>
                <c:pt idx="7">
                  <c:v>10652.401829965687</c:v>
                </c:pt>
                <c:pt idx="8">
                  <c:v>10843.023255813952</c:v>
                </c:pt>
                <c:pt idx="9">
                  <c:v>11269.062142584828</c:v>
                </c:pt>
                <c:pt idx="10">
                  <c:v>11234.273732367519</c:v>
                </c:pt>
                <c:pt idx="11">
                  <c:v>11345.787266488755</c:v>
                </c:pt>
                <c:pt idx="12">
                  <c:v>11505.909264201295</c:v>
                </c:pt>
                <c:pt idx="13">
                  <c:v>11523.06519252764</c:v>
                </c:pt>
                <c:pt idx="14">
                  <c:v>11759.91231414411</c:v>
                </c:pt>
                <c:pt idx="15">
                  <c:v>11794.224170796799</c:v>
                </c:pt>
                <c:pt idx="16">
                  <c:v>11972.455203964924</c:v>
                </c:pt>
                <c:pt idx="17">
                  <c:v>12296.988181471597</c:v>
                </c:pt>
                <c:pt idx="18">
                  <c:v>12629.146016012199</c:v>
                </c:pt>
                <c:pt idx="19">
                  <c:v>12796.892870758671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D9A-4A83-BB40-EFF64636BB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6151488"/>
        <c:axId val="846151880"/>
      </c:lineChart>
      <c:dateAx>
        <c:axId val="846151488"/>
        <c:scaling>
          <c:orientation val="minMax"/>
          <c:min val="42521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0"/>
          <a:lstStyle/>
          <a:p>
            <a:pPr>
              <a:defRPr sz="1000" b="0" i="0" u="none" strike="noStrike" kern="1200" cap="all" baseline="0">
                <a:solidFill>
                  <a:srgbClr val="D7D17B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151880"/>
        <c:crosses val="autoZero"/>
        <c:auto val="1"/>
        <c:lblOffset val="100"/>
        <c:baseTimeUnit val="days"/>
      </c:dateAx>
      <c:valAx>
        <c:axId val="846151880"/>
        <c:scaling>
          <c:orientation val="minMax"/>
          <c:min val="9000"/>
        </c:scaling>
        <c:delete val="0"/>
        <c:axPos val="l"/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D7D17B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151488"/>
        <c:crosses val="autoZero"/>
        <c:crossBetween val="between"/>
      </c:valAx>
      <c:spPr>
        <a:solidFill>
          <a:schemeClr val="tx1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bg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/>
  </c:chart>
  <c:spPr>
    <a:solidFill>
      <a:schemeClr val="tx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FFC726"/>
                </a:solidFill>
                <a:latin typeface="+mn-lt"/>
                <a:ea typeface="+mn-ea"/>
                <a:cs typeface="+mn-cs"/>
              </a:defRPr>
            </a:pPr>
            <a:r>
              <a:rPr lang="en-US" b="1" baseline="0">
                <a:solidFill>
                  <a:srgbClr val="FFC726"/>
                </a:solidFill>
              </a:rPr>
              <a:t>NAME OF CHART DATA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FFC726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'[1]US Wheat'!$B$1</c:f>
              <c:strCache>
                <c:ptCount val="1"/>
                <c:pt idx="0">
                  <c:v>Price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numRef>
              <c:f>'[1]US Wheat'!$A$2:$A$185</c:f>
              <c:numCache>
                <c:formatCode>General</c:formatCode>
                <c:ptCount val="184"/>
                <c:pt idx="0">
                  <c:v>40910</c:v>
                </c:pt>
                <c:pt idx="1">
                  <c:v>40911</c:v>
                </c:pt>
                <c:pt idx="2">
                  <c:v>40912</c:v>
                </c:pt>
                <c:pt idx="3">
                  <c:v>40913</c:v>
                </c:pt>
                <c:pt idx="4">
                  <c:v>40914</c:v>
                </c:pt>
                <c:pt idx="5">
                  <c:v>40917</c:v>
                </c:pt>
                <c:pt idx="6">
                  <c:v>40918</c:v>
                </c:pt>
                <c:pt idx="7">
                  <c:v>40919</c:v>
                </c:pt>
                <c:pt idx="8">
                  <c:v>40920</c:v>
                </c:pt>
                <c:pt idx="9">
                  <c:v>40921</c:v>
                </c:pt>
                <c:pt idx="10">
                  <c:v>40925</c:v>
                </c:pt>
                <c:pt idx="11">
                  <c:v>40926</c:v>
                </c:pt>
                <c:pt idx="12">
                  <c:v>40927</c:v>
                </c:pt>
                <c:pt idx="13">
                  <c:v>40928</c:v>
                </c:pt>
                <c:pt idx="14">
                  <c:v>40931</c:v>
                </c:pt>
                <c:pt idx="15">
                  <c:v>40932</c:v>
                </c:pt>
                <c:pt idx="16">
                  <c:v>40933</c:v>
                </c:pt>
                <c:pt idx="17">
                  <c:v>40934</c:v>
                </c:pt>
                <c:pt idx="18">
                  <c:v>40935</c:v>
                </c:pt>
                <c:pt idx="19">
                  <c:v>40938</c:v>
                </c:pt>
                <c:pt idx="20">
                  <c:v>40939</c:v>
                </c:pt>
                <c:pt idx="21">
                  <c:v>40940</c:v>
                </c:pt>
                <c:pt idx="22">
                  <c:v>40941</c:v>
                </c:pt>
                <c:pt idx="23">
                  <c:v>40942</c:v>
                </c:pt>
                <c:pt idx="24">
                  <c:v>40945</c:v>
                </c:pt>
                <c:pt idx="25">
                  <c:v>40946</c:v>
                </c:pt>
                <c:pt idx="26">
                  <c:v>40947</c:v>
                </c:pt>
                <c:pt idx="27">
                  <c:v>40948</c:v>
                </c:pt>
                <c:pt idx="28">
                  <c:v>40949</c:v>
                </c:pt>
                <c:pt idx="29">
                  <c:v>40952</c:v>
                </c:pt>
                <c:pt idx="30">
                  <c:v>40953</c:v>
                </c:pt>
                <c:pt idx="31">
                  <c:v>40954</c:v>
                </c:pt>
                <c:pt idx="32">
                  <c:v>40955</c:v>
                </c:pt>
                <c:pt idx="33">
                  <c:v>40956</c:v>
                </c:pt>
                <c:pt idx="34">
                  <c:v>40960</c:v>
                </c:pt>
                <c:pt idx="35">
                  <c:v>40961</c:v>
                </c:pt>
                <c:pt idx="36">
                  <c:v>40962</c:v>
                </c:pt>
                <c:pt idx="37">
                  <c:v>40963</c:v>
                </c:pt>
                <c:pt idx="38">
                  <c:v>40966</c:v>
                </c:pt>
                <c:pt idx="39">
                  <c:v>40967</c:v>
                </c:pt>
                <c:pt idx="40">
                  <c:v>40968</c:v>
                </c:pt>
                <c:pt idx="41">
                  <c:v>40969</c:v>
                </c:pt>
                <c:pt idx="42">
                  <c:v>40970</c:v>
                </c:pt>
                <c:pt idx="43">
                  <c:v>40973</c:v>
                </c:pt>
                <c:pt idx="44">
                  <c:v>40974</c:v>
                </c:pt>
                <c:pt idx="45">
                  <c:v>40975</c:v>
                </c:pt>
                <c:pt idx="46">
                  <c:v>40976</c:v>
                </c:pt>
                <c:pt idx="47">
                  <c:v>40977</c:v>
                </c:pt>
                <c:pt idx="48">
                  <c:v>40979</c:v>
                </c:pt>
                <c:pt idx="49">
                  <c:v>40980</c:v>
                </c:pt>
                <c:pt idx="50">
                  <c:v>40981</c:v>
                </c:pt>
                <c:pt idx="51">
                  <c:v>40982</c:v>
                </c:pt>
                <c:pt idx="52">
                  <c:v>40983</c:v>
                </c:pt>
                <c:pt idx="53">
                  <c:v>40984</c:v>
                </c:pt>
                <c:pt idx="54">
                  <c:v>40986</c:v>
                </c:pt>
                <c:pt idx="55">
                  <c:v>40987</c:v>
                </c:pt>
                <c:pt idx="56">
                  <c:v>40988</c:v>
                </c:pt>
                <c:pt idx="57">
                  <c:v>40989</c:v>
                </c:pt>
                <c:pt idx="58">
                  <c:v>40990</c:v>
                </c:pt>
                <c:pt idx="59">
                  <c:v>40991</c:v>
                </c:pt>
                <c:pt idx="60">
                  <c:v>40993</c:v>
                </c:pt>
                <c:pt idx="61">
                  <c:v>40994</c:v>
                </c:pt>
                <c:pt idx="62">
                  <c:v>40995</c:v>
                </c:pt>
                <c:pt idx="63">
                  <c:v>40996</c:v>
                </c:pt>
                <c:pt idx="64">
                  <c:v>40997</c:v>
                </c:pt>
                <c:pt idx="65">
                  <c:v>40998</c:v>
                </c:pt>
                <c:pt idx="66">
                  <c:v>41000</c:v>
                </c:pt>
                <c:pt idx="67">
                  <c:v>41001</c:v>
                </c:pt>
                <c:pt idx="68">
                  <c:v>41002</c:v>
                </c:pt>
                <c:pt idx="69">
                  <c:v>41003</c:v>
                </c:pt>
                <c:pt idx="70">
                  <c:v>41004</c:v>
                </c:pt>
                <c:pt idx="71">
                  <c:v>41007</c:v>
                </c:pt>
                <c:pt idx="72">
                  <c:v>41008</c:v>
                </c:pt>
                <c:pt idx="73">
                  <c:v>41009</c:v>
                </c:pt>
                <c:pt idx="74">
                  <c:v>41010</c:v>
                </c:pt>
                <c:pt idx="75">
                  <c:v>41011</c:v>
                </c:pt>
                <c:pt idx="76">
                  <c:v>41012</c:v>
                </c:pt>
                <c:pt idx="77">
                  <c:v>41014</c:v>
                </c:pt>
                <c:pt idx="78">
                  <c:v>41015</c:v>
                </c:pt>
                <c:pt idx="79">
                  <c:v>41016</c:v>
                </c:pt>
                <c:pt idx="80">
                  <c:v>41017</c:v>
                </c:pt>
                <c:pt idx="81">
                  <c:v>41018</c:v>
                </c:pt>
                <c:pt idx="82">
                  <c:v>41019</c:v>
                </c:pt>
                <c:pt idx="83">
                  <c:v>41021</c:v>
                </c:pt>
                <c:pt idx="84">
                  <c:v>41022</c:v>
                </c:pt>
                <c:pt idx="85">
                  <c:v>41023</c:v>
                </c:pt>
                <c:pt idx="86">
                  <c:v>41024</c:v>
                </c:pt>
                <c:pt idx="87">
                  <c:v>41025</c:v>
                </c:pt>
                <c:pt idx="88">
                  <c:v>41026</c:v>
                </c:pt>
                <c:pt idx="89">
                  <c:v>41028</c:v>
                </c:pt>
                <c:pt idx="90">
                  <c:v>41029</c:v>
                </c:pt>
                <c:pt idx="91">
                  <c:v>41030</c:v>
                </c:pt>
                <c:pt idx="92">
                  <c:v>41031</c:v>
                </c:pt>
                <c:pt idx="93">
                  <c:v>41032</c:v>
                </c:pt>
                <c:pt idx="94">
                  <c:v>41033</c:v>
                </c:pt>
                <c:pt idx="95">
                  <c:v>41035</c:v>
                </c:pt>
                <c:pt idx="96">
                  <c:v>41036</c:v>
                </c:pt>
                <c:pt idx="97">
                  <c:v>41037</c:v>
                </c:pt>
                <c:pt idx="98">
                  <c:v>41038</c:v>
                </c:pt>
                <c:pt idx="99">
                  <c:v>41039</c:v>
                </c:pt>
                <c:pt idx="100">
                  <c:v>41040</c:v>
                </c:pt>
                <c:pt idx="101">
                  <c:v>41042</c:v>
                </c:pt>
                <c:pt idx="102">
                  <c:v>41043</c:v>
                </c:pt>
                <c:pt idx="103">
                  <c:v>41044</c:v>
                </c:pt>
                <c:pt idx="104">
                  <c:v>41045</c:v>
                </c:pt>
                <c:pt idx="105">
                  <c:v>41046</c:v>
                </c:pt>
                <c:pt idx="106">
                  <c:v>41047</c:v>
                </c:pt>
                <c:pt idx="107">
                  <c:v>41049</c:v>
                </c:pt>
                <c:pt idx="108">
                  <c:v>41050</c:v>
                </c:pt>
                <c:pt idx="109">
                  <c:v>41051</c:v>
                </c:pt>
                <c:pt idx="110">
                  <c:v>41052</c:v>
                </c:pt>
                <c:pt idx="111">
                  <c:v>41053</c:v>
                </c:pt>
                <c:pt idx="112">
                  <c:v>41054</c:v>
                </c:pt>
                <c:pt idx="113">
                  <c:v>41058</c:v>
                </c:pt>
                <c:pt idx="114">
                  <c:v>41059</c:v>
                </c:pt>
                <c:pt idx="115">
                  <c:v>41060</c:v>
                </c:pt>
                <c:pt idx="116">
                  <c:v>41061</c:v>
                </c:pt>
                <c:pt idx="117">
                  <c:v>41063</c:v>
                </c:pt>
                <c:pt idx="118">
                  <c:v>41064</c:v>
                </c:pt>
                <c:pt idx="119">
                  <c:v>41065</c:v>
                </c:pt>
                <c:pt idx="120">
                  <c:v>41066</c:v>
                </c:pt>
                <c:pt idx="121">
                  <c:v>41067</c:v>
                </c:pt>
                <c:pt idx="122">
                  <c:v>41068</c:v>
                </c:pt>
                <c:pt idx="123">
                  <c:v>41070</c:v>
                </c:pt>
                <c:pt idx="124">
                  <c:v>41071</c:v>
                </c:pt>
                <c:pt idx="125">
                  <c:v>41072</c:v>
                </c:pt>
                <c:pt idx="126">
                  <c:v>41073</c:v>
                </c:pt>
                <c:pt idx="127">
                  <c:v>41074</c:v>
                </c:pt>
                <c:pt idx="128">
                  <c:v>41075</c:v>
                </c:pt>
                <c:pt idx="129">
                  <c:v>41077</c:v>
                </c:pt>
                <c:pt idx="130">
                  <c:v>41078</c:v>
                </c:pt>
                <c:pt idx="131">
                  <c:v>41079</c:v>
                </c:pt>
                <c:pt idx="132">
                  <c:v>41080</c:v>
                </c:pt>
                <c:pt idx="133">
                  <c:v>41081</c:v>
                </c:pt>
                <c:pt idx="134">
                  <c:v>41082</c:v>
                </c:pt>
                <c:pt idx="135">
                  <c:v>41084</c:v>
                </c:pt>
                <c:pt idx="136">
                  <c:v>41085</c:v>
                </c:pt>
                <c:pt idx="137">
                  <c:v>41086</c:v>
                </c:pt>
                <c:pt idx="138">
                  <c:v>41087</c:v>
                </c:pt>
                <c:pt idx="139">
                  <c:v>41088</c:v>
                </c:pt>
                <c:pt idx="140">
                  <c:v>41089</c:v>
                </c:pt>
                <c:pt idx="141">
                  <c:v>41091</c:v>
                </c:pt>
                <c:pt idx="142">
                  <c:v>41092</c:v>
                </c:pt>
                <c:pt idx="143">
                  <c:v>41093</c:v>
                </c:pt>
                <c:pt idx="144">
                  <c:v>41095</c:v>
                </c:pt>
                <c:pt idx="145">
                  <c:v>41096</c:v>
                </c:pt>
                <c:pt idx="146">
                  <c:v>41098</c:v>
                </c:pt>
                <c:pt idx="147">
                  <c:v>41099</c:v>
                </c:pt>
                <c:pt idx="148">
                  <c:v>41100</c:v>
                </c:pt>
                <c:pt idx="149">
                  <c:v>41101</c:v>
                </c:pt>
                <c:pt idx="150">
                  <c:v>41102</c:v>
                </c:pt>
                <c:pt idx="151">
                  <c:v>41103</c:v>
                </c:pt>
                <c:pt idx="152">
                  <c:v>41105</c:v>
                </c:pt>
                <c:pt idx="153">
                  <c:v>41106</c:v>
                </c:pt>
                <c:pt idx="154">
                  <c:v>41107</c:v>
                </c:pt>
                <c:pt idx="155">
                  <c:v>41108</c:v>
                </c:pt>
                <c:pt idx="156">
                  <c:v>41109</c:v>
                </c:pt>
                <c:pt idx="157">
                  <c:v>41110</c:v>
                </c:pt>
                <c:pt idx="158">
                  <c:v>41112</c:v>
                </c:pt>
                <c:pt idx="159">
                  <c:v>41113</c:v>
                </c:pt>
                <c:pt idx="160">
                  <c:v>41114</c:v>
                </c:pt>
                <c:pt idx="161">
                  <c:v>41115</c:v>
                </c:pt>
                <c:pt idx="162">
                  <c:v>41116</c:v>
                </c:pt>
                <c:pt idx="163">
                  <c:v>41117</c:v>
                </c:pt>
                <c:pt idx="164">
                  <c:v>41119</c:v>
                </c:pt>
                <c:pt idx="165">
                  <c:v>41120</c:v>
                </c:pt>
                <c:pt idx="166">
                  <c:v>41121</c:v>
                </c:pt>
                <c:pt idx="167">
                  <c:v>41122</c:v>
                </c:pt>
                <c:pt idx="168">
                  <c:v>41123</c:v>
                </c:pt>
                <c:pt idx="169">
                  <c:v>41124</c:v>
                </c:pt>
                <c:pt idx="170">
                  <c:v>41126</c:v>
                </c:pt>
                <c:pt idx="171">
                  <c:v>41127</c:v>
                </c:pt>
                <c:pt idx="172">
                  <c:v>41128</c:v>
                </c:pt>
                <c:pt idx="173">
                  <c:v>41129</c:v>
                </c:pt>
                <c:pt idx="174">
                  <c:v>41130</c:v>
                </c:pt>
                <c:pt idx="175">
                  <c:v>41131</c:v>
                </c:pt>
                <c:pt idx="176">
                  <c:v>41133</c:v>
                </c:pt>
                <c:pt idx="177">
                  <c:v>41134</c:v>
                </c:pt>
                <c:pt idx="178">
                  <c:v>41135</c:v>
                </c:pt>
                <c:pt idx="179">
                  <c:v>41136</c:v>
                </c:pt>
                <c:pt idx="180">
                  <c:v>41137</c:v>
                </c:pt>
                <c:pt idx="181">
                  <c:v>41138</c:v>
                </c:pt>
                <c:pt idx="182">
                  <c:v>41140</c:v>
                </c:pt>
                <c:pt idx="183">
                  <c:v>41141</c:v>
                </c:pt>
              </c:numCache>
            </c:numRef>
          </c:cat>
          <c:val>
            <c:numRef>
              <c:f>'[1]US Wheat'!$B$2:$B$185</c:f>
              <c:numCache>
                <c:formatCode>General</c:formatCode>
                <c:ptCount val="184"/>
                <c:pt idx="0">
                  <c:v>653.13</c:v>
                </c:pt>
                <c:pt idx="1">
                  <c:v>658.38</c:v>
                </c:pt>
                <c:pt idx="2">
                  <c:v>650.13</c:v>
                </c:pt>
                <c:pt idx="3">
                  <c:v>627.38</c:v>
                </c:pt>
                <c:pt idx="4">
                  <c:v>624.63</c:v>
                </c:pt>
                <c:pt idx="5">
                  <c:v>642.38</c:v>
                </c:pt>
                <c:pt idx="6">
                  <c:v>639.63</c:v>
                </c:pt>
                <c:pt idx="7">
                  <c:v>643.25</c:v>
                </c:pt>
                <c:pt idx="8">
                  <c:v>605.88</c:v>
                </c:pt>
                <c:pt idx="9">
                  <c:v>601.63</c:v>
                </c:pt>
                <c:pt idx="10">
                  <c:v>604.88</c:v>
                </c:pt>
                <c:pt idx="11">
                  <c:v>592.13</c:v>
                </c:pt>
                <c:pt idx="12">
                  <c:v>606.13</c:v>
                </c:pt>
                <c:pt idx="13">
                  <c:v>610.63</c:v>
                </c:pt>
                <c:pt idx="14">
                  <c:v>619.63</c:v>
                </c:pt>
                <c:pt idx="15">
                  <c:v>633.63</c:v>
                </c:pt>
                <c:pt idx="16">
                  <c:v>641.63</c:v>
                </c:pt>
                <c:pt idx="17">
                  <c:v>653.13</c:v>
                </c:pt>
                <c:pt idx="18">
                  <c:v>647.25</c:v>
                </c:pt>
                <c:pt idx="19">
                  <c:v>643.88</c:v>
                </c:pt>
                <c:pt idx="20">
                  <c:v>666.63</c:v>
                </c:pt>
                <c:pt idx="21">
                  <c:v>674.63</c:v>
                </c:pt>
                <c:pt idx="22">
                  <c:v>661.63</c:v>
                </c:pt>
                <c:pt idx="23">
                  <c:v>660.38</c:v>
                </c:pt>
                <c:pt idx="24">
                  <c:v>668.63</c:v>
                </c:pt>
                <c:pt idx="25">
                  <c:v>661.13</c:v>
                </c:pt>
                <c:pt idx="26">
                  <c:v>661.13</c:v>
                </c:pt>
                <c:pt idx="27">
                  <c:v>645.38</c:v>
                </c:pt>
                <c:pt idx="28">
                  <c:v>629.88</c:v>
                </c:pt>
                <c:pt idx="29">
                  <c:v>641.88</c:v>
                </c:pt>
                <c:pt idx="30">
                  <c:v>634.25</c:v>
                </c:pt>
                <c:pt idx="31">
                  <c:v>626.13</c:v>
                </c:pt>
                <c:pt idx="32">
                  <c:v>627.13</c:v>
                </c:pt>
                <c:pt idx="33">
                  <c:v>644.13</c:v>
                </c:pt>
                <c:pt idx="34">
                  <c:v>633.63</c:v>
                </c:pt>
                <c:pt idx="35">
                  <c:v>644.88</c:v>
                </c:pt>
                <c:pt idx="36">
                  <c:v>640.88</c:v>
                </c:pt>
                <c:pt idx="37">
                  <c:v>642.25</c:v>
                </c:pt>
                <c:pt idx="38">
                  <c:v>653.75</c:v>
                </c:pt>
                <c:pt idx="39">
                  <c:v>667.38</c:v>
                </c:pt>
                <c:pt idx="40">
                  <c:v>667.88</c:v>
                </c:pt>
                <c:pt idx="41">
                  <c:v>663</c:v>
                </c:pt>
                <c:pt idx="42">
                  <c:v>672.25</c:v>
                </c:pt>
                <c:pt idx="43">
                  <c:v>670.88</c:v>
                </c:pt>
                <c:pt idx="44">
                  <c:v>657.13</c:v>
                </c:pt>
                <c:pt idx="45">
                  <c:v>638.63</c:v>
                </c:pt>
                <c:pt idx="46">
                  <c:v>634.63</c:v>
                </c:pt>
                <c:pt idx="47">
                  <c:v>640.88</c:v>
                </c:pt>
                <c:pt idx="48">
                  <c:v>639.25</c:v>
                </c:pt>
                <c:pt idx="49">
                  <c:v>651.13</c:v>
                </c:pt>
                <c:pt idx="50">
                  <c:v>649.5</c:v>
                </c:pt>
                <c:pt idx="51">
                  <c:v>646.25</c:v>
                </c:pt>
                <c:pt idx="52">
                  <c:v>663.63</c:v>
                </c:pt>
                <c:pt idx="53">
                  <c:v>672.13</c:v>
                </c:pt>
                <c:pt idx="54">
                  <c:v>674.5</c:v>
                </c:pt>
                <c:pt idx="55">
                  <c:v>652.25</c:v>
                </c:pt>
                <c:pt idx="56">
                  <c:v>642.75</c:v>
                </c:pt>
                <c:pt idx="57">
                  <c:v>640.75</c:v>
                </c:pt>
                <c:pt idx="58">
                  <c:v>648.75</c:v>
                </c:pt>
                <c:pt idx="59">
                  <c:v>654.63</c:v>
                </c:pt>
                <c:pt idx="60">
                  <c:v>650.25</c:v>
                </c:pt>
                <c:pt idx="61">
                  <c:v>658.75</c:v>
                </c:pt>
                <c:pt idx="62">
                  <c:v>640.88</c:v>
                </c:pt>
                <c:pt idx="63">
                  <c:v>633.25</c:v>
                </c:pt>
                <c:pt idx="64">
                  <c:v>616.63</c:v>
                </c:pt>
                <c:pt idx="65">
                  <c:v>658.88</c:v>
                </c:pt>
                <c:pt idx="66">
                  <c:v>663.5</c:v>
                </c:pt>
                <c:pt idx="67">
                  <c:v>653.88</c:v>
                </c:pt>
                <c:pt idx="68">
                  <c:v>658.38</c:v>
                </c:pt>
                <c:pt idx="69">
                  <c:v>641.25</c:v>
                </c:pt>
                <c:pt idx="70">
                  <c:v>638.63</c:v>
                </c:pt>
                <c:pt idx="71">
                  <c:v>641.63</c:v>
                </c:pt>
                <c:pt idx="72">
                  <c:v>641.38</c:v>
                </c:pt>
                <c:pt idx="73">
                  <c:v>622.75</c:v>
                </c:pt>
                <c:pt idx="74">
                  <c:v>629.88</c:v>
                </c:pt>
                <c:pt idx="75">
                  <c:v>639.88</c:v>
                </c:pt>
                <c:pt idx="76">
                  <c:v>622.88</c:v>
                </c:pt>
                <c:pt idx="77">
                  <c:v>620.25</c:v>
                </c:pt>
                <c:pt idx="78">
                  <c:v>618.75</c:v>
                </c:pt>
                <c:pt idx="79">
                  <c:v>616.13</c:v>
                </c:pt>
                <c:pt idx="80">
                  <c:v>613.88</c:v>
                </c:pt>
                <c:pt idx="81">
                  <c:v>625.88</c:v>
                </c:pt>
                <c:pt idx="82">
                  <c:v>616.88</c:v>
                </c:pt>
                <c:pt idx="83">
                  <c:v>622.25</c:v>
                </c:pt>
                <c:pt idx="84">
                  <c:v>633</c:v>
                </c:pt>
                <c:pt idx="85">
                  <c:v>638.75</c:v>
                </c:pt>
                <c:pt idx="86">
                  <c:v>627.25</c:v>
                </c:pt>
                <c:pt idx="87">
                  <c:v>636</c:v>
                </c:pt>
                <c:pt idx="88">
                  <c:v>649.38</c:v>
                </c:pt>
                <c:pt idx="89">
                  <c:v>648.88</c:v>
                </c:pt>
                <c:pt idx="90">
                  <c:v>652.63</c:v>
                </c:pt>
                <c:pt idx="91">
                  <c:v>640</c:v>
                </c:pt>
                <c:pt idx="92">
                  <c:v>616.13</c:v>
                </c:pt>
                <c:pt idx="93">
                  <c:v>618.13</c:v>
                </c:pt>
                <c:pt idx="94">
                  <c:v>608.88</c:v>
                </c:pt>
                <c:pt idx="95">
                  <c:v>608.88</c:v>
                </c:pt>
                <c:pt idx="96">
                  <c:v>611.88</c:v>
                </c:pt>
                <c:pt idx="97">
                  <c:v>617.25</c:v>
                </c:pt>
                <c:pt idx="98">
                  <c:v>602.38</c:v>
                </c:pt>
                <c:pt idx="99">
                  <c:v>600.88</c:v>
                </c:pt>
                <c:pt idx="100">
                  <c:v>596.63</c:v>
                </c:pt>
                <c:pt idx="101">
                  <c:v>598.75</c:v>
                </c:pt>
                <c:pt idx="102">
                  <c:v>598.38</c:v>
                </c:pt>
                <c:pt idx="103">
                  <c:v>609.13</c:v>
                </c:pt>
                <c:pt idx="104">
                  <c:v>638.88</c:v>
                </c:pt>
                <c:pt idx="105">
                  <c:v>657.63</c:v>
                </c:pt>
                <c:pt idx="106">
                  <c:v>694.88</c:v>
                </c:pt>
                <c:pt idx="107">
                  <c:v>703.88</c:v>
                </c:pt>
                <c:pt idx="108">
                  <c:v>697.5</c:v>
                </c:pt>
                <c:pt idx="109">
                  <c:v>683.88</c:v>
                </c:pt>
                <c:pt idx="110">
                  <c:v>669.88</c:v>
                </c:pt>
                <c:pt idx="111">
                  <c:v>665.38</c:v>
                </c:pt>
                <c:pt idx="112">
                  <c:v>679.88</c:v>
                </c:pt>
                <c:pt idx="113">
                  <c:v>660.25</c:v>
                </c:pt>
                <c:pt idx="114">
                  <c:v>652.25</c:v>
                </c:pt>
                <c:pt idx="115">
                  <c:v>645.63</c:v>
                </c:pt>
                <c:pt idx="116">
                  <c:v>613.25</c:v>
                </c:pt>
                <c:pt idx="117">
                  <c:v>613.5</c:v>
                </c:pt>
                <c:pt idx="118">
                  <c:v>628.25</c:v>
                </c:pt>
                <c:pt idx="119">
                  <c:v>615.63</c:v>
                </c:pt>
                <c:pt idx="120">
                  <c:v>625.63</c:v>
                </c:pt>
                <c:pt idx="121">
                  <c:v>635.25</c:v>
                </c:pt>
                <c:pt idx="122">
                  <c:v>630.13</c:v>
                </c:pt>
                <c:pt idx="123">
                  <c:v>630</c:v>
                </c:pt>
                <c:pt idx="124">
                  <c:v>627.25</c:v>
                </c:pt>
                <c:pt idx="125">
                  <c:v>617.88</c:v>
                </c:pt>
                <c:pt idx="126">
                  <c:v>619.13</c:v>
                </c:pt>
                <c:pt idx="127">
                  <c:v>621.25</c:v>
                </c:pt>
                <c:pt idx="128">
                  <c:v>613.88</c:v>
                </c:pt>
                <c:pt idx="129">
                  <c:v>615.5</c:v>
                </c:pt>
                <c:pt idx="130">
                  <c:v>631.5</c:v>
                </c:pt>
                <c:pt idx="131">
                  <c:v>649.63</c:v>
                </c:pt>
                <c:pt idx="132">
                  <c:v>658.63</c:v>
                </c:pt>
                <c:pt idx="133">
                  <c:v>658.5</c:v>
                </c:pt>
                <c:pt idx="134">
                  <c:v>674.63</c:v>
                </c:pt>
                <c:pt idx="135">
                  <c:v>702.63</c:v>
                </c:pt>
                <c:pt idx="136">
                  <c:v>747</c:v>
                </c:pt>
                <c:pt idx="137">
                  <c:v>741.88</c:v>
                </c:pt>
                <c:pt idx="138">
                  <c:v>747.88</c:v>
                </c:pt>
                <c:pt idx="139">
                  <c:v>742.38</c:v>
                </c:pt>
                <c:pt idx="140">
                  <c:v>758.88</c:v>
                </c:pt>
                <c:pt idx="141">
                  <c:v>773.38</c:v>
                </c:pt>
                <c:pt idx="142">
                  <c:v>775.5</c:v>
                </c:pt>
                <c:pt idx="143">
                  <c:v>799.13</c:v>
                </c:pt>
                <c:pt idx="144">
                  <c:v>828</c:v>
                </c:pt>
                <c:pt idx="145">
                  <c:v>807.13</c:v>
                </c:pt>
                <c:pt idx="146">
                  <c:v>821.5</c:v>
                </c:pt>
                <c:pt idx="147">
                  <c:v>817.75</c:v>
                </c:pt>
                <c:pt idx="148">
                  <c:v>822.5</c:v>
                </c:pt>
                <c:pt idx="149">
                  <c:v>829.38</c:v>
                </c:pt>
                <c:pt idx="150">
                  <c:v>845.5</c:v>
                </c:pt>
                <c:pt idx="151">
                  <c:v>846.63</c:v>
                </c:pt>
                <c:pt idx="152">
                  <c:v>866.88</c:v>
                </c:pt>
                <c:pt idx="153">
                  <c:v>896.13</c:v>
                </c:pt>
                <c:pt idx="154">
                  <c:v>883.75</c:v>
                </c:pt>
                <c:pt idx="155">
                  <c:v>898.38</c:v>
                </c:pt>
                <c:pt idx="156">
                  <c:v>932.63</c:v>
                </c:pt>
                <c:pt idx="157">
                  <c:v>943.88</c:v>
                </c:pt>
                <c:pt idx="158">
                  <c:v>932.25</c:v>
                </c:pt>
                <c:pt idx="159">
                  <c:v>891.88</c:v>
                </c:pt>
                <c:pt idx="160">
                  <c:v>863.38</c:v>
                </c:pt>
                <c:pt idx="161">
                  <c:v>893</c:v>
                </c:pt>
                <c:pt idx="162">
                  <c:v>879.88</c:v>
                </c:pt>
                <c:pt idx="163">
                  <c:v>898.75</c:v>
                </c:pt>
                <c:pt idx="164">
                  <c:v>909.88</c:v>
                </c:pt>
                <c:pt idx="165">
                  <c:v>911</c:v>
                </c:pt>
                <c:pt idx="166">
                  <c:v>892.63</c:v>
                </c:pt>
                <c:pt idx="167">
                  <c:v>881.63</c:v>
                </c:pt>
                <c:pt idx="168">
                  <c:v>861.5</c:v>
                </c:pt>
                <c:pt idx="169">
                  <c:v>891.13</c:v>
                </c:pt>
                <c:pt idx="170">
                  <c:v>885.13</c:v>
                </c:pt>
                <c:pt idx="171">
                  <c:v>891.88</c:v>
                </c:pt>
                <c:pt idx="172">
                  <c:v>887.5</c:v>
                </c:pt>
                <c:pt idx="173">
                  <c:v>899.75</c:v>
                </c:pt>
                <c:pt idx="174">
                  <c:v>915.25</c:v>
                </c:pt>
                <c:pt idx="175">
                  <c:v>887</c:v>
                </c:pt>
                <c:pt idx="176">
                  <c:v>880.75</c:v>
                </c:pt>
                <c:pt idx="177">
                  <c:v>859.38</c:v>
                </c:pt>
                <c:pt idx="178">
                  <c:v>845.63</c:v>
                </c:pt>
                <c:pt idx="179">
                  <c:v>846.75</c:v>
                </c:pt>
                <c:pt idx="180">
                  <c:v>863.75</c:v>
                </c:pt>
                <c:pt idx="181">
                  <c:v>873.88</c:v>
                </c:pt>
                <c:pt idx="182">
                  <c:v>872.25</c:v>
                </c:pt>
                <c:pt idx="183">
                  <c:v>879.38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001-4E29-9EAE-9FB7D27FF0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7475424"/>
        <c:axId val="847475816"/>
      </c:lineChart>
      <c:catAx>
        <c:axId val="847475424"/>
        <c:scaling>
          <c:orientation val="minMax"/>
          <c:min val="40909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cap="all" baseline="0">
                    <a:solidFill>
                      <a:srgbClr val="898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 cap="all" baseline="0">
                    <a:solidFill>
                      <a:srgbClr val="898000"/>
                    </a:solidFill>
                  </a:rPr>
                  <a:t>Time series Data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cap="all" baseline="0">
                  <a:solidFill>
                    <a:srgbClr val="898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409]mmm\-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0"/>
          <a:lstStyle/>
          <a:p>
            <a:pPr>
              <a:defRPr sz="1000" b="0" i="0" u="none" strike="noStrike" kern="1200" cap="all" baseline="0">
                <a:solidFill>
                  <a:srgbClr val="D7D17B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475816"/>
        <c:crosses val="autoZero"/>
        <c:auto val="1"/>
        <c:lblAlgn val="ctr"/>
        <c:lblOffset val="100"/>
        <c:noMultiLvlLbl val="1"/>
      </c:catAx>
      <c:valAx>
        <c:axId val="847475816"/>
        <c:scaling>
          <c:orientation val="minMax"/>
          <c:min val="4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cap="all" baseline="0">
                    <a:solidFill>
                      <a:srgbClr val="898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 cap="all" baseline="0">
                    <a:solidFill>
                      <a:srgbClr val="898000"/>
                    </a:solidFill>
                  </a:rPr>
                  <a:t>Numbers (in millions)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cap="all" baseline="0">
                  <a:solidFill>
                    <a:srgbClr val="898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D7D17B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475424"/>
        <c:crosses val="autoZero"/>
        <c:crossBetween val="between"/>
      </c:valAx>
      <c:spPr>
        <a:solidFill>
          <a:schemeClr val="tx1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bg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tx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D7B400"/>
                </a:solidFill>
              </a:rPr>
              <a:t>Gamco, Assets Under Management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Raw!$X$22</c:f>
              <c:strCache>
                <c:ptCount val="1"/>
              </c:strCache>
            </c:strRef>
          </c:tx>
          <c:spPr>
            <a:solidFill>
              <a:srgbClr val="B1A82F"/>
            </a:solidFill>
            <a:ln>
              <a:noFill/>
            </a:ln>
            <a:effectLst/>
          </c:spPr>
          <c:invertIfNegative val="0"/>
          <c:val>
            <c:numRef>
              <c:f>Raw!$Y$22:$AK$22</c:f>
              <c:numCache>
                <c:formatCode>#,##0</c:formatCode>
                <c:ptCount val="13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990-41EC-84E7-8DBB81CC5A46}"/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 xmlns:c16r2="http://schemas.microsoft.com/office/drawing/2015/06/chart">
                      <c:ext uri="{02D57815-91ED-43cb-92C2-25804820EDAC}">
                        <c15:formulaRef>
                          <c15:sqref>Raw!#REF!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7476600"/>
        <c:axId val="847476992"/>
      </c:barChart>
      <c:catAx>
        <c:axId val="847476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D7B4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476992"/>
        <c:crosses val="autoZero"/>
        <c:auto val="1"/>
        <c:lblAlgn val="ctr"/>
        <c:lblOffset val="100"/>
        <c:noMultiLvlLbl val="0"/>
      </c:catAx>
      <c:valAx>
        <c:axId val="847476992"/>
        <c:scaling>
          <c:orientation val="minMax"/>
          <c:min val="25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bg1"/>
                    </a:solidFill>
                  </a:rPr>
                  <a:t>Total AUM (in millions)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D7B4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476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ysClr val="windowText" lastClr="000000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285749</xdr:colOff>
      <xdr:row>1</xdr:row>
      <xdr:rowOff>146960</xdr:rowOff>
    </xdr:from>
    <xdr:to>
      <xdr:col>21</xdr:col>
      <xdr:colOff>451758</xdr:colOff>
      <xdr:row>19</xdr:row>
      <xdr:rowOff>114301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567ABBD9-1641-4527-921E-09648A5514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108859</xdr:colOff>
      <xdr:row>1</xdr:row>
      <xdr:rowOff>146957</xdr:rowOff>
    </xdr:from>
    <xdr:to>
      <xdr:col>7</xdr:col>
      <xdr:colOff>560616</xdr:colOff>
      <xdr:row>3</xdr:row>
      <xdr:rowOff>21772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xmlns="" id="{CC690A9D-D23F-4BB6-9DD3-7051A5C39F1B}"/>
            </a:ext>
          </a:extLst>
        </xdr:cNvPr>
        <xdr:cNvSpPr/>
      </xdr:nvSpPr>
      <xdr:spPr>
        <a:xfrm>
          <a:off x="4680859" y="304800"/>
          <a:ext cx="451757" cy="310243"/>
        </a:xfrm>
        <a:prstGeom prst="rect">
          <a:avLst/>
        </a:prstGeom>
        <a:noFill/>
        <a:ln w="381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</xdr:col>
      <xdr:colOff>250375</xdr:colOff>
      <xdr:row>11</xdr:row>
      <xdr:rowOff>108854</xdr:rowOff>
    </xdr:from>
    <xdr:to>
      <xdr:col>10</xdr:col>
      <xdr:colOff>130632</xdr:colOff>
      <xdr:row>32</xdr:row>
      <xdr:rowOff>27213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BEA5CB-EA0B-4474-8B95-9775DABEF2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477759</xdr:colOff>
      <xdr:row>16</xdr:row>
      <xdr:rowOff>19352</xdr:rowOff>
    </xdr:from>
    <xdr:to>
      <xdr:col>37</xdr:col>
      <xdr:colOff>54428</xdr:colOff>
      <xdr:row>21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C689C9C9-6931-4111-B39D-2C59DB915A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4f6b443f38479abf/Documents/Macro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uminum"/>
      <sheetName val="Copper"/>
      <sheetName val="Gold"/>
      <sheetName val="Lead"/>
      <sheetName val="Nickel"/>
      <sheetName val="Palladium"/>
      <sheetName val="Platinum"/>
      <sheetName val="Silver"/>
      <sheetName val="Tin"/>
      <sheetName val="Zinc"/>
      <sheetName val="Lumber"/>
      <sheetName val="Crude Oil WTI"/>
      <sheetName val="Natural Gas"/>
      <sheetName val="US Soybeans"/>
      <sheetName val="US Corn"/>
      <sheetName val="US Whea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1">
          <cell r="B1" t="str">
            <v>Price</v>
          </cell>
        </row>
        <row r="2">
          <cell r="A2">
            <v>40910</v>
          </cell>
          <cell r="B2">
            <v>653.13</v>
          </cell>
        </row>
        <row r="3">
          <cell r="A3">
            <v>40911</v>
          </cell>
          <cell r="B3">
            <v>658.38</v>
          </cell>
        </row>
        <row r="4">
          <cell r="A4">
            <v>40912</v>
          </cell>
          <cell r="B4">
            <v>650.13</v>
          </cell>
        </row>
        <row r="5">
          <cell r="A5">
            <v>40913</v>
          </cell>
          <cell r="B5">
            <v>627.38</v>
          </cell>
        </row>
        <row r="6">
          <cell r="A6">
            <v>40914</v>
          </cell>
          <cell r="B6">
            <v>624.63</v>
          </cell>
        </row>
        <row r="7">
          <cell r="A7">
            <v>40917</v>
          </cell>
          <cell r="B7">
            <v>642.38</v>
          </cell>
        </row>
        <row r="8">
          <cell r="A8">
            <v>40918</v>
          </cell>
          <cell r="B8">
            <v>639.63</v>
          </cell>
        </row>
        <row r="9">
          <cell r="A9">
            <v>40919</v>
          </cell>
          <cell r="B9">
            <v>643.25</v>
          </cell>
        </row>
        <row r="10">
          <cell r="A10">
            <v>40920</v>
          </cell>
          <cell r="B10">
            <v>605.88</v>
          </cell>
        </row>
        <row r="11">
          <cell r="A11">
            <v>40921</v>
          </cell>
          <cell r="B11">
            <v>601.63</v>
          </cell>
        </row>
        <row r="12">
          <cell r="A12">
            <v>40925</v>
          </cell>
          <cell r="B12">
            <v>604.88</v>
          </cell>
        </row>
        <row r="13">
          <cell r="A13">
            <v>40926</v>
          </cell>
          <cell r="B13">
            <v>592.13</v>
          </cell>
        </row>
        <row r="14">
          <cell r="A14">
            <v>40927</v>
          </cell>
          <cell r="B14">
            <v>606.13</v>
          </cell>
        </row>
        <row r="15">
          <cell r="A15">
            <v>40928</v>
          </cell>
          <cell r="B15">
            <v>610.63</v>
          </cell>
        </row>
        <row r="16">
          <cell r="A16">
            <v>40931</v>
          </cell>
          <cell r="B16">
            <v>619.63</v>
          </cell>
        </row>
        <row r="17">
          <cell r="A17">
            <v>40932</v>
          </cell>
          <cell r="B17">
            <v>633.63</v>
          </cell>
        </row>
        <row r="18">
          <cell r="A18">
            <v>40933</v>
          </cell>
          <cell r="B18">
            <v>641.63</v>
          </cell>
        </row>
        <row r="19">
          <cell r="A19">
            <v>40934</v>
          </cell>
          <cell r="B19">
            <v>653.13</v>
          </cell>
        </row>
        <row r="20">
          <cell r="A20">
            <v>40935</v>
          </cell>
          <cell r="B20">
            <v>647.25</v>
          </cell>
        </row>
        <row r="21">
          <cell r="A21">
            <v>40938</v>
          </cell>
          <cell r="B21">
            <v>643.88</v>
          </cell>
        </row>
        <row r="22">
          <cell r="A22">
            <v>40939</v>
          </cell>
          <cell r="B22">
            <v>666.63</v>
          </cell>
        </row>
        <row r="23">
          <cell r="A23">
            <v>40940</v>
          </cell>
          <cell r="B23">
            <v>674.63</v>
          </cell>
        </row>
        <row r="24">
          <cell r="A24">
            <v>40941</v>
          </cell>
          <cell r="B24">
            <v>661.63</v>
          </cell>
        </row>
        <row r="25">
          <cell r="A25">
            <v>40942</v>
          </cell>
          <cell r="B25">
            <v>660.38</v>
          </cell>
        </row>
        <row r="26">
          <cell r="A26">
            <v>40945</v>
          </cell>
          <cell r="B26">
            <v>668.63</v>
          </cell>
        </row>
        <row r="27">
          <cell r="A27">
            <v>40946</v>
          </cell>
          <cell r="B27">
            <v>661.13</v>
          </cell>
        </row>
        <row r="28">
          <cell r="A28">
            <v>40947</v>
          </cell>
          <cell r="B28">
            <v>661.13</v>
          </cell>
        </row>
        <row r="29">
          <cell r="A29">
            <v>40948</v>
          </cell>
          <cell r="B29">
            <v>645.38</v>
          </cell>
        </row>
        <row r="30">
          <cell r="A30">
            <v>40949</v>
          </cell>
          <cell r="B30">
            <v>629.88</v>
          </cell>
        </row>
        <row r="31">
          <cell r="A31">
            <v>40952</v>
          </cell>
          <cell r="B31">
            <v>641.88</v>
          </cell>
        </row>
        <row r="32">
          <cell r="A32">
            <v>40953</v>
          </cell>
          <cell r="B32">
            <v>634.25</v>
          </cell>
        </row>
        <row r="33">
          <cell r="A33">
            <v>40954</v>
          </cell>
          <cell r="B33">
            <v>626.13</v>
          </cell>
        </row>
        <row r="34">
          <cell r="A34">
            <v>40955</v>
          </cell>
          <cell r="B34">
            <v>627.13</v>
          </cell>
        </row>
        <row r="35">
          <cell r="A35">
            <v>40956</v>
          </cell>
          <cell r="B35">
            <v>644.13</v>
          </cell>
        </row>
        <row r="36">
          <cell r="A36">
            <v>40960</v>
          </cell>
          <cell r="B36">
            <v>633.63</v>
          </cell>
        </row>
        <row r="37">
          <cell r="A37">
            <v>40961</v>
          </cell>
          <cell r="B37">
            <v>644.88</v>
          </cell>
        </row>
        <row r="38">
          <cell r="A38">
            <v>40962</v>
          </cell>
          <cell r="B38">
            <v>640.88</v>
          </cell>
        </row>
        <row r="39">
          <cell r="A39">
            <v>40963</v>
          </cell>
          <cell r="B39">
            <v>642.25</v>
          </cell>
        </row>
        <row r="40">
          <cell r="A40">
            <v>40966</v>
          </cell>
          <cell r="B40">
            <v>653.75</v>
          </cell>
        </row>
        <row r="41">
          <cell r="A41">
            <v>40967</v>
          </cell>
          <cell r="B41">
            <v>667.38</v>
          </cell>
        </row>
        <row r="42">
          <cell r="A42">
            <v>40968</v>
          </cell>
          <cell r="B42">
            <v>667.88</v>
          </cell>
        </row>
        <row r="43">
          <cell r="A43">
            <v>40969</v>
          </cell>
          <cell r="B43">
            <v>663</v>
          </cell>
        </row>
        <row r="44">
          <cell r="A44">
            <v>40970</v>
          </cell>
          <cell r="B44">
            <v>672.25</v>
          </cell>
        </row>
        <row r="45">
          <cell r="A45">
            <v>40973</v>
          </cell>
          <cell r="B45">
            <v>670.88</v>
          </cell>
        </row>
        <row r="46">
          <cell r="A46">
            <v>40974</v>
          </cell>
          <cell r="B46">
            <v>657.13</v>
          </cell>
        </row>
        <row r="47">
          <cell r="A47">
            <v>40975</v>
          </cell>
          <cell r="B47">
            <v>638.63</v>
          </cell>
        </row>
        <row r="48">
          <cell r="A48">
            <v>40976</v>
          </cell>
          <cell r="B48">
            <v>634.63</v>
          </cell>
        </row>
        <row r="49">
          <cell r="A49">
            <v>40977</v>
          </cell>
          <cell r="B49">
            <v>640.88</v>
          </cell>
        </row>
        <row r="50">
          <cell r="A50">
            <v>40979</v>
          </cell>
          <cell r="B50">
            <v>639.25</v>
          </cell>
        </row>
        <row r="51">
          <cell r="A51">
            <v>40980</v>
          </cell>
          <cell r="B51">
            <v>651.13</v>
          </cell>
        </row>
        <row r="52">
          <cell r="A52">
            <v>40981</v>
          </cell>
          <cell r="B52">
            <v>649.5</v>
          </cell>
        </row>
        <row r="53">
          <cell r="A53">
            <v>40982</v>
          </cell>
          <cell r="B53">
            <v>646.25</v>
          </cell>
        </row>
        <row r="54">
          <cell r="A54">
            <v>40983</v>
          </cell>
          <cell r="B54">
            <v>663.63</v>
          </cell>
        </row>
        <row r="55">
          <cell r="A55">
            <v>40984</v>
          </cell>
          <cell r="B55">
            <v>672.13</v>
          </cell>
        </row>
        <row r="56">
          <cell r="A56">
            <v>40986</v>
          </cell>
          <cell r="B56">
            <v>674.5</v>
          </cell>
        </row>
        <row r="57">
          <cell r="A57">
            <v>40987</v>
          </cell>
          <cell r="B57">
            <v>652.25</v>
          </cell>
        </row>
        <row r="58">
          <cell r="A58">
            <v>40988</v>
          </cell>
          <cell r="B58">
            <v>642.75</v>
          </cell>
        </row>
        <row r="59">
          <cell r="A59">
            <v>40989</v>
          </cell>
          <cell r="B59">
            <v>640.75</v>
          </cell>
        </row>
        <row r="60">
          <cell r="A60">
            <v>40990</v>
          </cell>
          <cell r="B60">
            <v>648.75</v>
          </cell>
        </row>
        <row r="61">
          <cell r="A61">
            <v>40991</v>
          </cell>
          <cell r="B61">
            <v>654.63</v>
          </cell>
        </row>
        <row r="62">
          <cell r="A62">
            <v>40993</v>
          </cell>
          <cell r="B62">
            <v>650.25</v>
          </cell>
        </row>
        <row r="63">
          <cell r="A63">
            <v>40994</v>
          </cell>
          <cell r="B63">
            <v>658.75</v>
          </cell>
        </row>
        <row r="64">
          <cell r="A64">
            <v>40995</v>
          </cell>
          <cell r="B64">
            <v>640.88</v>
          </cell>
        </row>
        <row r="65">
          <cell r="A65">
            <v>40996</v>
          </cell>
          <cell r="B65">
            <v>633.25</v>
          </cell>
        </row>
        <row r="66">
          <cell r="A66">
            <v>40997</v>
          </cell>
          <cell r="B66">
            <v>616.63</v>
          </cell>
        </row>
        <row r="67">
          <cell r="A67">
            <v>40998</v>
          </cell>
          <cell r="B67">
            <v>658.88</v>
          </cell>
        </row>
        <row r="68">
          <cell r="A68">
            <v>41000</v>
          </cell>
          <cell r="B68">
            <v>663.5</v>
          </cell>
        </row>
        <row r="69">
          <cell r="A69">
            <v>41001</v>
          </cell>
          <cell r="B69">
            <v>653.88</v>
          </cell>
        </row>
        <row r="70">
          <cell r="A70">
            <v>41002</v>
          </cell>
          <cell r="B70">
            <v>658.38</v>
          </cell>
        </row>
        <row r="71">
          <cell r="A71">
            <v>41003</v>
          </cell>
          <cell r="B71">
            <v>641.25</v>
          </cell>
        </row>
        <row r="72">
          <cell r="A72">
            <v>41004</v>
          </cell>
          <cell r="B72">
            <v>638.63</v>
          </cell>
        </row>
        <row r="73">
          <cell r="A73">
            <v>41007</v>
          </cell>
          <cell r="B73">
            <v>641.63</v>
          </cell>
        </row>
        <row r="74">
          <cell r="A74">
            <v>41008</v>
          </cell>
          <cell r="B74">
            <v>641.38</v>
          </cell>
        </row>
        <row r="75">
          <cell r="A75">
            <v>41009</v>
          </cell>
          <cell r="B75">
            <v>622.75</v>
          </cell>
        </row>
        <row r="76">
          <cell r="A76">
            <v>41010</v>
          </cell>
          <cell r="B76">
            <v>629.88</v>
          </cell>
        </row>
        <row r="77">
          <cell r="A77">
            <v>41011</v>
          </cell>
          <cell r="B77">
            <v>639.88</v>
          </cell>
        </row>
        <row r="78">
          <cell r="A78">
            <v>41012</v>
          </cell>
          <cell r="B78">
            <v>622.88</v>
          </cell>
        </row>
        <row r="79">
          <cell r="A79">
            <v>41014</v>
          </cell>
          <cell r="B79">
            <v>620.25</v>
          </cell>
        </row>
        <row r="80">
          <cell r="A80">
            <v>41015</v>
          </cell>
          <cell r="B80">
            <v>618.75</v>
          </cell>
        </row>
        <row r="81">
          <cell r="A81">
            <v>41016</v>
          </cell>
          <cell r="B81">
            <v>616.13</v>
          </cell>
        </row>
        <row r="82">
          <cell r="A82">
            <v>41017</v>
          </cell>
          <cell r="B82">
            <v>613.88</v>
          </cell>
        </row>
        <row r="83">
          <cell r="A83">
            <v>41018</v>
          </cell>
          <cell r="B83">
            <v>625.88</v>
          </cell>
        </row>
        <row r="84">
          <cell r="A84">
            <v>41019</v>
          </cell>
          <cell r="B84">
            <v>616.88</v>
          </cell>
        </row>
        <row r="85">
          <cell r="A85">
            <v>41021</v>
          </cell>
          <cell r="B85">
            <v>622.25</v>
          </cell>
        </row>
        <row r="86">
          <cell r="A86">
            <v>41022</v>
          </cell>
          <cell r="B86">
            <v>633</v>
          </cell>
        </row>
        <row r="87">
          <cell r="A87">
            <v>41023</v>
          </cell>
          <cell r="B87">
            <v>638.75</v>
          </cell>
        </row>
        <row r="88">
          <cell r="A88">
            <v>41024</v>
          </cell>
          <cell r="B88">
            <v>627.25</v>
          </cell>
        </row>
        <row r="89">
          <cell r="A89">
            <v>41025</v>
          </cell>
          <cell r="B89">
            <v>636</v>
          </cell>
        </row>
        <row r="90">
          <cell r="A90">
            <v>41026</v>
          </cell>
          <cell r="B90">
            <v>649.38</v>
          </cell>
        </row>
        <row r="91">
          <cell r="A91">
            <v>41028</v>
          </cell>
          <cell r="B91">
            <v>648.88</v>
          </cell>
        </row>
        <row r="92">
          <cell r="A92">
            <v>41029</v>
          </cell>
          <cell r="B92">
            <v>652.63</v>
          </cell>
        </row>
        <row r="93">
          <cell r="A93">
            <v>41030</v>
          </cell>
          <cell r="B93">
            <v>640</v>
          </cell>
        </row>
        <row r="94">
          <cell r="A94">
            <v>41031</v>
          </cell>
          <cell r="B94">
            <v>616.13</v>
          </cell>
        </row>
        <row r="95">
          <cell r="A95">
            <v>41032</v>
          </cell>
          <cell r="B95">
            <v>618.13</v>
          </cell>
        </row>
        <row r="96">
          <cell r="A96">
            <v>41033</v>
          </cell>
          <cell r="B96">
            <v>608.88</v>
          </cell>
        </row>
        <row r="97">
          <cell r="A97">
            <v>41035</v>
          </cell>
          <cell r="B97">
            <v>608.88</v>
          </cell>
        </row>
        <row r="98">
          <cell r="A98">
            <v>41036</v>
          </cell>
          <cell r="B98">
            <v>611.88</v>
          </cell>
        </row>
        <row r="99">
          <cell r="A99">
            <v>41037</v>
          </cell>
          <cell r="B99">
            <v>617.25</v>
          </cell>
        </row>
        <row r="100">
          <cell r="A100">
            <v>41038</v>
          </cell>
          <cell r="B100">
            <v>602.38</v>
          </cell>
        </row>
        <row r="101">
          <cell r="A101">
            <v>41039</v>
          </cell>
          <cell r="B101">
            <v>600.88</v>
          </cell>
        </row>
        <row r="102">
          <cell r="A102">
            <v>41040</v>
          </cell>
          <cell r="B102">
            <v>596.63</v>
          </cell>
        </row>
        <row r="103">
          <cell r="A103">
            <v>41042</v>
          </cell>
          <cell r="B103">
            <v>598.75</v>
          </cell>
        </row>
        <row r="104">
          <cell r="A104">
            <v>41043</v>
          </cell>
          <cell r="B104">
            <v>598.38</v>
          </cell>
        </row>
        <row r="105">
          <cell r="A105">
            <v>41044</v>
          </cell>
          <cell r="B105">
            <v>609.13</v>
          </cell>
        </row>
        <row r="106">
          <cell r="A106">
            <v>41045</v>
          </cell>
          <cell r="B106">
            <v>638.88</v>
          </cell>
        </row>
        <row r="107">
          <cell r="A107">
            <v>41046</v>
          </cell>
          <cell r="B107">
            <v>657.63</v>
          </cell>
        </row>
        <row r="108">
          <cell r="A108">
            <v>41047</v>
          </cell>
          <cell r="B108">
            <v>694.88</v>
          </cell>
        </row>
        <row r="109">
          <cell r="A109">
            <v>41049</v>
          </cell>
          <cell r="B109">
            <v>703.88</v>
          </cell>
        </row>
        <row r="110">
          <cell r="A110">
            <v>41050</v>
          </cell>
          <cell r="B110">
            <v>697.5</v>
          </cell>
        </row>
        <row r="111">
          <cell r="A111">
            <v>41051</v>
          </cell>
          <cell r="B111">
            <v>683.88</v>
          </cell>
        </row>
        <row r="112">
          <cell r="A112">
            <v>41052</v>
          </cell>
          <cell r="B112">
            <v>669.88</v>
          </cell>
        </row>
        <row r="113">
          <cell r="A113">
            <v>41053</v>
          </cell>
          <cell r="B113">
            <v>665.38</v>
          </cell>
        </row>
        <row r="114">
          <cell r="A114">
            <v>41054</v>
          </cell>
          <cell r="B114">
            <v>679.88</v>
          </cell>
        </row>
        <row r="115">
          <cell r="A115">
            <v>41058</v>
          </cell>
          <cell r="B115">
            <v>660.25</v>
          </cell>
        </row>
        <row r="116">
          <cell r="A116">
            <v>41059</v>
          </cell>
          <cell r="B116">
            <v>652.25</v>
          </cell>
        </row>
        <row r="117">
          <cell r="A117">
            <v>41060</v>
          </cell>
          <cell r="B117">
            <v>645.63</v>
          </cell>
        </row>
        <row r="118">
          <cell r="A118">
            <v>41061</v>
          </cell>
          <cell r="B118">
            <v>613.25</v>
          </cell>
        </row>
        <row r="119">
          <cell r="A119">
            <v>41063</v>
          </cell>
          <cell r="B119">
            <v>613.5</v>
          </cell>
        </row>
        <row r="120">
          <cell r="A120">
            <v>41064</v>
          </cell>
          <cell r="B120">
            <v>628.25</v>
          </cell>
        </row>
        <row r="121">
          <cell r="A121">
            <v>41065</v>
          </cell>
          <cell r="B121">
            <v>615.63</v>
          </cell>
        </row>
        <row r="122">
          <cell r="A122">
            <v>41066</v>
          </cell>
          <cell r="B122">
            <v>625.63</v>
          </cell>
        </row>
        <row r="123">
          <cell r="A123">
            <v>41067</v>
          </cell>
          <cell r="B123">
            <v>635.25</v>
          </cell>
        </row>
        <row r="124">
          <cell r="A124">
            <v>41068</v>
          </cell>
          <cell r="B124">
            <v>630.13</v>
          </cell>
        </row>
        <row r="125">
          <cell r="A125">
            <v>41070</v>
          </cell>
          <cell r="B125">
            <v>630</v>
          </cell>
        </row>
        <row r="126">
          <cell r="A126">
            <v>41071</v>
          </cell>
          <cell r="B126">
            <v>627.25</v>
          </cell>
        </row>
        <row r="127">
          <cell r="A127">
            <v>41072</v>
          </cell>
          <cell r="B127">
            <v>617.88</v>
          </cell>
        </row>
        <row r="128">
          <cell r="A128">
            <v>41073</v>
          </cell>
          <cell r="B128">
            <v>619.13</v>
          </cell>
        </row>
        <row r="129">
          <cell r="A129">
            <v>41074</v>
          </cell>
          <cell r="B129">
            <v>621.25</v>
          </cell>
        </row>
        <row r="130">
          <cell r="A130">
            <v>41075</v>
          </cell>
          <cell r="B130">
            <v>613.88</v>
          </cell>
        </row>
        <row r="131">
          <cell r="A131">
            <v>41077</v>
          </cell>
          <cell r="B131">
            <v>615.5</v>
          </cell>
        </row>
        <row r="132">
          <cell r="A132">
            <v>41078</v>
          </cell>
          <cell r="B132">
            <v>631.5</v>
          </cell>
        </row>
        <row r="133">
          <cell r="A133">
            <v>41079</v>
          </cell>
          <cell r="B133">
            <v>649.63</v>
          </cell>
        </row>
        <row r="134">
          <cell r="A134">
            <v>41080</v>
          </cell>
          <cell r="B134">
            <v>658.63</v>
          </cell>
        </row>
        <row r="135">
          <cell r="A135">
            <v>41081</v>
          </cell>
          <cell r="B135">
            <v>658.5</v>
          </cell>
        </row>
        <row r="136">
          <cell r="A136">
            <v>41082</v>
          </cell>
          <cell r="B136">
            <v>674.63</v>
          </cell>
        </row>
        <row r="137">
          <cell r="A137">
            <v>41084</v>
          </cell>
          <cell r="B137">
            <v>702.63</v>
          </cell>
        </row>
        <row r="138">
          <cell r="A138">
            <v>41085</v>
          </cell>
          <cell r="B138">
            <v>747</v>
          </cell>
        </row>
        <row r="139">
          <cell r="A139">
            <v>41086</v>
          </cell>
          <cell r="B139">
            <v>741.88</v>
          </cell>
        </row>
        <row r="140">
          <cell r="A140">
            <v>41087</v>
          </cell>
          <cell r="B140">
            <v>747.88</v>
          </cell>
        </row>
        <row r="141">
          <cell r="A141">
            <v>41088</v>
          </cell>
          <cell r="B141">
            <v>742.38</v>
          </cell>
        </row>
        <row r="142">
          <cell r="A142">
            <v>41089</v>
          </cell>
          <cell r="B142">
            <v>758.88</v>
          </cell>
        </row>
        <row r="143">
          <cell r="A143">
            <v>41091</v>
          </cell>
          <cell r="B143">
            <v>773.38</v>
          </cell>
        </row>
        <row r="144">
          <cell r="A144">
            <v>41092</v>
          </cell>
          <cell r="B144">
            <v>775.5</v>
          </cell>
        </row>
        <row r="145">
          <cell r="A145">
            <v>41093</v>
          </cell>
          <cell r="B145">
            <v>799.13</v>
          </cell>
        </row>
        <row r="146">
          <cell r="A146">
            <v>41095</v>
          </cell>
          <cell r="B146">
            <v>828</v>
          </cell>
        </row>
        <row r="147">
          <cell r="A147">
            <v>41096</v>
          </cell>
          <cell r="B147">
            <v>807.13</v>
          </cell>
        </row>
        <row r="148">
          <cell r="A148">
            <v>41098</v>
          </cell>
          <cell r="B148">
            <v>821.5</v>
          </cell>
        </row>
        <row r="149">
          <cell r="A149">
            <v>41099</v>
          </cell>
          <cell r="B149">
            <v>817.75</v>
          </cell>
        </row>
        <row r="150">
          <cell r="A150">
            <v>41100</v>
          </cell>
          <cell r="B150">
            <v>822.5</v>
          </cell>
        </row>
        <row r="151">
          <cell r="A151">
            <v>41101</v>
          </cell>
          <cell r="B151">
            <v>829.38</v>
          </cell>
        </row>
        <row r="152">
          <cell r="A152">
            <v>41102</v>
          </cell>
          <cell r="B152">
            <v>845.5</v>
          </cell>
        </row>
        <row r="153">
          <cell r="A153">
            <v>41103</v>
          </cell>
          <cell r="B153">
            <v>846.63</v>
          </cell>
        </row>
        <row r="154">
          <cell r="A154">
            <v>41105</v>
          </cell>
          <cell r="B154">
            <v>866.88</v>
          </cell>
        </row>
        <row r="155">
          <cell r="A155">
            <v>41106</v>
          </cell>
          <cell r="B155">
            <v>896.13</v>
          </cell>
        </row>
        <row r="156">
          <cell r="A156">
            <v>41107</v>
          </cell>
          <cell r="B156">
            <v>883.75</v>
          </cell>
        </row>
        <row r="157">
          <cell r="A157">
            <v>41108</v>
          </cell>
          <cell r="B157">
            <v>898.38</v>
          </cell>
        </row>
        <row r="158">
          <cell r="A158">
            <v>41109</v>
          </cell>
          <cell r="B158">
            <v>932.63</v>
          </cell>
        </row>
        <row r="159">
          <cell r="A159">
            <v>41110</v>
          </cell>
          <cell r="B159">
            <v>943.88</v>
          </cell>
        </row>
        <row r="160">
          <cell r="A160">
            <v>41112</v>
          </cell>
          <cell r="B160">
            <v>932.25</v>
          </cell>
        </row>
        <row r="161">
          <cell r="A161">
            <v>41113</v>
          </cell>
          <cell r="B161">
            <v>891.88</v>
          </cell>
        </row>
        <row r="162">
          <cell r="A162">
            <v>41114</v>
          </cell>
          <cell r="B162">
            <v>863.38</v>
          </cell>
        </row>
        <row r="163">
          <cell r="A163">
            <v>41115</v>
          </cell>
          <cell r="B163">
            <v>893</v>
          </cell>
        </row>
        <row r="164">
          <cell r="A164">
            <v>41116</v>
          </cell>
          <cell r="B164">
            <v>879.88</v>
          </cell>
        </row>
        <row r="165">
          <cell r="A165">
            <v>41117</v>
          </cell>
          <cell r="B165">
            <v>898.75</v>
          </cell>
        </row>
        <row r="166">
          <cell r="A166">
            <v>41119</v>
          </cell>
          <cell r="B166">
            <v>909.88</v>
          </cell>
        </row>
        <row r="167">
          <cell r="A167">
            <v>41120</v>
          </cell>
          <cell r="B167">
            <v>911</v>
          </cell>
        </row>
        <row r="168">
          <cell r="A168">
            <v>41121</v>
          </cell>
          <cell r="B168">
            <v>892.63</v>
          </cell>
        </row>
        <row r="169">
          <cell r="A169">
            <v>41122</v>
          </cell>
          <cell r="B169">
            <v>881.63</v>
          </cell>
        </row>
        <row r="170">
          <cell r="A170">
            <v>41123</v>
          </cell>
          <cell r="B170">
            <v>861.5</v>
          </cell>
        </row>
        <row r="171">
          <cell r="A171">
            <v>41124</v>
          </cell>
          <cell r="B171">
            <v>891.13</v>
          </cell>
        </row>
        <row r="172">
          <cell r="A172">
            <v>41126</v>
          </cell>
          <cell r="B172">
            <v>885.13</v>
          </cell>
        </row>
        <row r="173">
          <cell r="A173">
            <v>41127</v>
          </cell>
          <cell r="B173">
            <v>891.88</v>
          </cell>
        </row>
        <row r="174">
          <cell r="A174">
            <v>41128</v>
          </cell>
          <cell r="B174">
            <v>887.5</v>
          </cell>
        </row>
        <row r="175">
          <cell r="A175">
            <v>41129</v>
          </cell>
          <cell r="B175">
            <v>899.75</v>
          </cell>
        </row>
        <row r="176">
          <cell r="A176">
            <v>41130</v>
          </cell>
          <cell r="B176">
            <v>915.25</v>
          </cell>
        </row>
        <row r="177">
          <cell r="A177">
            <v>41131</v>
          </cell>
          <cell r="B177">
            <v>887</v>
          </cell>
        </row>
        <row r="178">
          <cell r="A178">
            <v>41133</v>
          </cell>
          <cell r="B178">
            <v>880.75</v>
          </cell>
        </row>
        <row r="179">
          <cell r="A179">
            <v>41134</v>
          </cell>
          <cell r="B179">
            <v>859.38</v>
          </cell>
        </row>
        <row r="180">
          <cell r="A180">
            <v>41135</v>
          </cell>
          <cell r="B180">
            <v>845.63</v>
          </cell>
        </row>
        <row r="181">
          <cell r="A181">
            <v>41136</v>
          </cell>
          <cell r="B181">
            <v>846.75</v>
          </cell>
        </row>
        <row r="182">
          <cell r="A182">
            <v>41137</v>
          </cell>
          <cell r="B182">
            <v>863.75</v>
          </cell>
        </row>
        <row r="183">
          <cell r="A183">
            <v>41138</v>
          </cell>
          <cell r="B183">
            <v>873.88</v>
          </cell>
        </row>
        <row r="184">
          <cell r="A184">
            <v>41140</v>
          </cell>
          <cell r="B184">
            <v>872.25</v>
          </cell>
        </row>
        <row r="185">
          <cell r="A185">
            <v>41141</v>
          </cell>
          <cell r="B185">
            <v>879.38</v>
          </cell>
        </row>
      </sheetData>
    </sheetDataSet>
  </externalBook>
</externalLink>
</file>

<file path=xl/theme/theme1.xml><?xml version="1.0" encoding="utf-8"?>
<a:theme xmlns:a="http://schemas.openxmlformats.org/drawingml/2006/main" name="CS 1">
  <a:themeElements>
    <a:clrScheme name="Credit Suisse 1">
      <a:dk1>
        <a:sysClr val="windowText" lastClr="000000"/>
      </a:dk1>
      <a:lt1>
        <a:sysClr val="window" lastClr="FFFFFF"/>
      </a:lt1>
      <a:dk2>
        <a:srgbClr val="166C86"/>
      </a:dk2>
      <a:lt2>
        <a:srgbClr val="EEECE1"/>
      </a:lt2>
      <a:accent1>
        <a:srgbClr val="255B89"/>
      </a:accent1>
      <a:accent2>
        <a:srgbClr val="AAA19A"/>
      </a:accent2>
      <a:accent3>
        <a:srgbClr val="A6CCD6"/>
      </a:accent3>
      <a:accent4>
        <a:srgbClr val="56A2B9"/>
      </a:accent4>
      <a:accent5>
        <a:srgbClr val="C8C1BC"/>
      </a:accent5>
      <a:accent6>
        <a:srgbClr val="003868"/>
      </a:accent6>
      <a:hlink>
        <a:srgbClr val="0000FF"/>
      </a:hlink>
      <a:folHlink>
        <a:srgbClr val="800080"/>
      </a:folHlink>
    </a:clrScheme>
    <a:fontScheme name="CS 1">
      <a:majorFont>
        <a:latin typeface="Credit Suisse Type Light"/>
        <a:ea typeface=""/>
        <a:cs typeface=""/>
        <a:font script="Kore" typeface="Credit Suisse Type Kor Roman"/>
        <a:font script="Arab" typeface="Credit Suisse Type Arabic Light"/>
        <a:font script="Cyrl" typeface="Credit Suisse Type Light"/>
        <a:font script="Deva" typeface="Credit Suisse Type Deva Light"/>
        <a:font script="Grek" typeface="Credit Suisse Type Light"/>
        <a:font script="Hans" typeface="Credit Suisse Type SCh Light"/>
        <a:font script="Hant" typeface="Credit Suisse Type TCh Light"/>
        <a:font script="Jpan" typeface="Credit Suisse Type Jap Light"/>
        <a:font script="Thai" typeface="Credit Suisse Type Thai Light"/>
      </a:majorFont>
      <a:minorFont>
        <a:latin typeface="Credit Suisse Type Light"/>
        <a:ea typeface=""/>
        <a:cs typeface=""/>
        <a:font script="Kore" typeface="Credit Suisse Type Kor Roman"/>
        <a:font script="Arab" typeface="Credit Suisse Type Arabic Light"/>
        <a:font script="Cyrl" typeface="Credit Suisse Type Light"/>
        <a:font script="Deva" typeface="Credit Suisse Type Deva Light"/>
        <a:font script="Grek" typeface="Credit Suisse Type Light"/>
        <a:font script="Hans" typeface="Credit Suisse Type SCh Light"/>
        <a:font script="Hant" typeface="Credit Suisse Type TCh Light"/>
        <a:font script="Jpan" typeface="Credit Suisse Type Jap Light"/>
        <a:font script="Thai" typeface="Credit Suisse Type Thai Light"/>
      </a:minorFont>
    </a:fontScheme>
    <a:fmtScheme name="Couture">
      <a:fillStyleLst>
        <a:solidFill>
          <a:schemeClr val="phClr"/>
        </a:solidFill>
        <a:solidFill>
          <a:schemeClr val="phClr">
            <a:tint val="65000"/>
          </a:schemeClr>
        </a:solidFill>
        <a:solidFill>
          <a:schemeClr val="phClr">
            <a:shade val="80000"/>
            <a:satMod val="180000"/>
          </a:schemeClr>
        </a:solidFill>
      </a:fillStyleLst>
      <a:lnStyleLst>
        <a:ln w="9525" cap="flat" cmpd="sng" algn="ctr">
          <a:solidFill>
            <a:schemeClr val="phClr"/>
          </a:solidFill>
          <a:prstDash val="solid"/>
        </a:ln>
        <a:ln w="10795" cap="flat" cmpd="sng" algn="ctr">
          <a:solidFill>
            <a:schemeClr val="phClr"/>
          </a:solidFill>
          <a:prstDash val="solid"/>
        </a:ln>
        <a:ln w="17145" cap="flat" cmpd="sng" algn="ctr">
          <a:solidFill>
            <a:schemeClr val="phClr">
              <a:shade val="95000"/>
              <a:alpha val="50000"/>
              <a:satMod val="150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44450" dist="13970" dir="5400000" algn="ctr" rotWithShape="0">
              <a:srgbClr val="000000">
                <a:alpha val="45000"/>
              </a:srgbClr>
            </a:outerShdw>
          </a:effectLst>
          <a:scene3d>
            <a:camera prst="orthographicFront">
              <a:rot lat="0" lon="0" rev="0"/>
            </a:camera>
            <a:lightRig rig="twoPt" dir="tl"/>
          </a:scene3d>
          <a:sp3d prstMaterial="flat">
            <a:bevelT w="19050" h="31750" prst="coolSlant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ln>
          <a:noFill/>
        </a:ln>
      </a:spPr>
      <a:bodyPr rtlCol="0" anchor="ctr"/>
      <a:lstStyle>
        <a:defPPr algn="ctr">
          <a:defRPr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  <a:custClrLst>
    <a:custClr name="Purple 1">
      <a:srgbClr val="92499E"/>
    </a:custClr>
    <a:custClr name="Green 1">
      <a:srgbClr val="898000"/>
    </a:custClr>
    <a:custClr name="Yellow 1">
      <a:srgbClr val="FFC726"/>
    </a:custClr>
    <a:custClr name="Orange 1">
      <a:srgbClr val="F49C3E"/>
    </a:custClr>
    <a:custClr name="Red 1">
      <a:srgbClr val="9D0E2D"/>
    </a:custClr>
    <a:custClr name="Purple 2">
      <a:srgbClr val="A86DB1"/>
    </a:custClr>
    <a:custClr name="Green 2">
      <a:srgbClr val="B1A82F"/>
    </a:custClr>
    <a:custClr name="Yellow 2">
      <a:srgbClr val="FFD251"/>
    </a:custClr>
    <a:custClr name="Orange 2">
      <a:srgbClr val="F6B065"/>
    </a:custClr>
    <a:custClr name="Red 2">
      <a:srgbClr val="C23841"/>
    </a:custClr>
    <a:custClr name="Purple 3">
      <a:srgbClr val="BE92C5"/>
    </a:custClr>
    <a:custClr name="Green 3">
      <a:srgbClr val="D7D17B"/>
    </a:custClr>
    <a:custClr name="Yellow 3">
      <a:srgbClr val="FFDD7D"/>
    </a:custClr>
    <a:custClr name="Orange 3">
      <a:srgbClr val="F8C48B"/>
    </a:custClr>
    <a:custClr name="Red 3">
      <a:srgbClr val="DE7572"/>
    </a:custClr>
    <a:custClr name="Purple 4">
      <a:srgbClr val="D3B6D8"/>
    </a:custClr>
    <a:custClr name="Green 4">
      <a:srgbClr val="E9E6B9"/>
    </a:custClr>
    <a:custClr name="Yellow 4">
      <a:srgbClr val="FFE9A8"/>
    </a:custClr>
    <a:custClr name="Orange 4">
      <a:srgbClr val="FBD7B2"/>
    </a:custClr>
    <a:custClr name="Red 4">
      <a:srgbClr val="EBB7B6"/>
    </a:custClr>
  </a:custClrLst>
</a:theme>
</file>

<file path=xl/theme/themeOverride1.xml><?xml version="1.0" encoding="utf-8"?>
<a:themeOverride xmlns:a="http://schemas.openxmlformats.org/drawingml/2006/main">
  <a:clrScheme name="Credit Suisse 1">
    <a:dk1>
      <a:sysClr val="windowText" lastClr="000000"/>
    </a:dk1>
    <a:lt1>
      <a:sysClr val="window" lastClr="FFFFFF"/>
    </a:lt1>
    <a:dk2>
      <a:srgbClr val="166C86"/>
    </a:dk2>
    <a:lt2>
      <a:srgbClr val="EEECE1"/>
    </a:lt2>
    <a:accent1>
      <a:srgbClr val="255B89"/>
    </a:accent1>
    <a:accent2>
      <a:srgbClr val="AAA19A"/>
    </a:accent2>
    <a:accent3>
      <a:srgbClr val="A6CCD6"/>
    </a:accent3>
    <a:accent4>
      <a:srgbClr val="56A2B9"/>
    </a:accent4>
    <a:accent5>
      <a:srgbClr val="C8C1BC"/>
    </a:accent5>
    <a:accent6>
      <a:srgbClr val="003868"/>
    </a:accent6>
    <a:hlink>
      <a:srgbClr val="0000FF"/>
    </a:hlink>
    <a:folHlink>
      <a:srgbClr val="800080"/>
    </a:folHlink>
  </a:clrScheme>
  <a:fontScheme name="CS 1">
    <a:majorFont>
      <a:latin typeface="Credit Suisse Type Light"/>
      <a:ea typeface=""/>
      <a:cs typeface=""/>
      <a:font script="Kore" typeface="Credit Suisse Type Kor Roman"/>
      <a:font script="Arab" typeface="Credit Suisse Type Arabic Light"/>
      <a:font script="Cyrl" typeface="Credit Suisse Type Light"/>
      <a:font script="Deva" typeface="Credit Suisse Type Deva Light"/>
      <a:font script="Grek" typeface="Credit Suisse Type Light"/>
      <a:font script="Hans" typeface="Credit Suisse Type SCh Light"/>
      <a:font script="Hant" typeface="Credit Suisse Type TCh Light"/>
      <a:font script="Jpan" typeface="Credit Suisse Type Jap Light"/>
      <a:font script="Thai" typeface="Credit Suisse Type Thai Light"/>
    </a:majorFont>
    <a:minorFont>
      <a:latin typeface="Credit Suisse Type Light"/>
      <a:ea typeface=""/>
      <a:cs typeface=""/>
      <a:font script="Kore" typeface="Credit Suisse Type Kor Roman"/>
      <a:font script="Arab" typeface="Credit Suisse Type Arabic Light"/>
      <a:font script="Cyrl" typeface="Credit Suisse Type Light"/>
      <a:font script="Deva" typeface="Credit Suisse Type Deva Light"/>
      <a:font script="Grek" typeface="Credit Suisse Type Light"/>
      <a:font script="Hans" typeface="Credit Suisse Type SCh Light"/>
      <a:font script="Hant" typeface="Credit Suisse Type TCh Light"/>
      <a:font script="Jpan" typeface="Credit Suisse Type Jap Light"/>
      <a:font script="Thai" typeface="Credit Suisse Type Thai Light"/>
    </a:minorFont>
  </a:fontScheme>
  <a:fmtScheme name="Couture">
    <a:fillStyleLst>
      <a:solidFill>
        <a:schemeClr val="phClr"/>
      </a:solidFill>
      <a:solidFill>
        <a:schemeClr val="phClr">
          <a:tint val="65000"/>
        </a:schemeClr>
      </a:solidFill>
      <a:solidFill>
        <a:schemeClr val="phClr">
          <a:shade val="80000"/>
          <a:satMod val="180000"/>
        </a:schemeClr>
      </a:solidFill>
    </a:fillStyleLst>
    <a:lnStyleLst>
      <a:ln w="9525" cap="flat" cmpd="sng" algn="ctr">
        <a:solidFill>
          <a:schemeClr val="phClr"/>
        </a:solidFill>
        <a:prstDash val="solid"/>
      </a:ln>
      <a:ln w="10795" cap="flat" cmpd="sng" algn="ctr">
        <a:solidFill>
          <a:schemeClr val="phClr"/>
        </a:solidFill>
        <a:prstDash val="solid"/>
      </a:ln>
      <a:ln w="17145" cap="flat" cmpd="sng" algn="ctr">
        <a:solidFill>
          <a:schemeClr val="phClr">
            <a:shade val="95000"/>
            <a:alpha val="50000"/>
            <a:satMod val="150000"/>
          </a:schemeClr>
        </a:solidFill>
        <a:prstDash val="solid"/>
      </a:ln>
    </a:lnStyleLst>
    <a:effectStyleLst>
      <a:effectStyle>
        <a:effectLst/>
      </a:effectStyle>
      <a:effectStyle>
        <a:effectLst/>
      </a:effectStyle>
      <a:effectStyle>
        <a:effectLst>
          <a:outerShdw blurRad="44450" dist="13970" dir="5400000" algn="ctr" rotWithShape="0">
            <a:srgbClr val="000000">
              <a:alpha val="45000"/>
            </a:srgbClr>
          </a:outerShdw>
        </a:effectLst>
        <a:scene3d>
          <a:camera prst="orthographicFront">
            <a:rot lat="0" lon="0" rev="0"/>
          </a:camera>
          <a:lightRig rig="twoPt" dir="tl"/>
        </a:scene3d>
        <a:sp3d prstMaterial="flat">
          <a:bevelT w="19050" h="31750" prst="coolSlant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Credit Suisse 1">
    <a:dk1>
      <a:sysClr val="windowText" lastClr="000000"/>
    </a:dk1>
    <a:lt1>
      <a:sysClr val="window" lastClr="FFFFFF"/>
    </a:lt1>
    <a:dk2>
      <a:srgbClr val="166C86"/>
    </a:dk2>
    <a:lt2>
      <a:srgbClr val="EEECE1"/>
    </a:lt2>
    <a:accent1>
      <a:srgbClr val="255B89"/>
    </a:accent1>
    <a:accent2>
      <a:srgbClr val="AAA19A"/>
    </a:accent2>
    <a:accent3>
      <a:srgbClr val="A6CCD6"/>
    </a:accent3>
    <a:accent4>
      <a:srgbClr val="56A2B9"/>
    </a:accent4>
    <a:accent5>
      <a:srgbClr val="C8C1BC"/>
    </a:accent5>
    <a:accent6>
      <a:srgbClr val="003868"/>
    </a:accent6>
    <a:hlink>
      <a:srgbClr val="0000FF"/>
    </a:hlink>
    <a:folHlink>
      <a:srgbClr val="800080"/>
    </a:folHlink>
  </a:clrScheme>
  <a:fontScheme name="CS 1">
    <a:majorFont>
      <a:latin typeface="Credit Suisse Type Light"/>
      <a:ea typeface=""/>
      <a:cs typeface=""/>
      <a:font script="Kore" typeface="Credit Suisse Type Kor Roman"/>
      <a:font script="Arab" typeface="Credit Suisse Type Arabic Light"/>
      <a:font script="Cyrl" typeface="Credit Suisse Type Light"/>
      <a:font script="Deva" typeface="Credit Suisse Type Deva Light"/>
      <a:font script="Grek" typeface="Credit Suisse Type Light"/>
      <a:font script="Hans" typeface="Credit Suisse Type SCh Light"/>
      <a:font script="Hant" typeface="Credit Suisse Type TCh Light"/>
      <a:font script="Jpan" typeface="Credit Suisse Type Jap Light"/>
      <a:font script="Thai" typeface="Credit Suisse Type Thai Light"/>
    </a:majorFont>
    <a:minorFont>
      <a:latin typeface="Credit Suisse Type Light"/>
      <a:ea typeface=""/>
      <a:cs typeface=""/>
      <a:font script="Kore" typeface="Credit Suisse Type Kor Roman"/>
      <a:font script="Arab" typeface="Credit Suisse Type Arabic Light"/>
      <a:font script="Cyrl" typeface="Credit Suisse Type Light"/>
      <a:font script="Deva" typeface="Credit Suisse Type Deva Light"/>
      <a:font script="Grek" typeface="Credit Suisse Type Light"/>
      <a:font script="Hans" typeface="Credit Suisse Type SCh Light"/>
      <a:font script="Hant" typeface="Credit Suisse Type TCh Light"/>
      <a:font script="Jpan" typeface="Credit Suisse Type Jap Light"/>
      <a:font script="Thai" typeface="Credit Suisse Type Thai Light"/>
    </a:minorFont>
  </a:fontScheme>
  <a:fmtScheme name="Couture">
    <a:fillStyleLst>
      <a:solidFill>
        <a:schemeClr val="phClr"/>
      </a:solidFill>
      <a:solidFill>
        <a:schemeClr val="phClr">
          <a:tint val="65000"/>
        </a:schemeClr>
      </a:solidFill>
      <a:solidFill>
        <a:schemeClr val="phClr">
          <a:shade val="80000"/>
          <a:satMod val="180000"/>
        </a:schemeClr>
      </a:solidFill>
    </a:fillStyleLst>
    <a:lnStyleLst>
      <a:ln w="9525" cap="flat" cmpd="sng" algn="ctr">
        <a:solidFill>
          <a:schemeClr val="phClr"/>
        </a:solidFill>
        <a:prstDash val="solid"/>
      </a:ln>
      <a:ln w="10795" cap="flat" cmpd="sng" algn="ctr">
        <a:solidFill>
          <a:schemeClr val="phClr"/>
        </a:solidFill>
        <a:prstDash val="solid"/>
      </a:ln>
      <a:ln w="17145" cap="flat" cmpd="sng" algn="ctr">
        <a:solidFill>
          <a:schemeClr val="phClr">
            <a:shade val="95000"/>
            <a:alpha val="50000"/>
            <a:satMod val="150000"/>
          </a:schemeClr>
        </a:solidFill>
        <a:prstDash val="solid"/>
      </a:ln>
    </a:lnStyleLst>
    <a:effectStyleLst>
      <a:effectStyle>
        <a:effectLst/>
      </a:effectStyle>
      <a:effectStyle>
        <a:effectLst/>
      </a:effectStyle>
      <a:effectStyle>
        <a:effectLst>
          <a:outerShdw blurRad="44450" dist="13970" dir="5400000" algn="ctr" rotWithShape="0">
            <a:srgbClr val="000000">
              <a:alpha val="45000"/>
            </a:srgbClr>
          </a:outerShdw>
        </a:effectLst>
        <a:scene3d>
          <a:camera prst="orthographicFront">
            <a:rot lat="0" lon="0" rev="0"/>
          </a:camera>
          <a:lightRig rig="twoPt" dir="tl"/>
        </a:scene3d>
        <a:sp3d prstMaterial="flat">
          <a:bevelT w="19050" h="31750" prst="coolSlant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1" width="613" row="2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6F63F3E1-A0A8-4026-A790-D4F4DBF19D21}">
  <we:reference id="wa104379220" version="4.2.2.0" store="en-US" storeType="OMEX"/>
  <we:alternateReferences/>
  <we:properties>
    <we:property name="Office.AutoShowTaskpaneWithDocument" value="true"/>
  </we:properties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00B050"/>
  </sheetPr>
  <dimension ref="B2:G40"/>
  <sheetViews>
    <sheetView showGridLines="0" topLeftCell="B1" workbookViewId="0">
      <selection activeCell="D16" sqref="D16"/>
    </sheetView>
  </sheetViews>
  <sheetFormatPr defaultRowHeight="12.75"/>
  <cols>
    <col min="1" max="1" width="10.28515625" customWidth="1"/>
    <col min="2" max="2" width="16.42578125" bestFit="1" customWidth="1"/>
    <col min="3" max="4" width="29.42578125" style="1" customWidth="1"/>
    <col min="5" max="5" width="29.42578125" style="2" customWidth="1"/>
  </cols>
  <sheetData>
    <row r="2" spans="2:5" ht="32.25" customHeight="1">
      <c r="B2" s="125" t="s">
        <v>67</v>
      </c>
      <c r="C2" s="126"/>
      <c r="D2" s="126"/>
      <c r="E2" s="126"/>
    </row>
    <row r="3" spans="2:5" ht="22.5" customHeight="1">
      <c r="B3" s="35"/>
      <c r="C3" s="36" t="s">
        <v>0</v>
      </c>
      <c r="D3" s="36" t="s">
        <v>1</v>
      </c>
      <c r="E3" s="36" t="s">
        <v>6</v>
      </c>
    </row>
    <row r="4" spans="2:5" ht="18" customHeight="1">
      <c r="B4" s="127" t="s">
        <v>176</v>
      </c>
      <c r="C4" s="128"/>
      <c r="D4" s="128"/>
      <c r="E4" s="128"/>
    </row>
    <row r="5" spans="2:5">
      <c r="B5" s="51" t="s">
        <v>2</v>
      </c>
      <c r="C5" s="8">
        <v>1614575.2400000002</v>
      </c>
      <c r="D5" s="8">
        <f>'Holdings List (06.16.2018)'!F50</f>
        <v>1673824.52</v>
      </c>
      <c r="E5" s="4">
        <f>(D5/C5)-1</f>
        <v>3.6696512204658749E-2</v>
      </c>
    </row>
    <row r="6" spans="2:5">
      <c r="B6" s="51" t="s">
        <v>3</v>
      </c>
      <c r="C6" s="8">
        <v>1191500.2400000002</v>
      </c>
      <c r="D6" s="8">
        <f>'Holdings List (06.16.2018)'!F50-'Holdings List (06.16.2018)'!F5</f>
        <v>1201724.52</v>
      </c>
      <c r="E6" s="4">
        <f>(D6/C6)-1</f>
        <v>8.581013798200976E-3</v>
      </c>
    </row>
    <row r="7" spans="2:5" ht="18" customHeight="1">
      <c r="B7" s="127" t="s">
        <v>7</v>
      </c>
      <c r="C7" s="128"/>
      <c r="D7" s="128"/>
      <c r="E7" s="128"/>
    </row>
    <row r="8" spans="2:5">
      <c r="B8" s="29" t="s">
        <v>4</v>
      </c>
      <c r="C8" s="30">
        <v>1535.51</v>
      </c>
      <c r="D8" s="30">
        <v>1647.98</v>
      </c>
      <c r="E8" s="31">
        <f>(D8/C8)-1</f>
        <v>7.3246022494155127E-2</v>
      </c>
    </row>
    <row r="9" spans="2:5">
      <c r="B9" s="5" t="s">
        <v>5</v>
      </c>
      <c r="C9" s="7">
        <v>2689.15</v>
      </c>
      <c r="D9" s="7">
        <v>2734.62</v>
      </c>
      <c r="E9" s="6">
        <f>(D9/C9)-1</f>
        <v>1.6908688619080348E-2</v>
      </c>
    </row>
    <row r="24" spans="7:7">
      <c r="G24" s="1"/>
    </row>
    <row r="25" spans="7:7">
      <c r="G25" s="1"/>
    </row>
    <row r="26" spans="7:7">
      <c r="G26" s="1"/>
    </row>
    <row r="27" spans="7:7">
      <c r="G27" s="1"/>
    </row>
    <row r="28" spans="7:7">
      <c r="G28" s="1"/>
    </row>
    <row r="29" spans="7:7">
      <c r="G29" s="1"/>
    </row>
    <row r="30" spans="7:7">
      <c r="G30" s="1"/>
    </row>
    <row r="31" spans="7:7">
      <c r="G31" s="1"/>
    </row>
    <row r="32" spans="7:7">
      <c r="G32" s="1"/>
    </row>
    <row r="33" spans="2:7">
      <c r="G33" s="1"/>
    </row>
    <row r="34" spans="2:7">
      <c r="G34" s="1"/>
    </row>
    <row r="35" spans="2:7">
      <c r="G35" s="1"/>
    </row>
    <row r="36" spans="2:7">
      <c r="G36" s="1"/>
    </row>
    <row r="37" spans="2:7">
      <c r="G37" s="1"/>
    </row>
    <row r="38" spans="2:7">
      <c r="G38" s="1"/>
    </row>
    <row r="39" spans="2:7">
      <c r="B39" s="38"/>
    </row>
    <row r="40" spans="2:7">
      <c r="B40" s="38"/>
    </row>
  </sheetData>
  <mergeCells count="3">
    <mergeCell ref="B2:E2"/>
    <mergeCell ref="B4:E4"/>
    <mergeCell ref="B7:E7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9:AS69"/>
  <sheetViews>
    <sheetView showGridLines="0" topLeftCell="W8" zoomScale="90" zoomScaleNormal="90" workbookViewId="0">
      <selection activeCell="X25" sqref="X25"/>
    </sheetView>
  </sheetViews>
  <sheetFormatPr defaultRowHeight="12.75"/>
  <cols>
    <col min="6" max="6" width="13.5703125" bestFit="1" customWidth="1"/>
    <col min="7" max="7" width="15.140625" bestFit="1" customWidth="1"/>
    <col min="8" max="8" width="24.140625" bestFit="1" customWidth="1"/>
    <col min="9" max="9" width="15.42578125" customWidth="1"/>
    <col min="10" max="10" width="16.140625" bestFit="1" customWidth="1"/>
    <col min="11" max="11" width="9.42578125" bestFit="1" customWidth="1"/>
    <col min="24" max="24" width="25" customWidth="1"/>
    <col min="25" max="28" width="19.28515625" customWidth="1"/>
    <col min="43" max="43" width="25.7109375" bestFit="1" customWidth="1"/>
    <col min="45" max="45" width="23" bestFit="1" customWidth="1"/>
  </cols>
  <sheetData>
    <row r="9" spans="6:28" ht="13.5" thickBot="1"/>
    <row r="10" spans="6:28" ht="19.350000000000001" customHeight="1" thickTop="1" thickBot="1">
      <c r="F10" s="137" t="s">
        <v>362</v>
      </c>
      <c r="G10" s="151"/>
      <c r="H10" s="151"/>
      <c r="I10" s="151"/>
      <c r="J10" s="152"/>
      <c r="X10" s="150" t="s">
        <v>324</v>
      </c>
      <c r="Y10" s="153"/>
      <c r="Z10" s="153"/>
      <c r="AA10" s="153"/>
      <c r="AB10" s="154"/>
    </row>
    <row r="11" spans="6:28" ht="19.350000000000001" customHeight="1" thickTop="1" thickBot="1">
      <c r="F11" s="55" t="s">
        <v>196</v>
      </c>
      <c r="G11" s="56" t="s">
        <v>253</v>
      </c>
      <c r="H11" s="64" t="s">
        <v>360</v>
      </c>
      <c r="I11" s="64" t="s">
        <v>361</v>
      </c>
      <c r="J11" s="58" t="s">
        <v>373</v>
      </c>
      <c r="X11" s="98" t="s">
        <v>325</v>
      </c>
      <c r="Y11" s="99" t="s">
        <v>326</v>
      </c>
      <c r="Z11" s="100" t="s">
        <v>327</v>
      </c>
      <c r="AA11" s="100" t="s">
        <v>328</v>
      </c>
      <c r="AB11" s="101" t="s">
        <v>329</v>
      </c>
    </row>
    <row r="12" spans="6:28" ht="19.350000000000001" customHeight="1" thickTop="1">
      <c r="F12" s="65" t="s">
        <v>355</v>
      </c>
      <c r="G12" s="66" t="s">
        <v>363</v>
      </c>
      <c r="H12" s="66" t="s">
        <v>366</v>
      </c>
      <c r="I12" s="95">
        <f>758/43063</f>
        <v>1.7602117827369205E-2</v>
      </c>
      <c r="J12" s="70" t="s">
        <v>378</v>
      </c>
      <c r="X12" s="102" t="s">
        <v>330</v>
      </c>
      <c r="Y12" s="117">
        <v>0.02</v>
      </c>
      <c r="Z12" s="117">
        <v>4.4999999999999998E-2</v>
      </c>
      <c r="AA12" s="117">
        <v>0.16800000000000001</v>
      </c>
      <c r="AB12" s="118">
        <v>0.14299999999999999</v>
      </c>
    </row>
    <row r="13" spans="6:28" ht="19.350000000000001" customHeight="1">
      <c r="F13" s="68" t="s">
        <v>356</v>
      </c>
      <c r="G13" s="69" t="s">
        <v>364</v>
      </c>
      <c r="H13" s="82" t="s">
        <v>367</v>
      </c>
      <c r="I13" s="96">
        <f>617/38500</f>
        <v>1.6025974025974027E-2</v>
      </c>
      <c r="J13" s="70" t="s">
        <v>374</v>
      </c>
      <c r="X13" s="102" t="s">
        <v>331</v>
      </c>
      <c r="Y13" s="117">
        <v>4.0000000000000001E-3</v>
      </c>
      <c r="Z13" s="117">
        <v>1.4E-2</v>
      </c>
      <c r="AA13" s="103">
        <v>-3.7999999999999999E-2</v>
      </c>
      <c r="AB13" s="104">
        <v>-4.1000000000000002E-2</v>
      </c>
    </row>
    <row r="14" spans="6:28" ht="19.350000000000001" customHeight="1">
      <c r="F14" s="68" t="s">
        <v>357</v>
      </c>
      <c r="G14" s="69" t="s">
        <v>370</v>
      </c>
      <c r="H14" s="82" t="s">
        <v>365</v>
      </c>
      <c r="I14" s="96">
        <f>1678/81082</f>
        <v>2.0695098788880394E-2</v>
      </c>
      <c r="J14" s="70" t="s">
        <v>377</v>
      </c>
      <c r="X14" s="102" t="s">
        <v>332</v>
      </c>
      <c r="Y14" s="117">
        <v>1.0999999999999999E-2</v>
      </c>
      <c r="Z14" s="117">
        <v>1.2999999999999999E-2</v>
      </c>
      <c r="AA14" s="117">
        <v>2E-3</v>
      </c>
      <c r="AB14" s="104">
        <v>-1E-3</v>
      </c>
    </row>
    <row r="15" spans="6:28" ht="19.350000000000001" customHeight="1">
      <c r="F15" s="68" t="s">
        <v>358</v>
      </c>
      <c r="G15" s="69" t="s">
        <v>371</v>
      </c>
      <c r="H15" s="82" t="s">
        <v>368</v>
      </c>
      <c r="I15" s="96">
        <f>826/91000</f>
        <v>9.0769230769230762E-3</v>
      </c>
      <c r="J15" s="70" t="s">
        <v>376</v>
      </c>
      <c r="X15" s="102" t="s">
        <v>333</v>
      </c>
      <c r="Y15" s="117">
        <v>6.0000000000000001E-3</v>
      </c>
      <c r="Z15" s="117">
        <v>2.8000000000000001E-2</v>
      </c>
      <c r="AA15" s="117">
        <v>8.3000000000000004E-2</v>
      </c>
      <c r="AB15" s="118">
        <v>6.2E-2</v>
      </c>
    </row>
    <row r="16" spans="6:28" ht="19.350000000000001" customHeight="1" thickBot="1">
      <c r="F16" s="75" t="s">
        <v>359</v>
      </c>
      <c r="G16" s="76" t="s">
        <v>372</v>
      </c>
      <c r="H16" s="84" t="s">
        <v>369</v>
      </c>
      <c r="I16" s="97">
        <f>2471/115494</f>
        <v>2.1395050825151089E-2</v>
      </c>
      <c r="J16" s="77" t="s">
        <v>375</v>
      </c>
      <c r="X16" s="102" t="s">
        <v>334</v>
      </c>
      <c r="Y16" s="117">
        <v>1.2E-2</v>
      </c>
      <c r="Z16" s="117">
        <v>3.6999999999999998E-2</v>
      </c>
      <c r="AA16" s="117">
        <v>0.122</v>
      </c>
      <c r="AB16" s="118">
        <v>0.106</v>
      </c>
    </row>
    <row r="17" spans="24:39" ht="19.350000000000001" customHeight="1" thickTop="1">
      <c r="X17" s="102" t="s">
        <v>335</v>
      </c>
      <c r="Y17" s="117">
        <v>8.9999999999999993E-3</v>
      </c>
      <c r="Z17" s="117">
        <v>1.7999999999999999E-2</v>
      </c>
      <c r="AA17" s="103">
        <v>-1.7000000000000001E-2</v>
      </c>
      <c r="AB17" s="104">
        <v>-2.7E-2</v>
      </c>
    </row>
    <row r="18" spans="24:39" ht="19.350000000000001" customHeight="1">
      <c r="X18" s="102" t="s">
        <v>336</v>
      </c>
      <c r="Y18" s="117">
        <v>6.0000000000000001E-3</v>
      </c>
      <c r="Z18" s="117">
        <v>1.9E-2</v>
      </c>
      <c r="AA18" s="117">
        <v>6.0000000000000001E-3</v>
      </c>
      <c r="AB18" s="104">
        <v>-1E-3</v>
      </c>
    </row>
    <row r="19" spans="24:39" ht="19.350000000000001" customHeight="1">
      <c r="X19" s="102" t="s">
        <v>337</v>
      </c>
      <c r="Y19" s="117">
        <v>1.0999999999999999E-2</v>
      </c>
      <c r="Z19" s="117">
        <v>3.1E-2</v>
      </c>
      <c r="AA19" s="117">
        <v>0.129</v>
      </c>
      <c r="AB19" s="118">
        <v>0.10199999999999999</v>
      </c>
    </row>
    <row r="20" spans="24:39" ht="19.350000000000001" customHeight="1">
      <c r="X20" s="102" t="s">
        <v>338</v>
      </c>
      <c r="Y20" s="117">
        <v>5.0000000000000001E-3</v>
      </c>
      <c r="Z20" s="117">
        <v>1.9E-2</v>
      </c>
      <c r="AA20" s="103">
        <v>-6.0000000000000001E-3</v>
      </c>
      <c r="AB20" s="104">
        <v>-0.02</v>
      </c>
    </row>
    <row r="21" spans="24:39" ht="19.350000000000001" customHeight="1" thickBot="1">
      <c r="X21" s="105" t="s">
        <v>339</v>
      </c>
      <c r="Y21" s="119">
        <v>1.4999999999999999E-2</v>
      </c>
      <c r="Z21" s="119">
        <v>3.3000000000000002E-2</v>
      </c>
      <c r="AA21" s="119">
        <v>0.13900000000000001</v>
      </c>
      <c r="AB21" s="120">
        <v>0.115</v>
      </c>
    </row>
    <row r="22" spans="24:39" ht="13.5" thickTop="1"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</row>
    <row r="23" spans="24:39">
      <c r="AM23">
        <f>40854/43063</f>
        <v>0.94870306295427631</v>
      </c>
    </row>
    <row r="26" spans="24:39" ht="13.5" thickBot="1"/>
    <row r="27" spans="24:39" ht="15.75" thickTop="1">
      <c r="X27" s="150" t="s">
        <v>420</v>
      </c>
      <c r="Y27" s="142"/>
      <c r="Z27" s="142"/>
      <c r="AA27" s="143"/>
      <c r="AC27" s="49"/>
      <c r="AD27" s="49"/>
    </row>
    <row r="28" spans="24:39" ht="15">
      <c r="X28" s="98" t="s">
        <v>196</v>
      </c>
      <c r="Y28" s="100" t="s">
        <v>384</v>
      </c>
      <c r="Z28" s="100" t="s">
        <v>411</v>
      </c>
      <c r="AA28" s="101" t="s">
        <v>413</v>
      </c>
      <c r="AC28" s="49" t="s">
        <v>400</v>
      </c>
      <c r="AD28" s="49" t="s">
        <v>403</v>
      </c>
      <c r="AE28" s="49"/>
      <c r="AF28" s="49"/>
    </row>
    <row r="29" spans="24:39" ht="14.25">
      <c r="X29" s="102" t="s">
        <v>394</v>
      </c>
      <c r="Y29" s="106" t="s">
        <v>398</v>
      </c>
      <c r="Z29" s="107" t="s">
        <v>414</v>
      </c>
      <c r="AA29" s="108" t="s">
        <v>417</v>
      </c>
      <c r="AC29" s="49" t="s">
        <v>401</v>
      </c>
      <c r="AD29" s="49"/>
      <c r="AE29" s="49" t="s">
        <v>404</v>
      </c>
      <c r="AF29" s="46" t="s">
        <v>404</v>
      </c>
      <c r="AG29" s="108" t="s">
        <v>401</v>
      </c>
    </row>
    <row r="30" spans="24:39" ht="14.25">
      <c r="X30" s="102" t="s">
        <v>395</v>
      </c>
      <c r="Y30" s="106" t="s">
        <v>399</v>
      </c>
      <c r="Z30" s="107" t="s">
        <v>415</v>
      </c>
      <c r="AA30" s="108" t="s">
        <v>418</v>
      </c>
      <c r="AC30" t="s">
        <v>405</v>
      </c>
      <c r="AE30" t="s">
        <v>407</v>
      </c>
      <c r="AF30" t="s">
        <v>409</v>
      </c>
      <c r="AG30" s="108" t="s">
        <v>412</v>
      </c>
    </row>
    <row r="31" spans="24:39" ht="15" thickBot="1">
      <c r="X31" s="105" t="s">
        <v>396</v>
      </c>
      <c r="Y31" s="109" t="s">
        <v>397</v>
      </c>
      <c r="Z31" s="111" t="s">
        <v>416</v>
      </c>
      <c r="AA31" s="110" t="s">
        <v>419</v>
      </c>
      <c r="AC31" t="s">
        <v>406</v>
      </c>
      <c r="AE31" t="s">
        <v>408</v>
      </c>
      <c r="AF31" t="s">
        <v>410</v>
      </c>
      <c r="AG31" s="108" t="s">
        <v>402</v>
      </c>
    </row>
    <row r="32" spans="24:39" ht="13.5" thickTop="1"/>
    <row r="33" spans="24:45" ht="13.5" thickBot="1"/>
    <row r="34" spans="24:45" ht="15.75" thickTop="1">
      <c r="X34" s="150" t="s">
        <v>385</v>
      </c>
      <c r="Y34" s="142"/>
      <c r="Z34" s="143"/>
      <c r="AQ34" s="150" t="s">
        <v>500</v>
      </c>
      <c r="AR34" s="142"/>
      <c r="AS34" s="143"/>
    </row>
    <row r="35" spans="24:45" ht="15">
      <c r="X35" s="98" t="s">
        <v>196</v>
      </c>
      <c r="Y35" s="100" t="s">
        <v>387</v>
      </c>
      <c r="Z35" s="101" t="s">
        <v>388</v>
      </c>
      <c r="AA35" t="s">
        <v>389</v>
      </c>
      <c r="AQ35" s="98" t="s">
        <v>196</v>
      </c>
      <c r="AR35" s="100" t="s">
        <v>394</v>
      </c>
      <c r="AS35" s="101" t="s">
        <v>395</v>
      </c>
    </row>
    <row r="36" spans="24:45" ht="14.25">
      <c r="X36" s="102" t="s">
        <v>386</v>
      </c>
      <c r="Y36" s="106">
        <v>1.4800000000000001E-2</v>
      </c>
      <c r="Z36" s="108">
        <f>(2+5+2+2+4+3+1+2+2+3+3+4+2+3+4+2+3)/17</f>
        <v>2.7647058823529411</v>
      </c>
      <c r="AQ36" s="102" t="s">
        <v>490</v>
      </c>
      <c r="AR36" s="106" t="s">
        <v>491</v>
      </c>
      <c r="AS36" s="108" t="s">
        <v>503</v>
      </c>
    </row>
    <row r="37" spans="24:45" ht="14.25">
      <c r="X37" s="102" t="s">
        <v>390</v>
      </c>
      <c r="Y37" s="106">
        <v>1.46E-2</v>
      </c>
      <c r="Z37" s="108">
        <f>(3+4+4+3+4+3)/6</f>
        <v>3.5</v>
      </c>
      <c r="AQ37" s="102" t="s">
        <v>496</v>
      </c>
      <c r="AR37" s="106" t="s">
        <v>497</v>
      </c>
      <c r="AS37" s="108" t="s">
        <v>497</v>
      </c>
    </row>
    <row r="38" spans="24:45" ht="14.25">
      <c r="X38" s="102" t="s">
        <v>391</v>
      </c>
      <c r="Y38" s="106">
        <v>1.2500000000000001E-2</v>
      </c>
      <c r="Z38" s="108">
        <f>(1+3+2+4+3+3+2+4+5+2+2+1+4+4+2+2+3+4+3+2+1+2+3+2+3+3+4+4+2)/29</f>
        <v>2.7586206896551726</v>
      </c>
      <c r="AQ38" s="102" t="s">
        <v>492</v>
      </c>
      <c r="AR38" s="106" t="s">
        <v>498</v>
      </c>
      <c r="AS38" s="108" t="s">
        <v>498</v>
      </c>
    </row>
    <row r="39" spans="24:45" ht="14.25">
      <c r="X39" s="102" t="s">
        <v>392</v>
      </c>
      <c r="Y39" s="106">
        <v>9.5999999999999992E-3</v>
      </c>
      <c r="Z39" s="108">
        <f>(4+4+4+4+3+5+5+4+3+5+5+4+5+3+4+4+5+4+5+4+3+3+1+2+1+3+3+4+3)/30</f>
        <v>3.5666666666666669</v>
      </c>
      <c r="AQ39" s="102" t="s">
        <v>493</v>
      </c>
      <c r="AR39" s="106" t="s">
        <v>499</v>
      </c>
      <c r="AS39" s="108" t="s">
        <v>499</v>
      </c>
    </row>
    <row r="40" spans="24:45" ht="15" thickBot="1">
      <c r="X40" s="105" t="s">
        <v>393</v>
      </c>
      <c r="Y40" s="109">
        <v>1.23E-2</v>
      </c>
      <c r="Z40" s="110">
        <f>(5+3+4+3+2+2+2+3+4+5+4+5)/12</f>
        <v>3.5</v>
      </c>
      <c r="AQ40" s="102" t="s">
        <v>494</v>
      </c>
      <c r="AR40" s="106" t="s">
        <v>501</v>
      </c>
      <c r="AS40" s="108" t="s">
        <v>504</v>
      </c>
    </row>
    <row r="41" spans="24:45" ht="15.75" thickTop="1" thickBot="1">
      <c r="AQ41" s="105" t="s">
        <v>495</v>
      </c>
      <c r="AR41" s="124" t="s">
        <v>502</v>
      </c>
      <c r="AS41" s="123" t="s">
        <v>505</v>
      </c>
    </row>
    <row r="42" spans="24:45" ht="13.5" thickTop="1"/>
    <row r="44" spans="24:45" ht="13.5" thickBot="1"/>
    <row r="45" spans="24:45" ht="15.75" thickTop="1">
      <c r="X45" s="150" t="s">
        <v>432</v>
      </c>
      <c r="Y45" s="142"/>
      <c r="Z45" s="143"/>
    </row>
    <row r="46" spans="24:45" ht="15">
      <c r="X46" s="98" t="s">
        <v>196</v>
      </c>
      <c r="Y46" s="100" t="s">
        <v>435</v>
      </c>
      <c r="Z46" s="101" t="s">
        <v>436</v>
      </c>
    </row>
    <row r="47" spans="24:45" ht="14.25">
      <c r="X47" s="102" t="s">
        <v>434</v>
      </c>
      <c r="Y47" s="106" t="s">
        <v>450</v>
      </c>
      <c r="Z47" s="112">
        <f>AVERAGE(Z48:Z51)</f>
        <v>8.2324999999999995E-2</v>
      </c>
    </row>
    <row r="48" spans="24:45" ht="14.25">
      <c r="X48" s="102" t="s">
        <v>440</v>
      </c>
      <c r="Y48" s="106" t="s">
        <v>448</v>
      </c>
      <c r="Z48" s="113">
        <v>8.6699999999999999E-2</v>
      </c>
      <c r="AB48" t="s">
        <v>437</v>
      </c>
    </row>
    <row r="49" spans="24:28" ht="14.25">
      <c r="X49" s="102" t="s">
        <v>441</v>
      </c>
      <c r="Y49" s="106" t="s">
        <v>447</v>
      </c>
      <c r="Z49" s="113">
        <v>7.4399999999999994E-2</v>
      </c>
      <c r="AB49" t="s">
        <v>438</v>
      </c>
    </row>
    <row r="50" spans="24:28" ht="14.25">
      <c r="X50" s="102" t="s">
        <v>439</v>
      </c>
      <c r="Y50" s="106" t="s">
        <v>449</v>
      </c>
      <c r="Z50" s="113">
        <v>8.7900000000000006E-2</v>
      </c>
    </row>
    <row r="51" spans="24:28" ht="15" thickBot="1">
      <c r="X51" s="105" t="s">
        <v>433</v>
      </c>
      <c r="Y51" s="109" t="s">
        <v>446</v>
      </c>
      <c r="Z51" s="114">
        <v>8.0299999999999996E-2</v>
      </c>
    </row>
    <row r="52" spans="24:28" ht="13.5" thickTop="1"/>
    <row r="53" spans="24:28" ht="13.5" thickBot="1"/>
    <row r="54" spans="24:28" ht="15.75" thickTop="1">
      <c r="X54" s="150" t="s">
        <v>442</v>
      </c>
      <c r="Y54" s="142"/>
      <c r="Z54" s="143"/>
    </row>
    <row r="55" spans="24:28" ht="15">
      <c r="X55" s="98" t="s">
        <v>443</v>
      </c>
      <c r="Y55" s="100" t="s">
        <v>444</v>
      </c>
      <c r="Z55" s="101" t="s">
        <v>445</v>
      </c>
    </row>
    <row r="56" spans="24:28" ht="14.25">
      <c r="X56" s="115">
        <v>0.09</v>
      </c>
      <c r="Y56" s="106" t="s">
        <v>451</v>
      </c>
      <c r="Z56" s="113" t="s">
        <v>455</v>
      </c>
    </row>
    <row r="57" spans="24:28" ht="14.25">
      <c r="X57" s="115">
        <v>8.5000000000000006E-2</v>
      </c>
      <c r="Y57" s="106" t="s">
        <v>452</v>
      </c>
      <c r="Z57" s="113" t="s">
        <v>454</v>
      </c>
    </row>
    <row r="58" spans="24:28" ht="15" thickBot="1">
      <c r="X58" s="116">
        <v>0.08</v>
      </c>
      <c r="Y58" s="109" t="s">
        <v>453</v>
      </c>
      <c r="Z58" s="114" t="s">
        <v>456</v>
      </c>
    </row>
    <row r="59" spans="24:28" ht="13.5" thickTop="1"/>
    <row r="62" spans="24:28" ht="13.5" thickBot="1"/>
    <row r="63" spans="24:28" ht="15.75" thickTop="1">
      <c r="X63" s="150" t="s">
        <v>467</v>
      </c>
      <c r="Y63" s="142"/>
      <c r="Z63" s="142"/>
      <c r="AA63" s="143"/>
    </row>
    <row r="64" spans="24:28" ht="15">
      <c r="X64" s="98" t="s">
        <v>196</v>
      </c>
      <c r="Y64" s="100" t="s">
        <v>475</v>
      </c>
      <c r="Z64" s="100" t="s">
        <v>476</v>
      </c>
      <c r="AA64" s="101" t="s">
        <v>477</v>
      </c>
    </row>
    <row r="65" spans="24:27" ht="14.25">
      <c r="X65" s="115" t="s">
        <v>468</v>
      </c>
      <c r="Y65" s="106" t="s">
        <v>471</v>
      </c>
      <c r="Z65" s="121" t="s">
        <v>478</v>
      </c>
      <c r="AA65" s="113">
        <f>(5190-340-400-1100)/63510</f>
        <v>5.2747598803338056E-2</v>
      </c>
    </row>
    <row r="66" spans="24:27" ht="14.25">
      <c r="X66" s="115" t="s">
        <v>469</v>
      </c>
      <c r="Y66" s="106" t="s">
        <v>472</v>
      </c>
      <c r="Z66" s="121" t="s">
        <v>479</v>
      </c>
      <c r="AA66" s="113">
        <f>(2969-680-255-1080)/17700</f>
        <v>5.389830508474576E-2</v>
      </c>
    </row>
    <row r="67" spans="24:27" ht="14.25">
      <c r="X67" s="115" t="s">
        <v>470</v>
      </c>
      <c r="Y67" s="106" t="s">
        <v>473</v>
      </c>
      <c r="Z67" s="121" t="s">
        <v>480</v>
      </c>
      <c r="AA67" s="113">
        <f>(2397-1320-920)/8379</f>
        <v>1.8737319489199187E-2</v>
      </c>
    </row>
    <row r="68" spans="24:27" ht="15" thickBot="1">
      <c r="X68" s="116" t="s">
        <v>34</v>
      </c>
      <c r="Y68" s="109" t="s">
        <v>474</v>
      </c>
      <c r="Z68" s="122" t="s">
        <v>481</v>
      </c>
      <c r="AA68" s="114">
        <f>(2176-540-428-100)/20900</f>
        <v>5.3014354066985646E-2</v>
      </c>
    </row>
    <row r="69" spans="24:27" ht="13.5" thickTop="1"/>
  </sheetData>
  <mergeCells count="8">
    <mergeCell ref="X63:AA63"/>
    <mergeCell ref="AQ34:AS34"/>
    <mergeCell ref="X54:Z54"/>
    <mergeCell ref="F10:J10"/>
    <mergeCell ref="X10:AB10"/>
    <mergeCell ref="X34:Z34"/>
    <mergeCell ref="X27:AA27"/>
    <mergeCell ref="X45:Z4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2:I54"/>
  <sheetViews>
    <sheetView tabSelected="1" topLeftCell="A31" zoomScale="85" zoomScaleNormal="85" workbookViewId="0">
      <selection activeCell="C46" sqref="C46"/>
    </sheetView>
  </sheetViews>
  <sheetFormatPr defaultRowHeight="12.75"/>
  <cols>
    <col min="1" max="1" width="3.140625" customWidth="1"/>
    <col min="2" max="2" width="12.85546875" customWidth="1"/>
    <col min="3" max="3" width="25" customWidth="1"/>
    <col min="4" max="4" width="12.28515625" customWidth="1"/>
    <col min="5" max="5" width="9.85546875" customWidth="1"/>
    <col min="6" max="7" width="15.42578125" style="9" customWidth="1"/>
    <col min="8" max="8" width="15.42578125" customWidth="1"/>
    <col min="9" max="9" width="10.85546875" style="10" customWidth="1"/>
  </cols>
  <sheetData>
    <row r="2" spans="2:9" ht="20.25">
      <c r="B2" s="125" t="s">
        <v>76</v>
      </c>
      <c r="C2" s="126"/>
      <c r="D2" s="126"/>
      <c r="E2" s="126"/>
      <c r="F2" s="130"/>
      <c r="G2" s="130"/>
      <c r="H2" s="130"/>
      <c r="I2" s="130"/>
    </row>
    <row r="3" spans="2:9" ht="22.5" customHeight="1">
      <c r="B3" s="36" t="s">
        <v>18</v>
      </c>
      <c r="C3" s="36" t="s">
        <v>19</v>
      </c>
      <c r="D3" s="36" t="s">
        <v>20</v>
      </c>
      <c r="E3" s="36" t="s">
        <v>21</v>
      </c>
      <c r="F3" s="36" t="s">
        <v>22</v>
      </c>
      <c r="G3" s="36" t="s">
        <v>23</v>
      </c>
      <c r="H3" s="36" t="s">
        <v>24</v>
      </c>
      <c r="I3" s="36" t="s">
        <v>25</v>
      </c>
    </row>
    <row r="4" spans="2:9" ht="22.5" customHeight="1">
      <c r="B4" s="127" t="s">
        <v>36</v>
      </c>
      <c r="C4" s="128"/>
      <c r="D4" s="128"/>
      <c r="E4" s="128"/>
      <c r="F4" s="128"/>
      <c r="G4" s="128"/>
      <c r="H4" s="128"/>
      <c r="I4" s="128"/>
    </row>
    <row r="5" spans="2:9" ht="22.5" customHeight="1">
      <c r="B5" s="3" t="s">
        <v>10</v>
      </c>
      <c r="C5" s="17" t="s">
        <v>28</v>
      </c>
      <c r="D5" s="18">
        <v>2500</v>
      </c>
      <c r="E5" s="19">
        <v>188.84</v>
      </c>
      <c r="F5" s="37">
        <f t="shared" ref="F5:F32" si="0">D5*E5</f>
        <v>472100</v>
      </c>
      <c r="G5" s="20">
        <v>26000</v>
      </c>
      <c r="H5" s="21">
        <f t="shared" ref="H5:H32" si="1">F5-G5</f>
        <v>446100</v>
      </c>
      <c r="I5" s="32">
        <f t="shared" ref="I5:I38" si="2">F5/($F$50-$F$49)</f>
        <v>0.28886547969652593</v>
      </c>
    </row>
    <row r="6" spans="2:9" ht="22.5" customHeight="1">
      <c r="B6" s="3" t="s">
        <v>285</v>
      </c>
      <c r="C6" s="17" t="s">
        <v>286</v>
      </c>
      <c r="D6" s="18">
        <v>1200</v>
      </c>
      <c r="E6" s="19">
        <v>27.78</v>
      </c>
      <c r="F6" s="37">
        <f t="shared" ref="F6" si="3">D6*E6</f>
        <v>33336</v>
      </c>
      <c r="G6" s="20">
        <v>30901.55</v>
      </c>
      <c r="H6" s="21">
        <f t="shared" ref="H6" si="4">F6-G6</f>
        <v>2434.4500000000007</v>
      </c>
      <c r="I6" s="32">
        <f t="shared" si="2"/>
        <v>2.0397415020468945E-2</v>
      </c>
    </row>
    <row r="7" spans="2:9" ht="22.5" customHeight="1">
      <c r="B7" s="3" t="s">
        <v>97</v>
      </c>
      <c r="C7" s="17" t="s">
        <v>98</v>
      </c>
      <c r="D7" s="18">
        <v>1050</v>
      </c>
      <c r="E7" s="19">
        <v>32.700000000000003</v>
      </c>
      <c r="F7" s="37">
        <f t="shared" si="0"/>
        <v>34335</v>
      </c>
      <c r="G7" s="20">
        <v>30575.4</v>
      </c>
      <c r="H7" s="21">
        <f t="shared" si="1"/>
        <v>3759.5999999999985</v>
      </c>
      <c r="I7" s="32">
        <f t="shared" si="2"/>
        <v>2.1008676647702219E-2</v>
      </c>
    </row>
    <row r="8" spans="2:9" ht="22.5" customHeight="1">
      <c r="B8" s="3" t="s">
        <v>229</v>
      </c>
      <c r="C8" s="17" t="s">
        <v>230</v>
      </c>
      <c r="D8" s="18">
        <v>1000</v>
      </c>
      <c r="E8" s="19">
        <v>15.84</v>
      </c>
      <c r="F8" s="37">
        <f t="shared" ref="F8" si="5">D8*E8</f>
        <v>15840</v>
      </c>
      <c r="G8" s="20">
        <v>24304.95</v>
      </c>
      <c r="H8" s="21">
        <f t="shared" ref="H8" si="6">F8-G8</f>
        <v>-8464.9500000000007</v>
      </c>
      <c r="I8" s="32">
        <f t="shared" si="2"/>
        <v>9.6920762516267116E-3</v>
      </c>
    </row>
    <row r="9" spans="2:9" ht="22.5" customHeight="1">
      <c r="B9" s="3" t="s">
        <v>42</v>
      </c>
      <c r="C9" s="17" t="s">
        <v>43</v>
      </c>
      <c r="D9" s="18">
        <v>8950</v>
      </c>
      <c r="E9" s="19">
        <v>3.02</v>
      </c>
      <c r="F9" s="37">
        <f t="shared" si="0"/>
        <v>27029</v>
      </c>
      <c r="G9" s="20">
        <v>29498.16</v>
      </c>
      <c r="H9" s="21">
        <f t="shared" si="1"/>
        <v>-2469.16</v>
      </c>
      <c r="I9" s="32">
        <f t="shared" si="2"/>
        <v>1.6538328851339545E-2</v>
      </c>
    </row>
    <row r="10" spans="2:9" ht="22.5" customHeight="1">
      <c r="B10" s="3" t="s">
        <v>347</v>
      </c>
      <c r="C10" s="17" t="s">
        <v>348</v>
      </c>
      <c r="D10" s="18">
        <v>2000</v>
      </c>
      <c r="E10" s="19">
        <v>12.48</v>
      </c>
      <c r="F10" s="37">
        <f t="shared" si="0"/>
        <v>24960</v>
      </c>
      <c r="G10" s="20">
        <v>25600.47</v>
      </c>
      <c r="H10" s="21">
        <f t="shared" si="1"/>
        <v>-640.47000000000116</v>
      </c>
      <c r="I10" s="32">
        <f t="shared" si="2"/>
        <v>1.5272362578320878E-2</v>
      </c>
    </row>
    <row r="11" spans="2:9" ht="22.9" customHeight="1">
      <c r="B11" s="3" t="s">
        <v>68</v>
      </c>
      <c r="C11" s="17" t="s">
        <v>64</v>
      </c>
      <c r="D11" s="18">
        <v>2100</v>
      </c>
      <c r="E11" s="19">
        <v>21.23</v>
      </c>
      <c r="F11" s="37">
        <f t="shared" si="0"/>
        <v>44583</v>
      </c>
      <c r="G11" s="20">
        <v>32641.3</v>
      </c>
      <c r="H11" s="21">
        <f t="shared" si="1"/>
        <v>11941.7</v>
      </c>
      <c r="I11" s="32">
        <f t="shared" si="2"/>
        <v>2.7279156283224349E-2</v>
      </c>
    </row>
    <row r="12" spans="2:9" ht="22.9" customHeight="1">
      <c r="B12" s="3" t="s">
        <v>95</v>
      </c>
      <c r="C12" s="17" t="s">
        <v>96</v>
      </c>
      <c r="D12" s="18">
        <v>2375</v>
      </c>
      <c r="E12" s="19">
        <v>17.239999999999998</v>
      </c>
      <c r="F12" s="37">
        <f t="shared" si="0"/>
        <v>40944.999999999993</v>
      </c>
      <c r="G12" s="20">
        <v>40593.51</v>
      </c>
      <c r="H12" s="21">
        <f t="shared" si="1"/>
        <v>351.48999999999069</v>
      </c>
      <c r="I12" s="32">
        <f t="shared" si="2"/>
        <v>2.5053160487554016E-2</v>
      </c>
    </row>
    <row r="13" spans="2:9" ht="22.9" customHeight="1">
      <c r="B13" s="3" t="s">
        <v>429</v>
      </c>
      <c r="C13" s="17" t="s">
        <v>430</v>
      </c>
      <c r="D13" s="18">
        <v>-400</v>
      </c>
      <c r="E13" s="19">
        <v>25.27</v>
      </c>
      <c r="F13" s="37">
        <f t="shared" ref="F13" si="7">D13*E13</f>
        <v>-10108</v>
      </c>
      <c r="G13" s="20">
        <v>-10586.96</v>
      </c>
      <c r="H13" s="21">
        <f t="shared" ref="H13" si="8">F13-G13</f>
        <v>478.95999999999913</v>
      </c>
      <c r="I13" s="32">
        <f t="shared" si="2"/>
        <v>-6.1848173454193689E-3</v>
      </c>
    </row>
    <row r="14" spans="2:9" ht="22.5" customHeight="1">
      <c r="B14" s="3" t="s">
        <v>161</v>
      </c>
      <c r="C14" s="17" t="s">
        <v>162</v>
      </c>
      <c r="D14" s="18">
        <v>-330</v>
      </c>
      <c r="E14" s="19">
        <v>39.56</v>
      </c>
      <c r="F14" s="37">
        <f t="shared" ref="F14" si="9">D14*E14</f>
        <v>-13054.800000000001</v>
      </c>
      <c r="G14" s="20">
        <v>-12313.67</v>
      </c>
      <c r="H14" s="21">
        <f t="shared" ref="H14" si="10">F14-G14</f>
        <v>-741.13000000000102</v>
      </c>
      <c r="I14" s="32">
        <f t="shared" si="2"/>
        <v>-7.987886177382348E-3</v>
      </c>
    </row>
    <row r="15" spans="2:9" ht="24.4" customHeight="1">
      <c r="B15" s="3" t="s">
        <v>305</v>
      </c>
      <c r="C15" s="17" t="s">
        <v>306</v>
      </c>
      <c r="D15" s="18">
        <v>250</v>
      </c>
      <c r="E15" s="19">
        <v>112.84</v>
      </c>
      <c r="F15" s="37">
        <f t="shared" ref="F15" si="11">D15*E15</f>
        <v>28210</v>
      </c>
      <c r="G15" s="20">
        <v>27677.45</v>
      </c>
      <c r="H15" s="21">
        <f t="shared" ref="H15" si="12">F15-G15</f>
        <v>532.54999999999927</v>
      </c>
      <c r="I15" s="32">
        <f t="shared" si="2"/>
        <v>1.726095145570641E-2</v>
      </c>
    </row>
    <row r="16" spans="2:9" ht="22.5" customHeight="1">
      <c r="B16" s="3" t="s">
        <v>83</v>
      </c>
      <c r="C16" s="17" t="s">
        <v>84</v>
      </c>
      <c r="D16" s="18">
        <v>-200</v>
      </c>
      <c r="E16" s="19">
        <v>99.7</v>
      </c>
      <c r="F16" s="37">
        <f t="shared" si="0"/>
        <v>-19940</v>
      </c>
      <c r="G16" s="20">
        <v>-17978.63</v>
      </c>
      <c r="H16" s="21">
        <f t="shared" si="1"/>
        <v>-1961.369999999999</v>
      </c>
      <c r="I16" s="32">
        <f t="shared" si="2"/>
        <v>-1.2200757604636151E-2</v>
      </c>
    </row>
    <row r="17" spans="2:9" ht="22.5" customHeight="1">
      <c r="B17" s="3" t="s">
        <v>287</v>
      </c>
      <c r="C17" s="17" t="s">
        <v>288</v>
      </c>
      <c r="D17" s="18">
        <v>-300</v>
      </c>
      <c r="E17" s="19">
        <v>95.44</v>
      </c>
      <c r="F17" s="37">
        <f t="shared" si="0"/>
        <v>-28632</v>
      </c>
      <c r="G17" s="20">
        <v>-21606.55</v>
      </c>
      <c r="H17" s="21">
        <f t="shared" si="1"/>
        <v>-7025.4500000000007</v>
      </c>
      <c r="I17" s="32">
        <f t="shared" si="2"/>
        <v>-1.751916207301616E-2</v>
      </c>
    </row>
    <row r="18" spans="2:9" ht="22.5" customHeight="1">
      <c r="B18" s="3" t="s">
        <v>87</v>
      </c>
      <c r="C18" s="17" t="s">
        <v>88</v>
      </c>
      <c r="D18" s="18">
        <v>1050</v>
      </c>
      <c r="E18" s="19">
        <v>34.46</v>
      </c>
      <c r="F18" s="37">
        <f t="shared" si="0"/>
        <v>36183</v>
      </c>
      <c r="G18" s="20">
        <v>36247.980000000003</v>
      </c>
      <c r="H18" s="21">
        <f t="shared" si="1"/>
        <v>-64.980000000003201</v>
      </c>
      <c r="I18" s="32">
        <f t="shared" si="2"/>
        <v>2.213941887705867E-2</v>
      </c>
    </row>
    <row r="19" spans="2:9" ht="22.5" customHeight="1">
      <c r="B19" s="3" t="s">
        <v>171</v>
      </c>
      <c r="C19" s="17" t="s">
        <v>167</v>
      </c>
      <c r="D19" s="18">
        <v>2000</v>
      </c>
      <c r="E19" s="19">
        <v>11.86</v>
      </c>
      <c r="F19" s="37">
        <f t="shared" si="0"/>
        <v>23720</v>
      </c>
      <c r="G19" s="20">
        <v>25304.95</v>
      </c>
      <c r="H19" s="21">
        <f t="shared" si="1"/>
        <v>-1584.9500000000007</v>
      </c>
      <c r="I19" s="32">
        <f t="shared" si="2"/>
        <v>1.4513639437410707E-2</v>
      </c>
    </row>
    <row r="20" spans="2:9" ht="22.5" customHeight="1">
      <c r="B20" s="3" t="s">
        <v>89</v>
      </c>
      <c r="C20" s="17" t="s">
        <v>90</v>
      </c>
      <c r="D20" s="18">
        <v>1500</v>
      </c>
      <c r="E20" s="19">
        <v>13.11</v>
      </c>
      <c r="F20" s="37">
        <f t="shared" si="0"/>
        <v>19665</v>
      </c>
      <c r="G20" s="20">
        <v>21213.599999999999</v>
      </c>
      <c r="H20" s="21">
        <f t="shared" si="1"/>
        <v>-1548.5999999999985</v>
      </c>
      <c r="I20" s="32">
        <f t="shared" si="2"/>
        <v>1.2032492391934298E-2</v>
      </c>
    </row>
    <row r="21" spans="2:9" ht="22.5" customHeight="1">
      <c r="B21" s="3" t="s">
        <v>59</v>
      </c>
      <c r="C21" s="17" t="s">
        <v>231</v>
      </c>
      <c r="D21" s="18">
        <v>2500</v>
      </c>
      <c r="E21" s="19">
        <v>21.5</v>
      </c>
      <c r="F21" s="37">
        <f t="shared" ref="F21" si="13">D21*E21</f>
        <v>53750</v>
      </c>
      <c r="G21" s="20">
        <v>63901.72</v>
      </c>
      <c r="H21" s="21">
        <f t="shared" ref="H21" si="14">F21-G21</f>
        <v>-10151.720000000001</v>
      </c>
      <c r="I21" s="32">
        <f t="shared" si="2"/>
        <v>3.2888200664453013E-2</v>
      </c>
    </row>
    <row r="22" spans="2:9" ht="22.5" customHeight="1">
      <c r="B22" s="3" t="s">
        <v>289</v>
      </c>
      <c r="C22" s="17" t="s">
        <v>268</v>
      </c>
      <c r="D22" s="18">
        <v>1550</v>
      </c>
      <c r="E22" s="19">
        <v>23.48</v>
      </c>
      <c r="F22" s="37">
        <f t="shared" ref="F22" si="15">D22*E22</f>
        <v>36394</v>
      </c>
      <c r="G22" s="20">
        <v>34289.08</v>
      </c>
      <c r="H22" s="21">
        <f t="shared" ref="H22" si="16">F22-G22</f>
        <v>2104.9199999999983</v>
      </c>
      <c r="I22" s="32">
        <f t="shared" si="2"/>
        <v>2.2268524185713543E-2</v>
      </c>
    </row>
    <row r="23" spans="2:9" ht="22.5" customHeight="1">
      <c r="B23" s="3" t="s">
        <v>12</v>
      </c>
      <c r="C23" s="17" t="s">
        <v>30</v>
      </c>
      <c r="D23" s="18">
        <v>4400</v>
      </c>
      <c r="E23" s="19">
        <v>4.38</v>
      </c>
      <c r="F23" s="37">
        <f t="shared" si="0"/>
        <v>19272</v>
      </c>
      <c r="G23" s="20">
        <v>15140.05</v>
      </c>
      <c r="H23" s="21">
        <f t="shared" si="1"/>
        <v>4131.9500000000007</v>
      </c>
      <c r="I23" s="32">
        <f t="shared" si="2"/>
        <v>1.1792026106145832E-2</v>
      </c>
    </row>
    <row r="24" spans="2:9" ht="22.5" customHeight="1">
      <c r="B24" s="3" t="s">
        <v>506</v>
      </c>
      <c r="C24" s="17" t="s">
        <v>507</v>
      </c>
      <c r="D24" s="18">
        <v>3000</v>
      </c>
      <c r="E24" s="19">
        <v>10.42</v>
      </c>
      <c r="F24" s="37">
        <f t="shared" ref="F24:F25" si="17">D24*E24</f>
        <v>31260</v>
      </c>
      <c r="G24" s="20">
        <v>31870.95</v>
      </c>
      <c r="H24" s="21">
        <f t="shared" ref="H24:H25" si="18">F24-G24</f>
        <v>-610.95000000000073</v>
      </c>
      <c r="I24" s="32">
        <f t="shared" si="2"/>
        <v>1.9127165632945139E-2</v>
      </c>
    </row>
    <row r="25" spans="2:9" ht="22.5" customHeight="1">
      <c r="B25" s="3" t="s">
        <v>307</v>
      </c>
      <c r="C25" s="17" t="s">
        <v>308</v>
      </c>
      <c r="D25" s="18">
        <v>1000</v>
      </c>
      <c r="E25" s="19">
        <v>34.81</v>
      </c>
      <c r="F25" s="37">
        <f t="shared" si="17"/>
        <v>34810</v>
      </c>
      <c r="G25" s="20">
        <v>32432.55</v>
      </c>
      <c r="H25" s="21">
        <f t="shared" si="18"/>
        <v>2377.4500000000007</v>
      </c>
      <c r="I25" s="32">
        <f t="shared" si="2"/>
        <v>2.1299316560550872E-2</v>
      </c>
    </row>
    <row r="26" spans="2:9" ht="22.5" customHeight="1">
      <c r="B26" s="3" t="s">
        <v>232</v>
      </c>
      <c r="C26" s="17" t="s">
        <v>233</v>
      </c>
      <c r="D26" s="18">
        <v>9240</v>
      </c>
      <c r="E26" s="19">
        <v>2.67</v>
      </c>
      <c r="F26" s="37">
        <f t="shared" si="0"/>
        <v>24670.799999999999</v>
      </c>
      <c r="G26" s="20">
        <v>38149.85</v>
      </c>
      <c r="H26" s="21">
        <f t="shared" si="1"/>
        <v>-13479.05</v>
      </c>
      <c r="I26" s="32">
        <f t="shared" si="2"/>
        <v>1.5095408761908603E-2</v>
      </c>
    </row>
    <row r="27" spans="2:9" ht="22.5" customHeight="1">
      <c r="B27" s="3" t="s">
        <v>164</v>
      </c>
      <c r="C27" s="17" t="s">
        <v>165</v>
      </c>
      <c r="D27" s="18">
        <v>1800</v>
      </c>
      <c r="E27" s="19">
        <v>15.37</v>
      </c>
      <c r="F27" s="37">
        <f t="shared" ref="F27" si="19">D27*E27</f>
        <v>27666</v>
      </c>
      <c r="G27" s="20">
        <v>30122.22</v>
      </c>
      <c r="H27" s="21">
        <f t="shared" ref="H27" si="20">F27-G27</f>
        <v>-2456.2200000000012</v>
      </c>
      <c r="I27" s="32">
        <f t="shared" si="2"/>
        <v>1.6928092271307107E-2</v>
      </c>
    </row>
    <row r="28" spans="2:9" ht="22.5" customHeight="1">
      <c r="B28" s="3" t="s">
        <v>311</v>
      </c>
      <c r="C28" s="17" t="s">
        <v>293</v>
      </c>
      <c r="D28" s="18">
        <v>1200</v>
      </c>
      <c r="E28" s="19">
        <v>24.3</v>
      </c>
      <c r="F28" s="37">
        <f t="shared" ref="F28" si="21">D28*E28</f>
        <v>29160</v>
      </c>
      <c r="G28" s="20">
        <v>26884.95</v>
      </c>
      <c r="H28" s="21">
        <f t="shared" ref="H28" si="22">F28-G28</f>
        <v>2275.0499999999993</v>
      </c>
      <c r="I28" s="32">
        <f t="shared" si="2"/>
        <v>1.784223128140372E-2</v>
      </c>
    </row>
    <row r="29" spans="2:9" ht="22.5" customHeight="1">
      <c r="B29" s="3" t="s">
        <v>379</v>
      </c>
      <c r="C29" s="17" t="s">
        <v>425</v>
      </c>
      <c r="D29" s="18">
        <v>350</v>
      </c>
      <c r="E29" s="19">
        <v>72.36</v>
      </c>
      <c r="F29" s="37">
        <f t="shared" ref="F29" si="23">D29*E29</f>
        <v>25326</v>
      </c>
      <c r="G29" s="20">
        <v>23104.95</v>
      </c>
      <c r="H29" s="21">
        <f t="shared" ref="H29" si="24">F29-G29</f>
        <v>2221.0499999999993</v>
      </c>
      <c r="I29" s="32">
        <f t="shared" si="2"/>
        <v>1.5496308279589527E-2</v>
      </c>
    </row>
    <row r="30" spans="2:9" ht="22.5" customHeight="1">
      <c r="B30" s="3" t="s">
        <v>14</v>
      </c>
      <c r="C30" s="17" t="s">
        <v>54</v>
      </c>
      <c r="D30" s="18">
        <v>1350</v>
      </c>
      <c r="E30" s="19">
        <v>22.07</v>
      </c>
      <c r="F30" s="37">
        <f t="shared" si="0"/>
        <v>29794.5</v>
      </c>
      <c r="G30" s="20">
        <v>37423.360000000001</v>
      </c>
      <c r="H30" s="21">
        <f t="shared" si="1"/>
        <v>-7628.8600000000006</v>
      </c>
      <c r="I30" s="32">
        <f t="shared" si="2"/>
        <v>1.8230465017619449E-2</v>
      </c>
    </row>
    <row r="31" spans="2:9" ht="22.5" customHeight="1">
      <c r="B31" s="3" t="s">
        <v>93</v>
      </c>
      <c r="C31" s="17" t="s">
        <v>94</v>
      </c>
      <c r="D31" s="18">
        <v>450</v>
      </c>
      <c r="E31" s="19">
        <v>105.3</v>
      </c>
      <c r="F31" s="37">
        <f t="shared" si="0"/>
        <v>47385</v>
      </c>
      <c r="G31" s="20">
        <v>44415.6</v>
      </c>
      <c r="H31" s="21">
        <f t="shared" si="1"/>
        <v>2969.4000000000015</v>
      </c>
      <c r="I31" s="32">
        <f t="shared" si="2"/>
        <v>2.8993625832281045E-2</v>
      </c>
    </row>
    <row r="32" spans="2:9" ht="22.5" customHeight="1">
      <c r="B32" s="3" t="s">
        <v>102</v>
      </c>
      <c r="C32" s="17" t="s">
        <v>103</v>
      </c>
      <c r="D32" s="18">
        <v>4498</v>
      </c>
      <c r="E32" s="19">
        <v>8.83</v>
      </c>
      <c r="F32" s="37">
        <f t="shared" si="0"/>
        <v>39717.340000000004</v>
      </c>
      <c r="G32" s="20">
        <v>33444.620000000003</v>
      </c>
      <c r="H32" s="21">
        <f t="shared" si="1"/>
        <v>6272.7200000000012</v>
      </c>
      <c r="I32" s="32">
        <f t="shared" si="2"/>
        <v>2.4301987865642909E-2</v>
      </c>
    </row>
    <row r="33" spans="2:9" ht="22.5" customHeight="1">
      <c r="B33" s="3" t="s">
        <v>234</v>
      </c>
      <c r="C33" s="17" t="s">
        <v>426</v>
      </c>
      <c r="D33" s="18">
        <v>-30</v>
      </c>
      <c r="E33" s="19">
        <v>358.17</v>
      </c>
      <c r="F33" s="37">
        <f t="shared" ref="F33:F38" si="25">D33*E33</f>
        <v>-10745.1</v>
      </c>
      <c r="G33" s="20">
        <v>-9485.0300000000007</v>
      </c>
      <c r="H33" s="21">
        <f t="shared" ref="H33:H38" si="26">F33-G33</f>
        <v>-1260.0699999999997</v>
      </c>
      <c r="I33" s="32">
        <f t="shared" si="2"/>
        <v>-6.5746419527370065E-3</v>
      </c>
    </row>
    <row r="34" spans="2:9" ht="22.5" customHeight="1">
      <c r="B34" s="3" t="s">
        <v>172</v>
      </c>
      <c r="C34" s="17" t="s">
        <v>173</v>
      </c>
      <c r="D34" s="18">
        <v>2000</v>
      </c>
      <c r="E34" s="19">
        <v>19.03</v>
      </c>
      <c r="F34" s="37">
        <f t="shared" si="25"/>
        <v>38060</v>
      </c>
      <c r="G34" s="20">
        <v>31435.35</v>
      </c>
      <c r="H34" s="21">
        <f t="shared" si="26"/>
        <v>6624.6500000000015</v>
      </c>
      <c r="I34" s="32">
        <f t="shared" si="2"/>
        <v>2.3287905437936404E-2</v>
      </c>
    </row>
    <row r="35" spans="2:9" ht="22.5" customHeight="1">
      <c r="B35" s="3" t="s">
        <v>314</v>
      </c>
      <c r="C35" s="17" t="s">
        <v>315</v>
      </c>
      <c r="D35" s="18">
        <v>-1050</v>
      </c>
      <c r="E35" s="19">
        <v>38.700000000000003</v>
      </c>
      <c r="F35" s="37">
        <f t="shared" si="25"/>
        <v>-40635</v>
      </c>
      <c r="G35" s="20">
        <v>-32308.91</v>
      </c>
      <c r="H35" s="21">
        <f t="shared" si="26"/>
        <v>-8326.09</v>
      </c>
      <c r="I35" s="32">
        <f t="shared" si="2"/>
        <v>-2.4863479702326479E-2</v>
      </c>
    </row>
    <row r="36" spans="2:9" ht="22.5" customHeight="1">
      <c r="B36" s="3" t="s">
        <v>105</v>
      </c>
      <c r="C36" s="17" t="s">
        <v>107</v>
      </c>
      <c r="D36" s="18">
        <v>3600</v>
      </c>
      <c r="E36" s="19">
        <v>11.81</v>
      </c>
      <c r="F36" s="37">
        <f t="shared" si="25"/>
        <v>42516</v>
      </c>
      <c r="G36" s="20">
        <v>35848.9</v>
      </c>
      <c r="H36" s="21">
        <f t="shared" si="26"/>
        <v>6667.0999999999985</v>
      </c>
      <c r="I36" s="32">
        <f t="shared" si="2"/>
        <v>2.6014413757207151E-2</v>
      </c>
    </row>
    <row r="37" spans="2:9" ht="22.5" customHeight="1">
      <c r="B37" s="3" t="s">
        <v>427</v>
      </c>
      <c r="C37" s="17" t="s">
        <v>354</v>
      </c>
      <c r="D37" s="18">
        <v>500</v>
      </c>
      <c r="E37" s="19">
        <v>65.2</v>
      </c>
      <c r="F37" s="37">
        <f t="shared" si="25"/>
        <v>32600</v>
      </c>
      <c r="G37" s="20">
        <v>29554.95</v>
      </c>
      <c r="H37" s="21">
        <f t="shared" si="26"/>
        <v>3045.0499999999993</v>
      </c>
      <c r="I37" s="32">
        <f t="shared" si="2"/>
        <v>1.9947076123928712E-2</v>
      </c>
    </row>
    <row r="38" spans="2:9" ht="22.5" customHeight="1">
      <c r="B38" s="3" t="s">
        <v>349</v>
      </c>
      <c r="C38" s="17" t="s">
        <v>343</v>
      </c>
      <c r="D38" s="18">
        <v>-1000</v>
      </c>
      <c r="E38" s="19">
        <v>20.69</v>
      </c>
      <c r="F38" s="37">
        <f t="shared" si="25"/>
        <v>-20690</v>
      </c>
      <c r="G38" s="20">
        <v>-18967.61</v>
      </c>
      <c r="H38" s="21">
        <f t="shared" si="26"/>
        <v>-1722.3899999999994</v>
      </c>
      <c r="I38" s="32">
        <f t="shared" si="2"/>
        <v>-1.2659662730186658E-2</v>
      </c>
    </row>
    <row r="39" spans="2:9" ht="24" customHeight="1">
      <c r="B39" s="127" t="s">
        <v>37</v>
      </c>
      <c r="C39" s="128"/>
      <c r="D39" s="128"/>
      <c r="E39" s="128"/>
      <c r="F39" s="128"/>
      <c r="G39" s="128"/>
      <c r="H39" s="128"/>
      <c r="I39" s="128"/>
    </row>
    <row r="40" spans="2:9" ht="22.5" customHeight="1">
      <c r="B40" s="3" t="s">
        <v>10</v>
      </c>
      <c r="C40" s="17" t="s">
        <v>428</v>
      </c>
      <c r="D40" s="18">
        <v>-3</v>
      </c>
      <c r="E40" s="19">
        <v>10.574999999999999</v>
      </c>
      <c r="F40" s="20">
        <f t="shared" ref="F40:F41" si="27">D40*E40*100</f>
        <v>-3172.5</v>
      </c>
      <c r="G40" s="20">
        <v>-2894</v>
      </c>
      <c r="H40" s="21">
        <f t="shared" ref="H40:H41" si="28">F40-G40</f>
        <v>-278.5</v>
      </c>
      <c r="I40" s="32" t="s">
        <v>9</v>
      </c>
    </row>
    <row r="41" spans="2:9" ht="22.5" customHeight="1">
      <c r="B41" s="3" t="s">
        <v>10</v>
      </c>
      <c r="C41" s="17" t="s">
        <v>509</v>
      </c>
      <c r="D41" s="18">
        <v>-3</v>
      </c>
      <c r="E41" s="19">
        <v>6.3250000000000002</v>
      </c>
      <c r="F41" s="20">
        <f t="shared" si="27"/>
        <v>-1897.5000000000002</v>
      </c>
      <c r="G41" s="20">
        <v>-2393.04</v>
      </c>
      <c r="H41" s="21">
        <f t="shared" si="28"/>
        <v>495.53999999999974</v>
      </c>
      <c r="I41" s="32" t="s">
        <v>9</v>
      </c>
    </row>
    <row r="42" spans="2:9" ht="22.5" customHeight="1">
      <c r="B42" s="3" t="s">
        <v>65</v>
      </c>
      <c r="C42" s="17" t="s">
        <v>508</v>
      </c>
      <c r="D42" s="18">
        <v>10</v>
      </c>
      <c r="E42" s="19">
        <v>1</v>
      </c>
      <c r="F42" s="20">
        <f t="shared" ref="F42:F44" si="29">D42*E42*100</f>
        <v>1000</v>
      </c>
      <c r="G42" s="20">
        <v>1511.61</v>
      </c>
      <c r="H42" s="21">
        <f t="shared" ref="H42:H44" si="30">F42-G42</f>
        <v>-511.6099999999999</v>
      </c>
      <c r="I42" s="32" t="s">
        <v>9</v>
      </c>
    </row>
    <row r="43" spans="2:9" ht="22.5" customHeight="1">
      <c r="B43" s="3" t="s">
        <v>89</v>
      </c>
      <c r="C43" s="17" t="s">
        <v>346</v>
      </c>
      <c r="D43" s="18">
        <v>-15</v>
      </c>
      <c r="E43" s="19">
        <v>0.32500000000000001</v>
      </c>
      <c r="F43" s="20">
        <f t="shared" ref="F43" si="31">D43*E43*100</f>
        <v>-487.5</v>
      </c>
      <c r="G43" s="20">
        <v>-1020.06</v>
      </c>
      <c r="H43" s="21">
        <f t="shared" ref="H43" si="32">F43-G43</f>
        <v>532.55999999999995</v>
      </c>
      <c r="I43" s="32" t="s">
        <v>9</v>
      </c>
    </row>
    <row r="44" spans="2:9" ht="22.5" customHeight="1">
      <c r="B44" s="3" t="s">
        <v>309</v>
      </c>
      <c r="C44" s="17" t="s">
        <v>310</v>
      </c>
      <c r="D44" s="18">
        <v>3</v>
      </c>
      <c r="E44" s="19">
        <v>4.8499999999999996</v>
      </c>
      <c r="F44" s="20">
        <f t="shared" si="29"/>
        <v>1455</v>
      </c>
      <c r="G44" s="20">
        <v>1296.93</v>
      </c>
      <c r="H44" s="21">
        <f t="shared" si="30"/>
        <v>158.06999999999994</v>
      </c>
      <c r="I44" s="32" t="s">
        <v>9</v>
      </c>
    </row>
    <row r="45" spans="2:9" ht="22.5" customHeight="1">
      <c r="B45" s="3" t="s">
        <v>344</v>
      </c>
      <c r="C45" s="17" t="s">
        <v>345</v>
      </c>
      <c r="D45" s="18">
        <v>4</v>
      </c>
      <c r="E45" s="19">
        <v>8.4649999999999999</v>
      </c>
      <c r="F45" s="20">
        <f t="shared" ref="F45:F46" si="33">D45*E45*100</f>
        <v>3386</v>
      </c>
      <c r="G45" s="20">
        <v>6003.62</v>
      </c>
      <c r="H45" s="21">
        <f t="shared" ref="H45:H46" si="34">F45-G45</f>
        <v>-2617.62</v>
      </c>
      <c r="I45" s="32" t="s">
        <v>9</v>
      </c>
    </row>
    <row r="46" spans="2:9" ht="22.5" customHeight="1">
      <c r="B46" s="3" t="s">
        <v>427</v>
      </c>
      <c r="C46" s="17" t="s">
        <v>489</v>
      </c>
      <c r="D46" s="18">
        <v>5</v>
      </c>
      <c r="E46" s="19">
        <v>8.9</v>
      </c>
      <c r="F46" s="20">
        <f t="shared" si="33"/>
        <v>4450</v>
      </c>
      <c r="G46" s="20">
        <v>2538.2800000000002</v>
      </c>
      <c r="H46" s="21">
        <f t="shared" si="34"/>
        <v>1911.7199999999998</v>
      </c>
      <c r="I46" s="32" t="s">
        <v>9</v>
      </c>
    </row>
    <row r="47" spans="2:9" ht="22.5" customHeight="1">
      <c r="B47" s="127" t="s">
        <v>41</v>
      </c>
      <c r="C47" s="128"/>
      <c r="D47" s="128"/>
      <c r="E47" s="128"/>
      <c r="F47" s="128"/>
      <c r="G47" s="128"/>
      <c r="H47" s="128"/>
      <c r="I47" s="128"/>
    </row>
    <row r="48" spans="2:9" ht="22.5" customHeight="1">
      <c r="B48" s="11" t="s">
        <v>35</v>
      </c>
      <c r="C48" s="12"/>
      <c r="D48" s="13"/>
      <c r="E48" s="14"/>
      <c r="F48" s="15">
        <v>460108.5</v>
      </c>
      <c r="G48" s="15">
        <v>460108.5</v>
      </c>
      <c r="H48" s="16">
        <f>F48-G48</f>
        <v>0</v>
      </c>
      <c r="I48" s="32">
        <f>F48/($F$50-$F$49)</f>
        <v>0.28152819861247402</v>
      </c>
    </row>
    <row r="49" spans="2:9" ht="22.5" customHeight="1">
      <c r="B49" s="22" t="s">
        <v>38</v>
      </c>
      <c r="C49" s="23"/>
      <c r="D49" s="24"/>
      <c r="E49" s="25"/>
      <c r="F49" s="26">
        <f>12050.15+1356.17+3044.58+3084.53+1387.57+3453.88+1553.96+1686.24+2041.62+3963.08+1996.01+3881.99</f>
        <v>39499.78</v>
      </c>
      <c r="G49" s="26">
        <f>12050.15+1356.17+3044.58+3084.53+1387.57+3453.88+1553.96+1686.24+3505.71</f>
        <v>31122.79</v>
      </c>
      <c r="H49" s="27">
        <f>F49-G49</f>
        <v>8376.989999999998</v>
      </c>
      <c r="I49" s="32" t="s">
        <v>9</v>
      </c>
    </row>
    <row r="50" spans="2:9">
      <c r="B50" s="131" t="s">
        <v>39</v>
      </c>
      <c r="C50" s="132"/>
      <c r="D50" s="133"/>
      <c r="E50" s="134"/>
      <c r="F50" s="33">
        <f>SUM(F5:F49)</f>
        <v>1673824.52</v>
      </c>
      <c r="G50" s="33">
        <f>SUM(G5:G49)</f>
        <v>1231605.6899999997</v>
      </c>
      <c r="H50" s="34">
        <f>SUM(H5:H48)</f>
        <v>433841.83999999985</v>
      </c>
      <c r="I50" s="28">
        <f>SUM(I5:I48)</f>
        <v>0.99710369678427535</v>
      </c>
    </row>
    <row r="51" spans="2:9" ht="18">
      <c r="B51" s="129"/>
      <c r="C51" s="129"/>
    </row>
    <row r="54" spans="2:9">
      <c r="H54" t="s">
        <v>40</v>
      </c>
    </row>
  </sheetData>
  <mergeCells count="6">
    <mergeCell ref="B51:C51"/>
    <mergeCell ref="B2:I2"/>
    <mergeCell ref="B4:I4"/>
    <mergeCell ref="B39:I39"/>
    <mergeCell ref="B47:I47"/>
    <mergeCell ref="B50:E50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-0.499984740745262"/>
  </sheetPr>
  <dimension ref="B2:G40"/>
  <sheetViews>
    <sheetView workbookViewId="0">
      <selection activeCell="D5" sqref="D5"/>
    </sheetView>
  </sheetViews>
  <sheetFormatPr defaultRowHeight="12.75"/>
  <cols>
    <col min="1" max="1" width="2.28515625" customWidth="1"/>
    <col min="2" max="2" width="16.42578125" bestFit="1" customWidth="1"/>
    <col min="3" max="4" width="29.42578125" style="1" customWidth="1"/>
    <col min="5" max="5" width="29.42578125" style="2" customWidth="1"/>
  </cols>
  <sheetData>
    <row r="2" spans="2:5" ht="32.25" customHeight="1">
      <c r="B2" s="125" t="s">
        <v>67</v>
      </c>
      <c r="C2" s="126"/>
      <c r="D2" s="126"/>
      <c r="E2" s="126"/>
    </row>
    <row r="3" spans="2:5" ht="22.5" customHeight="1">
      <c r="B3" s="35"/>
      <c r="C3" s="36" t="s">
        <v>0</v>
      </c>
      <c r="D3" s="36" t="s">
        <v>1</v>
      </c>
      <c r="E3" s="36" t="s">
        <v>6</v>
      </c>
    </row>
    <row r="4" spans="2:5" ht="18" customHeight="1">
      <c r="B4" s="127" t="s">
        <v>176</v>
      </c>
      <c r="C4" s="128"/>
      <c r="D4" s="128"/>
      <c r="E4" s="128"/>
    </row>
    <row r="5" spans="2:5">
      <c r="B5" s="51" t="s">
        <v>2</v>
      </c>
      <c r="C5" s="8">
        <v>1250037.0399999998</v>
      </c>
      <c r="D5" s="8">
        <f>'2017 EOY Holdings'!F39</f>
        <v>1614575.2400000002</v>
      </c>
      <c r="E5" s="4">
        <f>(D5/C5)-1</f>
        <v>0.29162191865930676</v>
      </c>
    </row>
    <row r="6" spans="2:5">
      <c r="B6" s="51" t="s">
        <v>3</v>
      </c>
      <c r="C6" s="8">
        <v>937585.04</v>
      </c>
      <c r="D6" s="8">
        <f>D5-423075</f>
        <v>1191500.2400000002</v>
      </c>
      <c r="E6" s="4">
        <f>(D6/C6)-1</f>
        <v>0.27081831425125991</v>
      </c>
    </row>
    <row r="7" spans="2:5" ht="18" customHeight="1">
      <c r="B7" s="127" t="s">
        <v>7</v>
      </c>
      <c r="C7" s="128"/>
      <c r="D7" s="128"/>
      <c r="E7" s="128"/>
    </row>
    <row r="8" spans="2:5">
      <c r="B8" s="29" t="s">
        <v>4</v>
      </c>
      <c r="C8" s="30">
        <v>1357.13</v>
      </c>
      <c r="D8" s="30">
        <v>1535.51</v>
      </c>
      <c r="E8" s="31">
        <f>(D8/C8)-1</f>
        <v>0.13143913994974676</v>
      </c>
    </row>
    <row r="9" spans="2:5">
      <c r="B9" s="5" t="s">
        <v>5</v>
      </c>
      <c r="C9" s="7">
        <v>2238.83</v>
      </c>
      <c r="D9" s="7">
        <v>2689.15</v>
      </c>
      <c r="E9" s="6">
        <f>(D9/C9)-1</f>
        <v>0.20114077442235456</v>
      </c>
    </row>
    <row r="24" spans="7:7">
      <c r="G24" s="1"/>
    </row>
    <row r="25" spans="7:7">
      <c r="G25" s="1"/>
    </row>
    <row r="26" spans="7:7">
      <c r="G26" s="1"/>
    </row>
    <row r="27" spans="7:7">
      <c r="G27" s="1"/>
    </row>
    <row r="28" spans="7:7">
      <c r="G28" s="1"/>
    </row>
    <row r="29" spans="7:7">
      <c r="G29" s="1"/>
    </row>
    <row r="30" spans="7:7">
      <c r="G30" s="1"/>
    </row>
    <row r="31" spans="7:7">
      <c r="G31" s="1"/>
    </row>
    <row r="32" spans="7:7">
      <c r="G32" s="1"/>
    </row>
    <row r="33" spans="2:7">
      <c r="G33" s="1"/>
    </row>
    <row r="34" spans="2:7">
      <c r="G34" s="1"/>
    </row>
    <row r="35" spans="2:7">
      <c r="G35" s="1"/>
    </row>
    <row r="36" spans="2:7">
      <c r="G36" s="1"/>
    </row>
    <row r="37" spans="2:7">
      <c r="G37" s="1"/>
    </row>
    <row r="38" spans="2:7">
      <c r="G38" s="1"/>
    </row>
    <row r="39" spans="2:7">
      <c r="B39" s="38"/>
    </row>
    <row r="40" spans="2:7">
      <c r="B40" s="38"/>
    </row>
  </sheetData>
  <mergeCells count="3">
    <mergeCell ref="B2:E2"/>
    <mergeCell ref="B4:E4"/>
    <mergeCell ref="B7:E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-0.499984740745262"/>
  </sheetPr>
  <dimension ref="B2:I43"/>
  <sheetViews>
    <sheetView zoomScale="85" zoomScaleNormal="85" workbookViewId="0">
      <selection activeCell="M30" sqref="M30"/>
    </sheetView>
  </sheetViews>
  <sheetFormatPr defaultRowHeight="12.75"/>
  <cols>
    <col min="1" max="1" width="3.140625" customWidth="1"/>
    <col min="2" max="2" width="12.85546875" customWidth="1"/>
    <col min="3" max="3" width="25" customWidth="1"/>
    <col min="4" max="4" width="12.28515625" customWidth="1"/>
    <col min="5" max="5" width="9.85546875" customWidth="1"/>
    <col min="6" max="7" width="15.42578125" style="9" customWidth="1"/>
    <col min="8" max="8" width="15.42578125" customWidth="1"/>
    <col min="9" max="9" width="10.85546875" style="10" customWidth="1"/>
  </cols>
  <sheetData>
    <row r="2" spans="2:9" ht="20.25">
      <c r="B2" s="125" t="s">
        <v>227</v>
      </c>
      <c r="C2" s="126"/>
      <c r="D2" s="126"/>
      <c r="E2" s="126"/>
      <c r="F2" s="126"/>
      <c r="G2" s="126"/>
      <c r="H2" s="126"/>
      <c r="I2" s="126"/>
    </row>
    <row r="3" spans="2:9" ht="22.5" customHeight="1">
      <c r="B3" s="36" t="s">
        <v>18</v>
      </c>
      <c r="C3" s="36" t="s">
        <v>19</v>
      </c>
      <c r="D3" s="36" t="s">
        <v>20</v>
      </c>
      <c r="E3" s="36" t="s">
        <v>21</v>
      </c>
      <c r="F3" s="36" t="s">
        <v>22</v>
      </c>
      <c r="G3" s="36" t="s">
        <v>23</v>
      </c>
      <c r="H3" s="36" t="s">
        <v>24</v>
      </c>
      <c r="I3" s="36" t="s">
        <v>25</v>
      </c>
    </row>
    <row r="4" spans="2:9" ht="22.5" customHeight="1">
      <c r="B4" s="127" t="s">
        <v>36</v>
      </c>
      <c r="C4" s="127"/>
      <c r="D4" s="127"/>
      <c r="E4" s="127"/>
      <c r="F4" s="127"/>
      <c r="G4" s="127"/>
      <c r="H4" s="127"/>
      <c r="I4" s="127"/>
    </row>
    <row r="5" spans="2:9" ht="22.5" customHeight="1">
      <c r="B5" s="3" t="s">
        <v>10</v>
      </c>
      <c r="C5" s="17" t="s">
        <v>28</v>
      </c>
      <c r="D5" s="18">
        <v>2500</v>
      </c>
      <c r="E5" s="19">
        <v>169.23</v>
      </c>
      <c r="F5" s="37">
        <f t="shared" ref="F5:F28" si="0">D5*E5</f>
        <v>423075</v>
      </c>
      <c r="G5" s="20">
        <v>26000</v>
      </c>
      <c r="H5" s="21">
        <f t="shared" ref="H5:H28" si="1">F5-G5</f>
        <v>397075</v>
      </c>
      <c r="I5" s="32">
        <f t="shared" ref="I5:I31" si="2">F5/($F$39-$F$38)</f>
        <v>0.26718516239625634</v>
      </c>
    </row>
    <row r="6" spans="2:9" ht="22.5" customHeight="1">
      <c r="B6" s="3" t="s">
        <v>77</v>
      </c>
      <c r="C6" s="17" t="s">
        <v>80</v>
      </c>
      <c r="D6" s="18">
        <v>1750</v>
      </c>
      <c r="E6" s="19">
        <v>18.8</v>
      </c>
      <c r="F6" s="37">
        <f t="shared" si="0"/>
        <v>32900</v>
      </c>
      <c r="G6" s="20">
        <v>22703.200000000001</v>
      </c>
      <c r="H6" s="21">
        <f t="shared" si="1"/>
        <v>10196.799999999999</v>
      </c>
      <c r="I6" s="32">
        <f t="shared" si="2"/>
        <v>2.07773842529973E-2</v>
      </c>
    </row>
    <row r="7" spans="2:9" ht="22.5" customHeight="1">
      <c r="B7" s="3" t="s">
        <v>160</v>
      </c>
      <c r="C7" s="17" t="s">
        <v>158</v>
      </c>
      <c r="D7" s="18">
        <v>-1000</v>
      </c>
      <c r="E7" s="19">
        <v>16.920000000000002</v>
      </c>
      <c r="F7" s="37">
        <f t="shared" si="0"/>
        <v>-16920</v>
      </c>
      <c r="G7" s="20">
        <v>-15885.16</v>
      </c>
      <c r="H7" s="21">
        <f t="shared" si="1"/>
        <v>-1034.8400000000001</v>
      </c>
      <c r="I7" s="32">
        <f t="shared" si="2"/>
        <v>-1.068551190154147E-2</v>
      </c>
    </row>
    <row r="8" spans="2:9" ht="22.5" customHeight="1">
      <c r="B8" s="3" t="s">
        <v>62</v>
      </c>
      <c r="C8" s="17" t="s">
        <v>63</v>
      </c>
      <c r="D8" s="18">
        <v>-900</v>
      </c>
      <c r="E8" s="19">
        <v>21.84</v>
      </c>
      <c r="F8" s="37">
        <f t="shared" si="0"/>
        <v>-19656</v>
      </c>
      <c r="G8" s="20">
        <v>-19521.169999999998</v>
      </c>
      <c r="H8" s="21">
        <f t="shared" si="1"/>
        <v>-134.83000000000175</v>
      </c>
      <c r="I8" s="32">
        <f t="shared" si="2"/>
        <v>-1.2413381911152431E-2</v>
      </c>
    </row>
    <row r="9" spans="2:9" ht="22.5" customHeight="1">
      <c r="B9" s="3" t="s">
        <v>97</v>
      </c>
      <c r="C9" s="17" t="s">
        <v>98</v>
      </c>
      <c r="D9" s="18">
        <v>900</v>
      </c>
      <c r="E9" s="19">
        <v>33.1</v>
      </c>
      <c r="F9" s="37">
        <f t="shared" si="0"/>
        <v>29790</v>
      </c>
      <c r="G9" s="20">
        <v>25807.95</v>
      </c>
      <c r="H9" s="21">
        <f t="shared" si="1"/>
        <v>3982.0499999999993</v>
      </c>
      <c r="I9" s="32">
        <f t="shared" si="2"/>
        <v>1.8813321486224607E-2</v>
      </c>
    </row>
    <row r="10" spans="2:9" ht="22.5" customHeight="1">
      <c r="B10" s="3" t="s">
        <v>81</v>
      </c>
      <c r="C10" s="17" t="s">
        <v>82</v>
      </c>
      <c r="D10" s="18">
        <v>400</v>
      </c>
      <c r="E10" s="19">
        <v>72.25</v>
      </c>
      <c r="F10" s="37">
        <f t="shared" si="0"/>
        <v>28900</v>
      </c>
      <c r="G10" s="20">
        <v>26680.95</v>
      </c>
      <c r="H10" s="21">
        <f t="shared" si="1"/>
        <v>2219.0499999999993</v>
      </c>
      <c r="I10" s="32">
        <f t="shared" si="2"/>
        <v>1.8251258507952037E-2</v>
      </c>
    </row>
    <row r="11" spans="2:9" ht="22.5" customHeight="1">
      <c r="B11" s="3" t="s">
        <v>42</v>
      </c>
      <c r="C11" s="17" t="s">
        <v>43</v>
      </c>
      <c r="D11" s="18">
        <v>8950</v>
      </c>
      <c r="E11" s="19">
        <v>3.36</v>
      </c>
      <c r="F11" s="37">
        <f t="shared" si="0"/>
        <v>30072</v>
      </c>
      <c r="G11" s="20">
        <v>30448.97</v>
      </c>
      <c r="H11" s="21">
        <f t="shared" si="1"/>
        <v>-376.97000000000116</v>
      </c>
      <c r="I11" s="32">
        <f t="shared" si="2"/>
        <v>1.8991413351250298E-2</v>
      </c>
    </row>
    <row r="12" spans="2:9" ht="22.9" customHeight="1">
      <c r="B12" s="3" t="s">
        <v>68</v>
      </c>
      <c r="C12" s="17" t="s">
        <v>64</v>
      </c>
      <c r="D12" s="18">
        <v>1850</v>
      </c>
      <c r="E12" s="19">
        <v>24.44</v>
      </c>
      <c r="F12" s="37">
        <f t="shared" si="0"/>
        <v>45214</v>
      </c>
      <c r="G12" s="20">
        <v>26345.35</v>
      </c>
      <c r="H12" s="21">
        <f t="shared" si="1"/>
        <v>18868.650000000001</v>
      </c>
      <c r="I12" s="32">
        <f t="shared" si="2"/>
        <v>2.8554062359119149E-2</v>
      </c>
    </row>
    <row r="13" spans="2:9" ht="22.9" customHeight="1">
      <c r="B13" s="3" t="s">
        <v>95</v>
      </c>
      <c r="C13" s="17" t="s">
        <v>96</v>
      </c>
      <c r="D13" s="18">
        <v>3750</v>
      </c>
      <c r="E13" s="19">
        <v>8.9600000000000009</v>
      </c>
      <c r="F13" s="37">
        <f t="shared" si="0"/>
        <v>33600</v>
      </c>
      <c r="G13" s="20">
        <v>27142.95</v>
      </c>
      <c r="H13" s="21">
        <f t="shared" si="1"/>
        <v>6457.0499999999993</v>
      </c>
      <c r="I13" s="32">
        <f t="shared" si="2"/>
        <v>2.1219456258380221E-2</v>
      </c>
    </row>
    <row r="14" spans="2:9" ht="22.5" customHeight="1">
      <c r="B14" s="3" t="s">
        <v>161</v>
      </c>
      <c r="C14" s="17" t="s">
        <v>162</v>
      </c>
      <c r="D14" s="18">
        <v>-330</v>
      </c>
      <c r="E14" s="19">
        <v>32.049999999999997</v>
      </c>
      <c r="F14" s="37">
        <f t="shared" si="0"/>
        <v>-10576.499999999998</v>
      </c>
      <c r="G14" s="20">
        <v>-12313.67</v>
      </c>
      <c r="H14" s="21">
        <f t="shared" si="1"/>
        <v>1737.1700000000019</v>
      </c>
      <c r="I14" s="32">
        <f t="shared" si="2"/>
        <v>-6.6793922356178093E-3</v>
      </c>
    </row>
    <row r="15" spans="2:9" ht="22.5" customHeight="1">
      <c r="B15" s="3" t="s">
        <v>78</v>
      </c>
      <c r="C15" s="17" t="s">
        <v>79</v>
      </c>
      <c r="D15" s="18">
        <v>1500</v>
      </c>
      <c r="E15" s="19">
        <v>18.649999999999999</v>
      </c>
      <c r="F15" s="37">
        <f t="shared" si="0"/>
        <v>27974.999999999996</v>
      </c>
      <c r="G15" s="20">
        <v>19989.8</v>
      </c>
      <c r="H15" s="21">
        <f t="shared" si="1"/>
        <v>7985.1999999999971</v>
      </c>
      <c r="I15" s="32">
        <f t="shared" si="2"/>
        <v>1.7667091929410315E-2</v>
      </c>
    </row>
    <row r="16" spans="2:9" ht="24.4" customHeight="1">
      <c r="B16" s="3" t="s">
        <v>99</v>
      </c>
      <c r="C16" s="17" t="s">
        <v>100</v>
      </c>
      <c r="D16" s="18">
        <v>1000</v>
      </c>
      <c r="E16" s="19">
        <v>28.32</v>
      </c>
      <c r="F16" s="37">
        <f t="shared" si="0"/>
        <v>28320</v>
      </c>
      <c r="G16" s="20">
        <v>24988.95</v>
      </c>
      <c r="H16" s="21">
        <f t="shared" si="1"/>
        <v>3331.0499999999993</v>
      </c>
      <c r="I16" s="32">
        <f t="shared" si="2"/>
        <v>1.7884970274920472E-2</v>
      </c>
    </row>
    <row r="17" spans="2:9" ht="24.4" customHeight="1">
      <c r="B17" s="3" t="s">
        <v>74</v>
      </c>
      <c r="C17" s="17" t="s">
        <v>75</v>
      </c>
      <c r="D17" s="18">
        <v>200</v>
      </c>
      <c r="E17" s="19">
        <v>176.76</v>
      </c>
      <c r="F17" s="37">
        <f t="shared" si="0"/>
        <v>35352</v>
      </c>
      <c r="G17" s="20">
        <v>26940.19</v>
      </c>
      <c r="H17" s="21">
        <f t="shared" si="1"/>
        <v>8411.8100000000013</v>
      </c>
      <c r="I17" s="32">
        <f t="shared" si="2"/>
        <v>2.2325899334710048E-2</v>
      </c>
    </row>
    <row r="18" spans="2:9" ht="22.5" customHeight="1">
      <c r="B18" s="3" t="s">
        <v>83</v>
      </c>
      <c r="C18" s="17" t="s">
        <v>84</v>
      </c>
      <c r="D18" s="18">
        <v>-200</v>
      </c>
      <c r="E18" s="19">
        <v>88.2</v>
      </c>
      <c r="F18" s="37">
        <f t="shared" si="0"/>
        <v>-17640</v>
      </c>
      <c r="G18" s="20">
        <v>-17978.63</v>
      </c>
      <c r="H18" s="21">
        <f t="shared" si="1"/>
        <v>338.63000000000102</v>
      </c>
      <c r="I18" s="32">
        <f t="shared" si="2"/>
        <v>-1.1140214535649617E-2</v>
      </c>
    </row>
    <row r="19" spans="2:9" ht="22.5" customHeight="1">
      <c r="B19" s="3" t="s">
        <v>85</v>
      </c>
      <c r="C19" s="17" t="s">
        <v>86</v>
      </c>
      <c r="D19" s="18">
        <v>-200</v>
      </c>
      <c r="E19" s="19">
        <v>53.44</v>
      </c>
      <c r="F19" s="37">
        <f t="shared" si="0"/>
        <v>-10688</v>
      </c>
      <c r="G19" s="20">
        <v>-10968.81</v>
      </c>
      <c r="H19" s="21">
        <f t="shared" si="1"/>
        <v>280.80999999999949</v>
      </c>
      <c r="I19" s="32">
        <f t="shared" si="2"/>
        <v>-6.7498079907609473E-3</v>
      </c>
    </row>
    <row r="20" spans="2:9" ht="22.5" customHeight="1">
      <c r="B20" s="3" t="s">
        <v>87</v>
      </c>
      <c r="C20" s="17" t="s">
        <v>88</v>
      </c>
      <c r="D20" s="18">
        <v>1050</v>
      </c>
      <c r="E20" s="19">
        <v>35.47</v>
      </c>
      <c r="F20" s="37">
        <f t="shared" si="0"/>
        <v>37243.5</v>
      </c>
      <c r="G20" s="20">
        <v>36247.980000000003</v>
      </c>
      <c r="H20" s="21">
        <f t="shared" si="1"/>
        <v>995.5199999999968</v>
      </c>
      <c r="I20" s="32">
        <f t="shared" si="2"/>
        <v>2.3520441046398329E-2</v>
      </c>
    </row>
    <row r="21" spans="2:9" ht="22.5" customHeight="1">
      <c r="B21" s="3" t="s">
        <v>171</v>
      </c>
      <c r="C21" s="17" t="s">
        <v>167</v>
      </c>
      <c r="D21" s="18">
        <v>2000</v>
      </c>
      <c r="E21" s="19">
        <v>12.53</v>
      </c>
      <c r="F21" s="37">
        <f t="shared" si="0"/>
        <v>25060</v>
      </c>
      <c r="G21" s="20">
        <v>25304.95</v>
      </c>
      <c r="H21" s="21">
        <f t="shared" si="1"/>
        <v>-244.95000000000073</v>
      </c>
      <c r="I21" s="32">
        <f t="shared" si="2"/>
        <v>1.5826177792708583E-2</v>
      </c>
    </row>
    <row r="22" spans="2:9" ht="22.5" customHeight="1">
      <c r="B22" s="3" t="s">
        <v>89</v>
      </c>
      <c r="C22" s="17" t="s">
        <v>90</v>
      </c>
      <c r="D22" s="18">
        <v>1000</v>
      </c>
      <c r="E22" s="19">
        <v>13.32</v>
      </c>
      <c r="F22" s="37">
        <f t="shared" si="0"/>
        <v>13320</v>
      </c>
      <c r="G22" s="20">
        <v>14450.45</v>
      </c>
      <c r="H22" s="21">
        <f t="shared" si="1"/>
        <v>-1130.4500000000007</v>
      </c>
      <c r="I22" s="32">
        <f t="shared" si="2"/>
        <v>8.4119987310007308E-3</v>
      </c>
    </row>
    <row r="23" spans="2:9" ht="22.5" customHeight="1">
      <c r="B23" s="3" t="s">
        <v>12</v>
      </c>
      <c r="C23" s="17" t="s">
        <v>30</v>
      </c>
      <c r="D23" s="18">
        <v>2400</v>
      </c>
      <c r="E23" s="19">
        <v>3.13</v>
      </c>
      <c r="F23" s="37">
        <f t="shared" si="0"/>
        <v>7512</v>
      </c>
      <c r="G23" s="20">
        <v>8340.5</v>
      </c>
      <c r="H23" s="21">
        <f t="shared" si="1"/>
        <v>-828.5</v>
      </c>
      <c r="I23" s="32">
        <f t="shared" si="2"/>
        <v>4.7440641491950071E-3</v>
      </c>
    </row>
    <row r="24" spans="2:9" ht="22.5" customHeight="1">
      <c r="B24" s="3" t="s">
        <v>91</v>
      </c>
      <c r="C24" s="17" t="s">
        <v>92</v>
      </c>
      <c r="D24" s="18">
        <v>1000</v>
      </c>
      <c r="E24" s="19">
        <v>11.8</v>
      </c>
      <c r="F24" s="37">
        <f t="shared" si="0"/>
        <v>11800</v>
      </c>
      <c r="G24" s="20">
        <v>12734.95</v>
      </c>
      <c r="H24" s="21">
        <f t="shared" si="1"/>
        <v>-934.95000000000073</v>
      </c>
      <c r="I24" s="32">
        <f t="shared" si="2"/>
        <v>7.4520709478835302E-3</v>
      </c>
    </row>
    <row r="25" spans="2:9" ht="22.5" customHeight="1">
      <c r="B25" s="3" t="s">
        <v>164</v>
      </c>
      <c r="C25" s="17" t="s">
        <v>165</v>
      </c>
      <c r="D25" s="18">
        <v>1800</v>
      </c>
      <c r="E25" s="19">
        <v>18.760000000000002</v>
      </c>
      <c r="F25" s="37">
        <f t="shared" si="0"/>
        <v>33768</v>
      </c>
      <c r="G25" s="20">
        <v>30122.22</v>
      </c>
      <c r="H25" s="21">
        <f t="shared" si="1"/>
        <v>3645.7799999999988</v>
      </c>
      <c r="I25" s="32">
        <f t="shared" si="2"/>
        <v>2.1325553539672124E-2</v>
      </c>
    </row>
    <row r="26" spans="2:9" ht="22.5" customHeight="1">
      <c r="B26" s="3" t="s">
        <v>14</v>
      </c>
      <c r="C26" s="17" t="s">
        <v>54</v>
      </c>
      <c r="D26" s="18">
        <v>1350</v>
      </c>
      <c r="E26" s="19">
        <v>29.82</v>
      </c>
      <c r="F26" s="37">
        <f t="shared" si="0"/>
        <v>40257</v>
      </c>
      <c r="G26" s="20">
        <v>37423.360000000001</v>
      </c>
      <c r="H26" s="21">
        <f t="shared" si="1"/>
        <v>2833.6399999999994</v>
      </c>
      <c r="I26" s="32">
        <f t="shared" si="2"/>
        <v>2.5423561029571804E-2</v>
      </c>
    </row>
    <row r="27" spans="2:9" ht="22.5" customHeight="1">
      <c r="B27" s="3" t="s">
        <v>93</v>
      </c>
      <c r="C27" s="17" t="s">
        <v>94</v>
      </c>
      <c r="D27" s="18">
        <v>300</v>
      </c>
      <c r="E27" s="19">
        <v>101.85</v>
      </c>
      <c r="F27" s="37">
        <f t="shared" si="0"/>
        <v>30555</v>
      </c>
      <c r="G27" s="20">
        <v>29384.400000000001</v>
      </c>
      <c r="H27" s="21">
        <f t="shared" si="1"/>
        <v>1170.5999999999985</v>
      </c>
      <c r="I27" s="32">
        <f t="shared" si="2"/>
        <v>1.9296443034964514E-2</v>
      </c>
    </row>
    <row r="28" spans="2:9" ht="22.5" customHeight="1">
      <c r="B28" s="3" t="s">
        <v>102</v>
      </c>
      <c r="C28" s="17" t="s">
        <v>103</v>
      </c>
      <c r="D28" s="18">
        <v>4359</v>
      </c>
      <c r="E28" s="19">
        <v>7.35</v>
      </c>
      <c r="F28" s="37">
        <f t="shared" si="0"/>
        <v>32038.649999999998</v>
      </c>
      <c r="G28" s="20">
        <v>32221.53</v>
      </c>
      <c r="H28" s="21">
        <f t="shared" si="1"/>
        <v>-182.88000000000102</v>
      </c>
      <c r="I28" s="32">
        <f t="shared" si="2"/>
        <v>2.0233414650373614E-2</v>
      </c>
    </row>
    <row r="29" spans="2:9" ht="22.5" customHeight="1">
      <c r="B29" s="3" t="s">
        <v>104</v>
      </c>
      <c r="C29" s="17" t="s">
        <v>106</v>
      </c>
      <c r="D29" s="18">
        <v>1200</v>
      </c>
      <c r="E29" s="19">
        <v>31.86</v>
      </c>
      <c r="F29" s="37">
        <f>D29*E29</f>
        <v>38232</v>
      </c>
      <c r="G29" s="20">
        <v>34216.839999999997</v>
      </c>
      <c r="H29" s="21">
        <f>F29-G29</f>
        <v>4015.1600000000035</v>
      </c>
      <c r="I29" s="32">
        <f t="shared" si="2"/>
        <v>2.4144709871142638E-2</v>
      </c>
    </row>
    <row r="30" spans="2:9" ht="22.5" customHeight="1">
      <c r="B30" s="3" t="s">
        <v>172</v>
      </c>
      <c r="C30" s="17" t="s">
        <v>173</v>
      </c>
      <c r="D30" s="18">
        <v>1500</v>
      </c>
      <c r="E30" s="19">
        <v>15.67</v>
      </c>
      <c r="F30" s="37">
        <f>D30*E30</f>
        <v>23505</v>
      </c>
      <c r="G30" s="20">
        <v>23712.45</v>
      </c>
      <c r="H30" s="21">
        <f>F30-G30</f>
        <v>-207.45000000000073</v>
      </c>
      <c r="I30" s="32">
        <f t="shared" si="2"/>
        <v>1.4844146409322237E-2</v>
      </c>
    </row>
    <row r="31" spans="2:9" ht="22.5" customHeight="1">
      <c r="B31" s="3" t="s">
        <v>105</v>
      </c>
      <c r="C31" s="17" t="s">
        <v>107</v>
      </c>
      <c r="D31" s="18">
        <v>3600</v>
      </c>
      <c r="E31" s="19">
        <v>12.88</v>
      </c>
      <c r="F31" s="37">
        <f>D31*E31</f>
        <v>46368</v>
      </c>
      <c r="G31" s="20">
        <v>35848.9</v>
      </c>
      <c r="H31" s="21">
        <f>F31-G31</f>
        <v>10519.099999999999</v>
      </c>
      <c r="I31" s="32">
        <f t="shared" si="2"/>
        <v>2.9282849636564707E-2</v>
      </c>
    </row>
    <row r="32" spans="2:9" ht="24" customHeight="1">
      <c r="B32" s="127" t="s">
        <v>37</v>
      </c>
      <c r="C32" s="127"/>
      <c r="D32" s="127"/>
      <c r="E32" s="127"/>
      <c r="F32" s="127"/>
      <c r="G32" s="127"/>
      <c r="H32" s="127"/>
      <c r="I32" s="127"/>
    </row>
    <row r="33" spans="2:9" ht="22.5" customHeight="1">
      <c r="B33" s="3" t="s">
        <v>10</v>
      </c>
      <c r="C33" s="17" t="s">
        <v>163</v>
      </c>
      <c r="D33" s="18">
        <v>-3</v>
      </c>
      <c r="E33" s="19">
        <v>6.3250000000000002</v>
      </c>
      <c r="F33" s="20">
        <f>D33*E33*100</f>
        <v>-1897.5000000000002</v>
      </c>
      <c r="G33" s="20">
        <v>-2063.0100000000002</v>
      </c>
      <c r="H33" s="21">
        <f>F33-G33</f>
        <v>165.51</v>
      </c>
      <c r="I33" s="32" t="s">
        <v>9</v>
      </c>
    </row>
    <row r="34" spans="2:9" ht="22.5" customHeight="1">
      <c r="B34" s="3" t="s">
        <v>77</v>
      </c>
      <c r="C34" s="17" t="s">
        <v>174</v>
      </c>
      <c r="D34" s="18">
        <v>-5</v>
      </c>
      <c r="E34" s="19">
        <v>2.5000000000000001E-2</v>
      </c>
      <c r="F34" s="20">
        <f>D34*E34*100</f>
        <v>-12.5</v>
      </c>
      <c r="G34" s="20">
        <v>-361.7</v>
      </c>
      <c r="H34" s="21">
        <f>F34-G34</f>
        <v>349.2</v>
      </c>
      <c r="I34" s="32" t="s">
        <v>9</v>
      </c>
    </row>
    <row r="35" spans="2:9" ht="22.5" customHeight="1">
      <c r="B35" s="3" t="s">
        <v>77</v>
      </c>
      <c r="C35" s="17" t="s">
        <v>175</v>
      </c>
      <c r="D35" s="18">
        <v>-17</v>
      </c>
      <c r="E35" s="19">
        <v>1.8</v>
      </c>
      <c r="F35" s="20">
        <f>D35*E35*100</f>
        <v>-3060</v>
      </c>
      <c r="G35" s="20">
        <v>-1768.57</v>
      </c>
      <c r="H35" s="21">
        <f>F35-G35</f>
        <v>-1291.43</v>
      </c>
      <c r="I35" s="32" t="s">
        <v>9</v>
      </c>
    </row>
    <row r="36" spans="2:9" ht="22.5" customHeight="1">
      <c r="B36" s="127" t="s">
        <v>41</v>
      </c>
      <c r="C36" s="127"/>
      <c r="D36" s="127"/>
      <c r="E36" s="127"/>
      <c r="F36" s="127"/>
      <c r="G36" s="127"/>
      <c r="H36" s="127"/>
      <c r="I36" s="127"/>
    </row>
    <row r="37" spans="2:9" ht="22.5" customHeight="1">
      <c r="B37" s="11" t="s">
        <v>35</v>
      </c>
      <c r="C37" s="12"/>
      <c r="D37" s="13"/>
      <c r="E37" s="14"/>
      <c r="F37" s="15">
        <v>609045.80000000005</v>
      </c>
      <c r="G37" s="15">
        <v>609045.80000000005</v>
      </c>
      <c r="H37" s="16">
        <f>F37-G37</f>
        <v>0</v>
      </c>
      <c r="I37" s="32">
        <f>F37/($F$39-$F$38)</f>
        <v>0.38463156882292232</v>
      </c>
    </row>
    <row r="38" spans="2:9" ht="22.5" customHeight="1">
      <c r="B38" s="22" t="s">
        <v>38</v>
      </c>
      <c r="C38" s="23"/>
      <c r="D38" s="24"/>
      <c r="E38" s="25"/>
      <c r="F38" s="26">
        <f>12050.15+1356.17+3044.58+3084.53+1387.57+3453.88+1553.96+1686.24+3505.71</f>
        <v>31122.79</v>
      </c>
      <c r="G38" s="26">
        <f>12050.15+1356.17+3044.58+3084.53+1387.57+3453.88+1553.96+1686.24+3505.71</f>
        <v>31122.79</v>
      </c>
      <c r="H38" s="27">
        <f>F38-G38</f>
        <v>0</v>
      </c>
      <c r="I38" s="32" t="s">
        <v>9</v>
      </c>
    </row>
    <row r="39" spans="2:9">
      <c r="B39" s="131" t="s">
        <v>39</v>
      </c>
      <c r="C39" s="132"/>
      <c r="D39" s="132"/>
      <c r="E39" s="136"/>
      <c r="F39" s="33">
        <f>SUM(F5:F38)</f>
        <v>1614575.2400000002</v>
      </c>
      <c r="G39" s="33">
        <f>SUM(G5:G38)</f>
        <v>1136364.7100000002</v>
      </c>
      <c r="H39" s="34">
        <f>SUM(H5:H37)</f>
        <v>478210.52999999985</v>
      </c>
      <c r="I39" s="28">
        <f>SUM(I5:I37)</f>
        <v>1.0031387112382186</v>
      </c>
    </row>
    <row r="40" spans="2:9" ht="18">
      <c r="B40" s="135"/>
      <c r="C40" s="135"/>
    </row>
    <row r="43" spans="2:9">
      <c r="H43" t="s">
        <v>40</v>
      </c>
    </row>
  </sheetData>
  <mergeCells count="6">
    <mergeCell ref="B40:C40"/>
    <mergeCell ref="B2:I2"/>
    <mergeCell ref="B4:I4"/>
    <mergeCell ref="B32:I32"/>
    <mergeCell ref="B36:I36"/>
    <mergeCell ref="B39:E3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-0.499984740745262"/>
  </sheetPr>
  <dimension ref="B2:F23"/>
  <sheetViews>
    <sheetView workbookViewId="0">
      <selection activeCell="C42" sqref="C42"/>
    </sheetView>
  </sheetViews>
  <sheetFormatPr defaultRowHeight="12.75"/>
  <cols>
    <col min="1" max="1" width="2.7109375" customWidth="1"/>
    <col min="2" max="2" width="15.5703125" customWidth="1"/>
    <col min="3" max="4" width="29.42578125" style="1" customWidth="1"/>
    <col min="5" max="5" width="29.42578125" style="2" customWidth="1"/>
  </cols>
  <sheetData>
    <row r="2" spans="2:6" ht="32.25" customHeight="1">
      <c r="B2" s="125" t="s">
        <v>67</v>
      </c>
      <c r="C2" s="126"/>
      <c r="D2" s="126"/>
      <c r="E2" s="126"/>
    </row>
    <row r="3" spans="2:6" ht="22.5" customHeight="1">
      <c r="B3" s="35"/>
      <c r="C3" s="36" t="s">
        <v>0</v>
      </c>
      <c r="D3" s="36" t="s">
        <v>1</v>
      </c>
      <c r="E3" s="36" t="s">
        <v>6</v>
      </c>
    </row>
    <row r="4" spans="2:6" ht="18" customHeight="1">
      <c r="B4" s="127" t="s">
        <v>8</v>
      </c>
      <c r="C4" s="128"/>
      <c r="D4" s="128"/>
      <c r="E4" s="128"/>
    </row>
    <row r="5" spans="2:6">
      <c r="B5" s="51" t="s">
        <v>2</v>
      </c>
      <c r="C5" s="8">
        <v>1111688.07</v>
      </c>
      <c r="D5" s="8">
        <f>'2016 EOY Holdings'!F33</f>
        <v>1250037.0399999998</v>
      </c>
      <c r="E5" s="4">
        <f>(D5/C5)-1</f>
        <v>0.12444945100472271</v>
      </c>
    </row>
    <row r="6" spans="2:6">
      <c r="B6" s="51" t="s">
        <v>3</v>
      </c>
      <c r="C6" s="8">
        <f>C5-294728</f>
        <v>816960.07000000007</v>
      </c>
      <c r="D6" s="8">
        <f>D5-312452</f>
        <v>937585.0399999998</v>
      </c>
      <c r="E6" s="4">
        <f>(D6/C6)-1</f>
        <v>0.14765099841415719</v>
      </c>
    </row>
    <row r="7" spans="2:6" ht="18" customHeight="1">
      <c r="B7" s="127" t="s">
        <v>7</v>
      </c>
      <c r="C7" s="128"/>
      <c r="D7" s="128"/>
      <c r="E7" s="128"/>
    </row>
    <row r="8" spans="2:6">
      <c r="B8" s="29" t="s">
        <v>4</v>
      </c>
      <c r="C8" s="30">
        <v>1135.8900000000001</v>
      </c>
      <c r="D8" s="30">
        <v>1357.13</v>
      </c>
      <c r="E8" s="31">
        <f>(D8/C8)-1</f>
        <v>0.1947723811284543</v>
      </c>
    </row>
    <row r="9" spans="2:6">
      <c r="B9" s="5" t="s">
        <v>5</v>
      </c>
      <c r="C9" s="7">
        <v>2043.94</v>
      </c>
      <c r="D9" s="7">
        <v>2238.83</v>
      </c>
      <c r="E9" s="6">
        <f>(D9/C9)-1</f>
        <v>9.5350157049619799E-2</v>
      </c>
      <c r="F9" s="2"/>
    </row>
    <row r="23" spans="3:5">
      <c r="C23"/>
      <c r="D23"/>
      <c r="E23"/>
    </row>
  </sheetData>
  <mergeCells count="3">
    <mergeCell ref="B2:E2"/>
    <mergeCell ref="B4:E4"/>
    <mergeCell ref="B7:E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3" tint="-0.499984740745262"/>
  </sheetPr>
  <dimension ref="B2:I37"/>
  <sheetViews>
    <sheetView zoomScale="85" zoomScaleNormal="85" workbookViewId="0">
      <selection activeCell="E23" sqref="E23"/>
    </sheetView>
  </sheetViews>
  <sheetFormatPr defaultRowHeight="12.75"/>
  <cols>
    <col min="1" max="1" width="3.140625" customWidth="1"/>
    <col min="2" max="2" width="12.85546875" bestFit="1" customWidth="1"/>
    <col min="3" max="3" width="25" bestFit="1" customWidth="1"/>
    <col min="4" max="4" width="12.28515625" bestFit="1" customWidth="1"/>
    <col min="5" max="5" width="9.85546875" bestFit="1" customWidth="1"/>
    <col min="6" max="7" width="15.42578125" style="9" customWidth="1"/>
    <col min="8" max="8" width="15.42578125" customWidth="1"/>
    <col min="9" max="9" width="10.85546875" style="10" customWidth="1"/>
  </cols>
  <sheetData>
    <row r="2" spans="2:9" ht="20.25">
      <c r="B2" s="125" t="s">
        <v>73</v>
      </c>
      <c r="C2" s="126"/>
      <c r="D2" s="126"/>
      <c r="E2" s="126"/>
      <c r="F2" s="130"/>
      <c r="G2" s="130"/>
      <c r="H2" s="130"/>
      <c r="I2" s="130"/>
    </row>
    <row r="3" spans="2:9" ht="22.5" customHeight="1">
      <c r="B3" s="36" t="s">
        <v>18</v>
      </c>
      <c r="C3" s="36" t="s">
        <v>19</v>
      </c>
      <c r="D3" s="36" t="s">
        <v>20</v>
      </c>
      <c r="E3" s="36" t="s">
        <v>21</v>
      </c>
      <c r="F3" s="36" t="s">
        <v>22</v>
      </c>
      <c r="G3" s="36" t="s">
        <v>23</v>
      </c>
      <c r="H3" s="36" t="s">
        <v>24</v>
      </c>
      <c r="I3" s="36" t="s">
        <v>25</v>
      </c>
    </row>
    <row r="4" spans="2:9" ht="22.5" customHeight="1">
      <c r="B4" s="127" t="s">
        <v>36</v>
      </c>
      <c r="C4" s="128"/>
      <c r="D4" s="128"/>
      <c r="E4" s="128"/>
      <c r="F4" s="128"/>
      <c r="G4" s="128"/>
      <c r="H4" s="128"/>
      <c r="I4" s="128"/>
    </row>
    <row r="5" spans="2:9" ht="22.5" customHeight="1">
      <c r="B5" s="3" t="s">
        <v>10</v>
      </c>
      <c r="C5" s="17" t="s">
        <v>28</v>
      </c>
      <c r="D5" s="18">
        <v>2800</v>
      </c>
      <c r="E5" s="19">
        <v>115.82</v>
      </c>
      <c r="F5" s="37">
        <f t="shared" ref="F5:F26" si="0">D5*E5</f>
        <v>324296</v>
      </c>
      <c r="G5" s="20">
        <v>29750.295999999998</v>
      </c>
      <c r="H5" s="21">
        <f>F5-G5</f>
        <v>294545.70400000003</v>
      </c>
      <c r="I5" s="32">
        <f t="shared" ref="I5:I26" si="1">F5/($F$33-$F$32)</f>
        <v>0.26288881617946847</v>
      </c>
    </row>
    <row r="6" spans="2:9" ht="22.5" customHeight="1">
      <c r="B6" s="3" t="s">
        <v>26</v>
      </c>
      <c r="C6" s="17" t="s">
        <v>27</v>
      </c>
      <c r="D6" s="18">
        <v>250</v>
      </c>
      <c r="E6" s="19">
        <v>112.68</v>
      </c>
      <c r="F6" s="37">
        <f t="shared" si="0"/>
        <v>28170</v>
      </c>
      <c r="G6" s="20">
        <v>25431.43</v>
      </c>
      <c r="H6" s="21">
        <f>F6-G6</f>
        <v>2738.5699999999997</v>
      </c>
      <c r="I6" s="32">
        <f t="shared" si="1"/>
        <v>2.2835859683053832E-2</v>
      </c>
    </row>
    <row r="7" spans="2:9" ht="22.5" customHeight="1">
      <c r="B7" s="3" t="s">
        <v>46</v>
      </c>
      <c r="C7" s="17" t="s">
        <v>47</v>
      </c>
      <c r="D7" s="18">
        <v>450</v>
      </c>
      <c r="E7" s="19">
        <v>92.86</v>
      </c>
      <c r="F7" s="37">
        <f>D7*E7</f>
        <v>41787</v>
      </c>
      <c r="G7" s="20">
        <v>26975.95</v>
      </c>
      <c r="H7" s="21">
        <f>F7-G7</f>
        <v>14811.05</v>
      </c>
      <c r="I7" s="32">
        <f t="shared" si="1"/>
        <v>3.3874407830165799E-2</v>
      </c>
    </row>
    <row r="8" spans="2:9" ht="22.5" customHeight="1">
      <c r="B8" s="3" t="s">
        <v>62</v>
      </c>
      <c r="C8" s="17" t="s">
        <v>63</v>
      </c>
      <c r="D8" s="18">
        <v>-500</v>
      </c>
      <c r="E8" s="19">
        <v>20.98</v>
      </c>
      <c r="F8" s="37">
        <f>D8*E8</f>
        <v>-10490</v>
      </c>
      <c r="G8" s="20">
        <v>-10498.32</v>
      </c>
      <c r="H8" s="21">
        <f>F8-G8</f>
        <v>8.319999999999709</v>
      </c>
      <c r="I8" s="32">
        <f t="shared" si="1"/>
        <v>-8.5036623384889855E-3</v>
      </c>
    </row>
    <row r="9" spans="2:9" ht="22.5" customHeight="1">
      <c r="B9" s="3" t="s">
        <v>55</v>
      </c>
      <c r="C9" s="17" t="s">
        <v>56</v>
      </c>
      <c r="D9" s="18">
        <v>200</v>
      </c>
      <c r="E9" s="19">
        <v>70.22</v>
      </c>
      <c r="F9" s="37">
        <f t="shared" si="0"/>
        <v>14044</v>
      </c>
      <c r="G9" s="20">
        <v>24363.91</v>
      </c>
      <c r="H9" s="21">
        <f t="shared" ref="H9:H26" si="2">F9-G9</f>
        <v>-10319.91</v>
      </c>
      <c r="I9" s="32">
        <f t="shared" si="1"/>
        <v>1.1384693411033299E-2</v>
      </c>
    </row>
    <row r="10" spans="2:9" ht="22.5" customHeight="1">
      <c r="B10" s="3" t="s">
        <v>50</v>
      </c>
      <c r="C10" s="17" t="s">
        <v>51</v>
      </c>
      <c r="D10" s="18">
        <v>1000</v>
      </c>
      <c r="E10" s="19">
        <v>22.5</v>
      </c>
      <c r="F10" s="37">
        <f>D10*E10</f>
        <v>22500</v>
      </c>
      <c r="G10" s="20">
        <v>20474.95</v>
      </c>
      <c r="H10" s="21">
        <f>F10-G10</f>
        <v>2025.0499999999993</v>
      </c>
      <c r="I10" s="32">
        <f t="shared" si="1"/>
        <v>1.8239504539180378E-2</v>
      </c>
    </row>
    <row r="11" spans="2:9" ht="22.5" customHeight="1">
      <c r="B11" s="3" t="s">
        <v>48</v>
      </c>
      <c r="C11" s="17" t="s">
        <v>49</v>
      </c>
      <c r="D11" s="18">
        <v>200</v>
      </c>
      <c r="E11" s="19">
        <v>78.739999999999995</v>
      </c>
      <c r="F11" s="37">
        <f>D11*E11</f>
        <v>15747.999999999998</v>
      </c>
      <c r="G11" s="20">
        <v>12930.25</v>
      </c>
      <c r="H11" s="21">
        <f>F11-G11</f>
        <v>2817.7499999999982</v>
      </c>
      <c r="I11" s="32">
        <f t="shared" si="1"/>
        <v>1.2766031888133892E-2</v>
      </c>
    </row>
    <row r="12" spans="2:9" ht="22.5" customHeight="1">
      <c r="B12" s="3" t="s">
        <v>42</v>
      </c>
      <c r="C12" s="17" t="s">
        <v>43</v>
      </c>
      <c r="D12" s="18">
        <v>3000</v>
      </c>
      <c r="E12" s="19">
        <v>3.18</v>
      </c>
      <c r="F12" s="37">
        <f t="shared" si="0"/>
        <v>9540</v>
      </c>
      <c r="G12" s="20">
        <v>10563.15</v>
      </c>
      <c r="H12" s="21">
        <f t="shared" si="2"/>
        <v>-1023.1499999999996</v>
      </c>
      <c r="I12" s="32">
        <f t="shared" si="1"/>
        <v>7.7335499246124805E-3</v>
      </c>
    </row>
    <row r="13" spans="2:9" ht="22.5" customHeight="1">
      <c r="B13" s="3" t="s">
        <v>68</v>
      </c>
      <c r="C13" s="17" t="s">
        <v>64</v>
      </c>
      <c r="D13" s="18">
        <v>1000</v>
      </c>
      <c r="E13" s="19">
        <v>13.81</v>
      </c>
      <c r="F13" s="37">
        <f>D13*E13</f>
        <v>13810</v>
      </c>
      <c r="G13" s="20">
        <v>12708.95</v>
      </c>
      <c r="H13" s="21">
        <f>F13-G13</f>
        <v>1101.0499999999993</v>
      </c>
      <c r="I13" s="32">
        <f t="shared" si="1"/>
        <v>1.1195002563825824E-2</v>
      </c>
    </row>
    <row r="14" spans="2:9" ht="22.5" customHeight="1">
      <c r="B14" s="3" t="s">
        <v>65</v>
      </c>
      <c r="C14" s="17" t="s">
        <v>66</v>
      </c>
      <c r="D14" s="18">
        <v>1000</v>
      </c>
      <c r="E14" s="19">
        <v>28.28</v>
      </c>
      <c r="F14" s="37">
        <f>D14*E14</f>
        <v>28280</v>
      </c>
      <c r="G14" s="20">
        <v>29125.55</v>
      </c>
      <c r="H14" s="21">
        <f>F14-G14</f>
        <v>-845.54999999999927</v>
      </c>
      <c r="I14" s="32">
        <f t="shared" si="1"/>
        <v>2.2925030594134272E-2</v>
      </c>
    </row>
    <row r="15" spans="2:9" ht="22.5" customHeight="1">
      <c r="B15" s="3" t="s">
        <v>69</v>
      </c>
      <c r="C15" s="17" t="s">
        <v>70</v>
      </c>
      <c r="D15" s="18">
        <v>-250</v>
      </c>
      <c r="E15" s="19">
        <v>40.22</v>
      </c>
      <c r="F15" s="37">
        <f>D15*E15</f>
        <v>-10055</v>
      </c>
      <c r="G15" s="20">
        <v>-10273.33</v>
      </c>
      <c r="H15" s="21">
        <f>F15-G15</f>
        <v>218.32999999999993</v>
      </c>
      <c r="I15" s="32">
        <f t="shared" si="1"/>
        <v>-8.1510319173981639E-3</v>
      </c>
    </row>
    <row r="16" spans="2:9" ht="22.5" customHeight="1">
      <c r="B16" s="3" t="s">
        <v>57</v>
      </c>
      <c r="C16" s="17" t="s">
        <v>58</v>
      </c>
      <c r="D16" s="18">
        <v>2250</v>
      </c>
      <c r="E16" s="19">
        <v>19.079999999999998</v>
      </c>
      <c r="F16" s="37">
        <f t="shared" si="0"/>
        <v>42929.999999999993</v>
      </c>
      <c r="G16" s="20">
        <v>39124.400000000001</v>
      </c>
      <c r="H16" s="21">
        <f t="shared" si="2"/>
        <v>3805.5999999999913</v>
      </c>
      <c r="I16" s="32">
        <f t="shared" si="1"/>
        <v>3.4800974660756157E-2</v>
      </c>
    </row>
    <row r="17" spans="2:9" ht="22.5" customHeight="1">
      <c r="B17" s="3" t="s">
        <v>11</v>
      </c>
      <c r="C17" s="17" t="s">
        <v>29</v>
      </c>
      <c r="D17" s="18">
        <v>1000</v>
      </c>
      <c r="E17" s="19">
        <v>29.91</v>
      </c>
      <c r="F17" s="37">
        <f t="shared" si="0"/>
        <v>29910</v>
      </c>
      <c r="G17" s="20">
        <v>27960.95</v>
      </c>
      <c r="H17" s="21">
        <f t="shared" si="2"/>
        <v>1949.0499999999993</v>
      </c>
      <c r="I17" s="32">
        <f t="shared" si="1"/>
        <v>2.4246381367417115E-2</v>
      </c>
    </row>
    <row r="18" spans="2:9" ht="22.5" customHeight="1">
      <c r="B18" s="3" t="s">
        <v>59</v>
      </c>
      <c r="C18" s="17" t="s">
        <v>60</v>
      </c>
      <c r="D18" s="18">
        <v>1000</v>
      </c>
      <c r="E18" s="19">
        <v>19.05</v>
      </c>
      <c r="F18" s="37">
        <f>D18*E18</f>
        <v>19050</v>
      </c>
      <c r="G18" s="20">
        <v>28057.75</v>
      </c>
      <c r="H18" s="21">
        <f>F18-G18</f>
        <v>-9007.75</v>
      </c>
      <c r="I18" s="32">
        <f t="shared" si="1"/>
        <v>1.5442780509839387E-2</v>
      </c>
    </row>
    <row r="19" spans="2:9" ht="22.5" customHeight="1">
      <c r="B19" s="3" t="s">
        <v>45</v>
      </c>
      <c r="C19" s="17" t="s">
        <v>44</v>
      </c>
      <c r="D19" s="18">
        <v>400</v>
      </c>
      <c r="E19" s="19">
        <v>67.36</v>
      </c>
      <c r="F19" s="37">
        <f t="shared" si="0"/>
        <v>26944</v>
      </c>
      <c r="G19" s="20">
        <v>21384.2</v>
      </c>
      <c r="H19" s="21">
        <f t="shared" si="2"/>
        <v>5559.7999999999993</v>
      </c>
      <c r="I19" s="32">
        <f t="shared" si="1"/>
        <v>2.184200934683005E-2</v>
      </c>
    </row>
    <row r="20" spans="2:9" ht="22.5" customHeight="1">
      <c r="B20" s="3" t="s">
        <v>12</v>
      </c>
      <c r="C20" s="17" t="s">
        <v>30</v>
      </c>
      <c r="D20" s="18">
        <v>3800</v>
      </c>
      <c r="E20" s="19">
        <v>5.39</v>
      </c>
      <c r="F20" s="37">
        <f t="shared" si="0"/>
        <v>20482</v>
      </c>
      <c r="G20" s="20">
        <v>28944.9</v>
      </c>
      <c r="H20" s="21">
        <f t="shared" si="2"/>
        <v>-8462.9000000000015</v>
      </c>
      <c r="I20" s="32">
        <f t="shared" si="1"/>
        <v>1.6603623643177447E-2</v>
      </c>
    </row>
    <row r="21" spans="2:9" ht="22.5" customHeight="1">
      <c r="B21" s="3" t="s">
        <v>13</v>
      </c>
      <c r="C21" s="17" t="s">
        <v>31</v>
      </c>
      <c r="D21" s="18">
        <v>1350</v>
      </c>
      <c r="E21" s="19">
        <v>18.989999999999998</v>
      </c>
      <c r="F21" s="37">
        <f t="shared" si="0"/>
        <v>25636.499999999996</v>
      </c>
      <c r="G21" s="20">
        <v>31699.43</v>
      </c>
      <c r="H21" s="21">
        <f t="shared" si="2"/>
        <v>-6062.9300000000039</v>
      </c>
      <c r="I21" s="32">
        <f t="shared" si="1"/>
        <v>2.078209147194212E-2</v>
      </c>
    </row>
    <row r="22" spans="2:9" ht="22.5" customHeight="1">
      <c r="B22" s="3" t="s">
        <v>14</v>
      </c>
      <c r="C22" s="17" t="s">
        <v>54</v>
      </c>
      <c r="D22" s="18">
        <v>1050</v>
      </c>
      <c r="E22" s="19">
        <v>29.09</v>
      </c>
      <c r="F22" s="37">
        <f>D22*E22</f>
        <v>30544.5</v>
      </c>
      <c r="G22" s="20">
        <v>19753.900000000001</v>
      </c>
      <c r="H22" s="21">
        <f>F22-G22</f>
        <v>10790.599999999999</v>
      </c>
      <c r="I22" s="32">
        <f t="shared" si="1"/>
        <v>2.4760735395422003E-2</v>
      </c>
    </row>
    <row r="23" spans="2:9" ht="22.5" customHeight="1">
      <c r="B23" s="3" t="s">
        <v>52</v>
      </c>
      <c r="C23" s="17" t="s">
        <v>53</v>
      </c>
      <c r="D23" s="18">
        <v>-1400</v>
      </c>
      <c r="E23" s="19">
        <v>10.31</v>
      </c>
      <c r="F23" s="37">
        <f>D23*E23</f>
        <v>-14434</v>
      </c>
      <c r="G23" s="20">
        <v>-11232.8</v>
      </c>
      <c r="H23" s="21">
        <f>F23-G23</f>
        <v>-3201.2000000000007</v>
      </c>
      <c r="I23" s="32">
        <f t="shared" si="1"/>
        <v>-1.1700844823045758E-2</v>
      </c>
    </row>
    <row r="24" spans="2:9" ht="22.5" customHeight="1">
      <c r="B24" s="3" t="s">
        <v>15</v>
      </c>
      <c r="C24" s="17" t="s">
        <v>32</v>
      </c>
      <c r="D24" s="18">
        <v>1350</v>
      </c>
      <c r="E24" s="19">
        <v>28.88</v>
      </c>
      <c r="F24" s="37">
        <f t="shared" si="0"/>
        <v>38988</v>
      </c>
      <c r="G24" s="20">
        <v>36630.35</v>
      </c>
      <c r="H24" s="21">
        <f t="shared" si="2"/>
        <v>2357.6500000000015</v>
      </c>
      <c r="I24" s="32">
        <f t="shared" si="1"/>
        <v>3.1605413465491762E-2</v>
      </c>
    </row>
    <row r="25" spans="2:9" ht="22.5" customHeight="1">
      <c r="B25" s="3" t="s">
        <v>16</v>
      </c>
      <c r="C25" s="17" t="s">
        <v>33</v>
      </c>
      <c r="D25" s="18">
        <v>700</v>
      </c>
      <c r="E25" s="19">
        <v>55.99</v>
      </c>
      <c r="F25" s="37">
        <f t="shared" si="0"/>
        <v>39193</v>
      </c>
      <c r="G25" s="20">
        <v>43007.25</v>
      </c>
      <c r="H25" s="21">
        <f t="shared" si="2"/>
        <v>-3814.25</v>
      </c>
      <c r="I25" s="32">
        <f t="shared" si="1"/>
        <v>3.177159561795985E-2</v>
      </c>
    </row>
    <row r="26" spans="2:9" ht="22.5" customHeight="1">
      <c r="B26" s="22" t="s">
        <v>17</v>
      </c>
      <c r="C26" s="23" t="s">
        <v>34</v>
      </c>
      <c r="D26" s="24">
        <v>285</v>
      </c>
      <c r="E26" s="25">
        <v>86.51</v>
      </c>
      <c r="F26" s="37">
        <f t="shared" si="0"/>
        <v>24655.350000000002</v>
      </c>
      <c r="G26" s="26">
        <v>34474.94</v>
      </c>
      <c r="H26" s="27">
        <f t="shared" si="2"/>
        <v>-9819.59</v>
      </c>
      <c r="I26" s="32">
        <f t="shared" si="1"/>
        <v>1.9986727477336933E-2</v>
      </c>
    </row>
    <row r="27" spans="2:9" ht="22.5" customHeight="1">
      <c r="B27" s="127" t="s">
        <v>37</v>
      </c>
      <c r="C27" s="128"/>
      <c r="D27" s="128"/>
      <c r="E27" s="128"/>
      <c r="F27" s="128"/>
      <c r="G27" s="128"/>
      <c r="H27" s="128"/>
      <c r="I27" s="128"/>
    </row>
    <row r="28" spans="2:9" ht="22.5" customHeight="1">
      <c r="B28" s="3" t="s">
        <v>48</v>
      </c>
      <c r="C28" s="17" t="s">
        <v>61</v>
      </c>
      <c r="D28" s="18">
        <v>-2</v>
      </c>
      <c r="E28" s="19">
        <v>3.4</v>
      </c>
      <c r="F28" s="20">
        <f>D28*E28*100</f>
        <v>-680</v>
      </c>
      <c r="G28" s="20">
        <v>-587.82000000000005</v>
      </c>
      <c r="H28" s="21">
        <f>F28-G28</f>
        <v>-92.17999999999995</v>
      </c>
      <c r="I28" s="32" t="s">
        <v>9</v>
      </c>
    </row>
    <row r="29" spans="2:9" ht="22.5" customHeight="1">
      <c r="B29" s="3" t="s">
        <v>71</v>
      </c>
      <c r="C29" s="17" t="s">
        <v>72</v>
      </c>
      <c r="D29" s="18">
        <v>-5</v>
      </c>
      <c r="E29" s="19">
        <v>2.83</v>
      </c>
      <c r="F29" s="20">
        <f>D29*E29*100</f>
        <v>-1415</v>
      </c>
      <c r="G29" s="20">
        <v>-1053.9100000000001</v>
      </c>
      <c r="H29" s="21">
        <f>F29-G29</f>
        <v>-361.08999999999992</v>
      </c>
      <c r="I29" s="32" t="s">
        <v>9</v>
      </c>
    </row>
    <row r="30" spans="2:9" ht="22.5" customHeight="1">
      <c r="B30" s="127" t="s">
        <v>41</v>
      </c>
      <c r="C30" s="128"/>
      <c r="D30" s="128"/>
      <c r="E30" s="128"/>
      <c r="F30" s="128"/>
      <c r="G30" s="128"/>
      <c r="H30" s="128"/>
      <c r="I30" s="128"/>
    </row>
    <row r="31" spans="2:9" ht="22.5" customHeight="1">
      <c r="B31" s="11" t="s">
        <v>35</v>
      </c>
      <c r="C31" s="12"/>
      <c r="D31" s="13"/>
      <c r="E31" s="14"/>
      <c r="F31" s="15">
        <v>474151.79</v>
      </c>
      <c r="G31" s="15">
        <v>464461.33</v>
      </c>
      <c r="H31" s="16">
        <f>F31-G31</f>
        <v>9690.4599999999627</v>
      </c>
      <c r="I31" s="32">
        <f>F31/($F$33-$F$32)</f>
        <v>0.38436861004291117</v>
      </c>
    </row>
    <row r="32" spans="2:9" ht="22.5" customHeight="1">
      <c r="B32" s="22" t="s">
        <v>38</v>
      </c>
      <c r="C32" s="23"/>
      <c r="D32" s="24"/>
      <c r="E32" s="25"/>
      <c r="F32" s="26">
        <f>12050.15+1356.17+3044.58</f>
        <v>16450.900000000001</v>
      </c>
      <c r="G32" s="26">
        <f>12050.15+1356.17+3044.58</f>
        <v>16450.900000000001</v>
      </c>
      <c r="H32" s="27">
        <f>F32-G32</f>
        <v>0</v>
      </c>
      <c r="I32" s="32" t="s">
        <v>9</v>
      </c>
    </row>
    <row r="33" spans="2:9">
      <c r="B33" s="131" t="s">
        <v>39</v>
      </c>
      <c r="C33" s="132"/>
      <c r="D33" s="133"/>
      <c r="E33" s="134"/>
      <c r="F33" s="33">
        <f>SUM(F5:F32)</f>
        <v>1250037.0399999998</v>
      </c>
      <c r="G33" s="33">
        <f>SUM(G5:G32)</f>
        <v>950628.55600000022</v>
      </c>
      <c r="H33" s="34">
        <f>SUM(H5:H31)</f>
        <v>299408.48399999988</v>
      </c>
      <c r="I33" s="28">
        <f>SUM(I5:I31)</f>
        <v>1.0016983005337594</v>
      </c>
    </row>
    <row r="34" spans="2:9" ht="18">
      <c r="B34" s="129"/>
      <c r="C34" s="129"/>
    </row>
    <row r="37" spans="2:9">
      <c r="H37" t="s">
        <v>40</v>
      </c>
    </row>
  </sheetData>
  <mergeCells count="6">
    <mergeCell ref="B33:E33"/>
    <mergeCell ref="B34:C34"/>
    <mergeCell ref="B2:I2"/>
    <mergeCell ref="B4:I4"/>
    <mergeCell ref="B27:I27"/>
    <mergeCell ref="B30:I30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S36"/>
  <sheetViews>
    <sheetView workbookViewId="0">
      <selection activeCell="X25" sqref="X25"/>
    </sheetView>
  </sheetViews>
  <sheetFormatPr defaultRowHeight="12.75"/>
  <cols>
    <col min="1" max="1" width="9.7109375" bestFit="1" customWidth="1"/>
    <col min="2" max="2" width="14.28515625" bestFit="1" customWidth="1"/>
    <col min="3" max="3" width="7.7109375" bestFit="1" customWidth="1"/>
    <col min="4" max="4" width="14.28515625" bestFit="1" customWidth="1"/>
    <col min="5" max="5" width="7.7109375" bestFit="1" customWidth="1"/>
    <col min="6" max="6" width="23.5703125" customWidth="1"/>
    <col min="10" max="10" width="9.7109375" bestFit="1" customWidth="1"/>
    <col min="12" max="12" width="21.85546875" bestFit="1" customWidth="1"/>
    <col min="13" max="13" width="5.7109375" bestFit="1" customWidth="1"/>
    <col min="14" max="14" width="8.7109375" bestFit="1" customWidth="1"/>
    <col min="15" max="15" width="8.7109375" customWidth="1"/>
    <col min="16" max="16" width="11.42578125" bestFit="1" customWidth="1"/>
    <col min="17" max="17" width="12.42578125" bestFit="1" customWidth="1"/>
    <col min="18" max="18" width="10.85546875" bestFit="1" customWidth="1"/>
    <col min="19" max="19" width="11.28515625" bestFit="1" customWidth="1"/>
  </cols>
  <sheetData>
    <row r="1" spans="1:11">
      <c r="B1" t="s">
        <v>101</v>
      </c>
      <c r="C1" t="s">
        <v>5</v>
      </c>
      <c r="D1" t="s">
        <v>101</v>
      </c>
      <c r="E1" t="s">
        <v>5</v>
      </c>
      <c r="F1" t="s">
        <v>101</v>
      </c>
      <c r="G1" t="s">
        <v>5</v>
      </c>
    </row>
    <row r="2" spans="1:11">
      <c r="A2" s="38">
        <v>42521</v>
      </c>
      <c r="B2" s="1">
        <v>1109736.98</v>
      </c>
      <c r="C2" s="39">
        <v>209.84</v>
      </c>
      <c r="D2" s="2">
        <f>(B2/$B$2)</f>
        <v>1</v>
      </c>
      <c r="E2" s="2">
        <f>(C2/$C$2)</f>
        <v>1</v>
      </c>
      <c r="F2" s="39">
        <f>10000*D2</f>
        <v>10000</v>
      </c>
      <c r="G2" s="39">
        <f>10000*E2</f>
        <v>10000</v>
      </c>
      <c r="K2">
        <f>B2*0.003225</f>
        <v>3578.9017604999999</v>
      </c>
    </row>
    <row r="3" spans="1:11">
      <c r="A3" s="38">
        <v>42551</v>
      </c>
      <c r="B3" s="1">
        <v>1091247.47</v>
      </c>
      <c r="C3" s="39">
        <v>209.48</v>
      </c>
      <c r="D3" s="2">
        <f t="shared" ref="D3:D21" si="0">(B3/$B$2)</f>
        <v>0.98333883583838033</v>
      </c>
      <c r="E3" s="2">
        <f t="shared" ref="E3:E21" si="1">(C3/$C$2)</f>
        <v>0.99828440716736555</v>
      </c>
      <c r="F3" s="39">
        <f t="shared" ref="F3:F21" si="2">10000*D3</f>
        <v>9833.3883583838033</v>
      </c>
      <c r="G3" s="39">
        <f t="shared" ref="G3:G21" si="3">10000*E3</f>
        <v>9982.844071673655</v>
      </c>
      <c r="H3" s="2"/>
      <c r="K3" s="40">
        <f t="shared" ref="K3:K25" si="4">B3*0.003225</f>
        <v>3519.2730907499999</v>
      </c>
    </row>
    <row r="4" spans="1:11">
      <c r="A4" s="38">
        <v>42582</v>
      </c>
      <c r="B4" s="1">
        <v>1162190.8600000001</v>
      </c>
      <c r="C4" s="39">
        <v>217.12</v>
      </c>
      <c r="D4" s="2">
        <f t="shared" si="0"/>
        <v>1.0472669478852548</v>
      </c>
      <c r="E4" s="2">
        <f t="shared" si="1"/>
        <v>1.0346930995043844</v>
      </c>
      <c r="F4" s="39">
        <f t="shared" si="2"/>
        <v>10472.669478852547</v>
      </c>
      <c r="G4" s="39">
        <f t="shared" si="3"/>
        <v>10346.930995043844</v>
      </c>
      <c r="H4" s="2"/>
      <c r="K4">
        <f t="shared" si="4"/>
        <v>3748.0655235000004</v>
      </c>
    </row>
    <row r="5" spans="1:11">
      <c r="A5" s="38">
        <v>42613</v>
      </c>
      <c r="B5" s="1">
        <v>1185563.68</v>
      </c>
      <c r="C5" s="39">
        <v>217</v>
      </c>
      <c r="D5" s="2">
        <f t="shared" si="0"/>
        <v>1.0683285331268315</v>
      </c>
      <c r="E5" s="2">
        <f t="shared" si="1"/>
        <v>1.0341212352268394</v>
      </c>
      <c r="F5" s="39">
        <f t="shared" si="2"/>
        <v>10683.285331268315</v>
      </c>
      <c r="G5" s="39">
        <f t="shared" si="3"/>
        <v>10341.212352268394</v>
      </c>
      <c r="H5" s="2"/>
      <c r="K5">
        <f t="shared" si="4"/>
        <v>3823.4428679999996</v>
      </c>
    </row>
    <row r="6" spans="1:11">
      <c r="A6" s="38">
        <v>42643</v>
      </c>
      <c r="B6" s="1">
        <v>1221332.46</v>
      </c>
      <c r="C6" s="39">
        <v>216.3</v>
      </c>
      <c r="D6" s="2">
        <f t="shared" si="0"/>
        <v>1.1005602967290502</v>
      </c>
      <c r="E6" s="2">
        <f t="shared" si="1"/>
        <v>1.030785360274495</v>
      </c>
      <c r="F6" s="39">
        <f t="shared" si="2"/>
        <v>11005.602967290502</v>
      </c>
      <c r="G6" s="39">
        <f t="shared" si="3"/>
        <v>10307.85360274495</v>
      </c>
      <c r="H6" s="2"/>
      <c r="K6" s="40">
        <f t="shared" si="4"/>
        <v>3938.7971834999998</v>
      </c>
    </row>
    <row r="7" spans="1:11">
      <c r="A7" s="38">
        <v>42674</v>
      </c>
      <c r="B7" s="1">
        <v>1202718</v>
      </c>
      <c r="C7" s="39">
        <v>212.55</v>
      </c>
      <c r="D7" s="2">
        <f t="shared" si="0"/>
        <v>1.0837865383200982</v>
      </c>
      <c r="E7" s="2">
        <f t="shared" si="1"/>
        <v>1.01291460160122</v>
      </c>
      <c r="F7" s="39">
        <f t="shared" si="2"/>
        <v>10837.865383200982</v>
      </c>
      <c r="G7" s="39">
        <f t="shared" si="3"/>
        <v>10129.146016012201</v>
      </c>
      <c r="H7" s="2"/>
      <c r="K7">
        <f t="shared" si="4"/>
        <v>3878.7655500000001</v>
      </c>
    </row>
    <row r="8" spans="1:11">
      <c r="A8" s="38">
        <v>42704</v>
      </c>
      <c r="B8" s="1">
        <v>1217525</v>
      </c>
      <c r="C8" s="39">
        <v>220.38</v>
      </c>
      <c r="D8" s="2">
        <f t="shared" si="0"/>
        <v>1.0971293396026147</v>
      </c>
      <c r="E8" s="2">
        <f t="shared" si="1"/>
        <v>1.050228745711018</v>
      </c>
      <c r="F8" s="39">
        <f t="shared" si="2"/>
        <v>10971.293396026147</v>
      </c>
      <c r="G8" s="39">
        <f t="shared" si="3"/>
        <v>10502.28745711018</v>
      </c>
      <c r="H8" s="2"/>
      <c r="K8">
        <f t="shared" si="4"/>
        <v>3926.5181250000001</v>
      </c>
    </row>
    <row r="9" spans="1:11">
      <c r="A9" s="38">
        <v>42735</v>
      </c>
      <c r="B9" s="1">
        <v>1241311</v>
      </c>
      <c r="C9" s="39">
        <v>223.53</v>
      </c>
      <c r="D9" s="2">
        <f t="shared" si="0"/>
        <v>1.118563247302077</v>
      </c>
      <c r="E9" s="2">
        <f t="shared" si="1"/>
        <v>1.0652401829965688</v>
      </c>
      <c r="F9" s="39">
        <f t="shared" si="2"/>
        <v>11185.632473020771</v>
      </c>
      <c r="G9" s="39">
        <f t="shared" si="3"/>
        <v>10652.401829965687</v>
      </c>
      <c r="H9" s="2"/>
      <c r="J9" s="38"/>
      <c r="K9" s="40">
        <f t="shared" si="4"/>
        <v>4003.2279749999998</v>
      </c>
    </row>
    <row r="10" spans="1:11">
      <c r="A10" s="38">
        <v>42766</v>
      </c>
      <c r="B10" s="1">
        <v>1275819</v>
      </c>
      <c r="C10" s="39">
        <v>227.53</v>
      </c>
      <c r="D10" s="2">
        <f t="shared" si="0"/>
        <v>1.1496589038602643</v>
      </c>
      <c r="E10" s="2">
        <f t="shared" si="1"/>
        <v>1.0843023255813953</v>
      </c>
      <c r="F10" s="39">
        <f t="shared" si="2"/>
        <v>11496.589038602642</v>
      </c>
      <c r="G10" s="39">
        <f t="shared" si="3"/>
        <v>10843.023255813952</v>
      </c>
      <c r="H10" s="2"/>
      <c r="K10">
        <f t="shared" si="4"/>
        <v>4114.516275</v>
      </c>
    </row>
    <row r="11" spans="1:11">
      <c r="A11" s="38">
        <v>42794</v>
      </c>
      <c r="B11" s="1">
        <v>1346239</v>
      </c>
      <c r="C11" s="39">
        <v>236.47</v>
      </c>
      <c r="D11" s="2">
        <f t="shared" si="0"/>
        <v>1.2131153816285369</v>
      </c>
      <c r="E11" s="2">
        <f t="shared" si="1"/>
        <v>1.1269062142584827</v>
      </c>
      <c r="F11" s="39">
        <f t="shared" si="2"/>
        <v>12131.153816285369</v>
      </c>
      <c r="G11" s="39">
        <f t="shared" si="3"/>
        <v>11269.062142584828</v>
      </c>
      <c r="H11" s="2"/>
      <c r="K11">
        <f t="shared" si="4"/>
        <v>4341.6207750000003</v>
      </c>
    </row>
    <row r="12" spans="1:11">
      <c r="A12" s="38">
        <v>42825</v>
      </c>
      <c r="B12" s="1">
        <v>1393053</v>
      </c>
      <c r="C12" s="39">
        <v>235.74</v>
      </c>
      <c r="D12" s="2">
        <f t="shared" si="0"/>
        <v>1.2553001522937444</v>
      </c>
      <c r="E12" s="2">
        <f t="shared" si="1"/>
        <v>1.1234273732367519</v>
      </c>
      <c r="F12" s="39">
        <f t="shared" si="2"/>
        <v>12553.001522937444</v>
      </c>
      <c r="G12" s="39">
        <f t="shared" si="3"/>
        <v>11234.273732367519</v>
      </c>
      <c r="H12" s="2"/>
      <c r="K12" s="40">
        <f t="shared" si="4"/>
        <v>4492.5959249999996</v>
      </c>
    </row>
    <row r="13" spans="1:11">
      <c r="A13" s="38">
        <v>42855</v>
      </c>
      <c r="B13" s="1">
        <v>1396825</v>
      </c>
      <c r="C13" s="39">
        <v>238.08</v>
      </c>
      <c r="D13" s="2">
        <f t="shared" si="0"/>
        <v>1.2586991559026897</v>
      </c>
      <c r="E13" s="2">
        <f t="shared" si="1"/>
        <v>1.1345787266488754</v>
      </c>
      <c r="F13" s="39">
        <f t="shared" si="2"/>
        <v>12586.991559026897</v>
      </c>
      <c r="G13" s="39">
        <f t="shared" si="3"/>
        <v>11345.787266488755</v>
      </c>
      <c r="H13" s="2"/>
      <c r="K13">
        <f t="shared" si="4"/>
        <v>4504.7606249999999</v>
      </c>
    </row>
    <row r="14" spans="1:11">
      <c r="A14" s="38">
        <v>42886</v>
      </c>
      <c r="B14" s="1">
        <v>1412967</v>
      </c>
      <c r="C14" s="39">
        <v>241.44</v>
      </c>
      <c r="D14" s="2">
        <f t="shared" si="0"/>
        <v>1.2732449449418186</v>
      </c>
      <c r="E14" s="2">
        <f t="shared" si="1"/>
        <v>1.1505909264201295</v>
      </c>
      <c r="F14" s="39">
        <f t="shared" si="2"/>
        <v>12732.449449418185</v>
      </c>
      <c r="G14" s="39">
        <f t="shared" si="3"/>
        <v>11505.909264201295</v>
      </c>
      <c r="H14" s="2"/>
      <c r="K14">
        <f t="shared" si="4"/>
        <v>4556.8185750000002</v>
      </c>
    </row>
    <row r="15" spans="1:11">
      <c r="A15" s="38">
        <v>42916</v>
      </c>
      <c r="B15" s="1">
        <f>1402003.1+20475.01</f>
        <v>1422478.11</v>
      </c>
      <c r="C15" s="39">
        <v>241.8</v>
      </c>
      <c r="D15" s="2">
        <f t="shared" si="0"/>
        <v>1.2818155433551472</v>
      </c>
      <c r="E15" s="2">
        <f t="shared" si="1"/>
        <v>1.1523065192527639</v>
      </c>
      <c r="F15" s="39">
        <f t="shared" si="2"/>
        <v>12818.155433551472</v>
      </c>
      <c r="G15" s="39">
        <f t="shared" si="3"/>
        <v>11523.06519252764</v>
      </c>
      <c r="H15" s="2"/>
      <c r="K15" s="40">
        <f t="shared" si="4"/>
        <v>4587.4919047500007</v>
      </c>
    </row>
    <row r="16" spans="1:11">
      <c r="A16" s="38">
        <v>42947</v>
      </c>
      <c r="B16" s="1">
        <v>1446369.1</v>
      </c>
      <c r="C16" s="39">
        <v>246.77</v>
      </c>
      <c r="D16" s="2">
        <f t="shared" si="0"/>
        <v>1.3033440590580303</v>
      </c>
      <c r="E16" s="2">
        <f t="shared" si="1"/>
        <v>1.175991231414411</v>
      </c>
      <c r="F16" s="39">
        <f t="shared" si="2"/>
        <v>13033.440590580303</v>
      </c>
      <c r="G16" s="39">
        <f t="shared" si="3"/>
        <v>11759.91231414411</v>
      </c>
      <c r="H16" s="2"/>
      <c r="K16">
        <f t="shared" si="4"/>
        <v>4664.5403475000003</v>
      </c>
    </row>
    <row r="17" spans="1:19">
      <c r="A17" s="38">
        <v>42978</v>
      </c>
      <c r="B17" s="1">
        <v>1475486.55</v>
      </c>
      <c r="C17" s="39">
        <v>247.49</v>
      </c>
      <c r="D17" s="2">
        <f t="shared" si="0"/>
        <v>1.3295822132556132</v>
      </c>
      <c r="E17" s="2">
        <f t="shared" si="1"/>
        <v>1.1794224170796799</v>
      </c>
      <c r="F17" s="39">
        <f t="shared" si="2"/>
        <v>13295.822132556132</v>
      </c>
      <c r="G17" s="39">
        <f t="shared" si="3"/>
        <v>11794.224170796799</v>
      </c>
      <c r="K17">
        <f t="shared" si="4"/>
        <v>4758.4441237500005</v>
      </c>
    </row>
    <row r="18" spans="1:19">
      <c r="A18" s="38">
        <v>43008</v>
      </c>
      <c r="B18" s="1">
        <f>1507318.73+25482</f>
        <v>1532800.73</v>
      </c>
      <c r="C18" s="39">
        <v>251.23</v>
      </c>
      <c r="D18" s="2">
        <f t="shared" si="0"/>
        <v>1.3812288475779189</v>
      </c>
      <c r="E18" s="2">
        <f t="shared" si="1"/>
        <v>1.1972455203964925</v>
      </c>
      <c r="F18" s="39">
        <f t="shared" si="2"/>
        <v>13812.288475779189</v>
      </c>
      <c r="G18" s="39">
        <f t="shared" si="3"/>
        <v>11972.455203964924</v>
      </c>
      <c r="K18" s="40">
        <f t="shared" si="4"/>
        <v>4943.28235425</v>
      </c>
    </row>
    <row r="19" spans="1:19">
      <c r="A19" s="38">
        <v>43039</v>
      </c>
      <c r="B19" s="1">
        <f>1533303.86+25482</f>
        <v>1558785.86</v>
      </c>
      <c r="C19" s="39">
        <v>258.04000000000002</v>
      </c>
      <c r="D19" s="2">
        <f t="shared" si="0"/>
        <v>1.4046444230415753</v>
      </c>
      <c r="E19" s="2">
        <f t="shared" si="1"/>
        <v>1.2296988181471598</v>
      </c>
      <c r="F19" s="39">
        <f t="shared" si="2"/>
        <v>14046.444230415753</v>
      </c>
      <c r="G19" s="39">
        <f t="shared" si="3"/>
        <v>12296.988181471597</v>
      </c>
      <c r="K19">
        <f t="shared" si="4"/>
        <v>5027.0843985000001</v>
      </c>
    </row>
    <row r="20" spans="1:19">
      <c r="A20" s="38">
        <v>43069</v>
      </c>
      <c r="B20" s="1">
        <f>1562905+25482</f>
        <v>1588387</v>
      </c>
      <c r="C20" s="39">
        <v>265.01</v>
      </c>
      <c r="D20" s="2">
        <f t="shared" si="0"/>
        <v>1.43131843727511</v>
      </c>
      <c r="E20" s="2">
        <f t="shared" si="1"/>
        <v>1.2629146016012198</v>
      </c>
      <c r="F20" s="39">
        <f t="shared" si="2"/>
        <v>14313.1843727511</v>
      </c>
      <c r="G20" s="39">
        <f t="shared" si="3"/>
        <v>12629.146016012199</v>
      </c>
      <c r="K20" s="41">
        <f t="shared" si="4"/>
        <v>5122.5480749999997</v>
      </c>
    </row>
    <row r="21" spans="1:19">
      <c r="A21" s="38">
        <v>43100</v>
      </c>
      <c r="B21" s="1">
        <v>1614575</v>
      </c>
      <c r="C21" s="39">
        <v>268.52999999999997</v>
      </c>
      <c r="D21" s="2">
        <f t="shared" si="0"/>
        <v>1.4549168218220501</v>
      </c>
      <c r="E21" s="2">
        <f t="shared" si="1"/>
        <v>1.2796892870758672</v>
      </c>
      <c r="F21" s="39">
        <f t="shared" si="2"/>
        <v>14549.1682182205</v>
      </c>
      <c r="G21" s="39">
        <f t="shared" si="3"/>
        <v>12796.892870758671</v>
      </c>
      <c r="K21" s="40">
        <f t="shared" si="4"/>
        <v>5207.0043750000004</v>
      </c>
    </row>
    <row r="22" spans="1:19">
      <c r="A22" s="38">
        <v>43131</v>
      </c>
      <c r="B22" s="1">
        <f>1583490.74+30691</f>
        <v>1614181.74</v>
      </c>
      <c r="C22" s="39"/>
      <c r="D22" s="2"/>
      <c r="E22" s="2"/>
      <c r="F22" s="39"/>
      <c r="G22" s="39"/>
      <c r="K22">
        <f t="shared" si="4"/>
        <v>5205.7361115000003</v>
      </c>
    </row>
    <row r="23" spans="1:19">
      <c r="A23" s="38">
        <v>43159</v>
      </c>
      <c r="B23" s="1">
        <f>1574448.87+30691</f>
        <v>1605139.87</v>
      </c>
      <c r="C23" s="39"/>
      <c r="D23" s="2"/>
      <c r="E23" s="2"/>
      <c r="F23" s="39"/>
      <c r="G23" s="39"/>
      <c r="K23" s="41">
        <f t="shared" si="4"/>
        <v>5176.5760807500001</v>
      </c>
    </row>
    <row r="24" spans="1:19">
      <c r="A24" s="38"/>
      <c r="B24" s="1"/>
      <c r="C24" s="39"/>
      <c r="D24" s="2"/>
      <c r="E24" s="2"/>
      <c r="F24" s="39"/>
      <c r="G24" s="39"/>
      <c r="K24" s="40">
        <f t="shared" si="4"/>
        <v>0</v>
      </c>
    </row>
    <row r="25" spans="1:19">
      <c r="K25">
        <f t="shared" si="4"/>
        <v>0</v>
      </c>
    </row>
    <row r="27" spans="1:19">
      <c r="B27">
        <f>B7/B6</f>
        <v>0.98475889194003741</v>
      </c>
    </row>
    <row r="28" spans="1:19">
      <c r="L28" s="42" t="s">
        <v>196</v>
      </c>
      <c r="M28" s="42" t="s">
        <v>256</v>
      </c>
      <c r="N28" s="42" t="s">
        <v>254</v>
      </c>
      <c r="O28" s="42" t="s">
        <v>21</v>
      </c>
      <c r="P28" s="42" t="s">
        <v>255</v>
      </c>
      <c r="Q28" s="42" t="s">
        <v>257</v>
      </c>
      <c r="R28" s="42" t="s">
        <v>258</v>
      </c>
      <c r="S28" s="42"/>
    </row>
    <row r="29" spans="1:19">
      <c r="L29" t="s">
        <v>259</v>
      </c>
      <c r="M29" t="s">
        <v>260</v>
      </c>
      <c r="N29" s="38">
        <v>43105</v>
      </c>
      <c r="O29" s="80">
        <v>14.55</v>
      </c>
      <c r="P29" s="38">
        <f t="shared" ref="P29:P35" si="5">N29+182</f>
        <v>43287</v>
      </c>
      <c r="Q29" s="38">
        <f>N29+365</f>
        <v>43470</v>
      </c>
    </row>
    <row r="30" spans="1:19">
      <c r="L30" t="s">
        <v>294</v>
      </c>
      <c r="M30" t="s">
        <v>277</v>
      </c>
      <c r="N30" s="38">
        <v>43112</v>
      </c>
      <c r="O30" s="80">
        <v>24.16</v>
      </c>
      <c r="P30" s="38">
        <f t="shared" si="5"/>
        <v>43294</v>
      </c>
      <c r="Q30" s="38">
        <f t="shared" ref="Q30:Q35" si="6">N30+365</f>
        <v>43477</v>
      </c>
    </row>
    <row r="31" spans="1:19">
      <c r="L31" t="s">
        <v>199</v>
      </c>
      <c r="M31" t="s">
        <v>260</v>
      </c>
      <c r="N31" s="38">
        <v>43126</v>
      </c>
      <c r="O31" s="80">
        <v>29.1</v>
      </c>
      <c r="P31" s="38">
        <f t="shared" si="5"/>
        <v>43308</v>
      </c>
      <c r="Q31" s="38">
        <f t="shared" si="6"/>
        <v>43491</v>
      </c>
    </row>
    <row r="32" spans="1:19">
      <c r="L32" t="s">
        <v>268</v>
      </c>
      <c r="M32" t="s">
        <v>260</v>
      </c>
      <c r="N32" s="38">
        <v>43141</v>
      </c>
      <c r="O32" s="80">
        <v>22.63</v>
      </c>
      <c r="P32" s="38">
        <f t="shared" si="5"/>
        <v>43323</v>
      </c>
      <c r="Q32" s="38">
        <f t="shared" si="6"/>
        <v>43506</v>
      </c>
    </row>
    <row r="33" spans="12:17">
      <c r="L33" t="s">
        <v>293</v>
      </c>
      <c r="M33" t="s">
        <v>260</v>
      </c>
      <c r="N33" s="38">
        <v>43166</v>
      </c>
      <c r="O33" s="80">
        <v>22.4</v>
      </c>
      <c r="P33" s="38">
        <f t="shared" si="5"/>
        <v>43348</v>
      </c>
      <c r="Q33" s="38">
        <f t="shared" si="6"/>
        <v>43531</v>
      </c>
    </row>
    <row r="34" spans="12:17">
      <c r="L34" t="s">
        <v>315</v>
      </c>
      <c r="M34" t="s">
        <v>260</v>
      </c>
      <c r="N34" s="38">
        <v>43187</v>
      </c>
      <c r="O34" s="80">
        <v>29</v>
      </c>
      <c r="P34" s="38">
        <f t="shared" si="5"/>
        <v>43369</v>
      </c>
      <c r="Q34" s="38">
        <f t="shared" si="6"/>
        <v>43552</v>
      </c>
    </row>
    <row r="35" spans="12:17">
      <c r="L35" t="s">
        <v>103</v>
      </c>
      <c r="N35" s="38">
        <v>43193</v>
      </c>
      <c r="O35" s="80">
        <v>9</v>
      </c>
      <c r="P35" s="38">
        <f t="shared" si="5"/>
        <v>43375</v>
      </c>
      <c r="Q35" s="38">
        <f t="shared" si="6"/>
        <v>43558</v>
      </c>
    </row>
    <row r="36" spans="12:17">
      <c r="L36" t="s">
        <v>354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T185"/>
  <sheetViews>
    <sheetView topLeftCell="A144" workbookViewId="0">
      <selection activeCell="X25" sqref="X25"/>
    </sheetView>
  </sheetViews>
  <sheetFormatPr defaultRowHeight="14.25" customHeight="1"/>
  <cols>
    <col min="1" max="1" width="55.5703125" style="49" customWidth="1"/>
    <col min="2" max="2" width="19.5703125" style="50" bestFit="1" customWidth="1"/>
    <col min="3" max="3" width="9.28515625" style="41"/>
    <col min="16" max="16" width="14.5703125" customWidth="1"/>
    <col min="17" max="17" width="16.7109375" customWidth="1"/>
    <col min="18" max="18" width="13" customWidth="1"/>
    <col min="19" max="19" width="16.140625" customWidth="1"/>
  </cols>
  <sheetData>
    <row r="1" spans="1:3" s="42" customFormat="1" ht="14.25" customHeight="1">
      <c r="A1" s="47" t="s">
        <v>118</v>
      </c>
      <c r="B1" s="48" t="s">
        <v>119</v>
      </c>
      <c r="C1" s="43"/>
    </row>
    <row r="2" spans="1:3" s="42" customFormat="1" ht="14.25" customHeight="1">
      <c r="A2" s="46" t="s">
        <v>312</v>
      </c>
      <c r="B2" s="83">
        <v>43187</v>
      </c>
      <c r="C2" s="43"/>
    </row>
    <row r="3" spans="1:3" s="42" customFormat="1" ht="14.25" customHeight="1">
      <c r="A3" s="46"/>
      <c r="B3" s="48"/>
      <c r="C3" s="43"/>
    </row>
    <row r="4" spans="1:3" s="42" customFormat="1" ht="14.25" customHeight="1">
      <c r="A4" s="46" t="s">
        <v>290</v>
      </c>
      <c r="B4" s="83">
        <v>43162</v>
      </c>
      <c r="C4" s="43"/>
    </row>
    <row r="5" spans="1:3" s="42" customFormat="1" ht="14.25" customHeight="1">
      <c r="A5" s="46"/>
      <c r="B5" s="48"/>
      <c r="C5" s="43"/>
    </row>
    <row r="6" spans="1:3" s="42" customFormat="1" ht="14.25" customHeight="1">
      <c r="A6" s="46" t="s">
        <v>422</v>
      </c>
      <c r="B6" s="83">
        <v>43233</v>
      </c>
      <c r="C6" s="43"/>
    </row>
    <row r="7" spans="1:3" s="42" customFormat="1" ht="14.25" customHeight="1">
      <c r="A7" s="46"/>
      <c r="B7" s="48"/>
      <c r="C7" s="43"/>
    </row>
    <row r="8" spans="1:3" s="42" customFormat="1" ht="14.25" customHeight="1">
      <c r="A8" s="46" t="s">
        <v>341</v>
      </c>
      <c r="B8" s="63">
        <v>43206</v>
      </c>
      <c r="C8" s="43"/>
    </row>
    <row r="9" spans="1:3" s="42" customFormat="1" ht="14.25" customHeight="1">
      <c r="A9" s="46"/>
      <c r="B9" s="48"/>
      <c r="C9" s="43"/>
    </row>
    <row r="10" spans="1:3" ht="14.1" customHeight="1">
      <c r="A10" s="46" t="s">
        <v>228</v>
      </c>
      <c r="B10" s="63">
        <v>43053</v>
      </c>
      <c r="C10" s="44"/>
    </row>
    <row r="11" spans="1:3" ht="14.1" customHeight="1">
      <c r="A11" s="46" t="s">
        <v>457</v>
      </c>
      <c r="B11" s="63">
        <v>43235</v>
      </c>
      <c r="C11" s="44"/>
    </row>
    <row r="12" spans="1:3" ht="14.25" customHeight="1">
      <c r="A12" s="46"/>
      <c r="B12" s="45"/>
      <c r="C12" s="44"/>
    </row>
    <row r="13" spans="1:3" ht="14.25" customHeight="1">
      <c r="A13" s="46" t="s">
        <v>125</v>
      </c>
      <c r="B13" s="63">
        <v>42712</v>
      </c>
      <c r="C13" s="44"/>
    </row>
    <row r="14" spans="1:3" ht="14.25" customHeight="1">
      <c r="A14" s="46" t="s">
        <v>168</v>
      </c>
      <c r="B14" s="63">
        <v>42712</v>
      </c>
      <c r="C14" s="44"/>
    </row>
    <row r="15" spans="1:3" ht="14.25" customHeight="1">
      <c r="A15" s="46" t="s">
        <v>124</v>
      </c>
      <c r="B15" s="45">
        <v>42712</v>
      </c>
      <c r="C15" s="44"/>
    </row>
    <row r="16" spans="1:3" ht="14.25" customHeight="1">
      <c r="A16" s="46" t="s">
        <v>283</v>
      </c>
      <c r="B16" s="45">
        <v>43021</v>
      </c>
      <c r="C16" s="44"/>
    </row>
    <row r="17" spans="1:3" ht="14.25" customHeight="1">
      <c r="A17" s="46"/>
      <c r="B17" s="45"/>
      <c r="C17" s="44"/>
    </row>
    <row r="18" spans="1:3" ht="14.25" customHeight="1">
      <c r="A18" s="46" t="s">
        <v>123</v>
      </c>
      <c r="B18" s="63">
        <v>42735</v>
      </c>
      <c r="C18" s="44"/>
    </row>
    <row r="19" spans="1:3" ht="14.25" customHeight="1">
      <c r="A19" s="46" t="s">
        <v>135</v>
      </c>
      <c r="B19" s="63">
        <v>42921</v>
      </c>
      <c r="C19" s="44"/>
    </row>
    <row r="20" spans="1:3" ht="14.25" customHeight="1">
      <c r="A20" s="46" t="s">
        <v>219</v>
      </c>
      <c r="B20" s="63">
        <v>43121</v>
      </c>
      <c r="C20" s="44"/>
    </row>
    <row r="21" spans="1:3" ht="14.25" customHeight="1">
      <c r="A21" s="46"/>
      <c r="B21" s="45"/>
      <c r="C21" s="44"/>
    </row>
    <row r="22" spans="1:3" ht="14.25" customHeight="1">
      <c r="A22" s="46" t="s">
        <v>317</v>
      </c>
      <c r="B22" s="63">
        <v>43194</v>
      </c>
      <c r="C22" s="44"/>
    </row>
    <row r="23" spans="1:3" ht="14.25" customHeight="1">
      <c r="A23" s="46"/>
      <c r="B23" s="45"/>
      <c r="C23" s="44"/>
    </row>
    <row r="24" spans="1:3" ht="14.25" customHeight="1">
      <c r="A24" s="46" t="s">
        <v>111</v>
      </c>
      <c r="B24" s="63">
        <v>42781</v>
      </c>
      <c r="C24" s="44"/>
    </row>
    <row r="25" spans="1:3" ht="14.25" customHeight="1">
      <c r="A25" s="46" t="s">
        <v>155</v>
      </c>
      <c r="B25" s="63">
        <v>42965</v>
      </c>
      <c r="C25" s="44"/>
    </row>
    <row r="26" spans="1:3" ht="14.25" customHeight="1">
      <c r="A26" s="46" t="s">
        <v>156</v>
      </c>
      <c r="B26" s="63">
        <v>42811</v>
      </c>
      <c r="C26" s="44"/>
    </row>
    <row r="27" spans="1:3" ht="14.25" customHeight="1">
      <c r="A27" s="46" t="s">
        <v>149</v>
      </c>
      <c r="B27" s="63">
        <v>42781</v>
      </c>
      <c r="C27" s="44"/>
    </row>
    <row r="28" spans="1:3" ht="14.25" customHeight="1">
      <c r="A28" s="46" t="s">
        <v>154</v>
      </c>
      <c r="B28" s="63">
        <v>43048</v>
      </c>
      <c r="C28" s="44"/>
    </row>
    <row r="29" spans="1:3" ht="14.25" customHeight="1">
      <c r="A29" s="46"/>
      <c r="B29" s="45"/>
      <c r="C29" s="44"/>
    </row>
    <row r="30" spans="1:3" ht="14.25" customHeight="1">
      <c r="A30" s="46" t="s">
        <v>121</v>
      </c>
      <c r="B30" s="63">
        <v>42735</v>
      </c>
      <c r="C30" s="44"/>
    </row>
    <row r="31" spans="1:3" ht="14.25" customHeight="1">
      <c r="A31" s="46" t="s">
        <v>120</v>
      </c>
      <c r="B31" s="63">
        <v>42735</v>
      </c>
      <c r="C31" s="44"/>
    </row>
    <row r="32" spans="1:3" ht="14.25" customHeight="1">
      <c r="A32" s="46" t="s">
        <v>236</v>
      </c>
      <c r="B32" s="63">
        <v>43127</v>
      </c>
      <c r="C32" s="44"/>
    </row>
    <row r="33" spans="1:3" ht="14.25" customHeight="1">
      <c r="A33" s="46"/>
      <c r="B33" s="45"/>
      <c r="C33" s="44"/>
    </row>
    <row r="34" spans="1:3" ht="14.25" customHeight="1">
      <c r="A34" s="46" t="s">
        <v>108</v>
      </c>
      <c r="B34" s="63">
        <v>42866</v>
      </c>
      <c r="C34" s="44"/>
    </row>
    <row r="35" spans="1:3" ht="14.25" customHeight="1">
      <c r="A35" s="46" t="s">
        <v>261</v>
      </c>
      <c r="B35" s="63">
        <v>42866</v>
      </c>
      <c r="C35" s="44"/>
    </row>
    <row r="36" spans="1:3" ht="14.25" customHeight="1">
      <c r="A36" s="46" t="s">
        <v>262</v>
      </c>
      <c r="B36" s="63">
        <v>43136</v>
      </c>
      <c r="C36" s="44"/>
    </row>
    <row r="37" spans="1:3" ht="14.25" customHeight="1">
      <c r="A37" s="46"/>
      <c r="B37" s="45"/>
      <c r="C37" s="44"/>
    </row>
    <row r="38" spans="1:3" ht="14.25" customHeight="1">
      <c r="A38" s="46" t="s">
        <v>136</v>
      </c>
      <c r="B38" s="63">
        <v>42898</v>
      </c>
      <c r="C38" s="44"/>
    </row>
    <row r="39" spans="1:3" ht="14.25" customHeight="1">
      <c r="A39" s="46" t="s">
        <v>142</v>
      </c>
      <c r="B39" s="63">
        <v>43007</v>
      </c>
      <c r="C39" s="44"/>
    </row>
    <row r="40" spans="1:3" ht="14.25" customHeight="1">
      <c r="A40" s="46" t="s">
        <v>465</v>
      </c>
      <c r="B40" s="63">
        <v>43247</v>
      </c>
      <c r="C40" s="44"/>
    </row>
    <row r="41" spans="1:3" ht="14.25" customHeight="1">
      <c r="A41" s="46"/>
      <c r="B41" s="45"/>
      <c r="C41" s="44"/>
    </row>
    <row r="42" spans="1:3" ht="14.25" customHeight="1">
      <c r="A42" s="46" t="s">
        <v>264</v>
      </c>
      <c r="B42" s="63">
        <v>43139</v>
      </c>
      <c r="C42" s="44"/>
    </row>
    <row r="43" spans="1:3" ht="14.25" customHeight="1">
      <c r="A43" s="46"/>
      <c r="B43" s="45"/>
      <c r="C43" s="44"/>
    </row>
    <row r="44" spans="1:3" ht="14.25" customHeight="1">
      <c r="A44" s="46" t="s">
        <v>109</v>
      </c>
      <c r="B44" s="45">
        <v>42864</v>
      </c>
      <c r="C44" s="44"/>
    </row>
    <row r="45" spans="1:3" ht="14.25" customHeight="1">
      <c r="A45" s="46" t="s">
        <v>170</v>
      </c>
      <c r="B45" s="45">
        <v>42864</v>
      </c>
      <c r="C45" s="44"/>
    </row>
    <row r="46" spans="1:3" ht="14.25" customHeight="1">
      <c r="A46" s="46" t="s">
        <v>169</v>
      </c>
      <c r="B46" s="45">
        <v>43081</v>
      </c>
      <c r="C46" s="44"/>
    </row>
    <row r="47" spans="1:3" ht="14.25" customHeight="1">
      <c r="A47" s="46"/>
      <c r="B47" s="45"/>
      <c r="C47" s="44"/>
    </row>
    <row r="48" spans="1:3" ht="14.25" customHeight="1">
      <c r="A48" s="46" t="s">
        <v>463</v>
      </c>
      <c r="B48" s="63">
        <v>43242</v>
      </c>
      <c r="C48" s="44"/>
    </row>
    <row r="49" spans="1:3" ht="14.25" customHeight="1">
      <c r="A49" s="46"/>
      <c r="B49" s="45"/>
      <c r="C49" s="44"/>
    </row>
    <row r="50" spans="1:3" ht="14.25" customHeight="1">
      <c r="A50" s="46" t="s">
        <v>132</v>
      </c>
      <c r="B50" s="63">
        <v>42962</v>
      </c>
      <c r="C50" s="44"/>
    </row>
    <row r="51" spans="1:3" ht="14.25" customHeight="1">
      <c r="A51" s="46" t="s">
        <v>157</v>
      </c>
      <c r="B51" s="63">
        <v>43048</v>
      </c>
      <c r="C51" s="44"/>
    </row>
    <row r="52" spans="1:3" ht="14.25" customHeight="1">
      <c r="A52" s="46" t="s">
        <v>323</v>
      </c>
      <c r="B52" s="63">
        <v>43201</v>
      </c>
      <c r="C52" s="44"/>
    </row>
    <row r="53" spans="1:3" ht="14.25" customHeight="1">
      <c r="A53" s="46"/>
      <c r="B53" s="45"/>
      <c r="C53" s="44"/>
    </row>
    <row r="54" spans="1:3" ht="14.25" customHeight="1">
      <c r="A54" s="46" t="s">
        <v>110</v>
      </c>
      <c r="B54" s="63">
        <v>42856</v>
      </c>
      <c r="C54" s="44"/>
    </row>
    <row r="55" spans="1:3" ht="14.25" customHeight="1">
      <c r="A55" s="46" t="s">
        <v>322</v>
      </c>
      <c r="B55" s="63">
        <v>43200</v>
      </c>
      <c r="C55" s="44"/>
    </row>
    <row r="56" spans="1:3" ht="14.25" customHeight="1">
      <c r="A56" s="46"/>
      <c r="B56" s="45"/>
      <c r="C56" s="44"/>
    </row>
    <row r="57" spans="1:3" ht="14.25" customHeight="1">
      <c r="A57" s="46" t="s">
        <v>138</v>
      </c>
      <c r="B57" s="45">
        <v>43020</v>
      </c>
      <c r="C57" s="44"/>
    </row>
    <row r="58" spans="1:3" ht="14.25" customHeight="1">
      <c r="A58" s="46"/>
      <c r="B58" s="45"/>
      <c r="C58" s="44"/>
    </row>
    <row r="59" spans="1:3" ht="14.25" customHeight="1">
      <c r="A59" s="46" t="s">
        <v>421</v>
      </c>
      <c r="B59" s="63">
        <v>43220</v>
      </c>
      <c r="C59" s="44"/>
    </row>
    <row r="60" spans="1:3" ht="14.25" customHeight="1">
      <c r="A60" s="46"/>
      <c r="B60" s="45"/>
      <c r="C60" s="44"/>
    </row>
    <row r="61" spans="1:3" ht="14.25" customHeight="1">
      <c r="A61" s="46" t="s">
        <v>128</v>
      </c>
      <c r="B61" s="63">
        <v>42681</v>
      </c>
      <c r="C61" s="44"/>
    </row>
    <row r="62" spans="1:3" ht="14.25" customHeight="1">
      <c r="A62" s="46" t="s">
        <v>148</v>
      </c>
      <c r="B62" s="45">
        <v>43039</v>
      </c>
      <c r="C62" s="44"/>
    </row>
    <row r="63" spans="1:3" ht="14.25" customHeight="1">
      <c r="A63" s="46"/>
      <c r="B63" s="45"/>
      <c r="C63" s="44"/>
    </row>
    <row r="64" spans="1:3" ht="14.25" customHeight="1">
      <c r="A64" s="46" t="s">
        <v>146</v>
      </c>
      <c r="B64" s="63">
        <v>42971</v>
      </c>
      <c r="C64" s="44"/>
    </row>
    <row r="65" spans="1:3" ht="14.25" customHeight="1">
      <c r="A65" s="46" t="s">
        <v>276</v>
      </c>
      <c r="B65" s="63">
        <v>43153</v>
      </c>
      <c r="C65" s="44"/>
    </row>
    <row r="66" spans="1:3" ht="14.25" customHeight="1">
      <c r="A66" s="46"/>
      <c r="B66" s="45"/>
      <c r="C66" s="44"/>
    </row>
    <row r="67" spans="1:3" ht="14.25" customHeight="1">
      <c r="A67" s="46" t="s">
        <v>114</v>
      </c>
      <c r="B67" s="63">
        <v>42765</v>
      </c>
      <c r="C67" s="44"/>
    </row>
    <row r="68" spans="1:3" ht="14.25" customHeight="1">
      <c r="A68" s="46" t="s">
        <v>113</v>
      </c>
      <c r="B68" s="63">
        <v>42765</v>
      </c>
      <c r="C68" s="44"/>
    </row>
    <row r="69" spans="1:3" ht="14.25" customHeight="1">
      <c r="A69" s="46" t="s">
        <v>342</v>
      </c>
      <c r="B69" s="63">
        <v>43207</v>
      </c>
      <c r="C69" s="44"/>
    </row>
    <row r="70" spans="1:3" ht="14.25" customHeight="1">
      <c r="A70" s="46"/>
      <c r="B70" s="45"/>
      <c r="C70" s="44"/>
    </row>
    <row r="71" spans="1:3" ht="14.25" customHeight="1">
      <c r="A71" s="46" t="s">
        <v>151</v>
      </c>
      <c r="B71" s="45">
        <v>43024</v>
      </c>
      <c r="C71" s="44"/>
    </row>
    <row r="72" spans="1:3" ht="14.25" customHeight="1">
      <c r="A72" s="46" t="s">
        <v>152</v>
      </c>
      <c r="B72" s="45">
        <v>43031</v>
      </c>
      <c r="C72" s="44"/>
    </row>
    <row r="73" spans="1:3" ht="14.25" customHeight="1">
      <c r="A73" s="46" t="s">
        <v>153</v>
      </c>
      <c r="B73" s="45">
        <v>43038</v>
      </c>
      <c r="C73" s="44"/>
    </row>
    <row r="74" spans="1:3" ht="14.25" customHeight="1">
      <c r="A74" s="46" t="s">
        <v>166</v>
      </c>
      <c r="B74" s="45">
        <v>43052</v>
      </c>
      <c r="C74" s="44"/>
    </row>
    <row r="75" spans="1:3" ht="14.25" customHeight="1">
      <c r="A75" s="46" t="s">
        <v>220</v>
      </c>
      <c r="B75" s="45">
        <v>43059</v>
      </c>
      <c r="C75" s="44"/>
    </row>
    <row r="76" spans="1:3" ht="14.25" customHeight="1">
      <c r="A76" s="46" t="s">
        <v>221</v>
      </c>
      <c r="B76" s="45">
        <v>43066</v>
      </c>
      <c r="C76" s="44"/>
    </row>
    <row r="77" spans="1:3" ht="14.25" customHeight="1">
      <c r="A77" s="46" t="s">
        <v>222</v>
      </c>
      <c r="B77" s="45">
        <v>43121</v>
      </c>
      <c r="C77" s="44"/>
    </row>
    <row r="78" spans="1:3" ht="14.25" customHeight="1">
      <c r="A78" s="46" t="s">
        <v>270</v>
      </c>
      <c r="B78" s="63">
        <v>43135</v>
      </c>
      <c r="C78" s="44"/>
    </row>
    <row r="79" spans="1:3" ht="14.25" customHeight="1">
      <c r="A79" s="46" t="s">
        <v>269</v>
      </c>
      <c r="B79" s="63">
        <v>43142</v>
      </c>
      <c r="C79" s="44"/>
    </row>
    <row r="80" spans="1:3" ht="14.25" customHeight="1">
      <c r="A80" s="46" t="s">
        <v>291</v>
      </c>
      <c r="B80" s="63">
        <v>43163</v>
      </c>
      <c r="C80" s="44"/>
    </row>
    <row r="81" spans="1:3" ht="14.25" customHeight="1">
      <c r="A81" s="46" t="s">
        <v>295</v>
      </c>
      <c r="B81" s="63">
        <v>43170</v>
      </c>
      <c r="C81" s="44"/>
    </row>
    <row r="82" spans="1:3" ht="14.25" customHeight="1">
      <c r="A82" s="46" t="s">
        <v>303</v>
      </c>
      <c r="B82" s="63">
        <v>43178</v>
      </c>
      <c r="C82" s="44"/>
    </row>
    <row r="83" spans="1:3" ht="14.25" customHeight="1">
      <c r="A83" s="46" t="s">
        <v>304</v>
      </c>
      <c r="B83" s="63">
        <v>43185</v>
      </c>
      <c r="C83" s="44"/>
    </row>
    <row r="84" spans="1:3" ht="14.25" customHeight="1">
      <c r="A84" s="46" t="s">
        <v>320</v>
      </c>
      <c r="B84" s="63">
        <v>43192</v>
      </c>
      <c r="C84" s="44"/>
    </row>
    <row r="85" spans="1:3" ht="14.25" customHeight="1">
      <c r="A85" s="46" t="s">
        <v>321</v>
      </c>
      <c r="B85" s="63">
        <v>43199</v>
      </c>
      <c r="C85" s="44"/>
    </row>
    <row r="86" spans="1:3" ht="14.25" customHeight="1">
      <c r="A86" s="46" t="s">
        <v>350</v>
      </c>
      <c r="B86" s="63">
        <v>43206</v>
      </c>
      <c r="C86" s="44"/>
    </row>
    <row r="87" spans="1:3" ht="14.25" customHeight="1">
      <c r="A87" s="46" t="s">
        <v>351</v>
      </c>
      <c r="B87" s="63">
        <v>43213</v>
      </c>
      <c r="C87" s="44"/>
    </row>
    <row r="88" spans="1:3" ht="14.25" customHeight="1">
      <c r="A88" s="46" t="s">
        <v>380</v>
      </c>
      <c r="B88" s="63">
        <v>43220</v>
      </c>
      <c r="C88" s="44"/>
    </row>
    <row r="89" spans="1:3" ht="14.25" customHeight="1">
      <c r="A89" s="46" t="s">
        <v>461</v>
      </c>
      <c r="B89" s="63">
        <v>43234</v>
      </c>
      <c r="C89" s="44"/>
    </row>
    <row r="90" spans="1:3" ht="14.25" customHeight="1">
      <c r="A90" s="46" t="s">
        <v>462</v>
      </c>
      <c r="B90" s="63">
        <v>43241</v>
      </c>
      <c r="C90" s="44"/>
    </row>
    <row r="91" spans="1:3" ht="14.25" customHeight="1">
      <c r="A91" s="46"/>
      <c r="B91" s="45"/>
      <c r="C91" s="44"/>
    </row>
    <row r="92" spans="1:3" ht="14.25" customHeight="1">
      <c r="A92" s="46"/>
      <c r="B92" s="45"/>
      <c r="C92" s="44"/>
    </row>
    <row r="93" spans="1:3" ht="14.25" customHeight="1">
      <c r="A93" s="46" t="s">
        <v>284</v>
      </c>
      <c r="B93" s="63">
        <v>43156</v>
      </c>
      <c r="C93" s="44"/>
    </row>
    <row r="94" spans="1:3" ht="14.25" customHeight="1">
      <c r="A94" s="46"/>
      <c r="B94" s="45"/>
      <c r="C94" s="44"/>
    </row>
    <row r="95" spans="1:3" ht="14.25" customHeight="1">
      <c r="A95" s="46" t="s">
        <v>177</v>
      </c>
      <c r="B95" s="45">
        <v>42740</v>
      </c>
      <c r="C95" s="44"/>
    </row>
    <row r="96" spans="1:3" ht="14.25" customHeight="1">
      <c r="A96" s="46"/>
      <c r="B96" s="45"/>
      <c r="C96" s="44"/>
    </row>
    <row r="97" spans="1:3" ht="14.25" customHeight="1">
      <c r="A97" s="46" t="s">
        <v>117</v>
      </c>
      <c r="B97" s="63">
        <v>42735</v>
      </c>
      <c r="C97" s="44"/>
    </row>
    <row r="98" spans="1:3" ht="14.25" customHeight="1">
      <c r="A98" s="46" t="s">
        <v>297</v>
      </c>
      <c r="B98" s="63">
        <v>42735</v>
      </c>
      <c r="C98" s="44"/>
    </row>
    <row r="99" spans="1:3" ht="14.25" customHeight="1">
      <c r="A99" s="46" t="s">
        <v>298</v>
      </c>
      <c r="B99" s="63">
        <v>43171</v>
      </c>
      <c r="C99" s="44"/>
    </row>
    <row r="100" spans="1:3" ht="14.25" customHeight="1">
      <c r="A100" s="46"/>
      <c r="B100" s="45"/>
      <c r="C100" s="44"/>
    </row>
    <row r="101" spans="1:3" ht="14.25" customHeight="1">
      <c r="A101" s="46" t="s">
        <v>275</v>
      </c>
      <c r="B101" s="63">
        <v>43065</v>
      </c>
      <c r="C101" s="44"/>
    </row>
    <row r="102" spans="1:3" ht="14.25" customHeight="1">
      <c r="A102" s="46" t="s">
        <v>466</v>
      </c>
      <c r="B102" s="63">
        <v>43251</v>
      </c>
      <c r="C102" s="44"/>
    </row>
    <row r="103" spans="1:3" ht="14.25" customHeight="1">
      <c r="A103" s="46"/>
      <c r="B103" s="45"/>
      <c r="C103" s="44"/>
    </row>
    <row r="104" spans="1:3" ht="14.25" customHeight="1">
      <c r="A104" s="46" t="s">
        <v>126</v>
      </c>
      <c r="B104" s="63">
        <v>42708</v>
      </c>
      <c r="C104" s="44"/>
    </row>
    <row r="105" spans="1:3" ht="14.25" customHeight="1">
      <c r="A105" s="46" t="s">
        <v>235</v>
      </c>
      <c r="B105" s="63">
        <v>43126</v>
      </c>
      <c r="C105" s="44"/>
    </row>
    <row r="106" spans="1:3" ht="14.25" customHeight="1">
      <c r="A106" s="46" t="s">
        <v>318</v>
      </c>
      <c r="B106" s="63">
        <v>43194</v>
      </c>
      <c r="C106" s="44"/>
    </row>
    <row r="107" spans="1:3" ht="14.25" customHeight="1">
      <c r="A107" s="46" t="s">
        <v>464</v>
      </c>
      <c r="B107" s="63">
        <v>43247</v>
      </c>
      <c r="C107" s="44"/>
    </row>
    <row r="108" spans="1:3" ht="14.25" customHeight="1">
      <c r="A108" s="46"/>
      <c r="B108" s="45"/>
      <c r="C108" s="44"/>
    </row>
    <row r="109" spans="1:3" ht="14.25" customHeight="1">
      <c r="A109" s="46" t="s">
        <v>116</v>
      </c>
      <c r="B109" s="63">
        <v>42736</v>
      </c>
      <c r="C109" s="44"/>
    </row>
    <row r="110" spans="1:3" ht="14.25" customHeight="1">
      <c r="A110" s="46" t="s">
        <v>299</v>
      </c>
      <c r="B110" s="63">
        <v>43173</v>
      </c>
      <c r="C110" s="44"/>
    </row>
    <row r="111" spans="1:3" ht="14.25" customHeight="1">
      <c r="A111" s="46"/>
      <c r="B111" s="45"/>
      <c r="C111" s="44"/>
    </row>
    <row r="112" spans="1:3" ht="14.25" customHeight="1">
      <c r="A112" s="46" t="s">
        <v>267</v>
      </c>
      <c r="B112" s="45">
        <v>43142</v>
      </c>
      <c r="C112" s="44"/>
    </row>
    <row r="113" spans="1:3" ht="14.25" customHeight="1">
      <c r="A113" s="46"/>
      <c r="B113" s="45"/>
      <c r="C113" s="44"/>
    </row>
    <row r="114" spans="1:3" ht="14.25" customHeight="1">
      <c r="A114" s="46" t="s">
        <v>139</v>
      </c>
      <c r="B114" s="63">
        <v>43190</v>
      </c>
      <c r="C114" s="44"/>
    </row>
    <row r="115" spans="1:3" ht="14.25" customHeight="1">
      <c r="A115" s="46"/>
      <c r="B115" s="45"/>
      <c r="C115" s="44"/>
    </row>
    <row r="116" spans="1:3" ht="14.25" customHeight="1">
      <c r="A116" s="46" t="s">
        <v>137</v>
      </c>
      <c r="B116" s="63">
        <v>42878</v>
      </c>
      <c r="C116" s="44"/>
    </row>
    <row r="117" spans="1:3" ht="14.25" customHeight="1">
      <c r="A117" s="46" t="s">
        <v>313</v>
      </c>
      <c r="B117" s="63">
        <v>43189</v>
      </c>
      <c r="C117" s="44"/>
    </row>
    <row r="118" spans="1:3" ht="14.25" customHeight="1">
      <c r="A118" s="46"/>
      <c r="B118" s="45"/>
      <c r="C118" s="44"/>
    </row>
    <row r="119" spans="1:3" ht="14.25" customHeight="1">
      <c r="A119" s="46" t="s">
        <v>280</v>
      </c>
      <c r="B119" s="63">
        <v>43157</v>
      </c>
      <c r="C119" s="44"/>
    </row>
    <row r="120" spans="1:3" ht="14.25" customHeight="1">
      <c r="A120" s="46" t="s">
        <v>281</v>
      </c>
      <c r="B120" s="63">
        <v>43157</v>
      </c>
      <c r="C120" s="44"/>
    </row>
    <row r="121" spans="1:3" ht="14.25" customHeight="1">
      <c r="A121" s="46" t="s">
        <v>282</v>
      </c>
      <c r="B121" s="63">
        <v>43157</v>
      </c>
      <c r="C121" s="44"/>
    </row>
    <row r="122" spans="1:3" ht="14.25" customHeight="1">
      <c r="A122" s="46" t="s">
        <v>296</v>
      </c>
      <c r="B122" s="63">
        <v>43171</v>
      </c>
      <c r="C122" s="44"/>
    </row>
    <row r="123" spans="1:3" ht="14.25" customHeight="1">
      <c r="A123" s="46" t="s">
        <v>302</v>
      </c>
      <c r="B123" s="63">
        <v>43185</v>
      </c>
      <c r="C123" s="44"/>
    </row>
    <row r="124" spans="1:3" ht="14.25" customHeight="1">
      <c r="A124" s="46" t="s">
        <v>319</v>
      </c>
      <c r="B124" s="63">
        <v>43199</v>
      </c>
      <c r="C124" s="44"/>
    </row>
    <row r="125" spans="1:3" ht="14.25" customHeight="1">
      <c r="A125" s="46" t="s">
        <v>353</v>
      </c>
      <c r="B125" s="63">
        <v>43213</v>
      </c>
      <c r="C125" s="44"/>
    </row>
    <row r="126" spans="1:3" ht="14.25" customHeight="1">
      <c r="A126" s="46" t="s">
        <v>382</v>
      </c>
      <c r="B126" s="63">
        <v>43227</v>
      </c>
      <c r="C126" s="44"/>
    </row>
    <row r="127" spans="1:3" ht="14.25" customHeight="1">
      <c r="A127" s="46" t="s">
        <v>460</v>
      </c>
      <c r="B127" s="63">
        <v>43241</v>
      </c>
      <c r="C127" s="44"/>
    </row>
    <row r="128" spans="1:3" ht="14.25" customHeight="1">
      <c r="A128" s="46"/>
      <c r="B128" s="45"/>
      <c r="C128" s="44"/>
    </row>
    <row r="129" spans="1:3" ht="14.25" customHeight="1">
      <c r="A129" s="46" t="s">
        <v>133</v>
      </c>
      <c r="B129" s="63">
        <v>42951</v>
      </c>
      <c r="C129" s="44"/>
    </row>
    <row r="130" spans="1:3" ht="14.25" customHeight="1">
      <c r="A130" s="46"/>
      <c r="B130" s="45"/>
      <c r="C130" s="44"/>
    </row>
    <row r="131" spans="1:3" ht="14.25" customHeight="1">
      <c r="A131" s="46" t="s">
        <v>272</v>
      </c>
      <c r="B131" s="63">
        <v>42970</v>
      </c>
    </row>
    <row r="132" spans="1:3" ht="14.25" customHeight="1">
      <c r="A132" s="46" t="s">
        <v>273</v>
      </c>
      <c r="B132" s="63">
        <v>43007</v>
      </c>
      <c r="C132" s="44"/>
    </row>
    <row r="133" spans="1:3" ht="14.25" customHeight="1">
      <c r="A133" s="46" t="s">
        <v>274</v>
      </c>
      <c r="B133" s="63">
        <v>43146</v>
      </c>
      <c r="C133" s="44"/>
    </row>
    <row r="134" spans="1:3" ht="14.25" customHeight="1">
      <c r="A134" s="46"/>
      <c r="C134" s="44"/>
    </row>
    <row r="135" spans="1:3" ht="14.25" customHeight="1">
      <c r="A135" s="46" t="s">
        <v>292</v>
      </c>
      <c r="B135" s="63">
        <v>43166</v>
      </c>
      <c r="C135" s="44"/>
    </row>
    <row r="137" spans="1:3" ht="14.25" customHeight="1">
      <c r="A137" s="46" t="s">
        <v>178</v>
      </c>
      <c r="B137" s="63">
        <v>43097</v>
      </c>
    </row>
    <row r="138" spans="1:3" ht="14.25" customHeight="1">
      <c r="A138" s="46" t="s">
        <v>279</v>
      </c>
      <c r="B138" s="63">
        <v>43156</v>
      </c>
    </row>
    <row r="139" spans="1:3" ht="14.25" customHeight="1">
      <c r="A139" s="46" t="s">
        <v>459</v>
      </c>
      <c r="B139" s="63">
        <v>43237</v>
      </c>
    </row>
    <row r="140" spans="1:3" ht="14.25" customHeight="1">
      <c r="A140" s="46"/>
      <c r="B140" s="45"/>
      <c r="C140" s="44"/>
    </row>
    <row r="141" spans="1:3" ht="14.25" customHeight="1">
      <c r="A141" s="46" t="s">
        <v>381</v>
      </c>
      <c r="B141" s="63">
        <v>43223</v>
      </c>
      <c r="C141" s="44"/>
    </row>
    <row r="142" spans="1:3" ht="14.25" customHeight="1">
      <c r="A142" s="46"/>
      <c r="B142" s="45"/>
    </row>
    <row r="143" spans="1:3" ht="14.25" customHeight="1">
      <c r="A143" s="46" t="s">
        <v>134</v>
      </c>
      <c r="B143" s="63">
        <v>42941</v>
      </c>
      <c r="C143" s="44"/>
    </row>
    <row r="144" spans="1:3" ht="14.25" customHeight="1">
      <c r="A144" s="46" t="s">
        <v>263</v>
      </c>
      <c r="B144" s="63">
        <v>43137</v>
      </c>
      <c r="C144" s="44"/>
    </row>
    <row r="145" spans="1:3" ht="14.25" customHeight="1">
      <c r="A145" s="46"/>
      <c r="B145" s="45"/>
      <c r="C145" s="44"/>
    </row>
    <row r="146" spans="1:3" ht="14.25" customHeight="1">
      <c r="A146" s="46" t="s">
        <v>129</v>
      </c>
      <c r="B146" s="63">
        <v>42674</v>
      </c>
      <c r="C146" s="44"/>
    </row>
    <row r="147" spans="1:3" ht="14.25" customHeight="1">
      <c r="A147" s="46" t="s">
        <v>194</v>
      </c>
      <c r="B147" s="63">
        <v>43117</v>
      </c>
      <c r="C147" s="44"/>
    </row>
    <row r="148" spans="1:3" ht="14.25" customHeight="1">
      <c r="A148" s="46"/>
      <c r="B148" s="45"/>
      <c r="C148" s="44"/>
    </row>
    <row r="149" spans="1:3" ht="14.25" customHeight="1">
      <c r="A149" s="46" t="s">
        <v>106</v>
      </c>
      <c r="B149" s="63">
        <v>43176</v>
      </c>
      <c r="C149" s="44"/>
    </row>
    <row r="150" spans="1:3" ht="14.25" customHeight="1">
      <c r="A150" s="46" t="s">
        <v>300</v>
      </c>
      <c r="B150" s="63">
        <v>43176</v>
      </c>
      <c r="C150" s="44"/>
    </row>
    <row r="151" spans="1:3" ht="14.25" customHeight="1">
      <c r="A151" s="46"/>
      <c r="B151" s="45"/>
      <c r="C151" s="44"/>
    </row>
    <row r="152" spans="1:3" ht="14.25" customHeight="1">
      <c r="A152" s="46" t="s">
        <v>145</v>
      </c>
      <c r="B152" s="63">
        <v>42985</v>
      </c>
      <c r="C152" s="44"/>
    </row>
    <row r="153" spans="1:3" ht="14.25" customHeight="1">
      <c r="A153" s="46" t="s">
        <v>316</v>
      </c>
      <c r="B153" s="63">
        <v>43192</v>
      </c>
      <c r="C153" s="44"/>
    </row>
    <row r="154" spans="1:3" ht="14.25" customHeight="1">
      <c r="A154" s="46"/>
      <c r="B154" s="45"/>
      <c r="C154" s="44"/>
    </row>
    <row r="155" spans="1:3" ht="14.25" customHeight="1">
      <c r="A155" s="46" t="s">
        <v>127</v>
      </c>
      <c r="B155" s="63">
        <v>42699</v>
      </c>
      <c r="C155" s="44"/>
    </row>
    <row r="156" spans="1:3" ht="14.25" customHeight="1">
      <c r="A156" s="46" t="s">
        <v>159</v>
      </c>
      <c r="B156" s="45">
        <v>43056</v>
      </c>
      <c r="C156" s="44"/>
    </row>
    <row r="157" spans="1:3" ht="14.25" customHeight="1">
      <c r="A157" s="46"/>
      <c r="B157" s="45"/>
      <c r="C157" s="44"/>
    </row>
    <row r="158" spans="1:3" ht="14.25" customHeight="1">
      <c r="A158" s="46" t="s">
        <v>140</v>
      </c>
      <c r="B158" s="63">
        <v>43018</v>
      </c>
      <c r="C158" s="44"/>
    </row>
    <row r="159" spans="1:3" ht="14.25" customHeight="1">
      <c r="A159" s="46" t="s">
        <v>278</v>
      </c>
      <c r="B159" s="63">
        <v>43154</v>
      </c>
      <c r="C159" s="44"/>
    </row>
    <row r="160" spans="1:3" ht="14.25" customHeight="1">
      <c r="A160" s="46" t="s">
        <v>383</v>
      </c>
      <c r="B160" s="63">
        <v>43228</v>
      </c>
      <c r="C160" s="44"/>
    </row>
    <row r="161" spans="1:20" ht="14.25" customHeight="1">
      <c r="A161" s="46"/>
      <c r="B161" s="45"/>
      <c r="C161" s="44"/>
    </row>
    <row r="162" spans="1:20" ht="14.25" customHeight="1">
      <c r="A162" s="46" t="s">
        <v>141</v>
      </c>
      <c r="B162" s="45">
        <v>43009</v>
      </c>
      <c r="C162" s="44"/>
    </row>
    <row r="163" spans="1:20" ht="14.25" customHeight="1">
      <c r="A163" s="46"/>
      <c r="B163" s="45"/>
      <c r="C163" s="44"/>
    </row>
    <row r="164" spans="1:20" ht="14.25" customHeight="1">
      <c r="A164" s="46" t="s">
        <v>130</v>
      </c>
      <c r="B164" s="63">
        <v>42674</v>
      </c>
      <c r="C164" s="44"/>
    </row>
    <row r="165" spans="1:20" ht="14.25" customHeight="1">
      <c r="A165" s="46" t="s">
        <v>179</v>
      </c>
      <c r="B165" s="63">
        <v>43108</v>
      </c>
      <c r="C165" s="44"/>
    </row>
    <row r="166" spans="1:20" ht="14.25" customHeight="1">
      <c r="A166" s="46"/>
      <c r="B166" s="45"/>
      <c r="C166" s="44"/>
    </row>
    <row r="167" spans="1:20" ht="14.25" customHeight="1">
      <c r="A167" s="46" t="s">
        <v>112</v>
      </c>
      <c r="B167" s="63">
        <v>42770</v>
      </c>
      <c r="C167" s="44"/>
      <c r="T167" s="42"/>
    </row>
    <row r="168" spans="1:20" ht="14.25" customHeight="1">
      <c r="A168" s="46" t="s">
        <v>423</v>
      </c>
      <c r="B168" s="63">
        <v>42803</v>
      </c>
      <c r="C168" s="44"/>
    </row>
    <row r="169" spans="1:20" ht="14.25" customHeight="1">
      <c r="A169" s="46" t="s">
        <v>352</v>
      </c>
      <c r="B169" s="63">
        <v>43213</v>
      </c>
      <c r="C169" s="44"/>
    </row>
    <row r="170" spans="1:20" ht="14.25" customHeight="1">
      <c r="A170" s="46" t="s">
        <v>458</v>
      </c>
      <c r="B170" s="63">
        <v>43242</v>
      </c>
      <c r="C170" s="44"/>
    </row>
    <row r="171" spans="1:20" ht="14.25" customHeight="1">
      <c r="A171" s="46"/>
      <c r="B171" s="45"/>
      <c r="C171" s="44"/>
    </row>
    <row r="172" spans="1:20" ht="14.25" customHeight="1">
      <c r="A172" s="46" t="s">
        <v>115</v>
      </c>
      <c r="B172" s="63">
        <v>42751</v>
      </c>
      <c r="C172" s="44"/>
    </row>
    <row r="173" spans="1:20" ht="14.25" customHeight="1">
      <c r="A173" s="46" t="s">
        <v>340</v>
      </c>
      <c r="B173" s="63">
        <v>43205</v>
      </c>
      <c r="C173" s="44"/>
    </row>
    <row r="174" spans="1:20" ht="14.25" customHeight="1">
      <c r="A174" s="46"/>
      <c r="B174" s="45"/>
      <c r="C174" s="44"/>
    </row>
    <row r="175" spans="1:20" ht="14.25" customHeight="1">
      <c r="A175" s="46" t="s">
        <v>147</v>
      </c>
      <c r="B175" s="63">
        <v>42735</v>
      </c>
      <c r="C175" s="44"/>
    </row>
    <row r="176" spans="1:20" ht="14.25" customHeight="1">
      <c r="A176" s="46" t="s">
        <v>150</v>
      </c>
      <c r="B176" s="63">
        <v>43041</v>
      </c>
      <c r="C176" s="44"/>
    </row>
    <row r="177" spans="1:3" ht="14.25" customHeight="1">
      <c r="A177" s="46" t="s">
        <v>265</v>
      </c>
      <c r="B177" s="63">
        <v>43139</v>
      </c>
      <c r="C177" s="44"/>
    </row>
    <row r="178" spans="1:3" ht="14.25" customHeight="1">
      <c r="A178" s="46"/>
      <c r="B178" s="45"/>
      <c r="C178" s="44"/>
    </row>
    <row r="179" spans="1:3" ht="14.25" customHeight="1">
      <c r="A179" s="46" t="s">
        <v>131</v>
      </c>
      <c r="B179" s="63">
        <v>42600</v>
      </c>
      <c r="C179" s="44"/>
    </row>
    <row r="180" spans="1:3" ht="14.25" customHeight="1">
      <c r="A180" s="46"/>
      <c r="B180" s="45"/>
      <c r="C180" s="44"/>
    </row>
    <row r="181" spans="1:3" ht="14.25" customHeight="1">
      <c r="A181" s="46" t="s">
        <v>122</v>
      </c>
      <c r="B181" s="63">
        <v>42735</v>
      </c>
      <c r="C181" s="44"/>
    </row>
    <row r="182" spans="1:3" ht="14.25" customHeight="1">
      <c r="A182" s="46" t="s">
        <v>223</v>
      </c>
      <c r="B182" s="63">
        <v>42735</v>
      </c>
      <c r="C182" s="44"/>
    </row>
    <row r="183" spans="1:3" ht="14.25" customHeight="1">
      <c r="A183" s="46" t="s">
        <v>144</v>
      </c>
      <c r="B183" s="63">
        <v>42992</v>
      </c>
      <c r="C183" s="44"/>
    </row>
    <row r="184" spans="1:3" ht="14.25" customHeight="1">
      <c r="A184" s="46" t="s">
        <v>143</v>
      </c>
      <c r="B184" s="63">
        <v>42992</v>
      </c>
      <c r="C184" s="44"/>
    </row>
    <row r="185" spans="1:3" ht="14.25" customHeight="1">
      <c r="A185" s="46" t="s">
        <v>226</v>
      </c>
      <c r="B185" s="63">
        <v>43128</v>
      </c>
    </row>
  </sheetData>
  <autoFilter ref="A1:C1">
    <sortState ref="A2:C184">
      <sortCondition ref="A1"/>
    </sortState>
  </autoFilter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3:AH64"/>
  <sheetViews>
    <sheetView showGridLines="0" workbookViewId="0">
      <selection activeCell="X25" sqref="X25"/>
    </sheetView>
  </sheetViews>
  <sheetFormatPr defaultRowHeight="12.75"/>
  <cols>
    <col min="13" max="13" width="15.140625" customWidth="1"/>
    <col min="14" max="14" width="19.28515625" customWidth="1"/>
    <col min="15" max="15" width="14.5703125" customWidth="1"/>
    <col min="16" max="16" width="16.42578125" customWidth="1"/>
    <col min="18" max="18" width="16.28515625" customWidth="1"/>
    <col min="19" max="19" width="14.85546875" customWidth="1"/>
    <col min="20" max="20" width="17.42578125" customWidth="1"/>
    <col min="21" max="22" width="20.140625" customWidth="1"/>
    <col min="23" max="23" width="20" customWidth="1"/>
    <col min="24" max="24" width="9.85546875" bestFit="1" customWidth="1"/>
    <col min="25" max="26" width="13.42578125" customWidth="1"/>
    <col min="27" max="28" width="8" customWidth="1"/>
    <col min="30" max="30" width="18.7109375" customWidth="1"/>
  </cols>
  <sheetData>
    <row r="3" spans="1:28" ht="21.95" customHeight="1">
      <c r="B3" s="144" t="s">
        <v>182</v>
      </c>
      <c r="C3" s="145"/>
      <c r="D3" s="145"/>
      <c r="E3" s="145"/>
      <c r="F3" s="145"/>
      <c r="G3" s="145"/>
      <c r="H3" s="145"/>
      <c r="I3" s="145"/>
      <c r="J3" s="145"/>
      <c r="K3" s="145"/>
    </row>
    <row r="4" spans="1:28" ht="20.65" customHeight="1">
      <c r="B4" s="52" t="s">
        <v>183</v>
      </c>
      <c r="C4" s="52"/>
      <c r="D4" s="52" t="s">
        <v>184</v>
      </c>
      <c r="E4" s="52"/>
      <c r="F4" s="52" t="s">
        <v>185</v>
      </c>
      <c r="G4" s="52"/>
      <c r="H4" s="52" t="s">
        <v>180</v>
      </c>
      <c r="I4" s="52"/>
      <c r="J4" s="146" t="s">
        <v>181</v>
      </c>
      <c r="K4" s="146"/>
    </row>
    <row r="5" spans="1:28" ht="13.5" thickBot="1">
      <c r="B5" s="42"/>
      <c r="C5" s="42"/>
      <c r="D5" s="42"/>
      <c r="E5" s="42"/>
      <c r="F5" s="42"/>
      <c r="G5" s="42"/>
      <c r="H5" s="42"/>
      <c r="I5" s="42"/>
      <c r="J5" s="42"/>
      <c r="K5" s="42"/>
    </row>
    <row r="6" spans="1:28" ht="21.95" customHeight="1" thickTop="1" thickBot="1">
      <c r="B6" s="42"/>
      <c r="C6" s="42"/>
      <c r="D6" s="42"/>
      <c r="E6" s="42"/>
      <c r="F6" s="42"/>
      <c r="G6" s="42"/>
      <c r="H6" s="42"/>
      <c r="I6" s="42"/>
      <c r="J6" s="42"/>
      <c r="K6" s="42"/>
      <c r="M6" s="60" t="s">
        <v>187</v>
      </c>
      <c r="N6" s="61" t="s">
        <v>188</v>
      </c>
      <c r="O6" s="61" t="s">
        <v>186</v>
      </c>
      <c r="P6" s="62" t="s">
        <v>189</v>
      </c>
      <c r="R6" s="60" t="s">
        <v>188</v>
      </c>
      <c r="S6" s="61" t="s">
        <v>424</v>
      </c>
      <c r="T6" s="61" t="s">
        <v>224</v>
      </c>
      <c r="U6" s="62" t="s">
        <v>225</v>
      </c>
    </row>
    <row r="7" spans="1:28" ht="21.95" customHeight="1" thickTop="1" thickBot="1">
      <c r="M7" s="55" t="s">
        <v>511</v>
      </c>
      <c r="N7" s="57">
        <v>12485.95</v>
      </c>
      <c r="O7" s="56" t="s">
        <v>510</v>
      </c>
      <c r="P7" s="58">
        <v>0.71</v>
      </c>
      <c r="R7" s="74">
        <v>12485.95</v>
      </c>
      <c r="S7" s="57">
        <f>1150*5.85</f>
        <v>6727.5</v>
      </c>
      <c r="T7" s="57">
        <f>-(R7-S7)</f>
        <v>-5758.4500000000007</v>
      </c>
      <c r="U7" s="58">
        <f>T7/R7</f>
        <v>-0.46119438248591421</v>
      </c>
    </row>
    <row r="8" spans="1:28" ht="12.95" customHeight="1" thickTop="1">
      <c r="A8" s="53" t="s">
        <v>190</v>
      </c>
    </row>
    <row r="9" spans="1:28" ht="14.25">
      <c r="A9" s="35" t="s">
        <v>191</v>
      </c>
    </row>
    <row r="10" spans="1:28">
      <c r="A10" s="54" t="s">
        <v>192</v>
      </c>
    </row>
    <row r="11" spans="1:28">
      <c r="A11" s="59" t="s">
        <v>193</v>
      </c>
    </row>
    <row r="14" spans="1:28" ht="13.5" thickBot="1"/>
    <row r="15" spans="1:28" ht="18.600000000000001" customHeight="1" thickTop="1" thickBot="1">
      <c r="W15" s="140" t="s">
        <v>237</v>
      </c>
      <c r="X15" s="141"/>
      <c r="Y15" s="141"/>
      <c r="Z15" s="141"/>
      <c r="AA15" s="142"/>
      <c r="AB15" s="143"/>
    </row>
    <row r="16" spans="1:28" ht="18.600000000000001" customHeight="1" thickTop="1" thickBot="1">
      <c r="W16" s="55" t="s">
        <v>196</v>
      </c>
      <c r="X16" s="56" t="s">
        <v>238</v>
      </c>
      <c r="Y16" s="64" t="s">
        <v>239</v>
      </c>
      <c r="Z16" s="64" t="s">
        <v>240</v>
      </c>
      <c r="AA16" s="64" t="s">
        <v>243</v>
      </c>
      <c r="AB16" s="58" t="s">
        <v>241</v>
      </c>
    </row>
    <row r="17" spans="23:30" ht="18.600000000000001" customHeight="1" thickTop="1">
      <c r="W17" s="65" t="s">
        <v>354</v>
      </c>
      <c r="X17" s="66" t="s">
        <v>242</v>
      </c>
      <c r="Y17" s="66" t="s">
        <v>483</v>
      </c>
      <c r="Z17" s="66" t="s">
        <v>482</v>
      </c>
      <c r="AA17" s="78">
        <v>0.4</v>
      </c>
      <c r="AB17" s="70" t="s">
        <v>245</v>
      </c>
      <c r="AD17" s="81">
        <v>0.19</v>
      </c>
    </row>
    <row r="18" spans="23:30" ht="18.600000000000001" customHeight="1">
      <c r="W18" s="68" t="s">
        <v>199</v>
      </c>
      <c r="X18" s="69" t="s">
        <v>242</v>
      </c>
      <c r="Y18" s="82" t="s">
        <v>484</v>
      </c>
      <c r="Z18" s="69" t="s">
        <v>218</v>
      </c>
      <c r="AA18" s="78">
        <v>0.83</v>
      </c>
      <c r="AB18" s="70" t="s">
        <v>488</v>
      </c>
      <c r="AD18" s="81">
        <v>0.11</v>
      </c>
    </row>
    <row r="19" spans="23:30" ht="18.600000000000001" customHeight="1">
      <c r="W19" s="68" t="s">
        <v>96</v>
      </c>
      <c r="X19" s="69" t="s">
        <v>246</v>
      </c>
      <c r="Y19" s="82" t="s">
        <v>485</v>
      </c>
      <c r="Z19" s="69" t="s">
        <v>431</v>
      </c>
      <c r="AA19" s="78">
        <v>0.45</v>
      </c>
      <c r="AB19" s="70" t="s">
        <v>245</v>
      </c>
      <c r="AD19" s="81">
        <v>0.15</v>
      </c>
    </row>
    <row r="20" spans="23:30" ht="18.600000000000001" customHeight="1">
      <c r="W20" s="68" t="s">
        <v>268</v>
      </c>
      <c r="X20" s="69" t="s">
        <v>271</v>
      </c>
      <c r="Y20" s="82" t="s">
        <v>486</v>
      </c>
      <c r="Z20" s="69" t="s">
        <v>266</v>
      </c>
      <c r="AA20" s="78">
        <v>0.18</v>
      </c>
      <c r="AB20" s="70" t="s">
        <v>244</v>
      </c>
      <c r="AD20" s="81">
        <v>0.08</v>
      </c>
    </row>
    <row r="21" spans="23:30" ht="18.600000000000001" customHeight="1" thickBot="1">
      <c r="W21" s="75" t="s">
        <v>107</v>
      </c>
      <c r="X21" s="76" t="s">
        <v>242</v>
      </c>
      <c r="Y21" s="84" t="s">
        <v>487</v>
      </c>
      <c r="Z21" s="76" t="s">
        <v>301</v>
      </c>
      <c r="AA21" s="79">
        <v>0.47</v>
      </c>
      <c r="AB21" s="77" t="s">
        <v>244</v>
      </c>
      <c r="AD21" s="81">
        <v>0.04</v>
      </c>
    </row>
    <row r="22" spans="23:30" ht="13.5" thickTop="1"/>
    <row r="24" spans="23:30">
      <c r="W24">
        <f>2.75/3.45</f>
        <v>0.79710144927536231</v>
      </c>
    </row>
    <row r="25" spans="23:30">
      <c r="W25">
        <f>22.8/20.85</f>
        <v>1.093525179856115</v>
      </c>
    </row>
    <row r="26" spans="23:30">
      <c r="W26">
        <f>14.94/14.5</f>
        <v>1.0303448275862068</v>
      </c>
    </row>
    <row r="27" spans="23:30">
      <c r="W27">
        <f>23.25/20.89</f>
        <v>1.1129727142173289</v>
      </c>
    </row>
    <row r="28" spans="23:30">
      <c r="W28">
        <f>11.91/12.5</f>
        <v>0.95279999999999998</v>
      </c>
    </row>
    <row r="35" spans="1:8" ht="13.5" thickBot="1"/>
    <row r="36" spans="1:8" ht="14.25" thickTop="1" thickBot="1">
      <c r="A36" s="137" t="s">
        <v>195</v>
      </c>
      <c r="B36" s="138"/>
      <c r="C36" s="138"/>
      <c r="D36" s="139"/>
    </row>
    <row r="37" spans="1:8" ht="14.25" thickTop="1" thickBot="1">
      <c r="A37" s="55" t="s">
        <v>196</v>
      </c>
      <c r="B37" s="56" t="s">
        <v>197</v>
      </c>
      <c r="C37" s="64" t="s">
        <v>198</v>
      </c>
      <c r="D37" s="58" t="s">
        <v>204</v>
      </c>
    </row>
    <row r="38" spans="1:8" ht="13.5" thickTop="1">
      <c r="A38" s="65" t="s">
        <v>199</v>
      </c>
      <c r="B38" s="66" t="s">
        <v>205</v>
      </c>
      <c r="C38" s="66" t="s">
        <v>214</v>
      </c>
      <c r="D38" s="67">
        <v>1.85</v>
      </c>
    </row>
    <row r="39" spans="1:8">
      <c r="A39" s="68" t="s">
        <v>200</v>
      </c>
      <c r="B39" s="69" t="s">
        <v>206</v>
      </c>
      <c r="C39" s="69" t="s">
        <v>213</v>
      </c>
      <c r="D39" s="70">
        <v>0.65</v>
      </c>
    </row>
    <row r="40" spans="1:8">
      <c r="A40" s="68" t="s">
        <v>201</v>
      </c>
      <c r="B40" s="69" t="s">
        <v>207</v>
      </c>
      <c r="C40" s="69" t="s">
        <v>212</v>
      </c>
      <c r="D40" s="70">
        <v>0.39</v>
      </c>
    </row>
    <row r="41" spans="1:8">
      <c r="A41" s="68" t="s">
        <v>202</v>
      </c>
      <c r="B41" s="69" t="s">
        <v>208</v>
      </c>
      <c r="C41" s="69" t="s">
        <v>210</v>
      </c>
      <c r="D41" s="70">
        <v>1.67</v>
      </c>
    </row>
    <row r="42" spans="1:8">
      <c r="A42" s="68" t="s">
        <v>203</v>
      </c>
      <c r="B42" s="69" t="s">
        <v>209</v>
      </c>
      <c r="C42" s="69" t="s">
        <v>211</v>
      </c>
      <c r="D42" s="70">
        <v>0.45</v>
      </c>
    </row>
    <row r="43" spans="1:8" ht="13.5" thickBot="1">
      <c r="A43" s="71" t="s">
        <v>215</v>
      </c>
      <c r="B43" s="72" t="s">
        <v>216</v>
      </c>
      <c r="C43" s="72" t="s">
        <v>217</v>
      </c>
      <c r="D43" s="73">
        <v>1.01</v>
      </c>
      <c r="F43">
        <v>6.25E-2</v>
      </c>
      <c r="G43">
        <v>0.2</v>
      </c>
      <c r="H43">
        <f>F43*G43</f>
        <v>1.2500000000000001E-2</v>
      </c>
    </row>
    <row r="44" spans="1:8" ht="13.5" thickTop="1">
      <c r="F44">
        <v>0.06</v>
      </c>
      <c r="G44">
        <v>0.39</v>
      </c>
      <c r="H44">
        <f t="shared" ref="H44:H47" si="0">F44*G44</f>
        <v>2.3400000000000001E-2</v>
      </c>
    </row>
    <row r="45" spans="1:8">
      <c r="F45">
        <v>0.05</v>
      </c>
      <c r="G45">
        <v>0.19</v>
      </c>
      <c r="H45">
        <f t="shared" si="0"/>
        <v>9.5000000000000015E-3</v>
      </c>
    </row>
    <row r="46" spans="1:8">
      <c r="F46">
        <v>6.5000000000000002E-2</v>
      </c>
      <c r="G46">
        <v>0.11</v>
      </c>
      <c r="H46">
        <f t="shared" si="0"/>
        <v>7.1500000000000001E-3</v>
      </c>
    </row>
    <row r="47" spans="1:8">
      <c r="F47">
        <v>6.25E-2</v>
      </c>
      <c r="G47">
        <v>0.11</v>
      </c>
      <c r="H47">
        <f t="shared" si="0"/>
        <v>6.875E-3</v>
      </c>
    </row>
    <row r="48" spans="1:8">
      <c r="F48">
        <f>AVERAGE(F43:F47)</f>
        <v>0.06</v>
      </c>
    </row>
    <row r="52" spans="13:34" ht="21.95" customHeight="1" thickBot="1">
      <c r="AD52" s="147" t="s">
        <v>324</v>
      </c>
      <c r="AE52" s="148"/>
      <c r="AF52" s="148"/>
      <c r="AG52" s="148"/>
      <c r="AH52" s="149"/>
    </row>
    <row r="53" spans="13:34" ht="21.95" customHeight="1" thickTop="1" thickBot="1">
      <c r="M53" s="54" t="s">
        <v>247</v>
      </c>
      <c r="AD53" s="55" t="s">
        <v>325</v>
      </c>
      <c r="AE53" s="56" t="s">
        <v>326</v>
      </c>
      <c r="AF53" s="56" t="s">
        <v>327</v>
      </c>
      <c r="AG53" s="64" t="s">
        <v>328</v>
      </c>
      <c r="AH53" s="58" t="s">
        <v>329</v>
      </c>
    </row>
    <row r="54" spans="13:34" ht="21.95" customHeight="1" thickTop="1">
      <c r="M54" s="59" t="s">
        <v>248</v>
      </c>
      <c r="AD54" s="65" t="s">
        <v>330</v>
      </c>
      <c r="AE54" s="85">
        <v>2E-3</v>
      </c>
      <c r="AF54" s="86">
        <v>-4.2999999999999997E-2</v>
      </c>
      <c r="AG54" s="85">
        <v>0.104</v>
      </c>
      <c r="AH54" s="87">
        <v>3.4000000000000002E-2</v>
      </c>
    </row>
    <row r="55" spans="13:34" ht="21.95" customHeight="1">
      <c r="M55" t="s">
        <v>249</v>
      </c>
      <c r="AD55" s="68" t="s">
        <v>331</v>
      </c>
      <c r="AE55" s="88">
        <v>-1.2999999999999999E-2</v>
      </c>
      <c r="AF55" s="88">
        <v>-2.5000000000000001E-2</v>
      </c>
      <c r="AG55" s="88">
        <v>-4.8000000000000001E-2</v>
      </c>
      <c r="AH55" s="89">
        <v>-6.2E-2</v>
      </c>
    </row>
    <row r="56" spans="13:34" ht="21.95" customHeight="1">
      <c r="M56" t="s">
        <v>250</v>
      </c>
      <c r="AD56" s="68" t="s">
        <v>332</v>
      </c>
      <c r="AE56" s="88">
        <v>-0.01</v>
      </c>
      <c r="AF56" s="88">
        <v>-4.0000000000000001E-3</v>
      </c>
      <c r="AG56" s="90">
        <v>8.9999999999999993E-3</v>
      </c>
      <c r="AH56" s="89">
        <v>-0.02</v>
      </c>
    </row>
    <row r="57" spans="13:34" ht="21.95" customHeight="1">
      <c r="M57" s="42" t="s">
        <v>251</v>
      </c>
      <c r="AD57" s="68" t="s">
        <v>333</v>
      </c>
      <c r="AE57" s="90">
        <v>1E-3</v>
      </c>
      <c r="AF57" s="88">
        <v>-5.8999999999999997E-2</v>
      </c>
      <c r="AG57" s="90">
        <v>8.2000000000000003E-2</v>
      </c>
      <c r="AH57" s="91">
        <v>1.0999999999999999E-2</v>
      </c>
    </row>
    <row r="58" spans="13:34" ht="21.95" customHeight="1">
      <c r="M58" s="42"/>
      <c r="AD58" s="68" t="s">
        <v>334</v>
      </c>
      <c r="AE58" s="90">
        <v>0</v>
      </c>
      <c r="AF58" s="88">
        <v>-3.6999999999999998E-2</v>
      </c>
      <c r="AG58" s="90">
        <v>0.122</v>
      </c>
      <c r="AH58" s="91">
        <v>2.5000000000000001E-2</v>
      </c>
    </row>
    <row r="59" spans="13:34" ht="21.95" customHeight="1">
      <c r="M59" s="42"/>
      <c r="AD59" s="68" t="s">
        <v>335</v>
      </c>
      <c r="AE59" s="88">
        <v>-1.0999999999999999E-2</v>
      </c>
      <c r="AF59" s="88">
        <v>-3.5000000000000003E-2</v>
      </c>
      <c r="AG59" s="88">
        <v>-1.2999999999999999E-2</v>
      </c>
      <c r="AH59" s="89">
        <v>-4.2999999999999997E-2</v>
      </c>
    </row>
    <row r="60" spans="13:34" ht="21.95" customHeight="1">
      <c r="M60" s="42"/>
      <c r="AD60" s="68" t="s">
        <v>336</v>
      </c>
      <c r="AE60" s="88">
        <v>-7.0000000000000001E-3</v>
      </c>
      <c r="AF60" s="88">
        <v>-1.9E-2</v>
      </c>
      <c r="AG60" s="90">
        <v>3.5999999999999997E-2</v>
      </c>
      <c r="AH60" s="89">
        <v>-0.02</v>
      </c>
    </row>
    <row r="61" spans="13:34" ht="21.95" customHeight="1">
      <c r="M61" s="42"/>
      <c r="AD61" s="68" t="s">
        <v>337</v>
      </c>
      <c r="AE61" s="90">
        <v>2E-3</v>
      </c>
      <c r="AF61" s="88">
        <v>-3.4000000000000002E-2</v>
      </c>
      <c r="AG61" s="90">
        <v>6.6000000000000003E-2</v>
      </c>
      <c r="AH61" s="91">
        <v>8.9999999999999993E-3</v>
      </c>
    </row>
    <row r="62" spans="13:34" ht="21.95" customHeight="1">
      <c r="M62" t="s">
        <v>252</v>
      </c>
      <c r="AD62" s="68" t="s">
        <v>338</v>
      </c>
      <c r="AE62" s="88">
        <v>-6.0000000000000001E-3</v>
      </c>
      <c r="AF62" s="88">
        <v>-2.5000000000000001E-2</v>
      </c>
      <c r="AG62" s="90">
        <v>3.1E-2</v>
      </c>
      <c r="AH62" s="89">
        <v>-2.8000000000000001E-2</v>
      </c>
    </row>
    <row r="63" spans="13:34" ht="21.95" customHeight="1" thickBot="1">
      <c r="M63" t="s">
        <v>253</v>
      </c>
      <c r="AD63" s="75" t="s">
        <v>339</v>
      </c>
      <c r="AE63" s="92">
        <v>1E-3</v>
      </c>
      <c r="AF63" s="93">
        <v>-4.1000000000000002E-2</v>
      </c>
      <c r="AG63" s="92">
        <v>7.0000000000000007E-2</v>
      </c>
      <c r="AH63" s="94">
        <v>2.3E-2</v>
      </c>
    </row>
    <row r="64" spans="13:34" ht="13.5" thickTop="1"/>
  </sheetData>
  <mergeCells count="5">
    <mergeCell ref="A36:D36"/>
    <mergeCell ref="W15:AB15"/>
    <mergeCell ref="B3:K3"/>
    <mergeCell ref="J4:K4"/>
    <mergeCell ref="AD52:AH5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Overview</vt:lpstr>
      <vt:lpstr>Holdings List (06.16.2018)</vt:lpstr>
      <vt:lpstr>2017 Performance</vt:lpstr>
      <vt:lpstr>2017 EOY Holdings</vt:lpstr>
      <vt:lpstr>2016 Performance</vt:lpstr>
      <vt:lpstr>2016 EOY Holdings</vt:lpstr>
      <vt:lpstr>Marketing</vt:lpstr>
      <vt:lpstr>Research List</vt:lpstr>
      <vt:lpstr>Design</vt:lpstr>
      <vt:lpstr>Raw</vt:lpstr>
    </vt:vector>
  </TitlesOfParts>
  <Company>Credit Suisse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Boyd Michael J. (VMFP 774)</dc:creator>
  <cp:lastModifiedBy>Anne, Gopala  (CTR)      C6ITF</cp:lastModifiedBy>
  <cp:lastPrinted>2011-03-04T12:21:28Z</cp:lastPrinted>
  <dcterms:created xsi:type="dcterms:W3CDTF">2010-04-23T11:17:44Z</dcterms:created>
  <dcterms:modified xsi:type="dcterms:W3CDTF">2018-07-16T04:10:29Z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53848451</vt:i4>
  </property>
  <property fmtid="{D5CDD505-2E9C-101B-9397-08002B2CF9AE}" pid="3" name="_NewReviewCycle">
    <vt:lpwstr/>
  </property>
  <property fmtid="{D5CDD505-2E9C-101B-9397-08002B2CF9AE}" pid="4" name="_EmailSubject">
    <vt:lpwstr>Position / History List</vt:lpwstr>
  </property>
  <property fmtid="{D5CDD505-2E9C-101B-9397-08002B2CF9AE}" pid="5" name="_AuthorEmail">
    <vt:lpwstr>michael.boyd@credit-suisse.com</vt:lpwstr>
  </property>
  <property fmtid="{D5CDD505-2E9C-101B-9397-08002B2CF9AE}" pid="6" name="_AuthorEmailDisplayName">
    <vt:lpwstr>Boyd, Michael J. (MOSZ 12)</vt:lpwstr>
  </property>
  <property fmtid="{D5CDD505-2E9C-101B-9397-08002B2CF9AE}" pid="7" name="_ReviewingToolsShownOnce">
    <vt:lpwstr/>
  </property>
  <property fmtid="{D5CDD505-2E9C-101B-9397-08002B2CF9AE}" pid="8" name="SV_QUERY_LIST_4F35BF76-6C0D-4D9B-82B2-816C12CF3733">
    <vt:lpwstr>empty_477D106A-C0D6-4607-AEBD-E2C9D60EA279</vt:lpwstr>
  </property>
  <property fmtid="{D5CDD505-2E9C-101B-9397-08002B2CF9AE}" pid="9" name="SV_HIDDEN_GRID_QUERY_LIST_4F35BF76-6C0D-4D9B-82B2-816C12CF3733">
    <vt:lpwstr>empty_477D106A-C0D6-4607-AEBD-E2C9D60EA279</vt:lpwstr>
  </property>
</Properties>
</file>